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SALUD\"/>
    </mc:Choice>
  </mc:AlternateContent>
  <xr:revisionPtr revIDLastSave="0" documentId="13_ncr:1_{D8BBD6BF-F152-4972-B1F8-35F68A64776A}"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1" l="1"/>
  <c r="Q41" i="1"/>
  <c r="AB41" i="1" s="1"/>
  <c r="AA41" i="1" s="1"/>
  <c r="T35" i="1"/>
  <c r="Q35" i="1"/>
  <c r="T34" i="1"/>
  <c r="Q34" i="1"/>
  <c r="AB34" i="1" s="1"/>
  <c r="AA34" i="1" s="1"/>
  <c r="T26" i="1"/>
  <c r="Q26" i="1"/>
  <c r="AB26" i="1" s="1"/>
  <c r="AA26" i="1" s="1"/>
  <c r="X41" i="1" l="1"/>
  <c r="X35" i="1"/>
  <c r="Z35" i="1"/>
  <c r="Y35" i="1"/>
  <c r="AB35" i="1"/>
  <c r="AA35" i="1" s="1"/>
  <c r="X34" i="1"/>
  <c r="Q64" i="1"/>
  <c r="Q58" i="1"/>
  <c r="T46" i="1"/>
  <c r="Q46" i="1"/>
  <c r="H46" i="1"/>
  <c r="T39" i="1"/>
  <c r="Q39" i="1"/>
  <c r="H39" i="1"/>
  <c r="T31" i="1"/>
  <c r="Q12" i="1"/>
  <c r="Z41" i="1" l="1"/>
  <c r="Y41" i="1"/>
  <c r="AC41" i="1" s="1"/>
  <c r="AC35" i="1"/>
  <c r="Z34" i="1"/>
  <c r="Y34" i="1"/>
  <c r="AC34" i="1" s="1"/>
  <c r="H64" i="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4" i="1" l="1"/>
  <c r="T12" i="1" l="1"/>
  <c r="H12" i="1" l="1"/>
  <c r="I12" i="1" s="1"/>
  <c r="K63" i="1"/>
  <c r="K36" i="1"/>
  <c r="K19" i="1"/>
  <c r="K34" i="1"/>
  <c r="K55" i="1"/>
  <c r="K60" i="1"/>
  <c r="K35" i="1"/>
  <c r="K44" i="1"/>
  <c r="K54" i="1"/>
  <c r="K30" i="1"/>
  <c r="K41" i="1"/>
  <c r="K53" i="1"/>
  <c r="K62" i="1"/>
  <c r="K45" i="1"/>
  <c r="K27" i="1"/>
  <c r="K56" i="1"/>
  <c r="K43" i="1"/>
  <c r="K47" i="1"/>
  <c r="K23" i="1"/>
  <c r="K21" i="1"/>
  <c r="K61" i="1"/>
  <c r="K20" i="1"/>
  <c r="K37" i="1"/>
  <c r="K29" i="1"/>
  <c r="K38" i="1"/>
  <c r="K48" i="1"/>
  <c r="K22" i="1"/>
  <c r="K42" i="1"/>
  <c r="K26" i="1"/>
  <c r="K59" i="1"/>
  <c r="K49" i="1"/>
  <c r="K28" i="1"/>
  <c r="K57" i="1"/>
  <c r="K50" i="1"/>
  <c r="K51" i="1"/>
  <c r="F221" i="13" l="1"/>
  <c r="F211" i="13"/>
  <c r="F212" i="13"/>
  <c r="F213" i="13"/>
  <c r="F214" i="13"/>
  <c r="F215" i="13"/>
  <c r="F216" i="13"/>
  <c r="F217" i="13"/>
  <c r="F218" i="13"/>
  <c r="F219" i="13"/>
  <c r="F220" i="13"/>
  <c r="F210" i="13"/>
  <c r="K17" i="1"/>
  <c r="K16" i="1"/>
  <c r="K13" i="1"/>
  <c r="K14" i="1"/>
  <c r="B221" i="13" a="1"/>
  <c r="K15" i="1"/>
  <c r="B221" i="13" l="1"/>
  <c r="Q53" i="1"/>
  <c r="Q47" i="1"/>
  <c r="K64" i="1" l="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0" i="1" l="1"/>
  <c r="N70" i="1"/>
  <c r="N64" i="1"/>
  <c r="M64" i="1"/>
  <c r="AB64" i="1" s="1"/>
  <c r="AA64" i="1" s="1"/>
  <c r="AC64" i="1" s="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I46" i="1"/>
  <c r="T45" i="1"/>
  <c r="Q45" i="1"/>
  <c r="T44" i="1"/>
  <c r="Q44" i="1"/>
  <c r="T43" i="1"/>
  <c r="Q43" i="1"/>
  <c r="T42" i="1"/>
  <c r="Q42" i="1"/>
  <c r="I39" i="1"/>
  <c r="T38" i="1"/>
  <c r="Q38" i="1"/>
  <c r="T37" i="1"/>
  <c r="Q37" i="1"/>
  <c r="T36" i="1"/>
  <c r="Q36" i="1"/>
  <c r="Q31" i="1"/>
  <c r="H31" i="1"/>
  <c r="I31" i="1" s="1"/>
  <c r="T30" i="1"/>
  <c r="Q30" i="1"/>
  <c r="T29" i="1"/>
  <c r="Q29" i="1"/>
  <c r="T28" i="1"/>
  <c r="Q28" i="1"/>
  <c r="T27" i="1"/>
  <c r="Q27" i="1"/>
  <c r="Q24" i="1"/>
  <c r="H24" i="1"/>
  <c r="I24" i="1" s="1"/>
  <c r="H18" i="1"/>
  <c r="Q17" i="1"/>
  <c r="Q16" i="1"/>
  <c r="T23" i="1"/>
  <c r="Q23" i="1"/>
  <c r="T22" i="1"/>
  <c r="Q22" i="1"/>
  <c r="T21" i="1"/>
  <c r="Q21" i="1"/>
  <c r="T20" i="1"/>
  <c r="Q20" i="1"/>
  <c r="T19" i="1"/>
  <c r="Q19" i="1"/>
  <c r="T18" i="1"/>
  <c r="Q18" i="1"/>
  <c r="X58" i="1" l="1"/>
  <c r="X28" i="1"/>
  <c r="X42" i="1"/>
  <c r="X50" i="1"/>
  <c r="X62" i="1"/>
  <c r="X30" i="1"/>
  <c r="X44" i="1"/>
  <c r="X56" i="1"/>
  <c r="X38" i="1"/>
  <c r="X37" i="1"/>
  <c r="X36" i="1"/>
  <c r="AB59" i="1"/>
  <c r="X60" i="1"/>
  <c r="X59" i="1"/>
  <c r="X31" i="1"/>
  <c r="X55" i="1"/>
  <c r="X54" i="1"/>
  <c r="X57" i="1"/>
  <c r="X61" i="1"/>
  <c r="X63" i="1"/>
  <c r="X24" i="1"/>
  <c r="X27" i="1"/>
  <c r="X29" i="1"/>
  <c r="X39" i="1"/>
  <c r="X43" i="1"/>
  <c r="X45" i="1"/>
  <c r="X49" i="1"/>
  <c r="X48" i="1"/>
  <c r="X51" i="1"/>
  <c r="AB47" i="1"/>
  <c r="X47" i="1"/>
  <c r="X46" i="1"/>
  <c r="X52" i="1"/>
  <c r="AB56" i="1"/>
  <c r="AA56" i="1" s="1"/>
  <c r="AB57" i="1"/>
  <c r="AA57" i="1" s="1"/>
  <c r="I18" i="1"/>
  <c r="X18" i="1" s="1"/>
  <c r="Y58" i="1" l="1"/>
  <c r="Z58" i="1"/>
  <c r="Z59" i="1" s="1"/>
  <c r="Y57" i="1"/>
  <c r="Z57" i="1"/>
  <c r="Y56" i="1"/>
  <c r="Z56" i="1"/>
  <c r="Y52" i="1"/>
  <c r="Z52" i="1"/>
  <c r="X53" i="1" s="1"/>
  <c r="Y46" i="1"/>
  <c r="Z46" i="1"/>
  <c r="Z47" i="1" s="1"/>
  <c r="Y39" i="1"/>
  <c r="Z39" i="1"/>
  <c r="Y31" i="1"/>
  <c r="Z31" i="1"/>
  <c r="Y24" i="1"/>
  <c r="Z24" i="1"/>
  <c r="Y18" i="1"/>
  <c r="Z18" i="1"/>
  <c r="X19" i="1" s="1"/>
  <c r="X26" i="1" l="1"/>
  <c r="Y59" i="1"/>
  <c r="Y47" i="1"/>
  <c r="Y48" i="1"/>
  <c r="Z48" i="1"/>
  <c r="Z60" i="1"/>
  <c r="Y6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3" i="1"/>
  <c r="T16" i="1"/>
  <c r="T17" i="1"/>
  <c r="Z26" i="1" l="1"/>
  <c r="Y26" i="1"/>
  <c r="AC26" i="1" s="1"/>
  <c r="Y27" i="1"/>
  <c r="Y61" i="1"/>
  <c r="Z61" i="1"/>
  <c r="Z27" i="1"/>
  <c r="Z28" i="1" s="1"/>
  <c r="Y54" i="1"/>
  <c r="Z54" i="1"/>
  <c r="Y53" i="1"/>
  <c r="Z53" i="1"/>
  <c r="Y42" i="1"/>
  <c r="Y37" i="1"/>
  <c r="Y19" i="1"/>
  <c r="Z19" i="1"/>
  <c r="X20" i="1" s="1"/>
  <c r="Y20" i="1" s="1"/>
  <c r="Z42" i="1" l="1"/>
  <c r="Z43" i="1" s="1"/>
  <c r="Y62" i="1"/>
  <c r="Z62" i="1"/>
  <c r="Y28" i="1"/>
  <c r="Y49" i="1"/>
  <c r="Z49" i="1"/>
  <c r="Y50" i="1" s="1"/>
  <c r="Y43" i="1"/>
  <c r="Y55" i="1"/>
  <c r="Z55" i="1"/>
  <c r="Y36" i="1"/>
  <c r="Z36" i="1"/>
  <c r="Z37" i="1"/>
  <c r="Z20" i="1"/>
  <c r="X21" i="1" s="1"/>
  <c r="Y21" i="1" s="1"/>
  <c r="Y63" i="1" l="1"/>
  <c r="Z63" i="1"/>
  <c r="Z50" i="1"/>
  <c r="Y51" i="1" s="1"/>
  <c r="Z44" i="1"/>
  <c r="Y44" i="1"/>
  <c r="Y29" i="1"/>
  <c r="Z29" i="1"/>
  <c r="Y30" i="1" s="1"/>
  <c r="Y38" i="1"/>
  <c r="Z38" i="1"/>
  <c r="Z21" i="1"/>
  <c r="X22" i="1" s="1"/>
  <c r="Z22" i="1" s="1"/>
  <c r="X23" i="1" s="1"/>
  <c r="X12" i="1"/>
  <c r="Y12" i="1" s="1"/>
  <c r="Y45" i="1" l="1"/>
  <c r="Z45" i="1"/>
  <c r="Z51" i="1"/>
  <c r="Z30" i="1"/>
  <c r="Y22" i="1"/>
  <c r="Y23" i="1"/>
  <c r="Z23" i="1"/>
  <c r="Q13" i="1"/>
  <c r="Z12" i="1" l="1"/>
  <c r="X13" i="1" s="1"/>
  <c r="Y13" i="1" l="1"/>
  <c r="Z13" i="1" l="1"/>
  <c r="X16" i="1" l="1"/>
  <c r="Y16" i="1" l="1"/>
  <c r="Z16" i="1"/>
  <c r="X17" i="1" s="1"/>
  <c r="Y17" i="1" l="1"/>
  <c r="Z17" i="1"/>
  <c r="K46" i="1" l="1"/>
  <c r="L46" i="1" s="1"/>
  <c r="K31" i="1"/>
  <c r="L31" i="1" s="1"/>
  <c r="K24" i="1"/>
  <c r="L24" i="1" s="1"/>
  <c r="K58" i="1"/>
  <c r="L58" i="1" s="1"/>
  <c r="K52" i="1"/>
  <c r="L52" i="1" s="1"/>
  <c r="K39" i="1"/>
  <c r="L39"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1" i="1"/>
  <c r="J40" i="18"/>
  <c r="J16" i="18"/>
  <c r="P16" i="18"/>
  <c r="V8" i="18"/>
  <c r="J8" i="18"/>
  <c r="J24" i="18"/>
  <c r="AH16" i="18"/>
  <c r="AB16" i="18"/>
  <c r="AB40" i="18"/>
  <c r="P32" i="18"/>
  <c r="P40" i="18"/>
  <c r="AH24" i="18"/>
  <c r="AB32" i="18"/>
  <c r="J32" i="18"/>
  <c r="V16" i="18"/>
  <c r="V40" i="18"/>
  <c r="AH32" i="18"/>
  <c r="V24" i="18"/>
  <c r="V32" i="18"/>
  <c r="AH8" i="18"/>
  <c r="AB8" i="18"/>
  <c r="P8" i="18"/>
  <c r="N31"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1" i="1" l="1"/>
  <c r="AA31" i="1" s="1"/>
  <c r="AB46" i="1"/>
  <c r="AA46" i="1" s="1"/>
  <c r="AB58" i="1"/>
  <c r="AA58" i="1" s="1"/>
  <c r="AA12" i="1"/>
  <c r="AB18" i="1"/>
  <c r="AB24" i="1"/>
  <c r="AB52" i="1"/>
  <c r="AB39" i="1"/>
  <c r="AA39" i="1" s="1"/>
  <c r="AA52" i="1" l="1"/>
  <c r="V22" i="19" s="1"/>
  <c r="AB53" i="1"/>
  <c r="AA53" i="1" s="1"/>
  <c r="AA24" i="1"/>
  <c r="AA18" i="1"/>
  <c r="AB19" i="1"/>
  <c r="AB20"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27"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13" i="1"/>
  <c r="AB42" i="1"/>
  <c r="AA47" i="1"/>
  <c r="AB48" i="1"/>
  <c r="AA48" i="1" s="1"/>
  <c r="AB49" i="1"/>
  <c r="AB54" i="1"/>
  <c r="AA54" i="1" s="1"/>
  <c r="AB55" i="1"/>
  <c r="AA55" i="1" s="1"/>
  <c r="AA59" i="1"/>
  <c r="AB60" i="1"/>
  <c r="J28" i="19" l="1"/>
  <c r="AH8" i="19"/>
  <c r="V48" i="19"/>
  <c r="AB48" i="19"/>
  <c r="AH28" i="19"/>
  <c r="AB18" i="19"/>
  <c r="V18" i="19"/>
  <c r="AB28" i="19"/>
  <c r="V8" i="19"/>
  <c r="P48" i="19"/>
  <c r="AH18" i="19"/>
  <c r="J8" i="19"/>
  <c r="AC24" i="1"/>
  <c r="AH38" i="19"/>
  <c r="AH48" i="19"/>
  <c r="J18" i="19"/>
  <c r="P38" i="19"/>
  <c r="P18" i="19"/>
  <c r="J48" i="19"/>
  <c r="AB8" i="19"/>
  <c r="J38" i="19"/>
  <c r="J47" i="19"/>
  <c r="V27" i="19"/>
  <c r="P47" i="19"/>
  <c r="AB17" i="19"/>
  <c r="J7" i="19"/>
  <c r="AH17" i="19"/>
  <c r="P7" i="19"/>
  <c r="V37" i="19"/>
  <c r="V38" i="19"/>
  <c r="P8" i="19"/>
  <c r="AB38" i="19"/>
  <c r="P28" i="19"/>
  <c r="V28" i="19"/>
  <c r="P1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1" i="1"/>
  <c r="AA20" i="1"/>
  <c r="AB36"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9" i="1"/>
  <c r="AA29" i="1" s="1"/>
  <c r="AA28" i="1"/>
  <c r="AB30" i="1"/>
  <c r="AA30"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<sst xmlns="http://schemas.openxmlformats.org/spreadsheetml/2006/main" count="539" uniqueCount="350">
  <si>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</si>
  <si>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</si>
  <si>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</si>
  <si>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</si>
  <si>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</si>
  <si>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</si>
  <si>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</si>
  <si>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</si>
  <si>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</si>
  <si>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</si>
  <si>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</si>
  <si>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</si>
  <si>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</si>
  <si>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</si>
  <si>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</si>
  <si>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</si>
  <si>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</si>
  <si>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</si>
  <si>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</si>
  <si>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</si>
  <si>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</si>
  <si>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</si>
  <si>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</si>
  <si>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</si>
  <si>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</si>
  <si>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</si>
  <si>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</si>
  <si>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</si>
  <si>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</si>
  <si>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</si>
  <si>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</si>
  <si>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</si>
  <si>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</si>
  <si>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</si>
  <si>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</si>
  <si>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</si>
  <si>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</si>
  <si>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</si>
  <si>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</si>
  <si>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</si>
  <si>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</si>
  <si>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</si>
  <si>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</si>
  <si>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</si>
  <si>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</si>
  <si>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</si>
  <si>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</si>
  <si>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</si>
  <si>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</si>
  <si>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</si>
  <si>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</si>
  <si>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</si>
  <si>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</si>
  <si>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</si>
  <si>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</si>
  <si>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</si>
  <si>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</si>
  <si>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</si>
  <si>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</si>
  <si>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</si>
  <si>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</si>
  <si>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</si>
  <si>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</si>
  <si>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</si>
  <si>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</si>
  <si>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</si>
  <si>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</si>
  <si>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</si>
  <si>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</si>
  <si>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</si>
  <si>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</si>
  <si>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</si>
  <si>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</si>
  <si>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</si>
  <si>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</si>
  <si>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</si>
  <si>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</si>
  <si>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</si>
  <si>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</si>
  <si>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</si>
  <si>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la Salud Pública</t>
  </si>
  <si>
    <t>ALCANCE:</t>
  </si>
  <si>
    <t>Se inicia con la planeación integral en salud y termina con la ejecución de las actividades según las competencias municipales</t>
  </si>
  <si>
    <t>CONTEXTO ESTRATÉGICO</t>
  </si>
  <si>
    <t>OBJETIVOS ESTRATÉGICOS</t>
  </si>
  <si>
    <t>OBJETIVO DEL PROCESO</t>
  </si>
  <si>
    <t>PLANEACIÓN INSTITUCIONAL</t>
  </si>
  <si>
    <t>PUNTOS DE RIESGO EN LA CADENA DE VALOR</t>
  </si>
  <si>
    <t>TERRITORIO SEGURO Y SOSTENIBLE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</si>
  <si>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t>
  </si>
  <si>
    <t>Plan territorial de Salud; Resolución de acuerdo municipal   de   aprobación   del Plan Territorial de Salud; Plan  de  Acción  de  Salud. -PAS; Componente   Operativo   Anual de Inversión. -COA</t>
  </si>
  <si>
    <t>Planeación, ejecucion y seguimiento de los planes de acción.</t>
  </si>
  <si>
    <t>MATRIZ DOFA</t>
  </si>
  <si>
    <t>DEBILIDADES</t>
  </si>
  <si>
    <t>AMENAZAS</t>
  </si>
  <si>
    <t>La pérdida de la curva de aprendizaje por la no continuidad, dado que el 95% es personal contratista</t>
  </si>
  <si>
    <t>Sanciones por no cumplimiento de procesos misionales de la secretaria de salud pública</t>
  </si>
  <si>
    <t>Debilidad en el proceso de implementación de la Politica Gestión del Conocimiento</t>
  </si>
  <si>
    <t xml:space="preserve">Aumento de indicadores de vigilancia de salud pública que identifica falencias en el control de enfermedades de interés en salud pública. </t>
  </si>
  <si>
    <t>Existen trámites administrativos gerenciales que limitan una adecuada contratación que impide garantizar cumplimiento de actividades relacionadas con salud pública.</t>
  </si>
  <si>
    <t>Disminución recorte o retiro total de recursos económicos asignados para dar cumplimiento a las actividades de salud pública y ambiente.</t>
  </si>
  <si>
    <t>Insuficiente personal de planta con perfil para garantizar algunos procesos.</t>
  </si>
  <si>
    <t>Procesos disciplinarios por recibo de dadivas por parte de personal que realiza inspección vigilancia y control.</t>
  </si>
  <si>
    <t xml:space="preserve">Talento Humano sin sentido de pertenencia para el desarrollo de algunas actividades.  </t>
  </si>
  <si>
    <t>Incumplimiento con informes normativos de entes de control y/o vigilancia y/o requerimientos varios que pueda desencadenar sanciones de cualquier tipo.</t>
  </si>
  <si>
    <t>Puestos de trabajo insuficientes que faciliten el trabajo y desempeño del recurso humano.</t>
  </si>
  <si>
    <t>FORTALEZAS</t>
  </si>
  <si>
    <t>OPORTUNIDADES</t>
  </si>
  <si>
    <t>Recursos designados para el cumplimiento de actividades relacionadas con salud pública y Ambiente</t>
  </si>
  <si>
    <t xml:space="preserve">Procesos estandarizados para la integración al sistema de gestión integral de calidad. </t>
  </si>
  <si>
    <t xml:space="preserve">Personal capacitado para garantizar algunos procesos con salud pública.y Ambiente </t>
  </si>
  <si>
    <t>Existencia de normatividad que permite el direccionamiento y detalle de las actividades a desarrollar en el proceso.</t>
  </si>
  <si>
    <t>Talento Humano contratista garantiza el cumplimiento de las competencias en Salud Pública y Ambiente.</t>
  </si>
  <si>
    <t>Apoyo de asistencia técnica por entes departamentales y/o otras para disponer de una capacitación continua relacionadas con el tema de salud pública.</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</si>
  <si>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</si>
  <si>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</si>
  <si>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</si>
  <si>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</si>
  <si>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</si>
  <si>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</si>
  <si>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</si>
  <si>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</si>
  <si>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</si>
  <si>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</si>
  <si>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Fortalecer la gestión y vigilancia para el desarrollo operativo y funcional de la Salud Pública, mediante la identificación de las necesidades de la población  y su  acceso  a los  servicios  de  salud, incorporando  los  enfoques  de: derechos,  perspectiva  de  género  y  ciclo  de  vida,  enfoque diferencial y  modelos  determinantes  sociales  de  Salud, con  el fin  de  buscar  el  mejoramiento  de  la  calidad  de vida  de  los  habitantes  del Municipio de Bucaramanga, de necesidades identificadas de la comunidad, para contribuir con el bienestar y el progreso de los ciudadanos con sostenibilidad social, económica, urbana y ambiental.</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</si>
  <si>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</si>
  <si>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</si>
  <si>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</si>
  <si>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</si>
  <si>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</si>
  <si>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</si>
  <si>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</si>
  <si>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</si>
  <si>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</si>
  <si>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</si>
  <si>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</si>
  <si>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</si>
  <si>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</si>
  <si>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</si>
  <si>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</si>
  <si>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</si>
  <si>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</si>
  <si>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</si>
  <si>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</si>
  <si>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</si>
  <si>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</si>
  <si>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</si>
  <si>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</si>
  <si>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</si>
  <si>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</si>
  <si>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</si>
  <si>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</si>
  <si>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</si>
  <si>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</si>
  <si>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Sanciones de entes de control, disminución de recursos por parte del Ministerio de Salud y Protección Social</t>
  </si>
  <si>
    <t>Baja gestión en el cumplimiento de los planes de acción en razón a los trámites previos de los procesos contractuales y ejecución</t>
  </si>
  <si>
    <t>Posibilidad de afectación económica y reputacional por posibles sanciones de entes de control, por disminución de recursos por parte del Ministerio de Salud y Protección Social, debido a la baja gestión en el cumplimiento de los planes de acción en razón a los trámites previos de los procesos contractuales y ejecución</t>
  </si>
  <si>
    <t>Ejecucion y Administracion de procesos</t>
  </si>
  <si>
    <t xml:space="preserve">     Entre 100 y 500 SMLMV </t>
  </si>
  <si>
    <t>La Secretaría de Salud y Ambiente y su equipo de planeación, presupuesto y contratación, verifica mensualmente el avance del proceso de contratación, a través del plan de acción.</t>
  </si>
  <si>
    <t>Preventivo</t>
  </si>
  <si>
    <t>Manual</t>
  </si>
  <si>
    <t>Documentado</t>
  </si>
  <si>
    <t>Continua</t>
  </si>
  <si>
    <t>Con Registro</t>
  </si>
  <si>
    <t>Reducir (mitigar)</t>
  </si>
  <si>
    <t>Realizar un  seguimiento mensual al plan de acción de contratación para verificar el avance en el cumplimiento de los contratos proyectados y en ejecución.</t>
  </si>
  <si>
    <t xml:space="preserve">Subsecretaria de Salud Pública y equipo de contratación </t>
  </si>
  <si>
    <t>Informe de Seguimiento
(8)</t>
  </si>
  <si>
    <t>Posible lesión del patrimonio público e investigaciones y sanciones de entes de control</t>
  </si>
  <si>
    <t>Destinación indebida de recursos del Régimen Subsidiado</t>
  </si>
  <si>
    <t>Posibilidad de afectación económica por posible lesión del patrimonio público e investigaciones y sanciones de entes de control, debido a la destinación indebida de recursos del Régimen Subsidiado</t>
  </si>
  <si>
    <t>El profesional de aseguramiento verifica el cumplimiento del procedimiento del cruce de base de datos de la LMA (liquidación mensual de afiliados)</t>
  </si>
  <si>
    <t>Realizar un  acta mensual del cruce de la base de datos de la LMA (Liquidación mensual de afiliados)  dejando como constancia  del reporte a la plataforma de ADRES</t>
  </si>
  <si>
    <t>Profesional de Aseguramiento</t>
  </si>
  <si>
    <t>Actas  Reunión 
(12)</t>
  </si>
  <si>
    <t>Posibles deficiencias en la calidad de los procesos</t>
  </si>
  <si>
    <t>Desactualización de la documentación del sistema Integrado de Gestión de Calidad</t>
  </si>
  <si>
    <t>Posibilidad de afectación económica y reputacional por posibles deficiencias en la calidad de los procesos, debido a la desactualización de la documentación del sistema Integrado de Gestión de Calidad.</t>
  </si>
  <si>
    <t xml:space="preserve">La Subsecretaría de Salud realiza la revisión documental del Sistema Integrado de Gestión de Calidad y verifica el avance en la actualización de los procedimientos. </t>
  </si>
  <si>
    <t>Realizar un plan de trabajo con el área de gestión de la calidad de la Secretaría Administrativa, para la revisión y actualización documental de la subsecretaría de Salud Pública</t>
  </si>
  <si>
    <t>Subsecretaria de Salud Pública</t>
  </si>
  <si>
    <t>Plan de Trabajo 
(1)</t>
  </si>
  <si>
    <t>Realizar  informe de cumplimiento al plan de trabajo concertado con la subsecretaría de Salud Pública del área de calidad.</t>
  </si>
  <si>
    <t>Informe de Seguimiento
(2)</t>
  </si>
  <si>
    <t xml:space="preserve"> Investigaciones y sanciones disciplinarias por entes de Control</t>
  </si>
  <si>
    <t xml:space="preserve">Incumplimiento de la Ley 594 del 2000 en los documentos emanados por la Secretaría de Salud y Ambiente </t>
  </si>
  <si>
    <t xml:space="preserve">Posibilidad de afectación reputacional por posibles investigaciones y sanciones disciplinarias por entes de Control, debido al incumplimiento de la Ley 594 del 2000 en los documentos emanados por la Secretaría de Salud y Ambiente </t>
  </si>
  <si>
    <t xml:space="preserve">     El riesgo afecta la imagen de la entidad con algunos usuarios de relevancia frente al logro de los objetivos</t>
  </si>
  <si>
    <t>El servidor público encargado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</si>
  <si>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 el 23% de las Transferencias  primarias  de los archivos de gestión y fondos acumulados de la Subsecretaría de Salud Publica en los tiempos establecidos en el cronograma para la vigencia que aplique la tabla de retención documental vigentes</t>
  </si>
  <si>
    <t>Acta de transferencia documental F-GDO-8600-238,37-022</t>
  </si>
  <si>
    <t>Organizar el 40% de los archivos de gestión   de los documentos generados por la Subsecretaría de Salud pública</t>
  </si>
  <si>
    <t xml:space="preserve">Informe de seguimiento a la organización documental F-GDO-8600-238,37-033 </t>
  </si>
  <si>
    <t>Elaborar el 40% de los inventarios documentales de los archivos producidos  por la Subsecretaría de Salud Pública</t>
  </si>
  <si>
    <t>Inventarios documentales F-GDO-8600-238,37-003</t>
  </si>
  <si>
    <t>Posibilidad de afectación reputacional por posibles investigaciones y sanciones disciplinarias por entes de Control, debido a la interrupción en la prestación de los servicios ofrecidos por la Subsecretaria de Salud Publica</t>
  </si>
  <si>
    <t>El Subsecretario de Salud Pública identifica los programas y servicios que no puede ser interrumpidos y gestiona con el área de  las vigencias futuras para garantizar la continuidad de los mismos</t>
  </si>
  <si>
    <t>Correctivo</t>
  </si>
  <si>
    <t xml:space="preserve">Realizar un informe donde se prioricen los programas que requieren continuidad para garantizar la prestación de servicios y presentar la solicitud de vigencias futuras. </t>
  </si>
  <si>
    <t>Informe
(1)</t>
  </si>
  <si>
    <t>Realizar el trámite de solicitud de vigencias futuras de los programas priorizados.</t>
  </si>
  <si>
    <t>Oficio 
(1)</t>
  </si>
  <si>
    <t>Reputacional</t>
  </si>
  <si>
    <t>Investigaciones disciplinarias por la autoridad competente</t>
  </si>
  <si>
    <t xml:space="preserve">incumplimiento de la Ley 1712 del 2014 y Resolución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</si>
  <si>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 </t>
  </si>
  <si>
    <t>El profesional asignado por el líder del proceso, revisa la información sujeta a publicación de acuerdo con lo establecido en la Resolución 1519 de 2020 y sus anexos, y verifica a través de la pagina web institucional su cumplimiento</t>
  </si>
  <si>
    <r>
      <t xml:space="preserve">Solicitar al área TIC la publicación de documentos a cargo de la </t>
    </r>
    <r>
      <rPr>
        <b/>
        <sz val="10"/>
        <color theme="1"/>
        <rFont val="Arial Narrow"/>
        <family val="2"/>
      </rPr>
      <t>Subsecretaría de Salud</t>
    </r>
    <r>
      <rPr>
        <sz val="10"/>
        <color theme="1"/>
        <rFont val="Arial Narrow"/>
        <family val="2"/>
      </rPr>
      <t>, de acuerdo con los estándares establecidos en la Resolución 1519 de 2020</t>
    </r>
  </si>
  <si>
    <t>Líder de proceso y profesional asignado</t>
  </si>
  <si>
    <t>Solicitudes de publicación enviados al área TIC</t>
  </si>
  <si>
    <t>Posibilidad de afectación reputacional por posibles investigaciones y sanciones disciplinarias por entes de control, debido a la falta de seguimiento al cumplimiento de metas del Plan de Desarrollo Municipal programadas para la vigencia</t>
  </si>
  <si>
    <t xml:space="preserve">El profesional responsable de la Secretaría de Salud, realiza monitoreo al Plan de Desarrollo Municipal 2024-2027, con el objetivo de verificar el avance en el cumplimiento físico de las metas y/o ejecución de recursos financieros, siguiendo los lineamientos del orden nacional y normas vigentes. </t>
  </si>
  <si>
    <t>Realizar monitoreo trimestral al Plan de Desarrollo Municipal para verificar el avance en el cumplimiento físico de metas y ejecución de recursos financieros</t>
  </si>
  <si>
    <t>Secretaria  de Salud 
Profesional Especializado</t>
  </si>
  <si>
    <t>Informe de seguimiento (4)  informe de gestión</t>
  </si>
  <si>
    <t>Investigaciones disciplinarias</t>
  </si>
  <si>
    <t>Posibilidad de afectación reputacional por investigaciones disciplinarias debido al incumplimiento de las acciones correctivas en los tiempos estipulados y plasmados en los Planes de Mejoramiento de auditorías internas, suscritos</t>
  </si>
  <si>
    <t xml:space="preserve">La profesional encargada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</si>
  <si>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</si>
  <si>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</si>
  <si>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</si>
  <si>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t xml:space="preserve">sanciones e investigaciones disciplinarias de entes de control y deficiente inversión de los recursos en la Administración Central </t>
  </si>
  <si>
    <t>debilidades en 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</si>
  <si>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</si>
  <si>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La Secretaria de Salud y Ambiente, supervisores, el profesional líder de contratación y el profesional encargado de presupuesto en la Secretaría de Salud y Ambiente,  realizaran el seguimiento al presupuesto en materia de contratación, conforme al principio de planeación con el fin de evitar la constitución de reservas presupuestales a través del sistema financiero</t>
  </si>
  <si>
    <t>Realizar reunión de trabajo trimestral de seguimiento, liderada por la Secretaria de despacho a fin de revisar el estado de saldos pendientes de pago de las reservas presupuestales emitido por la Secretaría de Hacienda</t>
  </si>
  <si>
    <t>Secretaria de Salud y Ambiente</t>
  </si>
  <si>
    <t>Acta de reunion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</si>
  <si>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</si>
  <si>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</si>
  <si>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</si>
  <si>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</si>
  <si>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</si>
  <si>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</si>
  <si>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</si>
  <si>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</si>
  <si>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</si>
  <si>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</si>
  <si>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</si>
  <si>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</si>
  <si>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</si>
  <si>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</si>
  <si>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</si>
  <si>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</si>
  <si>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</si>
  <si>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</si>
  <si>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</si>
  <si>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</si>
  <si>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</si>
  <si>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</si>
  <si>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</si>
  <si>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</si>
  <si>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</si>
  <si>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</si>
  <si>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</si>
  <si>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</si>
  <si>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</si>
  <si>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</si>
  <si>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</si>
  <si>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</si>
  <si>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</si>
  <si>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</si>
  <si>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</si>
  <si>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</si>
  <si>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</si>
  <si>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</si>
  <si>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</si>
  <si>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</si>
  <si>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</si>
  <si>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</si>
  <si>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</si>
  <si>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</si>
  <si>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</si>
  <si>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</si>
  <si>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</si>
  <si>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</si>
  <si>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</si>
  <si>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</si>
  <si>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</si>
  <si>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</si>
  <si>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</si>
  <si>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</si>
  <si>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</si>
  <si>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</si>
  <si>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</si>
  <si>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</si>
  <si>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</si>
  <si>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</si>
  <si>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</si>
  <si>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</si>
  <si>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</si>
  <si>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</si>
  <si>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</si>
  <si>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</si>
  <si>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</si>
  <si>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</si>
  <si>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</si>
  <si>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</si>
  <si>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</si>
  <si>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</si>
  <si>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</si>
  <si>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</si>
  <si>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</si>
  <si>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</si>
  <si>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</si>
  <si>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</si>
  <si>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</si>
  <si>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</si>
  <si>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</si>
  <si>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</si>
  <si>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</si>
  <si>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</si>
  <si>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</si>
  <si>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</si>
  <si>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</si>
  <si>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</si>
  <si>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</si>
  <si>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</si>
  <si>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</si>
  <si>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</si>
  <si>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</si>
  <si>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</si>
  <si>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</si>
  <si>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</si>
  <si>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</si>
  <si>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</si>
  <si>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</si>
  <si>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</si>
  <si>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</si>
  <si>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</si>
  <si>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</si>
  <si>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</si>
  <si>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</si>
  <si>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</si>
  <si>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</si>
  <si>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</si>
  <si>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</si>
  <si>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</si>
  <si>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</si>
  <si>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</si>
  <si>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</si>
  <si>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</si>
  <si>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</si>
  <si>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</si>
  <si>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Matriz Mapa Riesgos de Gestión 2025</t>
  </si>
  <si>
    <t xml:space="preserve"> interrupción en la prestación de los servicios ofrecidos por la Secretaría de Salud y Ambiente</t>
  </si>
  <si>
    <t xml:space="preserve"> falta de seguimiento al cumplimiento de metas del Plan de Desarrollo Municipal programadas para la vigencia</t>
  </si>
  <si>
    <t>investigaciones y sanciones disciplinarias por entes de control</t>
  </si>
  <si>
    <t>incumplimiento de las acciones correctivas en los tiempos estipulados y plasmados en los Planes de Mejoramiento de auditorías internas,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</si>
</sst>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7" xfId="0" applyFont="1" applyFill="1" applyBorder="1" applyAlignment="1">
      <alignment horizontal="left" vertical="center" wrapText="1" indent="1"/>
    </xf>
    <xf numFmtId="0" fontId="71" fillId="17" borderId="109"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7"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0" fontId="6" fillId="3" borderId="2" xfId="0"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75" fillId="0" borderId="2" xfId="0" applyNumberFormat="1" applyFont="1" applyBorder="1" applyAlignment="1" applyProtection="1">
      <alignment horizontal="center" vertical="center"/>
      <protection locked="0"/>
    </xf>
    <xf numFmtId="0" fontId="75" fillId="3" borderId="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0" borderId="10" xfId="0" applyFont="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69" fillId="20" borderId="34" xfId="0" applyFont="1" applyFill="1" applyBorder="1" applyAlignment="1">
      <alignment horizontal="center" vertical="center" wrapText="1"/>
    </xf>
    <xf numFmtId="0" fontId="65" fillId="0" borderId="117" xfId="0" applyFont="1" applyBorder="1" applyAlignment="1">
      <alignment horizontal="center" vertical="center"/>
    </xf>
    <xf numFmtId="0" fontId="65" fillId="0" borderId="117" xfId="0" applyFont="1" applyBorder="1" applyAlignment="1">
      <alignment horizontal="center"/>
    </xf>
    <xf numFmtId="0" fontId="61" fillId="0" borderId="118" xfId="0" applyFont="1" applyBorder="1" applyAlignment="1">
      <alignment horizontal="center" vertical="center" wrapText="1"/>
    </xf>
    <xf numFmtId="0" fontId="61" fillId="0" borderId="72" xfId="0" applyFont="1" applyBorder="1" applyAlignment="1">
      <alignment horizontal="center" vertical="center" wrapText="1"/>
    </xf>
    <xf numFmtId="0" fontId="1" fillId="0" borderId="96"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xf>
    <xf numFmtId="0" fontId="1" fillId="0" borderId="102" xfId="0" applyFont="1" applyBorder="1" applyAlignment="1">
      <alignment horizontal="left" vertical="center"/>
    </xf>
    <xf numFmtId="0" fontId="1" fillId="0" borderId="104" xfId="0" applyFont="1" applyBorder="1" applyAlignment="1">
      <alignment horizontal="left" vertical="center"/>
    </xf>
    <xf numFmtId="0" fontId="1" fillId="0" borderId="77" xfId="0" applyFont="1" applyBorder="1" applyAlignment="1">
      <alignment horizontal="left" vertical="center"/>
    </xf>
    <xf numFmtId="0" fontId="1" fillId="0" borderId="105" xfId="0" applyFont="1" applyBorder="1" applyAlignment="1">
      <alignment horizontal="left" vertical="center"/>
    </xf>
    <xf numFmtId="0" fontId="75" fillId="0" borderId="106" xfId="0" applyFont="1" applyBorder="1" applyAlignment="1">
      <alignment horizontal="left" vertical="center" wrapText="1"/>
    </xf>
    <xf numFmtId="0" fontId="75" fillId="0" borderId="36" xfId="0" applyFont="1" applyBorder="1" applyAlignment="1">
      <alignment horizontal="left" vertical="center" wrapText="1"/>
    </xf>
    <xf numFmtId="0" fontId="1" fillId="0" borderId="35" xfId="0" applyFont="1" applyBorder="1" applyAlignment="1">
      <alignment horizontal="left" vertical="center" wrapText="1"/>
    </xf>
    <xf numFmtId="0" fontId="1" fillId="0" borderId="31" xfId="0" applyFont="1" applyBorder="1" applyAlignment="1">
      <alignment horizontal="left" vertical="center" wrapText="1"/>
    </xf>
    <xf numFmtId="0" fontId="1" fillId="0" borderId="36" xfId="0" applyFont="1" applyBorder="1" applyAlignment="1">
      <alignment horizontal="left" vertical="center" wrapText="1"/>
    </xf>
    <xf numFmtId="0" fontId="75" fillId="0" borderId="35" xfId="0" applyFont="1" applyBorder="1" applyAlignment="1">
      <alignment horizontal="left" wrapText="1"/>
    </xf>
    <xf numFmtId="0" fontId="75" fillId="0" borderId="31" xfId="0" applyFont="1" applyBorder="1" applyAlignment="1">
      <alignment horizontal="left" wrapText="1"/>
    </xf>
    <xf numFmtId="0" fontId="75" fillId="0" borderId="36" xfId="0" applyFont="1" applyBorder="1" applyAlignment="1">
      <alignment horizontal="left" wrapText="1"/>
    </xf>
    <xf numFmtId="0" fontId="61" fillId="0" borderId="106" xfId="0" applyFont="1" applyBorder="1" applyAlignment="1">
      <alignment horizontal="left" vertical="center" wrapText="1"/>
    </xf>
    <xf numFmtId="0" fontId="61" fillId="0" borderId="36" xfId="0" applyFont="1" applyBorder="1" applyAlignment="1">
      <alignment horizontal="left" vertical="center" wrapText="1"/>
    </xf>
    <xf numFmtId="0" fontId="1" fillId="0" borderId="35" xfId="0" applyFont="1" applyBorder="1" applyAlignment="1">
      <alignment horizontal="left"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69" fillId="18" borderId="118" xfId="0" applyFont="1" applyFill="1" applyBorder="1" applyAlignment="1">
      <alignment horizontal="left" vertical="center" wrapText="1" indent="1"/>
    </xf>
    <xf numFmtId="0" fontId="69" fillId="18" borderId="65" xfId="0" applyFont="1" applyFill="1" applyBorder="1" applyAlignment="1">
      <alignment horizontal="left" vertical="center" wrapText="1" indent="1"/>
    </xf>
    <xf numFmtId="0" fontId="69" fillId="18" borderId="66" xfId="0" applyFont="1" applyFill="1" applyBorder="1" applyAlignment="1">
      <alignment horizontal="left" vertical="center" wrapText="1" indent="1"/>
    </xf>
    <xf numFmtId="0" fontId="70" fillId="18" borderId="98" xfId="0" applyFont="1" applyFill="1" applyBorder="1" applyAlignment="1">
      <alignment horizontal="left" vertical="center" wrapText="1" indent="1"/>
    </xf>
    <xf numFmtId="0" fontId="70" fillId="18" borderId="99" xfId="0" applyFont="1" applyFill="1" applyBorder="1" applyAlignment="1">
      <alignment horizontal="left" vertical="center" wrapText="1" indent="1"/>
    </xf>
    <xf numFmtId="0" fontId="70" fillId="18" borderId="100" xfId="0" applyFont="1" applyFill="1" applyBorder="1" applyAlignment="1">
      <alignment horizontal="left" vertical="center" wrapText="1" inden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9" xfId="0" applyFont="1" applyFill="1" applyBorder="1" applyAlignment="1">
      <alignment horizontal="center" vertical="center" wrapText="1"/>
    </xf>
    <xf numFmtId="0" fontId="72" fillId="0" borderId="14" xfId="0" applyFont="1" applyBorder="1" applyAlignment="1">
      <alignment horizontal="left" vertical="center" wrapText="1"/>
    </xf>
    <xf numFmtId="0" fontId="72" fillId="0" borderId="15" xfId="0" applyFont="1" applyBorder="1" applyAlignment="1">
      <alignment horizontal="left" vertical="center" wrapText="1"/>
    </xf>
    <xf numFmtId="0" fontId="60" fillId="0" borderId="0" xfId="0" applyFont="1" applyAlignment="1">
      <alignment horizontal="center" vertical="center"/>
    </xf>
    <xf numFmtId="0" fontId="72" fillId="0" borderId="12" xfId="0" applyFont="1" applyBorder="1" applyAlignment="1">
      <alignment horizontal="left" vertical="center" wrapText="1"/>
    </xf>
    <xf numFmtId="0" fontId="72" fillId="0" borderId="13" xfId="0" applyFont="1" applyBorder="1" applyAlignment="1">
      <alignment horizontal="left" vertical="center" wrapText="1"/>
    </xf>
    <xf numFmtId="0" fontId="73" fillId="0" borderId="106" xfId="0" applyFont="1" applyBorder="1" applyAlignment="1">
      <alignment horizontal="left" vertical="center" wrapText="1"/>
    </xf>
    <xf numFmtId="0" fontId="73" fillId="0" borderId="36" xfId="0" applyFont="1" applyBorder="1" applyAlignment="1">
      <alignment horizontal="left" vertical="center" wrapText="1"/>
    </xf>
    <xf numFmtId="0" fontId="61" fillId="0" borderId="35" xfId="0" applyFont="1" applyBorder="1" applyAlignment="1">
      <alignment horizontal="left" vertical="center" wrapText="1"/>
    </xf>
    <xf numFmtId="0" fontId="61" fillId="0" borderId="31" xfId="0" applyFont="1" applyBorder="1" applyAlignment="1">
      <alignment horizontal="left" vertical="center" wrapText="1"/>
    </xf>
    <xf numFmtId="0" fontId="61" fillId="3" borderId="35" xfId="0" applyFont="1" applyFill="1" applyBorder="1" applyAlignment="1">
      <alignment horizontal="left" vertical="center"/>
    </xf>
    <xf numFmtId="0" fontId="61" fillId="3" borderId="31" xfId="0" applyFont="1" applyFill="1" applyBorder="1" applyAlignment="1">
      <alignment horizontal="left" vertical="center"/>
    </xf>
    <xf numFmtId="0" fontId="61" fillId="3" borderId="36" xfId="0" applyFont="1" applyFill="1" applyBorder="1" applyAlignment="1">
      <alignment horizontal="left" vertical="center"/>
    </xf>
    <xf numFmtId="0" fontId="61" fillId="0" borderId="106" xfId="0" applyFont="1" applyBorder="1" applyAlignment="1">
      <alignment horizontal="left" vertical="center"/>
    </xf>
    <xf numFmtId="0" fontId="61" fillId="0" borderId="36" xfId="0" applyFont="1" applyBorder="1" applyAlignment="1">
      <alignment horizontal="left" vertical="center"/>
    </xf>
    <xf numFmtId="0" fontId="61" fillId="3" borderId="35" xfId="0" applyFont="1" applyFill="1" applyBorder="1" applyAlignment="1">
      <alignment horizontal="left" vertical="center" wrapText="1"/>
    </xf>
    <xf numFmtId="0" fontId="61" fillId="3" borderId="31" xfId="0" applyFont="1" applyFill="1" applyBorder="1" applyAlignment="1">
      <alignment horizontal="left" vertical="center" wrapText="1"/>
    </xf>
    <xf numFmtId="0" fontId="61" fillId="3" borderId="36" xfId="0" applyFont="1" applyFill="1" applyBorder="1" applyAlignment="1">
      <alignment horizontal="left" vertical="center" wrapText="1"/>
    </xf>
    <xf numFmtId="0" fontId="73" fillId="0" borderId="106" xfId="0" applyFont="1" applyBorder="1" applyAlignment="1">
      <alignment horizontal="left" vertical="center"/>
    </xf>
    <xf numFmtId="0" fontId="73" fillId="0" borderId="36" xfId="0" applyFont="1" applyBorder="1" applyAlignment="1">
      <alignment horizontal="left" vertical="center"/>
    </xf>
    <xf numFmtId="0" fontId="73" fillId="0" borderId="104" xfId="0" applyFont="1" applyBorder="1" applyAlignment="1">
      <alignment horizontal="left" vertical="center"/>
    </xf>
    <xf numFmtId="0" fontId="73" fillId="0" borderId="105" xfId="0" applyFont="1" applyBorder="1" applyAlignment="1">
      <alignment horizontal="left" vertical="center"/>
    </xf>
    <xf numFmtId="0" fontId="61" fillId="3" borderId="37" xfId="0" applyFont="1" applyFill="1" applyBorder="1" applyAlignment="1">
      <alignment horizontal="left" vertical="center"/>
    </xf>
    <xf numFmtId="0" fontId="61" fillId="3" borderId="38" xfId="0" applyFont="1" applyFill="1" applyBorder="1" applyAlignment="1">
      <alignment horizontal="left" vertical="center"/>
    </xf>
    <xf numFmtId="0" fontId="61" fillId="3" borderId="39" xfId="0" applyFont="1" applyFill="1" applyBorder="1" applyAlignment="1">
      <alignment horizontal="left" vertical="center"/>
    </xf>
    <xf numFmtId="0" fontId="73" fillId="0" borderId="107"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66" fillId="0" borderId="109" xfId="0" applyFont="1" applyBorder="1" applyAlignment="1">
      <alignment horizontal="center" vertical="center" wrapText="1"/>
    </xf>
    <xf numFmtId="0" fontId="66" fillId="0" borderId="73" xfId="0" applyFont="1" applyBorder="1" applyAlignment="1">
      <alignment horizontal="center" vertical="center" wrapText="1"/>
    </xf>
    <xf numFmtId="0" fontId="66" fillId="0" borderId="110" xfId="0" applyFont="1" applyBorder="1" applyAlignment="1">
      <alignment horizontal="center" vertical="center" wrapText="1"/>
    </xf>
    <xf numFmtId="0" fontId="66" fillId="0" borderId="111" xfId="0" applyFont="1" applyBorder="1" applyAlignment="1">
      <alignment horizontal="center" vertical="center" wrapText="1"/>
    </xf>
    <xf numFmtId="0" fontId="66" fillId="0" borderId="11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114"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116" xfId="0" applyFont="1" applyBorder="1" applyAlignment="1">
      <alignment horizontal="center" vertical="center" wrapText="1"/>
    </xf>
    <xf numFmtId="0" fontId="72" fillId="0" borderId="16" xfId="0" applyFont="1" applyBorder="1" applyAlignment="1">
      <alignment horizontal="left" vertical="center" wrapText="1"/>
    </xf>
    <xf numFmtId="0" fontId="72" fillId="0" borderId="17" xfId="0" applyFont="1" applyBorder="1" applyAlignment="1">
      <alignment horizontal="left" vertical="center" wrapText="1"/>
    </xf>
    <xf numFmtId="0" fontId="73" fillId="0" borderId="35" xfId="0" applyFont="1" applyBorder="1" applyAlignment="1">
      <alignment horizontal="left" wrapText="1"/>
    </xf>
    <xf numFmtId="0" fontId="73" fillId="0" borderId="36" xfId="0" applyFont="1" applyBorder="1" applyAlignment="1">
      <alignment horizontal="left" wrapText="1"/>
    </xf>
    <xf numFmtId="0" fontId="61" fillId="0" borderId="35" xfId="0" applyFont="1" applyBorder="1" applyAlignment="1">
      <alignment horizontal="left" wrapText="1"/>
    </xf>
    <xf numFmtId="0" fontId="61" fillId="0" borderId="36" xfId="0" applyFont="1" applyBorder="1" applyAlignment="1">
      <alignment horizontal="left" wrapText="1"/>
    </xf>
    <xf numFmtId="0" fontId="75" fillId="0" borderId="96" xfId="0" applyFont="1" applyBorder="1" applyAlignment="1">
      <alignment horizontal="left" vertical="center" wrapText="1"/>
    </xf>
    <xf numFmtId="0" fontId="75" fillId="0" borderId="102" xfId="0" applyFont="1" applyBorder="1" applyAlignment="1">
      <alignment horizontal="left" vertical="center"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8" xfId="0" applyFont="1" applyBorder="1" applyAlignment="1">
      <alignment horizontal="left"/>
    </xf>
    <xf numFmtId="0" fontId="61" fillId="0" borderId="100" xfId="0" applyFont="1" applyBorder="1" applyAlignment="1">
      <alignment horizontal="left"/>
    </xf>
    <xf numFmtId="0" fontId="61" fillId="0" borderId="104" xfId="0" applyFont="1" applyBorder="1" applyAlignment="1">
      <alignment horizontal="left"/>
    </xf>
    <xf numFmtId="0" fontId="61" fillId="0" borderId="77" xfId="0" applyFont="1" applyBorder="1" applyAlignment="1">
      <alignment horizontal="left"/>
    </xf>
    <xf numFmtId="0" fontId="61" fillId="0" borderId="105" xfId="0" applyFont="1" applyBorder="1" applyAlignment="1">
      <alignment horizontal="left"/>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8" xfId="0" applyFont="1" applyBorder="1" applyAlignment="1" applyProtection="1">
      <alignment horizontal="center" vertical="center" textRotation="90"/>
      <protection locked="0"/>
    </xf>
    <xf numFmtId="0" fontId="4" fillId="0" borderId="8" xfId="0" applyFont="1" applyBorder="1" applyAlignment="1" applyProtection="1">
      <alignment horizontal="center" vertical="center" textRotation="90" wrapText="1"/>
      <protection hidden="1"/>
    </xf>
    <xf numFmtId="9" fontId="1" fillId="0" borderId="8" xfId="0" applyNumberFormat="1" applyFont="1" applyBorder="1" applyAlignment="1" applyProtection="1">
      <alignment horizontal="center" vertical="center"/>
      <protection hidden="1"/>
    </xf>
    <xf numFmtId="0" fontId="4" fillId="0" borderId="8" xfId="0" applyFont="1" applyBorder="1" applyAlignment="1" applyProtection="1">
      <alignment horizontal="center" vertical="center" textRotation="90"/>
      <protection hidden="1"/>
    </xf>
    <xf numFmtId="0" fontId="1" fillId="0" borderId="8" xfId="0" applyFont="1" applyBorder="1" applyAlignment="1">
      <alignment horizontal="center" vertical="top"/>
    </xf>
    <xf numFmtId="0" fontId="6" fillId="0" borderId="5"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pplyProtection="1">
      <alignment horizontal="center" vertical="center"/>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2"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3" borderId="0" xfId="0" applyFont="1" applyFill="1" applyAlignment="1">
      <alignment horizontal="left" vertical="center"/>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4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00" t="s">
        <v>0</v>
      </c>
      <c r="C2" s="201"/>
      <c r="D2" s="201"/>
      <c r="E2" s="201"/>
      <c r="F2" s="201"/>
      <c r="G2" s="201"/>
      <c r="H2" s="202"/>
    </row>
    <row r="3" spans="1:8" x14ac:dyDescent="0.25">
      <c r="B3" s="119"/>
      <c r="C3" s="120"/>
      <c r="D3" s="120"/>
      <c r="E3" s="120"/>
      <c r="F3" s="120"/>
      <c r="G3" s="120"/>
      <c r="H3" s="121"/>
    </row>
    <row r="4" spans="1:8" ht="63" customHeight="1" x14ac:dyDescent="0.25">
      <c r="B4" s="203" t="s">
        <v>1</v>
      </c>
      <c r="C4" s="204"/>
      <c r="D4" s="204"/>
      <c r="E4" s="204"/>
      <c r="F4" s="204"/>
      <c r="G4" s="204"/>
      <c r="H4" s="205"/>
    </row>
    <row r="5" spans="1:8" ht="63" customHeight="1" x14ac:dyDescent="0.25">
      <c r="B5" s="206"/>
      <c r="C5" s="207"/>
      <c r="D5" s="207"/>
      <c r="E5" s="207"/>
      <c r="F5" s="207"/>
      <c r="G5" s="207"/>
      <c r="H5" s="208"/>
    </row>
    <row r="6" spans="1:8" ht="16.5" x14ac:dyDescent="0.25">
      <c r="A6" s="122"/>
      <c r="B6" s="209" t="s">
        <v>2</v>
      </c>
      <c r="C6" s="210"/>
      <c r="D6" s="210"/>
      <c r="E6" s="210"/>
      <c r="F6" s="210"/>
      <c r="G6" s="210"/>
      <c r="H6" s="211"/>
    </row>
    <row r="7" spans="1:8" ht="95.25" customHeight="1" x14ac:dyDescent="0.25">
      <c r="A7" s="122"/>
      <c r="B7" s="212" t="s">
        <v>3</v>
      </c>
      <c r="C7" s="212"/>
      <c r="D7" s="212"/>
      <c r="E7" s="212"/>
      <c r="F7" s="212"/>
      <c r="G7" s="212"/>
      <c r="H7" s="213"/>
    </row>
    <row r="8" spans="1:8" ht="16.5" x14ac:dyDescent="0.25">
      <c r="A8" s="122"/>
      <c r="B8" s="123"/>
      <c r="C8" s="124"/>
      <c r="D8" s="124"/>
      <c r="E8" s="124"/>
      <c r="F8" s="124"/>
      <c r="G8" s="124"/>
      <c r="H8" s="125"/>
    </row>
    <row r="9" spans="1:8" ht="16.5" customHeight="1" x14ac:dyDescent="0.25">
      <c r="A9" s="122"/>
      <c r="B9" s="214" t="s">
        <v>4</v>
      </c>
      <c r="C9" s="214"/>
      <c r="D9" s="214"/>
      <c r="E9" s="214"/>
      <c r="F9" s="214"/>
      <c r="G9" s="214"/>
      <c r="H9" s="215"/>
    </row>
    <row r="10" spans="1:8" ht="16.5" customHeight="1" x14ac:dyDescent="0.25">
      <c r="A10" s="122"/>
      <c r="B10" s="214"/>
      <c r="C10" s="214"/>
      <c r="D10" s="214"/>
      <c r="E10" s="214"/>
      <c r="F10" s="214"/>
      <c r="G10" s="214"/>
      <c r="H10" s="215"/>
    </row>
    <row r="11" spans="1:8" ht="11.65" customHeight="1" x14ac:dyDescent="0.25">
      <c r="A11" s="122"/>
      <c r="B11" s="214"/>
      <c r="C11" s="214"/>
      <c r="D11" s="214"/>
      <c r="E11" s="214"/>
      <c r="F11" s="214"/>
      <c r="G11" s="214"/>
      <c r="H11" s="215"/>
    </row>
    <row r="12" spans="1:8" ht="11.65" customHeight="1" thickBot="1" x14ac:dyDescent="0.3">
      <c r="A12" s="122"/>
      <c r="B12" s="126"/>
      <c r="C12" s="126"/>
      <c r="D12" s="126"/>
      <c r="E12" s="126"/>
      <c r="F12" s="126"/>
      <c r="G12" s="126"/>
      <c r="H12" s="127"/>
    </row>
    <row r="13" spans="1:8" ht="14.25" customHeight="1" thickTop="1" x14ac:dyDescent="0.25">
      <c r="A13" s="122"/>
      <c r="B13" s="126"/>
      <c r="C13" s="196" t="s">
        <v>5</v>
      </c>
      <c r="D13" s="197"/>
      <c r="E13" s="198" t="s">
        <v>6</v>
      </c>
      <c r="F13" s="199"/>
      <c r="G13" s="126"/>
      <c r="H13" s="127"/>
    </row>
    <row r="14" spans="1:8" ht="23.25" customHeight="1" x14ac:dyDescent="0.25">
      <c r="A14" s="122"/>
      <c r="B14" s="126"/>
      <c r="C14" s="216" t="s">
        <v>7</v>
      </c>
      <c r="D14" s="217"/>
      <c r="E14" s="218" t="s">
        <v>8</v>
      </c>
      <c r="F14" s="219"/>
      <c r="G14" s="126"/>
      <c r="H14" s="127"/>
    </row>
    <row r="15" spans="1:8" ht="27" customHeight="1" x14ac:dyDescent="0.25">
      <c r="A15" s="122"/>
      <c r="B15" s="126"/>
      <c r="C15" s="216" t="s">
        <v>9</v>
      </c>
      <c r="D15" s="217"/>
      <c r="E15" s="218" t="s">
        <v>10</v>
      </c>
      <c r="F15" s="219"/>
      <c r="G15" s="126"/>
      <c r="H15" s="127"/>
    </row>
    <row r="16" spans="1:8" ht="39" customHeight="1" x14ac:dyDescent="0.25">
      <c r="A16" s="122"/>
      <c r="B16" s="126"/>
      <c r="C16" s="216" t="s">
        <v>11</v>
      </c>
      <c r="D16" s="217"/>
      <c r="E16" s="218" t="s">
        <v>12</v>
      </c>
      <c r="F16" s="219"/>
      <c r="G16" s="126"/>
      <c r="H16" s="127"/>
    </row>
    <row r="17" spans="1:8" ht="24.75" customHeight="1" x14ac:dyDescent="0.25">
      <c r="A17" s="122"/>
      <c r="B17" s="126"/>
      <c r="C17" s="216" t="s">
        <v>13</v>
      </c>
      <c r="D17" s="217"/>
      <c r="E17" s="218" t="s">
        <v>14</v>
      </c>
      <c r="F17" s="219"/>
      <c r="G17" s="126"/>
      <c r="H17" s="128"/>
    </row>
    <row r="18" spans="1:8" ht="12.4" customHeight="1" x14ac:dyDescent="0.25">
      <c r="A18" s="122"/>
      <c r="B18" s="126"/>
      <c r="C18" s="216" t="s">
        <v>15</v>
      </c>
      <c r="D18" s="217"/>
      <c r="E18" s="223" t="s">
        <v>16</v>
      </c>
      <c r="F18" s="219"/>
      <c r="G18" s="126"/>
      <c r="H18" s="127"/>
    </row>
    <row r="19" spans="1:8" ht="24" customHeight="1" thickBot="1" x14ac:dyDescent="0.3">
      <c r="A19" s="122"/>
      <c r="B19" s="126"/>
      <c r="C19" s="224" t="s">
        <v>17</v>
      </c>
      <c r="D19" s="225"/>
      <c r="E19" s="226" t="s">
        <v>18</v>
      </c>
      <c r="F19" s="227"/>
      <c r="G19" s="126"/>
      <c r="H19" s="127"/>
    </row>
    <row r="20" spans="1:8" ht="11.65" customHeight="1" thickTop="1" x14ac:dyDescent="0.25">
      <c r="A20" s="122"/>
      <c r="B20" s="126"/>
      <c r="C20" s="129"/>
      <c r="D20" s="129"/>
      <c r="E20" s="129"/>
      <c r="F20" s="129"/>
      <c r="G20" s="126"/>
      <c r="H20" s="127"/>
    </row>
    <row r="21" spans="1:8" ht="27.4" customHeight="1" thickBot="1" x14ac:dyDescent="0.3">
      <c r="A21" s="122"/>
      <c r="B21" s="228" t="s">
        <v>19</v>
      </c>
      <c r="C21" s="229"/>
      <c r="D21" s="229"/>
      <c r="E21" s="229"/>
      <c r="F21" s="229"/>
      <c r="G21" s="229"/>
      <c r="H21" s="230"/>
    </row>
    <row r="22" spans="1:8" ht="15.75" thickTop="1" x14ac:dyDescent="0.25">
      <c r="A22" s="122"/>
      <c r="B22" s="130"/>
      <c r="C22" s="231" t="s">
        <v>5</v>
      </c>
      <c r="D22" s="197"/>
      <c r="E22" s="198" t="s">
        <v>6</v>
      </c>
      <c r="F22" s="199"/>
      <c r="G22" s="129"/>
      <c r="H22" s="131"/>
    </row>
    <row r="23" spans="1:8" ht="13.5" customHeight="1" x14ac:dyDescent="0.25">
      <c r="A23" s="122"/>
      <c r="B23" s="132"/>
      <c r="C23" s="232" t="s">
        <v>7</v>
      </c>
      <c r="D23" s="233"/>
      <c r="E23" s="234" t="s">
        <v>20</v>
      </c>
      <c r="F23" s="235"/>
      <c r="G23" s="133"/>
      <c r="H23" s="134"/>
    </row>
    <row r="24" spans="1:8" ht="13.5" customHeight="1" x14ac:dyDescent="0.25">
      <c r="A24" s="122"/>
      <c r="B24" s="132"/>
      <c r="C24" s="220" t="s">
        <v>21</v>
      </c>
      <c r="D24" s="221"/>
      <c r="E24" s="222" t="s">
        <v>22</v>
      </c>
      <c r="F24" s="219"/>
      <c r="G24" s="133"/>
      <c r="H24" s="134"/>
    </row>
    <row r="25" spans="1:8" ht="13.5" customHeight="1" x14ac:dyDescent="0.25">
      <c r="A25" s="122"/>
      <c r="B25" s="132"/>
      <c r="C25" s="220" t="s">
        <v>9</v>
      </c>
      <c r="D25" s="221"/>
      <c r="E25" s="222" t="s">
        <v>23</v>
      </c>
      <c r="F25" s="219"/>
      <c r="G25" s="133"/>
      <c r="H25" s="134"/>
    </row>
    <row r="26" spans="1:8" ht="22.9" customHeight="1" x14ac:dyDescent="0.25">
      <c r="A26" s="122"/>
      <c r="B26" s="132"/>
      <c r="C26" s="220" t="s">
        <v>24</v>
      </c>
      <c r="D26" s="221"/>
      <c r="E26" s="236" t="s">
        <v>25</v>
      </c>
      <c r="F26" s="237"/>
      <c r="G26" s="133"/>
      <c r="H26" s="134"/>
    </row>
    <row r="27" spans="1:8" ht="39.75" customHeight="1" x14ac:dyDescent="0.25">
      <c r="A27" s="122"/>
      <c r="B27" s="132"/>
      <c r="C27" s="238" t="s">
        <v>26</v>
      </c>
      <c r="D27" s="239"/>
      <c r="E27" s="240" t="s">
        <v>27</v>
      </c>
      <c r="F27" s="241"/>
      <c r="G27" s="133"/>
      <c r="H27" s="135"/>
    </row>
    <row r="28" spans="1:8" ht="34.5" customHeight="1" x14ac:dyDescent="0.25">
      <c r="B28" s="136"/>
      <c r="C28" s="242" t="s">
        <v>28</v>
      </c>
      <c r="D28" s="239"/>
      <c r="E28" s="240" t="s">
        <v>29</v>
      </c>
      <c r="F28" s="241"/>
      <c r="G28" s="133"/>
      <c r="H28" s="135"/>
    </row>
    <row r="29" spans="1:8" ht="27.75" customHeight="1" x14ac:dyDescent="0.25">
      <c r="B29" s="136"/>
      <c r="C29" s="242" t="s">
        <v>30</v>
      </c>
      <c r="D29" s="239"/>
      <c r="E29" s="240" t="s">
        <v>31</v>
      </c>
      <c r="F29" s="241"/>
      <c r="G29" s="133"/>
      <c r="H29" s="135"/>
    </row>
    <row r="30" spans="1:8" ht="72" customHeight="1" x14ac:dyDescent="0.25">
      <c r="B30" s="136"/>
      <c r="C30" s="242" t="s">
        <v>32</v>
      </c>
      <c r="D30" s="239"/>
      <c r="E30" s="240" t="s">
        <v>33</v>
      </c>
      <c r="F30" s="241"/>
      <c r="G30" s="133"/>
      <c r="H30" s="135"/>
    </row>
    <row r="31" spans="1:8" ht="72.75" customHeight="1" x14ac:dyDescent="0.25">
      <c r="B31" s="136"/>
      <c r="C31" s="242" t="s">
        <v>34</v>
      </c>
      <c r="D31" s="239"/>
      <c r="E31" s="240" t="s">
        <v>35</v>
      </c>
      <c r="F31" s="241"/>
      <c r="G31" s="133"/>
      <c r="H31" s="135"/>
    </row>
    <row r="32" spans="1:8" ht="64.5" customHeight="1" x14ac:dyDescent="0.25">
      <c r="B32" s="136"/>
      <c r="C32" s="242" t="s">
        <v>36</v>
      </c>
      <c r="D32" s="239"/>
      <c r="E32" s="240" t="s">
        <v>37</v>
      </c>
      <c r="F32" s="241"/>
      <c r="G32" s="133"/>
      <c r="H32" s="135"/>
    </row>
    <row r="33" spans="2:8" ht="71.25" customHeight="1" x14ac:dyDescent="0.25">
      <c r="B33" s="136"/>
      <c r="C33" s="243" t="s">
        <v>38</v>
      </c>
      <c r="D33" s="238"/>
      <c r="E33" s="240" t="s">
        <v>39</v>
      </c>
      <c r="F33" s="241"/>
      <c r="G33" s="133"/>
      <c r="H33" s="135"/>
    </row>
    <row r="34" spans="2:8" ht="55.5" customHeight="1" x14ac:dyDescent="0.25">
      <c r="B34" s="136"/>
      <c r="C34" s="243" t="s">
        <v>40</v>
      </c>
      <c r="D34" s="238"/>
      <c r="E34" s="240" t="s">
        <v>41</v>
      </c>
      <c r="F34" s="241"/>
      <c r="G34" s="133"/>
      <c r="H34" s="135"/>
    </row>
    <row r="35" spans="2:8" ht="42" customHeight="1" x14ac:dyDescent="0.25">
      <c r="B35" s="136"/>
      <c r="C35" s="243" t="s">
        <v>42</v>
      </c>
      <c r="D35" s="238"/>
      <c r="E35" s="240" t="s">
        <v>43</v>
      </c>
      <c r="F35" s="241"/>
      <c r="G35" s="133"/>
      <c r="H35" s="135"/>
    </row>
    <row r="36" spans="2:8" ht="59.25" customHeight="1" x14ac:dyDescent="0.25">
      <c r="B36" s="136"/>
      <c r="C36" s="243" t="s">
        <v>44</v>
      </c>
      <c r="D36" s="238"/>
      <c r="E36" s="240" t="s">
        <v>45</v>
      </c>
      <c r="F36" s="241"/>
      <c r="G36" s="133"/>
      <c r="H36" s="135"/>
    </row>
    <row r="37" spans="2:8" ht="23.25" customHeight="1" x14ac:dyDescent="0.25">
      <c r="B37" s="136"/>
      <c r="C37" s="243" t="s">
        <v>46</v>
      </c>
      <c r="D37" s="238"/>
      <c r="E37" s="240" t="s">
        <v>47</v>
      </c>
      <c r="F37" s="241"/>
      <c r="G37" s="133"/>
      <c r="H37" s="135"/>
    </row>
    <row r="38" spans="2:8" ht="30.75" customHeight="1" x14ac:dyDescent="0.25">
      <c r="B38" s="136"/>
      <c r="C38" s="243" t="s">
        <v>48</v>
      </c>
      <c r="D38" s="238"/>
      <c r="E38" s="240" t="s">
        <v>49</v>
      </c>
      <c r="F38" s="241"/>
      <c r="G38" s="133"/>
      <c r="H38" s="135"/>
    </row>
    <row r="39" spans="2:8" ht="35.25" customHeight="1" x14ac:dyDescent="0.25">
      <c r="B39" s="136"/>
      <c r="C39" s="243" t="s">
        <v>48</v>
      </c>
      <c r="D39" s="238"/>
      <c r="E39" s="240" t="s">
        <v>49</v>
      </c>
      <c r="F39" s="241"/>
      <c r="G39" s="133"/>
      <c r="H39" s="135"/>
    </row>
    <row r="40" spans="2:8" ht="33" customHeight="1" x14ac:dyDescent="0.25">
      <c r="B40" s="136"/>
      <c r="C40" s="243" t="s">
        <v>50</v>
      </c>
      <c r="D40" s="238"/>
      <c r="E40" s="240" t="s">
        <v>51</v>
      </c>
      <c r="F40" s="241"/>
      <c r="G40" s="133"/>
      <c r="H40" s="135"/>
    </row>
    <row r="41" spans="2:8" ht="30" customHeight="1" x14ac:dyDescent="0.25">
      <c r="B41" s="136"/>
      <c r="C41" s="243" t="s">
        <v>52</v>
      </c>
      <c r="D41" s="238"/>
      <c r="E41" s="240" t="s">
        <v>53</v>
      </c>
      <c r="F41" s="241"/>
      <c r="G41" s="133"/>
      <c r="H41" s="135"/>
    </row>
    <row r="42" spans="2:8" ht="35.25" customHeight="1" x14ac:dyDescent="0.25">
      <c r="B42" s="136"/>
      <c r="C42" s="243" t="s">
        <v>54</v>
      </c>
      <c r="D42" s="238"/>
      <c r="E42" s="240" t="s">
        <v>55</v>
      </c>
      <c r="F42" s="241"/>
      <c r="G42" s="133"/>
      <c r="H42" s="135"/>
    </row>
    <row r="43" spans="2:8" ht="31.5" customHeight="1" x14ac:dyDescent="0.25">
      <c r="B43" s="136"/>
      <c r="C43" s="243" t="s">
        <v>56</v>
      </c>
      <c r="D43" s="238"/>
      <c r="E43" s="240" t="s">
        <v>57</v>
      </c>
      <c r="F43" s="241"/>
      <c r="G43" s="133"/>
      <c r="H43" s="135"/>
    </row>
    <row r="44" spans="2:8" ht="54" customHeight="1" x14ac:dyDescent="0.25">
      <c r="B44" s="136"/>
      <c r="C44" s="243" t="s">
        <v>58</v>
      </c>
      <c r="D44" s="238"/>
      <c r="E44" s="240" t="s">
        <v>59</v>
      </c>
      <c r="F44" s="241"/>
      <c r="G44" s="133"/>
      <c r="H44" s="135"/>
    </row>
    <row r="45" spans="2:8" ht="59.25" customHeight="1" x14ac:dyDescent="0.25">
      <c r="B45" s="136"/>
      <c r="C45" s="243" t="s">
        <v>60</v>
      </c>
      <c r="D45" s="238"/>
      <c r="E45" s="240" t="s">
        <v>61</v>
      </c>
      <c r="F45" s="241"/>
      <c r="G45" s="133"/>
      <c r="H45" s="135"/>
    </row>
    <row r="46" spans="2:8" ht="84" customHeight="1" x14ac:dyDescent="0.25">
      <c r="B46" s="136"/>
      <c r="C46" s="243" t="s">
        <v>62</v>
      </c>
      <c r="D46" s="238"/>
      <c r="E46" s="240" t="s">
        <v>63</v>
      </c>
      <c r="F46" s="241"/>
      <c r="G46" s="133"/>
      <c r="H46" s="135"/>
    </row>
    <row r="47" spans="2:8" ht="46.5" customHeight="1" thickBot="1" x14ac:dyDescent="0.3">
      <c r="B47" s="136"/>
      <c r="C47" s="244"/>
      <c r="D47" s="245"/>
      <c r="E47" s="246"/>
      <c r="F47" s="247"/>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160</v>
      </c>
      <c r="D3" s="10" t="s">
        <v>335</v>
      </c>
    </row>
    <row r="4" spans="1:4" ht="51" x14ac:dyDescent="0.2">
      <c r="A4" s="10" t="s">
        <v>304</v>
      </c>
      <c r="D4" s="10" t="s">
        <v>336</v>
      </c>
    </row>
    <row r="5" spans="1:4" ht="51" x14ac:dyDescent="0.2">
      <c r="A5" s="10" t="s">
        <v>198</v>
      </c>
      <c r="D5" s="10" t="s">
        <v>337</v>
      </c>
    </row>
    <row r="6" spans="1:4" ht="89.25" x14ac:dyDescent="0.2">
      <c r="A6" s="10" t="s">
        <v>307</v>
      </c>
      <c r="D6" s="10" t="s">
        <v>338</v>
      </c>
    </row>
    <row r="7" spans="1:4" ht="63.75" x14ac:dyDescent="0.2">
      <c r="A7" s="10" t="s">
        <v>161</v>
      </c>
      <c r="D7" s="10" t="s">
        <v>339</v>
      </c>
    </row>
    <row r="8" spans="1:4" x14ac:dyDescent="0.2">
      <c r="A8" s="10" t="s">
        <v>162</v>
      </c>
      <c r="D8" s="10"/>
    </row>
    <row r="9" spans="1:4" x14ac:dyDescent="0.2">
      <c r="A9" s="10" t="s">
        <v>313</v>
      </c>
    </row>
    <row r="10" spans="1:4" x14ac:dyDescent="0.2">
      <c r="A10" s="10" t="s">
        <v>163</v>
      </c>
      <c r="D10" s="10" t="s">
        <v>340</v>
      </c>
    </row>
    <row r="11" spans="1:4" x14ac:dyDescent="0.2">
      <c r="A11" s="10" t="s">
        <v>316</v>
      </c>
    </row>
    <row r="12" spans="1:4" x14ac:dyDescent="0.2">
      <c r="A12" s="10" t="s">
        <v>341</v>
      </c>
      <c r="D12" s="10"/>
    </row>
    <row r="13" spans="1:4" x14ac:dyDescent="0.2">
      <c r="A13" s="10" t="s">
        <v>342</v>
      </c>
    </row>
    <row r="14" spans="1:4" x14ac:dyDescent="0.2">
      <c r="A14" s="10" t="s">
        <v>343</v>
      </c>
    </row>
    <row r="16" spans="1:4" x14ac:dyDescent="0.2">
      <c r="A16" s="10" t="s">
        <v>344</v>
      </c>
    </row>
    <row r="17" spans="1:1" x14ac:dyDescent="0.2">
      <c r="A17" s="10" t="s">
        <v>322</v>
      </c>
    </row>
    <row r="18" spans="1:1" x14ac:dyDescent="0.2">
      <c r="A18" s="10" t="s">
        <v>324</v>
      </c>
    </row>
    <row r="20" spans="1:1" x14ac:dyDescent="0.2">
      <c r="A20" s="10" t="s">
        <v>327</v>
      </c>
    </row>
    <row r="21" spans="1:1" x14ac:dyDescent="0.2">
      <c r="A21" s="10"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6" zoomScale="91" zoomScaleNormal="91" workbookViewId="0">
      <selection activeCell="E42" sqref="E42:F42"/>
    </sheetView>
  </sheetViews>
  <sheetFormatPr baseColWidth="10" defaultColWidth="11.42578125" defaultRowHeight="14.25" x14ac:dyDescent="0.2"/>
  <cols>
    <col min="1" max="1" width="7.5703125" style="172" customWidth="1"/>
    <col min="2" max="2" width="16.7109375" style="172" customWidth="1" collapsed="1"/>
    <col min="3" max="3" width="29.7109375" style="172" customWidth="1" collapsed="1"/>
    <col min="4" max="4" width="43.7109375" style="172" customWidth="1" collapsed="1"/>
    <col min="5" max="5" width="39.28515625" style="172" customWidth="1" collapsed="1"/>
    <col min="6" max="6" width="39.28515625" style="172" customWidth="1"/>
    <col min="7" max="14" width="11.42578125" style="172"/>
    <col min="15" max="15" width="37" style="172" customWidth="1"/>
    <col min="16" max="50" width="11.42578125" style="172"/>
    <col min="51" max="51" width="6.140625" style="172" customWidth="1"/>
    <col min="52" max="52" width="130.5703125" style="172" customWidth="1"/>
    <col min="53" max="16384" width="11.42578125" style="172"/>
  </cols>
  <sheetData>
    <row r="1" spans="2:52" ht="16.5" customHeight="1" thickBot="1" x14ac:dyDescent="0.25">
      <c r="AZ1" s="173" t="s">
        <v>69</v>
      </c>
    </row>
    <row r="2" spans="2:52" ht="18" customHeight="1" thickBot="1" x14ac:dyDescent="0.25">
      <c r="B2" s="276"/>
      <c r="C2" s="278" t="s">
        <v>70</v>
      </c>
      <c r="D2" s="279"/>
      <c r="E2" s="279"/>
      <c r="F2" s="145" t="s">
        <v>71</v>
      </c>
      <c r="AZ2" s="173" t="s">
        <v>72</v>
      </c>
    </row>
    <row r="3" spans="2:52" ht="18" customHeight="1" thickBot="1" x14ac:dyDescent="0.25">
      <c r="B3" s="277"/>
      <c r="C3" s="280"/>
      <c r="D3" s="281"/>
      <c r="E3" s="281"/>
      <c r="F3" s="146" t="s">
        <v>73</v>
      </c>
      <c r="AZ3" s="173" t="s">
        <v>74</v>
      </c>
    </row>
    <row r="4" spans="2:52" ht="18" customHeight="1" thickBot="1" x14ac:dyDescent="0.25">
      <c r="B4" s="277"/>
      <c r="C4" s="280"/>
      <c r="D4" s="281"/>
      <c r="E4" s="281"/>
      <c r="F4" s="171" t="s">
        <v>75</v>
      </c>
      <c r="AZ4" s="173" t="s">
        <v>76</v>
      </c>
    </row>
    <row r="5" spans="2:52" ht="18" customHeight="1" thickBot="1" x14ac:dyDescent="0.25">
      <c r="B5" s="277"/>
      <c r="C5" s="280"/>
      <c r="D5" s="281"/>
      <c r="E5" s="281"/>
      <c r="F5" s="182" t="s">
        <v>77</v>
      </c>
      <c r="AZ5" s="174"/>
    </row>
    <row r="6" spans="2:52" ht="18" customHeight="1" thickBot="1" x14ac:dyDescent="0.25">
      <c r="B6" s="289" t="s">
        <v>78</v>
      </c>
      <c r="C6" s="290"/>
      <c r="D6" s="290"/>
      <c r="E6" s="290"/>
      <c r="F6" s="291"/>
      <c r="AZ6" s="174"/>
    </row>
    <row r="7" spans="2:52" ht="33.4" customHeight="1" x14ac:dyDescent="0.2">
      <c r="B7" s="183" t="s">
        <v>79</v>
      </c>
      <c r="C7" s="282" t="s">
        <v>80</v>
      </c>
      <c r="D7" s="283"/>
      <c r="E7" s="283"/>
      <c r="F7" s="284"/>
      <c r="AZ7" s="174"/>
    </row>
    <row r="8" spans="2:52" ht="33.6" customHeight="1" thickBot="1" x14ac:dyDescent="0.25">
      <c r="B8" s="175" t="s">
        <v>81</v>
      </c>
      <c r="C8" s="285" t="s">
        <v>82</v>
      </c>
      <c r="D8" s="286"/>
      <c r="E8" s="286"/>
      <c r="F8" s="287"/>
      <c r="AZ8" s="174"/>
    </row>
    <row r="9" spans="2:52" ht="16.5" thickBot="1" x14ac:dyDescent="0.25">
      <c r="B9" s="288"/>
      <c r="C9" s="288"/>
      <c r="D9" s="288"/>
      <c r="E9" s="288"/>
      <c r="F9" s="288"/>
    </row>
    <row r="10" spans="2:52" ht="15.6" customHeight="1" thickBot="1" x14ac:dyDescent="0.25">
      <c r="B10" s="292" t="s">
        <v>83</v>
      </c>
      <c r="C10" s="293"/>
      <c r="D10" s="293"/>
      <c r="E10" s="293"/>
      <c r="F10" s="294"/>
    </row>
    <row r="11" spans="2:52" ht="32.25" thickBot="1" x14ac:dyDescent="0.25">
      <c r="B11" s="295" t="s">
        <v>84</v>
      </c>
      <c r="C11" s="296"/>
      <c r="D11" s="176" t="s">
        <v>85</v>
      </c>
      <c r="E11" s="176" t="s">
        <v>86</v>
      </c>
      <c r="F11" s="177" t="s">
        <v>87</v>
      </c>
    </row>
    <row r="12" spans="2:52" ht="82.15" customHeight="1" x14ac:dyDescent="0.2">
      <c r="B12" s="300" t="s">
        <v>88</v>
      </c>
      <c r="C12" s="301"/>
      <c r="D12" s="327" t="s">
        <v>89</v>
      </c>
      <c r="E12" s="330" t="s">
        <v>90</v>
      </c>
      <c r="F12" s="333" t="s">
        <v>91</v>
      </c>
    </row>
    <row r="13" spans="2:52" ht="36.75" customHeight="1" x14ac:dyDescent="0.2">
      <c r="B13" s="297"/>
      <c r="C13" s="298"/>
      <c r="D13" s="328"/>
      <c r="E13" s="331"/>
      <c r="F13" s="334"/>
    </row>
    <row r="14" spans="2:52" ht="30.6" customHeight="1" x14ac:dyDescent="0.2">
      <c r="B14" s="297"/>
      <c r="C14" s="298"/>
      <c r="D14" s="328"/>
      <c r="E14" s="331"/>
      <c r="F14" s="334"/>
    </row>
    <row r="15" spans="2:52" ht="34.5" customHeight="1" x14ac:dyDescent="0.2">
      <c r="B15" s="297"/>
      <c r="C15" s="298"/>
      <c r="D15" s="328"/>
      <c r="E15" s="331"/>
      <c r="F15" s="334"/>
    </row>
    <row r="16" spans="2:52" ht="29.45" customHeight="1" x14ac:dyDescent="0.2">
      <c r="B16" s="297"/>
      <c r="C16" s="298"/>
      <c r="D16" s="328"/>
      <c r="E16" s="331"/>
      <c r="F16" s="334"/>
    </row>
    <row r="17" spans="2:6" ht="33.6" customHeight="1" thickBot="1" x14ac:dyDescent="0.25">
      <c r="B17" s="336"/>
      <c r="C17" s="337"/>
      <c r="D17" s="329"/>
      <c r="E17" s="332"/>
      <c r="F17" s="335"/>
    </row>
    <row r="18" spans="2:6" ht="18.75" thickBot="1" x14ac:dyDescent="0.25">
      <c r="B18" s="299" t="s">
        <v>92</v>
      </c>
      <c r="C18" s="299"/>
      <c r="D18" s="299"/>
      <c r="E18" s="299"/>
      <c r="F18" s="299"/>
    </row>
    <row r="19" spans="2:6" ht="16.5" thickBot="1" x14ac:dyDescent="0.25">
      <c r="B19" s="248" t="s">
        <v>93</v>
      </c>
      <c r="C19" s="250"/>
      <c r="D19" s="249"/>
      <c r="E19" s="248" t="s">
        <v>94</v>
      </c>
      <c r="F19" s="249"/>
    </row>
    <row r="20" spans="2:6" ht="15" customHeight="1" x14ac:dyDescent="0.2">
      <c r="B20" s="255" t="s">
        <v>95</v>
      </c>
      <c r="C20" s="256"/>
      <c r="D20" s="257"/>
      <c r="E20" s="258" t="s">
        <v>96</v>
      </c>
      <c r="F20" s="259"/>
    </row>
    <row r="21" spans="2:6" ht="15" customHeight="1" x14ac:dyDescent="0.2">
      <c r="B21" s="260" t="s">
        <v>97</v>
      </c>
      <c r="C21" s="261"/>
      <c r="D21" s="262"/>
      <c r="E21" s="263" t="s">
        <v>98</v>
      </c>
      <c r="F21" s="264"/>
    </row>
    <row r="22" spans="2:6" ht="15" customHeight="1" x14ac:dyDescent="0.2">
      <c r="B22" s="265" t="s">
        <v>99</v>
      </c>
      <c r="C22" s="266"/>
      <c r="D22" s="267"/>
      <c r="E22" s="263" t="s">
        <v>100</v>
      </c>
      <c r="F22" s="264"/>
    </row>
    <row r="23" spans="2:6" ht="15" customHeight="1" x14ac:dyDescent="0.2">
      <c r="B23" s="265" t="s">
        <v>101</v>
      </c>
      <c r="C23" s="266"/>
      <c r="D23" s="267"/>
      <c r="E23" s="263" t="s">
        <v>102</v>
      </c>
      <c r="F23" s="264"/>
    </row>
    <row r="24" spans="2:6" ht="15" customHeight="1" x14ac:dyDescent="0.3">
      <c r="B24" s="268" t="s">
        <v>103</v>
      </c>
      <c r="C24" s="269"/>
      <c r="D24" s="270"/>
      <c r="E24" s="271"/>
      <c r="F24" s="272"/>
    </row>
    <row r="25" spans="2:6" ht="15" customHeight="1" x14ac:dyDescent="0.3">
      <c r="B25" s="268" t="s">
        <v>104</v>
      </c>
      <c r="C25" s="269"/>
      <c r="D25" s="270"/>
      <c r="E25" s="271"/>
      <c r="F25" s="272"/>
    </row>
    <row r="26" spans="2:6" ht="15" customHeight="1" x14ac:dyDescent="0.2">
      <c r="B26" s="273" t="s">
        <v>105</v>
      </c>
      <c r="C26" s="274"/>
      <c r="D26" s="275"/>
      <c r="E26" s="302"/>
      <c r="F26" s="303"/>
    </row>
    <row r="27" spans="2:6" ht="15.75" customHeight="1" x14ac:dyDescent="0.2">
      <c r="B27" s="304"/>
      <c r="C27" s="305"/>
      <c r="D27" s="272"/>
      <c r="E27" s="271"/>
      <c r="F27" s="272"/>
    </row>
    <row r="28" spans="2:6" x14ac:dyDescent="0.2">
      <c r="B28" s="306"/>
      <c r="C28" s="307"/>
      <c r="D28" s="308"/>
      <c r="E28" s="309"/>
      <c r="F28" s="310"/>
    </row>
    <row r="29" spans="2:6" ht="15" customHeight="1" x14ac:dyDescent="0.2">
      <c r="B29" s="311"/>
      <c r="C29" s="312"/>
      <c r="D29" s="313"/>
      <c r="E29" s="314"/>
      <c r="F29" s="315"/>
    </row>
    <row r="30" spans="2:6" ht="15" customHeight="1" x14ac:dyDescent="0.2">
      <c r="B30" s="306"/>
      <c r="C30" s="307"/>
      <c r="D30" s="308"/>
      <c r="E30" s="314"/>
      <c r="F30" s="315"/>
    </row>
    <row r="31" spans="2:6" ht="15" customHeight="1" x14ac:dyDescent="0.2">
      <c r="B31" s="306"/>
      <c r="C31" s="307"/>
      <c r="D31" s="308"/>
      <c r="E31" s="314"/>
      <c r="F31" s="315"/>
    </row>
    <row r="32" spans="2:6" ht="15" customHeight="1" x14ac:dyDescent="0.2">
      <c r="B32" s="306"/>
      <c r="C32" s="307"/>
      <c r="D32" s="308"/>
      <c r="E32" s="316"/>
      <c r="F32" s="317"/>
    </row>
    <row r="33" spans="2:6" ht="15" customHeight="1" thickBot="1" x14ac:dyDescent="0.25">
      <c r="B33" s="318"/>
      <c r="C33" s="319"/>
      <c r="D33" s="320"/>
      <c r="E33" s="321"/>
      <c r="F33" s="322"/>
    </row>
    <row r="34" spans="2:6" ht="15" customHeight="1" thickBot="1" x14ac:dyDescent="0.25">
      <c r="B34" s="323" t="s">
        <v>106</v>
      </c>
      <c r="C34" s="324"/>
      <c r="D34" s="324"/>
      <c r="E34" s="248" t="s">
        <v>107</v>
      </c>
      <c r="F34" s="249"/>
    </row>
    <row r="35" spans="2:6" ht="15.75" customHeight="1" x14ac:dyDescent="0.2">
      <c r="B35" s="255" t="s">
        <v>108</v>
      </c>
      <c r="C35" s="256"/>
      <c r="D35" s="257"/>
      <c r="E35" s="342" t="s">
        <v>109</v>
      </c>
      <c r="F35" s="343"/>
    </row>
    <row r="36" spans="2:6" ht="16.5" x14ac:dyDescent="0.2">
      <c r="B36" s="265" t="s">
        <v>110</v>
      </c>
      <c r="C36" s="266"/>
      <c r="D36" s="267"/>
      <c r="E36" s="263" t="s">
        <v>111</v>
      </c>
      <c r="F36" s="264"/>
    </row>
    <row r="37" spans="2:6" ht="16.5" x14ac:dyDescent="0.2">
      <c r="B37" s="265" t="s">
        <v>112</v>
      </c>
      <c r="C37" s="266"/>
      <c r="D37" s="267"/>
      <c r="E37" s="263" t="s">
        <v>113</v>
      </c>
      <c r="F37" s="264"/>
    </row>
    <row r="38" spans="2:6" x14ac:dyDescent="0.2">
      <c r="B38" s="325"/>
      <c r="C38" s="326"/>
      <c r="D38" s="303"/>
      <c r="E38" s="338"/>
      <c r="F38" s="339"/>
    </row>
    <row r="39" spans="2:6" x14ac:dyDescent="0.2">
      <c r="B39" s="325"/>
      <c r="C39" s="326"/>
      <c r="D39" s="303"/>
      <c r="E39" s="340"/>
      <c r="F39" s="341"/>
    </row>
    <row r="40" spans="2:6" x14ac:dyDescent="0.2">
      <c r="B40" s="325"/>
      <c r="C40" s="326"/>
      <c r="D40" s="303"/>
      <c r="E40" s="325"/>
      <c r="F40" s="303"/>
    </row>
    <row r="41" spans="2:6" x14ac:dyDescent="0.2">
      <c r="B41" s="325"/>
      <c r="C41" s="326"/>
      <c r="D41" s="303"/>
      <c r="E41" s="304"/>
      <c r="F41" s="272"/>
    </row>
    <row r="42" spans="2:6" x14ac:dyDescent="0.2">
      <c r="B42" s="325"/>
      <c r="C42" s="326"/>
      <c r="D42" s="303"/>
      <c r="E42" s="304"/>
      <c r="F42" s="272"/>
    </row>
    <row r="43" spans="2:6" x14ac:dyDescent="0.2">
      <c r="B43" s="304"/>
      <c r="C43" s="305"/>
      <c r="D43" s="272"/>
      <c r="E43" s="304"/>
      <c r="F43" s="272"/>
    </row>
    <row r="44" spans="2:6" x14ac:dyDescent="0.2">
      <c r="B44" s="349"/>
      <c r="C44" s="350"/>
      <c r="D44" s="351"/>
      <c r="E44" s="349"/>
      <c r="F44" s="351"/>
    </row>
    <row r="45" spans="2:6" ht="15" thickBot="1" x14ac:dyDescent="0.25">
      <c r="B45" s="344"/>
      <c r="C45" s="345"/>
      <c r="D45" s="346"/>
      <c r="E45" s="347"/>
      <c r="F45" s="348"/>
    </row>
    <row r="46" spans="2:6" ht="15" thickBot="1" x14ac:dyDescent="0.25"/>
    <row r="47" spans="2:6" ht="16.5" thickTop="1" thickBot="1" x14ac:dyDescent="0.25">
      <c r="B47" s="251" t="s">
        <v>114</v>
      </c>
      <c r="C47" s="251"/>
      <c r="D47" s="251"/>
      <c r="E47" s="251"/>
      <c r="F47" s="251"/>
    </row>
    <row r="48" spans="2:6" ht="16.5" thickTop="1" thickBot="1" x14ac:dyDescent="0.3">
      <c r="B48" s="181" t="s">
        <v>115</v>
      </c>
      <c r="C48" s="181" t="s">
        <v>116</v>
      </c>
      <c r="D48" s="252" t="s">
        <v>117</v>
      </c>
      <c r="E48" s="252"/>
      <c r="F48" s="181" t="s">
        <v>118</v>
      </c>
    </row>
    <row r="49" spans="2:6" ht="44.25" customHeight="1" thickTop="1" x14ac:dyDescent="0.2">
      <c r="B49" s="178" t="s">
        <v>119</v>
      </c>
      <c r="C49" s="179">
        <v>45723</v>
      </c>
      <c r="D49" s="253" t="s">
        <v>120</v>
      </c>
      <c r="E49" s="254"/>
      <c r="F49" s="180" t="s">
        <v>121</v>
      </c>
    </row>
  </sheetData>
  <mergeCells count="75">
    <mergeCell ref="B45:D45"/>
    <mergeCell ref="E45:F45"/>
    <mergeCell ref="B42:D42"/>
    <mergeCell ref="E42:F42"/>
    <mergeCell ref="B43:D43"/>
    <mergeCell ref="E43:F43"/>
    <mergeCell ref="B44:D44"/>
    <mergeCell ref="E44:F4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37:D37"/>
    <mergeCell ref="E37:F37"/>
    <mergeCell ref="B32:D32"/>
    <mergeCell ref="E32:F32"/>
    <mergeCell ref="B33:D33"/>
    <mergeCell ref="E33:F33"/>
    <mergeCell ref="B34:D34"/>
    <mergeCell ref="E34:F34"/>
    <mergeCell ref="B30:D30"/>
    <mergeCell ref="E30:F30"/>
    <mergeCell ref="B31:D31"/>
    <mergeCell ref="E31:F31"/>
    <mergeCell ref="E36:F36"/>
    <mergeCell ref="B27:D27"/>
    <mergeCell ref="E27:F27"/>
    <mergeCell ref="B28:D28"/>
    <mergeCell ref="E28:F28"/>
    <mergeCell ref="B29:D29"/>
    <mergeCell ref="E29:F29"/>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8"/>
  <sheetViews>
    <sheetView tabSelected="1" zoomScale="80" zoomScaleNormal="80" workbookViewId="0">
      <selection activeCell="AC64" sqref="AC64"/>
    </sheetView>
  </sheetViews>
  <sheetFormatPr baseColWidth="10" defaultColWidth="11.42578125" defaultRowHeight="16.5" x14ac:dyDescent="0.3"/>
  <cols>
    <col min="1" max="1" width="4" style="2" bestFit="1" customWidth="1"/>
    <col min="2" max="2" width="14.140625" style="2" customWidth="1"/>
    <col min="3" max="3" width="23.28515625" style="2" customWidth="1"/>
    <col min="4" max="4" width="25.28515625" style="2" customWidth="1"/>
    <col min="5" max="5" width="38.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1406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0.5703125" style="1" customWidth="1"/>
    <col min="32" max="32" width="22.140625" style="1" customWidth="1"/>
    <col min="33" max="33" width="20.85546875" style="1" customWidth="1"/>
    <col min="34" max="35" width="14.5703125" style="1" customWidth="1"/>
    <col min="36" max="16384" width="11.42578125" style="1"/>
  </cols>
  <sheetData>
    <row r="1" spans="1:67" ht="15" customHeight="1" x14ac:dyDescent="0.3">
      <c r="A1" s="422"/>
      <c r="B1" s="423"/>
      <c r="C1" s="423"/>
      <c r="D1" s="423"/>
      <c r="E1" s="385" t="s">
        <v>345</v>
      </c>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6" t="s">
        <v>71</v>
      </c>
      <c r="AI1" s="386"/>
    </row>
    <row r="2" spans="1:67" ht="15" customHeight="1" x14ac:dyDescent="0.3">
      <c r="A2" s="424"/>
      <c r="B2" s="425"/>
      <c r="C2" s="425"/>
      <c r="D2" s="42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6" t="s">
        <v>73</v>
      </c>
      <c r="AI2" s="386"/>
    </row>
    <row r="3" spans="1:67" ht="15" customHeight="1" x14ac:dyDescent="0.3">
      <c r="A3" s="424"/>
      <c r="B3" s="425"/>
      <c r="C3" s="425"/>
      <c r="D3" s="42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7" t="s">
        <v>75</v>
      </c>
      <c r="AI3" s="387"/>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26"/>
      <c r="B4" s="427"/>
      <c r="C4" s="427"/>
      <c r="D4" s="427"/>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6" t="s">
        <v>77</v>
      </c>
      <c r="AI4" s="38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605" t="s">
        <v>122</v>
      </c>
      <c r="B6" s="606"/>
      <c r="C6" s="440" t="s">
        <v>80</v>
      </c>
      <c r="D6" s="441"/>
      <c r="E6" s="441"/>
      <c r="F6" s="441"/>
      <c r="G6" s="441"/>
      <c r="H6" s="441"/>
      <c r="I6" s="441"/>
      <c r="J6" s="441"/>
      <c r="K6" s="441"/>
      <c r="L6" s="441"/>
      <c r="M6" s="441"/>
      <c r="N6" s="442"/>
      <c r="O6" s="452"/>
      <c r="P6" s="452"/>
      <c r="Q6" s="45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1.5" customHeight="1" x14ac:dyDescent="0.3">
      <c r="A7" s="605" t="s">
        <v>123</v>
      </c>
      <c r="B7" s="606"/>
      <c r="C7" s="607" t="s">
        <v>124</v>
      </c>
      <c r="D7" s="608"/>
      <c r="E7" s="608"/>
      <c r="F7" s="608"/>
      <c r="G7" s="608"/>
      <c r="H7" s="608"/>
      <c r="I7" s="608"/>
      <c r="J7" s="608"/>
      <c r="K7" s="608"/>
      <c r="L7" s="608"/>
      <c r="M7" s="608"/>
      <c r="N7" s="609"/>
      <c r="O7" s="8"/>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4.5" customHeight="1" x14ac:dyDescent="0.3">
      <c r="A8" s="605" t="s">
        <v>125</v>
      </c>
      <c r="B8" s="606"/>
      <c r="C8" s="398" t="s">
        <v>82</v>
      </c>
      <c r="D8" s="399"/>
      <c r="E8" s="399"/>
      <c r="F8" s="399"/>
      <c r="G8" s="399"/>
      <c r="H8" s="399"/>
      <c r="I8" s="399"/>
      <c r="J8" s="399"/>
      <c r="K8" s="399"/>
      <c r="L8" s="399"/>
      <c r="M8" s="399"/>
      <c r="N8" s="400"/>
      <c r="O8" s="8"/>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43" t="s">
        <v>126</v>
      </c>
      <c r="B9" s="444"/>
      <c r="C9" s="444"/>
      <c r="D9" s="444"/>
      <c r="E9" s="444"/>
      <c r="F9" s="444"/>
      <c r="G9" s="445"/>
      <c r="H9" s="443" t="s">
        <v>127</v>
      </c>
      <c r="I9" s="444"/>
      <c r="J9" s="444"/>
      <c r="K9" s="444"/>
      <c r="L9" s="444"/>
      <c r="M9" s="444"/>
      <c r="N9" s="445"/>
      <c r="O9" s="443" t="s">
        <v>128</v>
      </c>
      <c r="P9" s="444"/>
      <c r="Q9" s="444"/>
      <c r="R9" s="444"/>
      <c r="S9" s="444"/>
      <c r="T9" s="444"/>
      <c r="U9" s="444"/>
      <c r="V9" s="444"/>
      <c r="W9" s="445"/>
      <c r="X9" s="443" t="s">
        <v>129</v>
      </c>
      <c r="Y9" s="444"/>
      <c r="Z9" s="444"/>
      <c r="AA9" s="444"/>
      <c r="AB9" s="444"/>
      <c r="AC9" s="444"/>
      <c r="AD9" s="445"/>
      <c r="AE9" s="453" t="s">
        <v>130</v>
      </c>
      <c r="AF9" s="454"/>
      <c r="AG9" s="454"/>
      <c r="AH9" s="454"/>
      <c r="AI9" s="45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392" t="s">
        <v>131</v>
      </c>
      <c r="B10" s="395" t="s">
        <v>26</v>
      </c>
      <c r="C10" s="377" t="s">
        <v>28</v>
      </c>
      <c r="D10" s="377" t="s">
        <v>30</v>
      </c>
      <c r="E10" s="394" t="s">
        <v>32</v>
      </c>
      <c r="F10" s="376" t="s">
        <v>34</v>
      </c>
      <c r="G10" s="377" t="s">
        <v>132</v>
      </c>
      <c r="H10" s="389" t="s">
        <v>133</v>
      </c>
      <c r="I10" s="390" t="s">
        <v>134</v>
      </c>
      <c r="J10" s="376" t="s">
        <v>135</v>
      </c>
      <c r="K10" s="376" t="s">
        <v>136</v>
      </c>
      <c r="L10" s="401" t="s">
        <v>137</v>
      </c>
      <c r="M10" s="390" t="s">
        <v>134</v>
      </c>
      <c r="N10" s="377" t="s">
        <v>40</v>
      </c>
      <c r="O10" s="396" t="s">
        <v>138</v>
      </c>
      <c r="P10" s="378" t="s">
        <v>42</v>
      </c>
      <c r="Q10" s="376" t="s">
        <v>44</v>
      </c>
      <c r="R10" s="378" t="s">
        <v>139</v>
      </c>
      <c r="S10" s="378"/>
      <c r="T10" s="378"/>
      <c r="U10" s="378"/>
      <c r="V10" s="378"/>
      <c r="W10" s="378"/>
      <c r="X10" s="388" t="s">
        <v>140</v>
      </c>
      <c r="Y10" s="388" t="s">
        <v>141</v>
      </c>
      <c r="Z10" s="388" t="s">
        <v>134</v>
      </c>
      <c r="AA10" s="388" t="s">
        <v>142</v>
      </c>
      <c r="AB10" s="388" t="s">
        <v>134</v>
      </c>
      <c r="AC10" s="388" t="s">
        <v>143</v>
      </c>
      <c r="AD10" s="396" t="s">
        <v>60</v>
      </c>
      <c r="AE10" s="378" t="s">
        <v>130</v>
      </c>
      <c r="AF10" s="378" t="s">
        <v>118</v>
      </c>
      <c r="AG10" s="378" t="s">
        <v>144</v>
      </c>
      <c r="AH10" s="378" t="s">
        <v>145</v>
      </c>
      <c r="AI10" s="376" t="s">
        <v>146</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393"/>
      <c r="B11" s="395"/>
      <c r="C11" s="378"/>
      <c r="D11" s="378"/>
      <c r="E11" s="395"/>
      <c r="F11" s="377"/>
      <c r="G11" s="378"/>
      <c r="H11" s="377"/>
      <c r="I11" s="391"/>
      <c r="J11" s="377"/>
      <c r="K11" s="377"/>
      <c r="L11" s="391"/>
      <c r="M11" s="391"/>
      <c r="N11" s="378"/>
      <c r="O11" s="397"/>
      <c r="P11" s="378"/>
      <c r="Q11" s="377"/>
      <c r="R11" s="7" t="s">
        <v>147</v>
      </c>
      <c r="S11" s="7" t="s">
        <v>148</v>
      </c>
      <c r="T11" s="7" t="s">
        <v>149</v>
      </c>
      <c r="U11" s="7" t="s">
        <v>150</v>
      </c>
      <c r="V11" s="7" t="s">
        <v>151</v>
      </c>
      <c r="W11" s="7" t="s">
        <v>152</v>
      </c>
      <c r="X11" s="388"/>
      <c r="Y11" s="388"/>
      <c r="Z11" s="388"/>
      <c r="AA11" s="388"/>
      <c r="AB11" s="388"/>
      <c r="AC11" s="388"/>
      <c r="AD11" s="397"/>
      <c r="AE11" s="378"/>
      <c r="AF11" s="378"/>
      <c r="AG11" s="378"/>
      <c r="AH11" s="378"/>
      <c r="AI11" s="377"/>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9.25" customHeight="1" x14ac:dyDescent="0.25">
      <c r="A12" s="372">
        <v>1</v>
      </c>
      <c r="B12" s="379" t="s">
        <v>153</v>
      </c>
      <c r="C12" s="379" t="s">
        <v>154</v>
      </c>
      <c r="D12" s="379" t="s">
        <v>155</v>
      </c>
      <c r="E12" s="382" t="s">
        <v>156</v>
      </c>
      <c r="F12" s="379" t="s">
        <v>157</v>
      </c>
      <c r="G12" s="402">
        <v>50</v>
      </c>
      <c r="H12" s="405" t="str">
        <f>IF(G12&lt;=0,"",IF(G12&lt;=2,"Muy Baja",IF(G12&lt;=24,"Baja",IF(G12&lt;=500,"Media",IF(G12&lt;=5000,"Alta","Muy Alta")))))</f>
        <v>Media</v>
      </c>
      <c r="I12" s="408">
        <f>IF(H12="","",IF(H12="Muy Baja",0.2,IF(H12="Baja",0.4,IF(H12="Media",0.6,IF(H12="Alta",0.8,IF(H12="Muy Alta",1,))))))</f>
        <v>0.6</v>
      </c>
      <c r="J12" s="414" t="s">
        <v>158</v>
      </c>
      <c r="K12" s="408" t="str">
        <f>IF(NOT(ISERROR(MATCH(J12,'Tabla Impacto'!$B$221:$B$223,0))),'Tabla Impacto'!$F$223&amp;"Por favor no seleccionar los criterios de impacto(Afectación Económica o presupuestal y Pérdida Reputacional)",J12)</f>
        <v xml:space="preserve">     Entre 100 y 500 SMLMV </v>
      </c>
      <c r="L12" s="405" t="str">
        <f>IF(OR(K12='Tabla Impacto'!$C$11,K12='Tabla Impacto'!$D$11),"Leve",IF(OR(K12='Tabla Impacto'!$C$12,K12='Tabla Impacto'!$D$12),"Menor",IF(OR(K12='Tabla Impacto'!$C$13,K12='Tabla Impacto'!$D$13),"Moderado",IF(OR(K12='Tabla Impacto'!$C$14,K12='Tabla Impacto'!$D$14),"Mayor",IF(OR(K12='Tabla Impacto'!$C$15,K12='Tabla Impacto'!$D$15),"Catastrófico","")))))</f>
        <v>Mayor</v>
      </c>
      <c r="M12" s="408">
        <f>IF(L12="","",IF(L12="Leve",0.2,IF(L12="Menor",0.4,IF(L12="Moderado",0.6,IF(L12="Mayor",0.8,IF(L12="Catastrófico",1,))))))</f>
        <v>0.8</v>
      </c>
      <c r="N12" s="41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66" t="s">
        <v>159</v>
      </c>
      <c r="Q12" s="152" t="str">
        <f>IF(OR(R12="Preventivo",R12="Detectivo"),"Probabilidad",IF(R12="Correctivo","Impacto",""))</f>
        <v>Probabilidad</v>
      </c>
      <c r="R12" s="147" t="s">
        <v>160</v>
      </c>
      <c r="S12" s="147" t="s">
        <v>161</v>
      </c>
      <c r="T12" s="148" t="str">
        <f>IF(AND(R12="Preventivo",S12="Automático"),"50%",IF(AND(R12="Preventivo",S12="Manual"),"40%",IF(AND(R12="Detectivo",S12="Automático"),"40%",IF(AND(R12="Detectivo",S12="Manual"),"30%",IF(AND(R12="Correctivo",S12="Automático"),"35%",IF(AND(R12="Correctivo",S12="Manual"),"25%",""))))))</f>
        <v>40%</v>
      </c>
      <c r="U12" s="147" t="s">
        <v>162</v>
      </c>
      <c r="V12" s="147" t="s">
        <v>163</v>
      </c>
      <c r="W12" s="147" t="s">
        <v>164</v>
      </c>
      <c r="X12" s="149">
        <f>IFERROR(IF(Q12="Probabilidad",(I12-(+I12*T12)),IF(Q12="Impacto",I12,"")),"")</f>
        <v>0.36</v>
      </c>
      <c r="Y12" s="150" t="str">
        <f>IFERROR(IF(X12="","",IF(X12&lt;=0.2,"Muy Baja",IF(X12&lt;=0.4,"Baja",IF(X12&lt;=0.6,"Media",IF(X12&lt;=0.8,"Alta","Muy Alta"))))),"")</f>
        <v>Baja</v>
      </c>
      <c r="Z12" s="151">
        <f>+X12</f>
        <v>0.36</v>
      </c>
      <c r="AA12" s="150" t="str">
        <f>IFERROR(IF(AB12="","",IF(AB12&lt;=0.2,"Leve",IF(AB12&lt;=0.4,"Menor",IF(AB12&lt;=0.6,"Moderado",IF(AB12&lt;=0.8,"Mayor","Catastrófico"))))),"")</f>
        <v>Mayor</v>
      </c>
      <c r="AB12" s="151">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3" t="s">
        <v>165</v>
      </c>
      <c r="AE12" s="166" t="s">
        <v>166</v>
      </c>
      <c r="AF12" s="163" t="s">
        <v>167</v>
      </c>
      <c r="AG12" s="163" t="s">
        <v>168</v>
      </c>
      <c r="AH12" s="164">
        <v>45748</v>
      </c>
      <c r="AI12" s="164">
        <v>46006</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373"/>
      <c r="B13" s="380"/>
      <c r="C13" s="380"/>
      <c r="D13" s="380"/>
      <c r="E13" s="383"/>
      <c r="F13" s="380"/>
      <c r="G13" s="403"/>
      <c r="H13" s="406"/>
      <c r="I13" s="409"/>
      <c r="J13" s="415"/>
      <c r="K13" s="409">
        <f>IF(NOT(ISERROR(MATCH(J13,_xlfn.ANCHORARRAY(E24),0))),I27&amp;"Por favor no seleccionar los criterios de impacto",J13)</f>
        <v>0</v>
      </c>
      <c r="L13" s="406"/>
      <c r="M13" s="409"/>
      <c r="N13" s="412"/>
      <c r="O13" s="6">
        <v>2</v>
      </c>
      <c r="P13" s="166"/>
      <c r="Q13" s="152" t="str">
        <f>IF(OR(R13="Preventivo",R13="Detectivo"),"Probabilidad",IF(R13="Correctivo","Impacto",""))</f>
        <v/>
      </c>
      <c r="R13" s="147"/>
      <c r="S13" s="147"/>
      <c r="T13" s="148" t="str">
        <f t="shared" ref="T13:T17" si="0">IF(AND(R13="Preventivo",S13="Automático"),"50%",IF(AND(R13="Preventivo",S13="Manual"),"40%",IF(AND(R13="Detectivo",S13="Automático"),"40%",IF(AND(R13="Detectivo",S13="Manual"),"30%",IF(AND(R13="Correctivo",S13="Automático"),"35%",IF(AND(R13="Correctivo",S13="Manual"),"25%",""))))))</f>
        <v/>
      </c>
      <c r="U13" s="147"/>
      <c r="V13" s="147"/>
      <c r="W13" s="147"/>
      <c r="X13" s="149" t="str">
        <f>IFERROR(IF(AND(Q12="Probabilidad",Q13="Probabilidad"),(Z12-(+Z12*T13)),IF(Q13="Probabilidad",(I12-(+I12*T13)),IF(Q13="Impacto",Z12,""))),"")</f>
        <v/>
      </c>
      <c r="Y13" s="150" t="str">
        <f t="shared" ref="Y13:Y75" si="1">IFERROR(IF(X13="","",IF(X13&lt;=0.2,"Muy Baja",IF(X13&lt;=0.4,"Baja",IF(X13&lt;=0.6,"Media",IF(X13&lt;=0.8,"Alta","Muy Alta"))))),"")</f>
        <v/>
      </c>
      <c r="Z13" s="151" t="str">
        <f t="shared" ref="Z13:Z17" si="2">+X13</f>
        <v/>
      </c>
      <c r="AA13" s="150" t="str">
        <f t="shared" ref="AA13:AA75" si="3">IFERROR(IF(AB13="","",IF(AB13&lt;=0.2,"Leve",IF(AB13&lt;=0.4,"Menor",IF(AB13&lt;=0.6,"Moderado",IF(AB13&lt;=0.8,"Mayor","Catastrófico"))))),"")</f>
        <v/>
      </c>
      <c r="AB13" s="151" t="str">
        <f>IFERROR(IF(AND(Q12="Impacto",Q13="Impacto"),(AB12-(+AB12*T13)),IF(Q13="Impacto",(M12-(+M12*T13)),IF(Q13="Probabilidad",AB12,""))),"")</f>
        <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3"/>
      <c r="AE13" s="163"/>
      <c r="AF13" s="163"/>
      <c r="AG13" s="163"/>
      <c r="AH13" s="164"/>
      <c r="AI13" s="164"/>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373"/>
      <c r="B14" s="380"/>
      <c r="C14" s="380"/>
      <c r="D14" s="380"/>
      <c r="E14" s="383"/>
      <c r="F14" s="380"/>
      <c r="G14" s="403"/>
      <c r="H14" s="406"/>
      <c r="I14" s="409"/>
      <c r="J14" s="415"/>
      <c r="K14" s="409">
        <f>IF(NOT(ISERROR(MATCH(J14,_xlfn.ANCHORARRAY(E26),0))),I28&amp;"Por favor no seleccionar los criterios de impacto",J14)</f>
        <v>0</v>
      </c>
      <c r="L14" s="406"/>
      <c r="M14" s="409"/>
      <c r="N14" s="412"/>
      <c r="O14" s="106">
        <v>3</v>
      </c>
      <c r="P14" s="167"/>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73"/>
      <c r="B15" s="380"/>
      <c r="C15" s="380"/>
      <c r="D15" s="380"/>
      <c r="E15" s="383"/>
      <c r="F15" s="380"/>
      <c r="G15" s="403"/>
      <c r="H15" s="406"/>
      <c r="I15" s="409"/>
      <c r="J15" s="415"/>
      <c r="K15" s="409">
        <f>IF(NOT(ISERROR(MATCH(J15,_xlfn.ANCHORARRAY(E27),0))),I29&amp;"Por favor no seleccionar los criterios de impacto",J15)</f>
        <v>0</v>
      </c>
      <c r="L15" s="406"/>
      <c r="M15" s="409"/>
      <c r="N15" s="412"/>
      <c r="O15" s="106">
        <v>4</v>
      </c>
      <c r="P15" s="166"/>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73"/>
      <c r="B16" s="380"/>
      <c r="C16" s="380"/>
      <c r="D16" s="380"/>
      <c r="E16" s="383"/>
      <c r="F16" s="380"/>
      <c r="G16" s="403"/>
      <c r="H16" s="406"/>
      <c r="I16" s="409"/>
      <c r="J16" s="415"/>
      <c r="K16" s="409">
        <f>IF(NOT(ISERROR(MATCH(J16,_xlfn.ANCHORARRAY(E28),0))),I30&amp;"Por favor no seleccionar los criterios de impacto",J16)</f>
        <v>0</v>
      </c>
      <c r="L16" s="406"/>
      <c r="M16" s="409"/>
      <c r="N16" s="412"/>
      <c r="O16" s="106">
        <v>5</v>
      </c>
      <c r="P16" s="166"/>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74"/>
      <c r="B17" s="381"/>
      <c r="C17" s="381"/>
      <c r="D17" s="381"/>
      <c r="E17" s="384"/>
      <c r="F17" s="381"/>
      <c r="G17" s="404"/>
      <c r="H17" s="407"/>
      <c r="I17" s="410"/>
      <c r="J17" s="416"/>
      <c r="K17" s="410">
        <f>IF(NOT(ISERROR(MATCH(J17,_xlfn.ANCHORARRAY(E29),0))),I31&amp;"Por favor no seleccionar los criterios de impacto",J17)</f>
        <v>0</v>
      </c>
      <c r="L17" s="407"/>
      <c r="M17" s="410"/>
      <c r="N17" s="413"/>
      <c r="O17" s="106">
        <v>6</v>
      </c>
      <c r="P17" s="166"/>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86.25" customHeight="1" x14ac:dyDescent="0.3">
      <c r="A18" s="372">
        <v>2</v>
      </c>
      <c r="B18" s="379" t="s">
        <v>153</v>
      </c>
      <c r="C18" s="379" t="s">
        <v>169</v>
      </c>
      <c r="D18" s="379" t="s">
        <v>170</v>
      </c>
      <c r="E18" s="382" t="s">
        <v>171</v>
      </c>
      <c r="F18" s="379" t="s">
        <v>157</v>
      </c>
      <c r="G18" s="402">
        <v>12</v>
      </c>
      <c r="H18" s="405" t="str">
        <f>IF(G18&lt;=0,"",IF(G18&lt;=2,"Muy Baja",IF(G18&lt;=24,"Baja",IF(G18&lt;=500,"Media",IF(G18&lt;=5000,"Alta","Muy Alta")))))</f>
        <v>Baja</v>
      </c>
      <c r="I18" s="408">
        <f>IF(H18="","",IF(H18="Muy Baja",0.2,IF(H18="Baja",0.4,IF(H18="Media",0.6,IF(H18="Alta",0.8,IF(H18="Muy Alta",1,))))))</f>
        <v>0.4</v>
      </c>
      <c r="J18" s="414" t="s">
        <v>158</v>
      </c>
      <c r="K18" s="408" t="str">
        <f>IF(NOT(ISERROR(MATCH(J18,'Tabla Impacto'!$B$221:$B$223,0))),'Tabla Impacto'!$F$223&amp;"Por favor no seleccionar los criterios de impacto(Afectación Económica o presupuestal y Pérdida Reputacional)",J18)</f>
        <v xml:space="preserve">     Entre 100 y 500 SMLMV </v>
      </c>
      <c r="L18" s="405" t="str">
        <f>IF(OR(K18='Tabla Impacto'!$C$11,K18='Tabla Impacto'!$D$11),"Leve",IF(OR(K18='Tabla Impacto'!$C$12,K18='Tabla Impacto'!$D$12),"Menor",IF(OR(K18='Tabla Impacto'!$C$13,K18='Tabla Impacto'!$D$13),"Moderado",IF(OR(K18='Tabla Impacto'!$C$14,K18='Tabla Impacto'!$D$14),"Mayor",IF(OR(K18='Tabla Impacto'!$C$15,K18='Tabla Impacto'!$D$15),"Catastrófico","")))))</f>
        <v>Mayor</v>
      </c>
      <c r="M18" s="408">
        <f>IF(L18="","",IF(L18="Leve",0.2,IF(L18="Menor",0.4,IF(L18="Moderado",0.6,IF(L18="Mayor",0.8,IF(L18="Catastrófico",1,))))))</f>
        <v>0.8</v>
      </c>
      <c r="N18" s="41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06">
        <v>1</v>
      </c>
      <c r="P18" s="166" t="s">
        <v>172</v>
      </c>
      <c r="Q18" s="152" t="str">
        <f>IF(OR(R18="Preventivo",R18="Detectivo"),"Probabilidad",IF(R18="Correctivo","Impacto",""))</f>
        <v>Probabilidad</v>
      </c>
      <c r="R18" s="157" t="s">
        <v>160</v>
      </c>
      <c r="S18" s="157" t="s">
        <v>161</v>
      </c>
      <c r="T18" s="158" t="str">
        <f>IF(AND(R18="Preventivo",S18="Automático"),"50%",IF(AND(R18="Preventivo",S18="Manual"),"40%",IF(AND(R18="Detectivo",S18="Automático"),"40%",IF(AND(R18="Detectivo",S18="Manual"),"30%",IF(AND(R18="Correctivo",S18="Automático"),"35%",IF(AND(R18="Correctivo",S18="Manual"),"25%",""))))))</f>
        <v>40%</v>
      </c>
      <c r="U18" s="157" t="s">
        <v>162</v>
      </c>
      <c r="V18" s="157" t="s">
        <v>163</v>
      </c>
      <c r="W18" s="157" t="s">
        <v>164</v>
      </c>
      <c r="X18" s="149">
        <f>IFERROR(IF(Q18="Probabilidad",(I18-(+I18*T18)),IF(Q18="Impacto",I18,"")),"")</f>
        <v>0.24</v>
      </c>
      <c r="Y18" s="159" t="str">
        <f>IFERROR(IF(X18="","",IF(X18&lt;=0.2,"Muy Baja",IF(X18&lt;=0.4,"Baja",IF(X18&lt;=0.6,"Media",IF(X18&lt;=0.8,"Alta","Muy Alta"))))),"")</f>
        <v>Baja</v>
      </c>
      <c r="Z18" s="160">
        <f>+X18</f>
        <v>0.24</v>
      </c>
      <c r="AA18" s="159" t="str">
        <f>IFERROR(IF(AB18="","",IF(AB18&lt;=0.2,"Leve",IF(AB18&lt;=0.4,"Menor",IF(AB18&lt;=0.6,"Moderado",IF(AB18&lt;=0.8,"Mayor","Catastrófico"))))),"")</f>
        <v>Mayor</v>
      </c>
      <c r="AB18" s="160">
        <f>IFERROR(IF(Q18="Impacto",(M18-(+M18*T18)),IF(Q18="Probabilidad",M18,"")),"")</f>
        <v>0.8</v>
      </c>
      <c r="AC18" s="16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62" t="s">
        <v>165</v>
      </c>
      <c r="AE18" s="166" t="s">
        <v>173</v>
      </c>
      <c r="AF18" s="163" t="s">
        <v>174</v>
      </c>
      <c r="AG18" s="163" t="s">
        <v>175</v>
      </c>
      <c r="AH18" s="164">
        <v>45658</v>
      </c>
      <c r="AI18" s="164">
        <v>46006</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73"/>
      <c r="B19" s="380"/>
      <c r="C19" s="380"/>
      <c r="D19" s="380"/>
      <c r="E19" s="383"/>
      <c r="F19" s="380"/>
      <c r="G19" s="403"/>
      <c r="H19" s="406"/>
      <c r="I19" s="409"/>
      <c r="J19" s="415"/>
      <c r="K19" s="409">
        <f>IF(NOT(ISERROR(MATCH(J19,_xlfn.ANCHORARRAY(E31),0))),I35&amp;"Por favor no seleccionar los criterios de impacto",J19)</f>
        <v>0</v>
      </c>
      <c r="L19" s="406"/>
      <c r="M19" s="409"/>
      <c r="N19" s="412"/>
      <c r="O19" s="106">
        <v>2</v>
      </c>
      <c r="P19" s="166"/>
      <c r="Q19" s="152" t="str">
        <f>IF(OR(R19="Preventivo",R19="Detectivo"),"Probabilidad",IF(R19="Correctivo","Impacto",""))</f>
        <v/>
      </c>
      <c r="R19" s="157"/>
      <c r="S19" s="157"/>
      <c r="T19" s="158" t="str">
        <f t="shared" ref="T19:T23" si="8">IF(AND(R19="Preventivo",S19="Automático"),"50%",IF(AND(R19="Preventivo",S19="Manual"),"40%",IF(AND(R19="Detectivo",S19="Automático"),"40%",IF(AND(R19="Detectivo",S19="Manual"),"30%",IF(AND(R19="Correctivo",S19="Automático"),"35%",IF(AND(R19="Correctivo",S19="Manual"),"25%",""))))))</f>
        <v/>
      </c>
      <c r="U19" s="157"/>
      <c r="V19" s="157"/>
      <c r="W19" s="157"/>
      <c r="X19" s="149" t="str">
        <f>IFERROR(IF(AND(Q18="Probabilidad",Q19="Probabilidad"),(Z18-(+Z18*T19)),IF(Q19="Probabilidad",(I18-(+I18*T19)),IF(Q19="Impacto",Z18,""))),"")</f>
        <v/>
      </c>
      <c r="Y19" s="159" t="str">
        <f t="shared" si="1"/>
        <v/>
      </c>
      <c r="Z19" s="160" t="str">
        <f t="shared" ref="Z19:Z23" si="9">+X19</f>
        <v/>
      </c>
      <c r="AA19" s="159" t="str">
        <f t="shared" si="3"/>
        <v/>
      </c>
      <c r="AB19" s="160" t="str">
        <f>IFERROR(IF(AND(Q18="Impacto",Q19="Impacto"),(AB18-(+AB18*T19)),IF(Q19="Impacto",(M18-(+M18*T19)),IF(Q19="Probabilidad",AB18,""))),"")</f>
        <v/>
      </c>
      <c r="AC19" s="16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2"/>
      <c r="AE19" s="163"/>
      <c r="AF19" s="163"/>
      <c r="AG19" s="163"/>
      <c r="AH19" s="164"/>
      <c r="AI19" s="164"/>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373"/>
      <c r="B20" s="380"/>
      <c r="C20" s="380"/>
      <c r="D20" s="380"/>
      <c r="E20" s="383"/>
      <c r="F20" s="380"/>
      <c r="G20" s="403"/>
      <c r="H20" s="406"/>
      <c r="I20" s="409"/>
      <c r="J20" s="415"/>
      <c r="K20" s="409">
        <f>IF(NOT(ISERROR(MATCH(J20,_xlfn.ANCHORARRAY(E34),0))),I36&amp;"Por favor no seleccionar los criterios de impacto",J20)</f>
        <v>0</v>
      </c>
      <c r="L20" s="406"/>
      <c r="M20" s="409"/>
      <c r="N20" s="412"/>
      <c r="O20" s="106">
        <v>3</v>
      </c>
      <c r="P20" s="168"/>
      <c r="Q20" s="152" t="str">
        <f>IF(OR(R20="Preventivo",R20="Detectivo"),"Probabilidad",IF(R20="Correctivo","Impacto",""))</f>
        <v/>
      </c>
      <c r="R20" s="157"/>
      <c r="S20" s="157"/>
      <c r="T20" s="158" t="str">
        <f t="shared" si="8"/>
        <v/>
      </c>
      <c r="U20" s="157"/>
      <c r="V20" s="157"/>
      <c r="W20" s="157"/>
      <c r="X20" s="149" t="str">
        <f>IFERROR(IF(AND(Q19="Probabilidad",Q20="Probabilidad"),(Z19-(+Z19*T20)),IF(AND(Q19="Impacto",Q20="Probabilidad"),(Z18-(+Z18*T20)),IF(Q20="Impacto",Z19,""))),"")</f>
        <v/>
      </c>
      <c r="Y20" s="159" t="str">
        <f t="shared" si="1"/>
        <v/>
      </c>
      <c r="Z20" s="160" t="str">
        <f t="shared" si="9"/>
        <v/>
      </c>
      <c r="AA20" s="159" t="str">
        <f t="shared" si="3"/>
        <v/>
      </c>
      <c r="AB20" s="160" t="str">
        <f>IFERROR(IF(AND(Q19="Impacto",Q20="Impacto"),(AB19-(+AB19*T20)),IF(AND(Q19="Probabilidad",Q20="Impacto"),(AB18-(+AB18*T20)),IF(Q20="Probabilidad",AB19,""))),"")</f>
        <v/>
      </c>
      <c r="AC20" s="161" t="str">
        <f t="shared" si="10"/>
        <v/>
      </c>
      <c r="AD20" s="162"/>
      <c r="AE20" s="163"/>
      <c r="AF20" s="165"/>
      <c r="AG20" s="165"/>
      <c r="AH20" s="164"/>
      <c r="AI20" s="164"/>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73"/>
      <c r="B21" s="380"/>
      <c r="C21" s="380"/>
      <c r="D21" s="380"/>
      <c r="E21" s="383"/>
      <c r="F21" s="380"/>
      <c r="G21" s="403"/>
      <c r="H21" s="406"/>
      <c r="I21" s="409"/>
      <c r="J21" s="415"/>
      <c r="K21" s="409">
        <f>IF(NOT(ISERROR(MATCH(J21,_xlfn.ANCHORARRAY(E35),0))),I37&amp;"Por favor no seleccionar los criterios de impacto",J21)</f>
        <v>0</v>
      </c>
      <c r="L21" s="406"/>
      <c r="M21" s="409"/>
      <c r="N21" s="412"/>
      <c r="O21" s="106">
        <v>4</v>
      </c>
      <c r="P21" s="166"/>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6"/>
      <c r="AH21" s="117"/>
      <c r="AI21" s="11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73"/>
      <c r="B22" s="380"/>
      <c r="C22" s="380"/>
      <c r="D22" s="380"/>
      <c r="E22" s="383"/>
      <c r="F22" s="380"/>
      <c r="G22" s="403"/>
      <c r="H22" s="406"/>
      <c r="I22" s="409"/>
      <c r="J22" s="415"/>
      <c r="K22" s="409">
        <f>IF(NOT(ISERROR(MATCH(J22,_xlfn.ANCHORARRAY(E36),0))),I38&amp;"Por favor no seleccionar los criterios de impacto",J22)</f>
        <v>0</v>
      </c>
      <c r="L22" s="406"/>
      <c r="M22" s="409"/>
      <c r="N22" s="412"/>
      <c r="O22" s="106">
        <v>5</v>
      </c>
      <c r="P22" s="166"/>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74"/>
      <c r="B23" s="381"/>
      <c r="C23" s="381"/>
      <c r="D23" s="381"/>
      <c r="E23" s="384"/>
      <c r="F23" s="381"/>
      <c r="G23" s="404"/>
      <c r="H23" s="407"/>
      <c r="I23" s="410"/>
      <c r="J23" s="416"/>
      <c r="K23" s="410">
        <f>IF(NOT(ISERROR(MATCH(J23,_xlfn.ANCHORARRAY(E37),0))),I39&amp;"Por favor no seleccionar los criterios de impacto",J23)</f>
        <v>0</v>
      </c>
      <c r="L23" s="407"/>
      <c r="M23" s="410"/>
      <c r="N23" s="413"/>
      <c r="O23" s="106">
        <v>6</v>
      </c>
      <c r="P23" s="166"/>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6.150000000000006" customHeight="1" x14ac:dyDescent="0.3">
      <c r="A24" s="372">
        <v>3</v>
      </c>
      <c r="B24" s="379" t="s">
        <v>153</v>
      </c>
      <c r="C24" s="379" t="s">
        <v>176</v>
      </c>
      <c r="D24" s="379" t="s">
        <v>177</v>
      </c>
      <c r="E24" s="382" t="s">
        <v>178</v>
      </c>
      <c r="F24" s="379" t="s">
        <v>157</v>
      </c>
      <c r="G24" s="402">
        <v>50</v>
      </c>
      <c r="H24" s="405" t="str">
        <f>IF(G24&lt;=0,"",IF(G24&lt;=2,"Muy Baja",IF(G24&lt;=24,"Baja",IF(G24&lt;=500,"Media",IF(G24&lt;=5000,"Alta","Muy Alta")))))</f>
        <v>Media</v>
      </c>
      <c r="I24" s="408">
        <f>IF(H24="","",IF(H24="Muy Baja",0.2,IF(H24="Baja",0.4,IF(H24="Media",0.6,IF(H24="Alta",0.8,IF(H24="Muy Alta",1,))))))</f>
        <v>0.6</v>
      </c>
      <c r="J24" s="414" t="s">
        <v>158</v>
      </c>
      <c r="K24" s="408" t="str">
        <f>IF(NOT(ISERROR(MATCH(J24,'Tabla Impacto'!$B$221:$B$223,0))),'Tabla Impacto'!$F$223&amp;"Por favor no seleccionar los criterios de impacto(Afectación Económica o presupuestal y Pérdida Reputacional)",J24)</f>
        <v xml:space="preserve">     Entre 100 y 500 SMLMV </v>
      </c>
      <c r="L24" s="405" t="str">
        <f>IF(OR(K24='Tabla Impacto'!$C$11,K24='Tabla Impacto'!$D$11),"Leve",IF(OR(K24='Tabla Impacto'!$C$12,K24='Tabla Impacto'!$D$12),"Menor",IF(OR(K24='Tabla Impacto'!$C$13,K24='Tabla Impacto'!$D$13),"Moderado",IF(OR(K24='Tabla Impacto'!$C$14,K24='Tabla Impacto'!$D$14),"Mayor",IF(OR(K24='Tabla Impacto'!$C$15,K24='Tabla Impacto'!$D$15),"Catastrófico","")))))</f>
        <v>Mayor</v>
      </c>
      <c r="M24" s="408">
        <f>IF(L24="","",IF(L24="Leve",0.2,IF(L24="Menor",0.4,IF(L24="Moderado",0.6,IF(L24="Mayor",0.8,IF(L24="Catastrófico",1,))))))</f>
        <v>0.8</v>
      </c>
      <c r="N24" s="41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354">
        <v>1</v>
      </c>
      <c r="P24" s="352" t="s">
        <v>179</v>
      </c>
      <c r="Q24" s="356" t="str">
        <f>IF(OR(R24="Preventivo",R24="Detectivo"),"Probabilidad",IF(R24="Correctivo","Impacto",""))</f>
        <v>Probabilidad</v>
      </c>
      <c r="R24" s="358" t="s">
        <v>160</v>
      </c>
      <c r="S24" s="358" t="s">
        <v>161</v>
      </c>
      <c r="T24" s="360" t="str">
        <f>IF(AND(R24="Preventivo",S24="Automático"),"50%",IF(AND(R24="Preventivo",S24="Manual"),"40%",IF(AND(R24="Detectivo",S24="Automático"),"40%",IF(AND(R24="Detectivo",S24="Manual"),"30%",IF(AND(R24="Correctivo",S24="Automático"),"35%",IF(AND(R24="Correctivo",S24="Manual"),"25%",""))))))</f>
        <v>40%</v>
      </c>
      <c r="U24" s="358" t="s">
        <v>162</v>
      </c>
      <c r="V24" s="358" t="s">
        <v>163</v>
      </c>
      <c r="W24" s="358" t="s">
        <v>164</v>
      </c>
      <c r="X24" s="149">
        <f>IFERROR(IF(Q24="Probabilidad",(I24-(+I24*T24)),IF(Q24="Impacto",I24,"")),"")</f>
        <v>0.36</v>
      </c>
      <c r="Y24" s="362" t="str">
        <f>IFERROR(IF(X24="","",IF(X24&lt;=0.2,"Muy Baja",IF(X24&lt;=0.4,"Baja",IF(X24&lt;=0.6,"Media",IF(X24&lt;=0.8,"Alta","Muy Alta"))))),"")</f>
        <v>Baja</v>
      </c>
      <c r="Z24" s="360">
        <f>+X24</f>
        <v>0.36</v>
      </c>
      <c r="AA24" s="362" t="str">
        <f>IFERROR(IF(AB24="","",IF(AB24&lt;=0.2,"Leve",IF(AB24&lt;=0.4,"Menor",IF(AB24&lt;=0.6,"Moderado",IF(AB24&lt;=0.8,"Mayor","Catastrófico"))))),"")</f>
        <v>Mayor</v>
      </c>
      <c r="AB24" s="360">
        <f>IFERROR(IF(Q24="Impacto",(M24-(+M24*T24)),IF(Q24="Probabilidad",M24,"")),"")</f>
        <v>0.8</v>
      </c>
      <c r="AC24" s="364"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358" t="s">
        <v>165</v>
      </c>
      <c r="AE24" s="166" t="s">
        <v>180</v>
      </c>
      <c r="AF24" s="163" t="s">
        <v>181</v>
      </c>
      <c r="AG24" s="163" t="s">
        <v>182</v>
      </c>
      <c r="AH24" s="164">
        <v>45748</v>
      </c>
      <c r="AI24" s="164">
        <v>46006</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62.25" customHeight="1" x14ac:dyDescent="0.3">
      <c r="A25" s="373"/>
      <c r="B25" s="380"/>
      <c r="C25" s="380"/>
      <c r="D25" s="380"/>
      <c r="E25" s="383"/>
      <c r="F25" s="380"/>
      <c r="G25" s="403"/>
      <c r="H25" s="406"/>
      <c r="I25" s="409"/>
      <c r="J25" s="415"/>
      <c r="K25" s="409"/>
      <c r="L25" s="406"/>
      <c r="M25" s="409"/>
      <c r="N25" s="412"/>
      <c r="O25" s="370"/>
      <c r="P25" s="353"/>
      <c r="Q25" s="375"/>
      <c r="R25" s="366"/>
      <c r="S25" s="366"/>
      <c r="T25" s="368"/>
      <c r="U25" s="366"/>
      <c r="V25" s="366"/>
      <c r="W25" s="366"/>
      <c r="X25" s="149"/>
      <c r="Y25" s="367"/>
      <c r="Z25" s="368"/>
      <c r="AA25" s="367"/>
      <c r="AB25" s="368"/>
      <c r="AC25" s="369"/>
      <c r="AD25" s="366"/>
      <c r="AE25" s="166" t="s">
        <v>183</v>
      </c>
      <c r="AF25" s="163" t="s">
        <v>181</v>
      </c>
      <c r="AG25" s="163" t="s">
        <v>184</v>
      </c>
      <c r="AH25" s="164">
        <v>45748</v>
      </c>
      <c r="AI25" s="164">
        <v>46006</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7.25" customHeight="1" x14ac:dyDescent="0.3">
      <c r="A26" s="373"/>
      <c r="B26" s="380"/>
      <c r="C26" s="380"/>
      <c r="D26" s="380"/>
      <c r="E26" s="383"/>
      <c r="F26" s="380"/>
      <c r="G26" s="403"/>
      <c r="H26" s="406"/>
      <c r="I26" s="409"/>
      <c r="J26" s="415"/>
      <c r="K26" s="409">
        <f>IF(NOT(ISERROR(MATCH(J26,_xlfn.ANCHORARRAY(E39),0))),I42&amp;"Por favor no seleccionar los criterios de impacto",J26)</f>
        <v>0</v>
      </c>
      <c r="L26" s="406"/>
      <c r="M26" s="409"/>
      <c r="N26" s="412"/>
      <c r="O26" s="106">
        <v>2</v>
      </c>
      <c r="P26" s="167"/>
      <c r="Q26" s="107" t="str">
        <f>IF(OR(R26="Preventivo",R26="Detectivo"),"Probabilidad",IF(R26="Correctivo","Impacto",""))</f>
        <v/>
      </c>
      <c r="R26" s="108"/>
      <c r="S26" s="108"/>
      <c r="T26" s="109" t="str">
        <f t="shared" ref="T26:T31" si="15">IF(AND(R26="Preventivo",S26="Automático"),"50%",IF(AND(R26="Preventivo",S26="Manual"),"40%",IF(AND(R26="Detectivo",S26="Automático"),"40%",IF(AND(R26="Detectivo",S26="Manual"),"30%",IF(AND(R26="Correctivo",S26="Automático"),"35%",IF(AND(R26="Correctivo",S26="Manual"),"25%",""))))))</f>
        <v/>
      </c>
      <c r="U26" s="108"/>
      <c r="V26" s="108"/>
      <c r="W26" s="108"/>
      <c r="X26" s="149" t="str">
        <f>IFERROR(IF(AND(Q24="Probabilidad",Q26="Probabilidad"),(Z24-(+Z24*T26)),IF(Q26="Probabilidad",(I24-(+I24*T26)),IF(Q26="Impacto",Z24,""))),"")</f>
        <v/>
      </c>
      <c r="Y26" s="111" t="str">
        <f t="shared" si="1"/>
        <v/>
      </c>
      <c r="Z26" s="112" t="str">
        <f t="shared" ref="Z26:Z30" si="16">+X26</f>
        <v/>
      </c>
      <c r="AA26" s="111" t="str">
        <f t="shared" si="3"/>
        <v/>
      </c>
      <c r="AB26" s="112" t="str">
        <f>IFERROR(IF(AND(Q25="Impacto",Q26="Impacto"),(AB25-(+AB25*T26)),IF(AND(Q25="Probabilidad",Q26="Impacto"),(AB23-(+AB23*T26)),IF(Q26="Probabilidad",AB25,""))),"")</f>
        <v/>
      </c>
      <c r="AC26" s="113" t="str">
        <f t="shared" ref="AC26:AC27"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14"/>
      <c r="AE26" s="184"/>
      <c r="AF26" s="163"/>
      <c r="AG26" s="163"/>
      <c r="AH26" s="164"/>
      <c r="AI26" s="164"/>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373"/>
      <c r="B27" s="380"/>
      <c r="C27" s="380"/>
      <c r="D27" s="380"/>
      <c r="E27" s="383"/>
      <c r="F27" s="380"/>
      <c r="G27" s="403"/>
      <c r="H27" s="406"/>
      <c r="I27" s="409"/>
      <c r="J27" s="415"/>
      <c r="K27" s="409">
        <f>IF(NOT(ISERROR(MATCH(J27,_xlfn.ANCHORARRAY(E41),0))),I43&amp;"Por favor no seleccionar los criterios de impacto",J27)</f>
        <v>0</v>
      </c>
      <c r="L27" s="406"/>
      <c r="M27" s="409"/>
      <c r="N27" s="412"/>
      <c r="O27" s="106">
        <v>3</v>
      </c>
      <c r="P27" s="167"/>
      <c r="Q27" s="107" t="str">
        <f>IF(OR(R27="Preventivo",R27="Detectivo"),"Probabilidad",IF(R27="Correctivo","Impacto",""))</f>
        <v/>
      </c>
      <c r="R27" s="108"/>
      <c r="S27" s="108"/>
      <c r="T27" s="109" t="str">
        <f t="shared" si="15"/>
        <v/>
      </c>
      <c r="U27" s="108"/>
      <c r="V27" s="108"/>
      <c r="W27" s="108"/>
      <c r="X27" s="110" t="str">
        <f>IFERROR(IF(AND(Q26="Probabilidad",Q27="Probabilidad"),(Z26-(+Z26*T27)),IF(AND(Q26="Impacto",Q27="Probabilidad"),(Z24-(+Z24*T27)),IF(Q27="Impacto",Z26,""))),"")</f>
        <v/>
      </c>
      <c r="Y27" s="111" t="str">
        <f t="shared" si="1"/>
        <v/>
      </c>
      <c r="Z27" s="112" t="str">
        <f t="shared" si="16"/>
        <v/>
      </c>
      <c r="AA27" s="111" t="str">
        <f t="shared" si="3"/>
        <v/>
      </c>
      <c r="AB27" s="112" t="str">
        <f>IFERROR(IF(AND(Q26="Impacto",Q27="Impacto"),(AB26-(+AB26*T27)),IF(AND(Q26="Probabilidad",Q27="Impacto"),(AB24-(+AB24*T27)),IF(Q27="Probabilidad",AB26,""))),"")</f>
        <v/>
      </c>
      <c r="AC27" s="113" t="str">
        <f t="shared" si="17"/>
        <v/>
      </c>
      <c r="AD27" s="114"/>
      <c r="AE27" s="115"/>
      <c r="AF27" s="116"/>
      <c r="AG27" s="116"/>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373"/>
      <c r="B28" s="380"/>
      <c r="C28" s="380"/>
      <c r="D28" s="380"/>
      <c r="E28" s="383"/>
      <c r="F28" s="380"/>
      <c r="G28" s="403"/>
      <c r="H28" s="406"/>
      <c r="I28" s="409"/>
      <c r="J28" s="415"/>
      <c r="K28" s="409">
        <f>IF(NOT(ISERROR(MATCH(J28,_xlfn.ANCHORARRAY(E42),0))),I44&amp;"Por favor no seleccionar los criterios de impacto",J28)</f>
        <v>0</v>
      </c>
      <c r="L28" s="406"/>
      <c r="M28" s="409"/>
      <c r="N28" s="412"/>
      <c r="O28" s="106">
        <v>4</v>
      </c>
      <c r="P28" s="166"/>
      <c r="Q28" s="107" t="str">
        <f t="shared" ref="Q28:Q30" si="18">IF(OR(R28="Preventivo",R28="Detectivo"),"Probabilidad",IF(R28="Correctivo","Impacto",""))</f>
        <v/>
      </c>
      <c r="R28" s="108"/>
      <c r="S28" s="108"/>
      <c r="T28" s="109" t="str">
        <f t="shared" si="15"/>
        <v/>
      </c>
      <c r="U28" s="108"/>
      <c r="V28" s="108"/>
      <c r="W28" s="108"/>
      <c r="X28" s="110" t="str">
        <f t="shared" ref="X28:X30" si="19">IFERROR(IF(AND(Q27="Probabilidad",Q28="Probabilidad"),(Z27-(+Z27*T28)),IF(AND(Q27="Impacto",Q28="Probabilidad"),(Z26-(+Z26*T28)),IF(Q28="Impacto",Z27,""))),"")</f>
        <v/>
      </c>
      <c r="Y28" s="111" t="str">
        <f t="shared" si="1"/>
        <v/>
      </c>
      <c r="Z28" s="112" t="str">
        <f t="shared" si="16"/>
        <v/>
      </c>
      <c r="AA28" s="111" t="str">
        <f t="shared" si="3"/>
        <v/>
      </c>
      <c r="AB28" s="112" t="str">
        <f t="shared" ref="AB28:AB30" si="20">IFERROR(IF(AND(Q27="Impacto",Q28="Impacto"),(AB27-(+AB27*T28)),IF(AND(Q27="Probabilidad",Q28="Impacto"),(AB26-(+AB26*T28)),IF(Q28="Probabilidad",AB27,""))),"")</f>
        <v/>
      </c>
      <c r="AC28" s="11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73"/>
      <c r="B29" s="380"/>
      <c r="C29" s="380"/>
      <c r="D29" s="380"/>
      <c r="E29" s="383"/>
      <c r="F29" s="380"/>
      <c r="G29" s="403"/>
      <c r="H29" s="406"/>
      <c r="I29" s="409"/>
      <c r="J29" s="415"/>
      <c r="K29" s="409">
        <f>IF(NOT(ISERROR(MATCH(J29,_xlfn.ANCHORARRAY(E43),0))),I45&amp;"Por favor no seleccionar los criterios de impacto",J29)</f>
        <v>0</v>
      </c>
      <c r="L29" s="406"/>
      <c r="M29" s="409"/>
      <c r="N29" s="412"/>
      <c r="O29" s="106">
        <v>5</v>
      </c>
      <c r="P29" s="166"/>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74"/>
      <c r="B30" s="381"/>
      <c r="C30" s="381"/>
      <c r="D30" s="381"/>
      <c r="E30" s="384"/>
      <c r="F30" s="381"/>
      <c r="G30" s="404"/>
      <c r="H30" s="407"/>
      <c r="I30" s="410"/>
      <c r="J30" s="416"/>
      <c r="K30" s="410">
        <f>IF(NOT(ISERROR(MATCH(J30,_xlfn.ANCHORARRAY(E44),0))),I46&amp;"Por favor no seleccionar los criterios de impacto",J30)</f>
        <v>0</v>
      </c>
      <c r="L30" s="407"/>
      <c r="M30" s="410"/>
      <c r="N30" s="413"/>
      <c r="O30" s="106">
        <v>6</v>
      </c>
      <c r="P30" s="166"/>
      <c r="Q30" s="107" t="str">
        <f t="shared" si="18"/>
        <v/>
      </c>
      <c r="R30" s="108"/>
      <c r="S30" s="108"/>
      <c r="T30" s="109" t="str">
        <f t="shared" si="15"/>
        <v/>
      </c>
      <c r="U30" s="108"/>
      <c r="V30" s="108"/>
      <c r="W30" s="108"/>
      <c r="X30" s="110" t="str">
        <f t="shared" si="19"/>
        <v/>
      </c>
      <c r="Y30" s="111" t="str">
        <f t="shared" si="1"/>
        <v/>
      </c>
      <c r="Z30" s="112" t="str">
        <f t="shared" si="16"/>
        <v/>
      </c>
      <c r="AA30" s="111" t="str">
        <f t="shared" si="3"/>
        <v/>
      </c>
      <c r="AB30" s="112" t="str">
        <f t="shared" si="20"/>
        <v/>
      </c>
      <c r="AC30" s="113" t="str">
        <f t="shared" si="21"/>
        <v/>
      </c>
      <c r="AD30" s="114"/>
      <c r="AE30" s="115"/>
      <c r="AF30" s="116"/>
      <c r="AG30" s="116"/>
      <c r="AH30" s="117"/>
      <c r="AI30" s="117"/>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75" customHeight="1" x14ac:dyDescent="0.3">
      <c r="A31" s="372">
        <v>4</v>
      </c>
      <c r="B31" s="379" t="s">
        <v>153</v>
      </c>
      <c r="C31" s="379" t="s">
        <v>185</v>
      </c>
      <c r="D31" s="379" t="s">
        <v>186</v>
      </c>
      <c r="E31" s="382" t="s">
        <v>187</v>
      </c>
      <c r="F31" s="379" t="s">
        <v>157</v>
      </c>
      <c r="G31" s="402">
        <v>360</v>
      </c>
      <c r="H31" s="405" t="str">
        <f>IF(G31&lt;=0,"",IF(G31&lt;=2,"Muy Baja",IF(G31&lt;=24,"Baja",IF(G31&lt;=500,"Media",IF(G31&lt;=5000,"Alta","Muy Alta")))))</f>
        <v>Media</v>
      </c>
      <c r="I31" s="408">
        <f>IF(H31="","",IF(H31="Muy Baja",0.2,IF(H31="Baja",0.4,IF(H31="Media",0.6,IF(H31="Alta",0.8,IF(H31="Muy Alta",1,))))))</f>
        <v>0.6</v>
      </c>
      <c r="J31" s="414" t="s">
        <v>188</v>
      </c>
      <c r="K31" s="408" t="str">
        <f>IF(NOT(ISERROR(MATCH(J31,'Tabla Impacto'!$B$221:$B$223,0))),'Tabla Impacto'!$F$223&amp;"Por favor no seleccionar los criterios de impacto(Afectación Económica o presupuestal y Pérdida Reputacional)",J31)</f>
        <v xml:space="preserve">     El riesgo afecta la imagen de la entidad con algunos usuarios de relevancia frente al logro de los objetivos</v>
      </c>
      <c r="L31" s="405" t="str">
        <f>IF(OR(K31='Tabla Impacto'!$C$11,K31='Tabla Impacto'!$D$11),"Leve",IF(OR(K31='Tabla Impacto'!$C$12,K31='Tabla Impacto'!$D$12),"Menor",IF(OR(K31='Tabla Impacto'!$C$13,K31='Tabla Impacto'!$D$13),"Moderado",IF(OR(K31='Tabla Impacto'!$C$14,K31='Tabla Impacto'!$D$14),"Mayor",IF(OR(K31='Tabla Impacto'!$C$15,K31='Tabla Impacto'!$D$15),"Catastrófico","")))))</f>
        <v>Moderado</v>
      </c>
      <c r="M31" s="408">
        <f>IF(L31="","",IF(L31="Leve",0.2,IF(L31="Menor",0.4,IF(L31="Moderado",0.6,IF(L31="Mayor",0.8,IF(L31="Catastrófico",1,))))))</f>
        <v>0.6</v>
      </c>
      <c r="N31" s="411"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372">
        <v>1</v>
      </c>
      <c r="P31" s="352" t="s">
        <v>189</v>
      </c>
      <c r="Q31" s="356" t="str">
        <f>IF(OR(R31="Preventivo",R31="Detectivo"),"Probabilidad",IF(R31="Correctivo","Impacto",""))</f>
        <v>Probabilidad</v>
      </c>
      <c r="R31" s="358" t="s">
        <v>160</v>
      </c>
      <c r="S31" s="358" t="s">
        <v>161</v>
      </c>
      <c r="T31" s="360" t="str">
        <f t="shared" si="15"/>
        <v>40%</v>
      </c>
      <c r="U31" s="358" t="s">
        <v>162</v>
      </c>
      <c r="V31" s="358" t="s">
        <v>163</v>
      </c>
      <c r="W31" s="358" t="s">
        <v>164</v>
      </c>
      <c r="X31" s="149">
        <f>IFERROR(IF(Q31="Probabilidad",(I31-(+I31*T31)),IF(Q31="Impacto",I31,"")),"")</f>
        <v>0.36</v>
      </c>
      <c r="Y31" s="362" t="str">
        <f>IFERROR(IF(X31="","",IF(X31&lt;=0.2,"Muy Baja",IF(X31&lt;=0.4,"Baja",IF(X31&lt;=0.6,"Media",IF(X31&lt;=0.8,"Alta","Muy Alta"))))),"")</f>
        <v>Baja</v>
      </c>
      <c r="Z31" s="360">
        <f>+X31</f>
        <v>0.36</v>
      </c>
      <c r="AA31" s="362" t="str">
        <f>IFERROR(IF(AB31="","",IF(AB31&lt;=0.2,"Leve",IF(AB31&lt;=0.4,"Menor",IF(AB31&lt;=0.6,"Moderado",IF(AB31&lt;=0.8,"Mayor","Catastrófico"))))),"")</f>
        <v>Moderado</v>
      </c>
      <c r="AB31" s="360">
        <f>IFERROR(IF(Q31="Impacto",(M31-(+M31*T31)),IF(Q31="Probabilidad",M31,"")),"")</f>
        <v>0.6</v>
      </c>
      <c r="AC31" s="364"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358" t="s">
        <v>165</v>
      </c>
      <c r="AE31" s="186" t="s">
        <v>190</v>
      </c>
      <c r="AF31" s="163" t="s">
        <v>181</v>
      </c>
      <c r="AG31" s="185" t="s">
        <v>191</v>
      </c>
      <c r="AH31" s="164">
        <v>45716</v>
      </c>
      <c r="AI31" s="164">
        <v>45930</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53.25" customHeight="1" x14ac:dyDescent="0.3">
      <c r="A32" s="373"/>
      <c r="B32" s="380"/>
      <c r="C32" s="380"/>
      <c r="D32" s="380"/>
      <c r="E32" s="383"/>
      <c r="F32" s="380"/>
      <c r="G32" s="403"/>
      <c r="H32" s="406"/>
      <c r="I32" s="409"/>
      <c r="J32" s="415"/>
      <c r="K32" s="409"/>
      <c r="L32" s="406"/>
      <c r="M32" s="409"/>
      <c r="N32" s="412"/>
      <c r="O32" s="373"/>
      <c r="P32" s="353"/>
      <c r="Q32" s="375"/>
      <c r="R32" s="366"/>
      <c r="S32" s="366"/>
      <c r="T32" s="368"/>
      <c r="U32" s="366"/>
      <c r="V32" s="366"/>
      <c r="W32" s="366"/>
      <c r="X32" s="149"/>
      <c r="Y32" s="367"/>
      <c r="Z32" s="368"/>
      <c r="AA32" s="367"/>
      <c r="AB32" s="368"/>
      <c r="AC32" s="369"/>
      <c r="AD32" s="366"/>
      <c r="AE32" s="186" t="s">
        <v>192</v>
      </c>
      <c r="AF32" s="187" t="s">
        <v>181</v>
      </c>
      <c r="AG32" s="185" t="s">
        <v>193</v>
      </c>
      <c r="AH32" s="164">
        <v>45658</v>
      </c>
      <c r="AI32" s="164">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53.25" customHeight="1" x14ac:dyDescent="0.3">
      <c r="A33" s="373"/>
      <c r="B33" s="380"/>
      <c r="C33" s="380"/>
      <c r="D33" s="380"/>
      <c r="E33" s="383"/>
      <c r="F33" s="380"/>
      <c r="G33" s="403"/>
      <c r="H33" s="406"/>
      <c r="I33" s="409"/>
      <c r="J33" s="415"/>
      <c r="K33" s="409"/>
      <c r="L33" s="406"/>
      <c r="M33" s="409"/>
      <c r="N33" s="412"/>
      <c r="O33" s="374"/>
      <c r="P33" s="371"/>
      <c r="Q33" s="375"/>
      <c r="R33" s="366"/>
      <c r="S33" s="366"/>
      <c r="T33" s="368"/>
      <c r="U33" s="366"/>
      <c r="V33" s="366"/>
      <c r="W33" s="366"/>
      <c r="X33" s="149"/>
      <c r="Y33" s="367"/>
      <c r="Z33" s="368"/>
      <c r="AA33" s="367"/>
      <c r="AB33" s="368"/>
      <c r="AC33" s="369"/>
      <c r="AD33" s="366"/>
      <c r="AE33" s="186" t="s">
        <v>194</v>
      </c>
      <c r="AF33" s="187" t="s">
        <v>181</v>
      </c>
      <c r="AG33" s="185" t="s">
        <v>195</v>
      </c>
      <c r="AH33" s="164">
        <v>45658</v>
      </c>
      <c r="AI33" s="164">
        <v>46021</v>
      </c>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373"/>
      <c r="B34" s="380"/>
      <c r="C34" s="380"/>
      <c r="D34" s="380"/>
      <c r="E34" s="383"/>
      <c r="F34" s="380"/>
      <c r="G34" s="403"/>
      <c r="H34" s="406"/>
      <c r="I34" s="409"/>
      <c r="J34" s="415"/>
      <c r="K34" s="409">
        <f>IF(NOT(ISERROR(MATCH(J34,_xlfn.ANCHORARRAY(E46),0))),I48&amp;"Por favor no seleccionar los criterios de impacto",J34)</f>
        <v>0</v>
      </c>
      <c r="L34" s="406"/>
      <c r="M34" s="409"/>
      <c r="N34" s="412"/>
      <c r="O34" s="6">
        <v>2</v>
      </c>
      <c r="P34" s="166"/>
      <c r="Q34" s="107" t="str">
        <f t="shared" ref="Q34:Q35" si="22">IF(OR(R34="Preventivo",R34="Detectivo"),"Probabilidad",IF(R34="Correctivo","Impacto",""))</f>
        <v/>
      </c>
      <c r="R34" s="108"/>
      <c r="S34" s="108"/>
      <c r="T34" s="109" t="str">
        <f t="shared" ref="T34:T35" si="23">IF(AND(R34="Preventivo",S34="Automático"),"50%",IF(AND(R34="Preventivo",S34="Manual"),"40%",IF(AND(R34="Detectivo",S34="Automático"),"40%",IF(AND(R34="Detectivo",S34="Manual"),"30%",IF(AND(R34="Correctivo",S34="Automático"),"35%",IF(AND(R34="Correctivo",S34="Manual"),"25%",""))))))</f>
        <v/>
      </c>
      <c r="U34" s="108"/>
      <c r="V34" s="108"/>
      <c r="W34" s="108"/>
      <c r="X34" s="110" t="str">
        <f t="shared" ref="X34:X35" si="24">IFERROR(IF(AND(Q33="Probabilidad",Q34="Probabilidad"),(Z33-(+Z33*T34)),IF(AND(Q33="Impacto",Q34="Probabilidad"),(Z32-(+Z32*T34)),IF(Q34="Impacto",Z33,""))),"")</f>
        <v/>
      </c>
      <c r="Y34" s="111" t="str">
        <f t="shared" ref="Y34" si="25">IFERROR(IF(X34="","",IF(X34&lt;=0.2,"Muy Baja",IF(X34&lt;=0.4,"Baja",IF(X34&lt;=0.6,"Media",IF(X34&lt;=0.8,"Alta","Muy Alta"))))),"")</f>
        <v/>
      </c>
      <c r="Z34" s="112" t="str">
        <f t="shared" ref="Z34:Z35" si="26">+X34</f>
        <v/>
      </c>
      <c r="AA34" s="111" t="str">
        <f t="shared" ref="AA34:AA35" si="27">IFERROR(IF(AB34="","",IF(AB34&lt;=0.2,"Leve",IF(AB34&lt;=0.4,"Menor",IF(AB34&lt;=0.6,"Moderado",IF(AB34&lt;=0.8,"Mayor","Catastrófico"))))),"")</f>
        <v/>
      </c>
      <c r="AB34" s="112" t="str">
        <f t="shared" ref="AB34:AB35" si="28">IFERROR(IF(AND(Q33="Impacto",Q34="Impacto"),(AB33-(+AB33*T34)),IF(AND(Q33="Probabilidad",Q34="Impacto"),(AB32-(+AB32*T34)),IF(Q34="Probabilidad",AB33,""))),"")</f>
        <v/>
      </c>
      <c r="AC34" s="11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86"/>
      <c r="AF34" s="187"/>
      <c r="AG34" s="185"/>
      <c r="AH34" s="164"/>
      <c r="AI34" s="164"/>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73"/>
      <c r="B35" s="380"/>
      <c r="C35" s="380"/>
      <c r="D35" s="380"/>
      <c r="E35" s="383"/>
      <c r="F35" s="380"/>
      <c r="G35" s="403"/>
      <c r="H35" s="406"/>
      <c r="I35" s="409"/>
      <c r="J35" s="415"/>
      <c r="K35" s="409">
        <f>IF(NOT(ISERROR(MATCH(J35,_xlfn.ANCHORARRAY(E47),0))),I49&amp;"Por favor no seleccionar los criterios de impacto",J35)</f>
        <v>0</v>
      </c>
      <c r="L35" s="406"/>
      <c r="M35" s="409"/>
      <c r="N35" s="412"/>
      <c r="O35" s="6">
        <v>3</v>
      </c>
      <c r="P35" s="166"/>
      <c r="Q35" s="107" t="str">
        <f t="shared" si="22"/>
        <v/>
      </c>
      <c r="R35" s="108"/>
      <c r="S35" s="108"/>
      <c r="T35" s="109" t="str">
        <f t="shared" si="23"/>
        <v/>
      </c>
      <c r="U35" s="108"/>
      <c r="V35" s="108"/>
      <c r="W35" s="108"/>
      <c r="X35" s="110" t="str">
        <f t="shared" si="24"/>
        <v/>
      </c>
      <c r="Y35" s="111" t="str">
        <f>IFERROR(IF(X35="","",IF(X35&lt;=0.2,"Muy Baja",IF(X35&lt;=0.4,"Baja",IF(X35&lt;=0.6,"Media",IF(X35&lt;=0.8,"Alta","Muy Alta"))))),"")</f>
        <v/>
      </c>
      <c r="Z35" s="112" t="str">
        <f t="shared" si="26"/>
        <v/>
      </c>
      <c r="AA35" s="111" t="str">
        <f t="shared" si="27"/>
        <v/>
      </c>
      <c r="AB35" s="112" t="str">
        <f t="shared" si="28"/>
        <v/>
      </c>
      <c r="AC35" s="113" t="str">
        <f t="shared" ref="AC35" si="29">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86"/>
      <c r="AF35" s="187"/>
      <c r="AG35" s="185"/>
      <c r="AH35" s="164"/>
      <c r="AI35" s="164"/>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73"/>
      <c r="B36" s="380"/>
      <c r="C36" s="380"/>
      <c r="D36" s="380"/>
      <c r="E36" s="383"/>
      <c r="F36" s="380"/>
      <c r="G36" s="403"/>
      <c r="H36" s="406"/>
      <c r="I36" s="409"/>
      <c r="J36" s="415"/>
      <c r="K36" s="409">
        <f>IF(NOT(ISERROR(MATCH(J36,_xlfn.ANCHORARRAY(E48),0))),I50&amp;"Por favor no seleccionar los criterios de impacto",J36)</f>
        <v>0</v>
      </c>
      <c r="L36" s="406"/>
      <c r="M36" s="409"/>
      <c r="N36" s="412"/>
      <c r="O36" s="6">
        <v>4</v>
      </c>
      <c r="P36" s="166"/>
      <c r="Q36" s="107" t="str">
        <f t="shared" ref="Q36:Q39" si="30">IF(OR(R36="Preventivo",R36="Detectivo"),"Probabilidad",IF(R36="Correctivo","Impacto",""))</f>
        <v/>
      </c>
      <c r="R36" s="108"/>
      <c r="S36" s="108"/>
      <c r="T36" s="109" t="str">
        <f t="shared" ref="T36:T39" si="31">IF(AND(R36="Preventivo",S36="Automático"),"50%",IF(AND(R36="Preventivo",S36="Manual"),"40%",IF(AND(R36="Detectivo",S36="Automático"),"40%",IF(AND(R36="Detectivo",S36="Manual"),"30%",IF(AND(R36="Correctivo",S36="Automático"),"35%",IF(AND(R36="Correctivo",S36="Manual"),"25%",""))))))</f>
        <v/>
      </c>
      <c r="U36" s="108"/>
      <c r="V36" s="108"/>
      <c r="W36" s="108"/>
      <c r="X36" s="110" t="str">
        <f t="shared" ref="X36:X38" si="32">IFERROR(IF(AND(Q35="Probabilidad",Q36="Probabilidad"),(Z35-(+Z35*T36)),IF(AND(Q35="Impacto",Q36="Probabilidad"),(Z34-(+Z34*T36)),IF(Q36="Impacto",Z35,""))),"")</f>
        <v/>
      </c>
      <c r="Y36" s="111" t="str">
        <f t="shared" si="1"/>
        <v/>
      </c>
      <c r="Z36" s="112" t="str">
        <f t="shared" ref="Z36:Z38" si="33">+X36</f>
        <v/>
      </c>
      <c r="AA36" s="111" t="str">
        <f t="shared" si="3"/>
        <v/>
      </c>
      <c r="AB36" s="112" t="str">
        <f t="shared" ref="AB36:AB38" si="34">IFERROR(IF(AND(Q35="Impacto",Q36="Impacto"),(AB35-(+AB35*T36)),IF(AND(Q35="Probabilidad",Q36="Impacto"),(AB34-(+AB34*T36)),IF(Q36="Probabilidad",AB35,""))),"")</f>
        <v/>
      </c>
      <c r="AC36" s="11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73"/>
      <c r="B37" s="380"/>
      <c r="C37" s="380"/>
      <c r="D37" s="380"/>
      <c r="E37" s="383"/>
      <c r="F37" s="380"/>
      <c r="G37" s="403"/>
      <c r="H37" s="406"/>
      <c r="I37" s="409"/>
      <c r="J37" s="415"/>
      <c r="K37" s="409">
        <f>IF(NOT(ISERROR(MATCH(J37,_xlfn.ANCHORARRAY(E49),0))),I51&amp;"Por favor no seleccionar los criterios de impacto",J37)</f>
        <v>0</v>
      </c>
      <c r="L37" s="406"/>
      <c r="M37" s="409"/>
      <c r="N37" s="412"/>
      <c r="O37" s="6">
        <v>5</v>
      </c>
      <c r="P37" s="166"/>
      <c r="Q37" s="107" t="str">
        <f t="shared" si="30"/>
        <v/>
      </c>
      <c r="R37" s="108"/>
      <c r="S37" s="108"/>
      <c r="T37" s="109" t="str">
        <f t="shared" si="31"/>
        <v/>
      </c>
      <c r="U37" s="108"/>
      <c r="V37" s="108"/>
      <c r="W37" s="108"/>
      <c r="X37" s="110" t="str">
        <f t="shared" si="32"/>
        <v/>
      </c>
      <c r="Y37" s="111" t="str">
        <f>IFERROR(IF(X37="","",IF(X37&lt;=0.2,"Muy Baja",IF(X37&lt;=0.4,"Baja",IF(X37&lt;=0.6,"Media",IF(X37&lt;=0.8,"Alta","Muy Alta"))))),"")</f>
        <v/>
      </c>
      <c r="Z37" s="112" t="str">
        <f t="shared" si="33"/>
        <v/>
      </c>
      <c r="AA37" s="111" t="str">
        <f t="shared" si="3"/>
        <v/>
      </c>
      <c r="AB37" s="112" t="str">
        <f t="shared" si="34"/>
        <v/>
      </c>
      <c r="AC37" s="113" t="str">
        <f t="shared" ref="AC37:AC38" si="3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6"/>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74"/>
      <c r="B38" s="381"/>
      <c r="C38" s="381"/>
      <c r="D38" s="381"/>
      <c r="E38" s="384"/>
      <c r="F38" s="381"/>
      <c r="G38" s="404"/>
      <c r="H38" s="407"/>
      <c r="I38" s="410"/>
      <c r="J38" s="416"/>
      <c r="K38" s="410">
        <f>IF(NOT(ISERROR(MATCH(J38,_xlfn.ANCHORARRAY(E50),0))),I52&amp;"Por favor no seleccionar los criterios de impacto",J38)</f>
        <v>0</v>
      </c>
      <c r="L38" s="407"/>
      <c r="M38" s="410"/>
      <c r="N38" s="413"/>
      <c r="O38" s="6">
        <v>6</v>
      </c>
      <c r="P38" s="166"/>
      <c r="Q38" s="107" t="str">
        <f t="shared" si="30"/>
        <v/>
      </c>
      <c r="R38" s="108"/>
      <c r="S38" s="108"/>
      <c r="T38" s="109" t="str">
        <f t="shared" si="31"/>
        <v/>
      </c>
      <c r="U38" s="108"/>
      <c r="V38" s="108"/>
      <c r="W38" s="108"/>
      <c r="X38" s="110" t="str">
        <f t="shared" si="32"/>
        <v/>
      </c>
      <c r="Y38" s="111" t="str">
        <f t="shared" si="1"/>
        <v/>
      </c>
      <c r="Z38" s="112" t="str">
        <f t="shared" si="33"/>
        <v/>
      </c>
      <c r="AA38" s="111" t="str">
        <f t="shared" si="3"/>
        <v/>
      </c>
      <c r="AB38" s="112" t="str">
        <f t="shared" si="34"/>
        <v/>
      </c>
      <c r="AC38" s="113" t="str">
        <f t="shared" si="35"/>
        <v/>
      </c>
      <c r="AD38" s="114"/>
      <c r="AE38" s="115"/>
      <c r="AF38" s="116"/>
      <c r="AG38" s="11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66" customHeight="1" x14ac:dyDescent="0.3">
      <c r="A39" s="372">
        <v>5</v>
      </c>
      <c r="B39" s="379" t="s">
        <v>153</v>
      </c>
      <c r="C39" s="379" t="s">
        <v>185</v>
      </c>
      <c r="D39" s="379" t="s">
        <v>346</v>
      </c>
      <c r="E39" s="382" t="s">
        <v>196</v>
      </c>
      <c r="F39" s="379" t="s">
        <v>157</v>
      </c>
      <c r="G39" s="402">
        <v>365</v>
      </c>
      <c r="H39" s="405" t="str">
        <f>IF(G39&lt;=0,"",IF(G39&lt;=2,"Muy Baja",IF(G39&lt;=24,"Baja",IF(G39&lt;=500,"Media",IF(G39&lt;=5000,"Alta","Muy Alta")))))</f>
        <v>Media</v>
      </c>
      <c r="I39" s="408">
        <f>IF(H39="","",IF(H39="Muy Baja",0.2,IF(H39="Baja",0.4,IF(H39="Media",0.6,IF(H39="Alta",0.8,IF(H39="Muy Alta",1,))))))</f>
        <v>0.6</v>
      </c>
      <c r="J39" s="414" t="s">
        <v>158</v>
      </c>
      <c r="K39" s="408" t="str">
        <f>IF(NOT(ISERROR(MATCH(J39,'Tabla Impacto'!$B$221:$B$223,0))),'Tabla Impacto'!$F$223&amp;"Por favor no seleccionar los criterios de impacto(Afectación Económica o presupuestal y Pérdida Reputacional)",J39)</f>
        <v xml:space="preserve">     Entre 100 y 500 SMLMV </v>
      </c>
      <c r="L39" s="405" t="str">
        <f>IF(OR(K39='Tabla Impacto'!$C$11,K39='Tabla Impacto'!$D$11),"Leve",IF(OR(K39='Tabla Impacto'!$C$12,K39='Tabla Impacto'!$D$12),"Menor",IF(OR(K39='Tabla Impacto'!$C$13,K39='Tabla Impacto'!$D$13),"Moderado",IF(OR(K39='Tabla Impacto'!$C$14,K39='Tabla Impacto'!$D$14),"Mayor",IF(OR(K39='Tabla Impacto'!$C$15,K39='Tabla Impacto'!$D$15),"Catastrófico","")))))</f>
        <v>Mayor</v>
      </c>
      <c r="M39" s="408">
        <f>IF(L39="","",IF(L39="Leve",0.2,IF(L39="Menor",0.4,IF(L39="Moderado",0.6,IF(L39="Mayor",0.8,IF(L39="Catastrófico",1,))))))</f>
        <v>0.8</v>
      </c>
      <c r="N39" s="411"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Alto</v>
      </c>
      <c r="O39" s="354">
        <v>1</v>
      </c>
      <c r="P39" s="352" t="s">
        <v>197</v>
      </c>
      <c r="Q39" s="356" t="str">
        <f t="shared" si="30"/>
        <v>Impacto</v>
      </c>
      <c r="R39" s="358" t="s">
        <v>198</v>
      </c>
      <c r="S39" s="358" t="s">
        <v>161</v>
      </c>
      <c r="T39" s="360" t="str">
        <f t="shared" si="31"/>
        <v>25%</v>
      </c>
      <c r="U39" s="358" t="s">
        <v>162</v>
      </c>
      <c r="V39" s="358" t="s">
        <v>163</v>
      </c>
      <c r="W39" s="358" t="s">
        <v>164</v>
      </c>
      <c r="X39" s="149">
        <f>IFERROR(IF(Q39="Probabilidad",(I39-(+I39*T39)),IF(Q39="Impacto",I39,"")),"")</f>
        <v>0.6</v>
      </c>
      <c r="Y39" s="362" t="str">
        <f>IFERROR(IF(X39="","",IF(X39&lt;=0.2,"Muy Baja",IF(X39&lt;=0.4,"Baja",IF(X39&lt;=0.6,"Media",IF(X39&lt;=0.8,"Alta","Muy Alta"))))),"")</f>
        <v>Media</v>
      </c>
      <c r="Z39" s="360">
        <f>+X39</f>
        <v>0.6</v>
      </c>
      <c r="AA39" s="362" t="str">
        <f>IFERROR(IF(AB39="","",IF(AB39&lt;=0.2,"Leve",IF(AB39&lt;=0.4,"Menor",IF(AB39&lt;=0.6,"Moderado",IF(AB39&lt;=0.8,"Mayor","Catastrófico"))))),"")</f>
        <v>Moderado</v>
      </c>
      <c r="AB39" s="360">
        <f>IFERROR(IF(Q39="Impacto",(M39-(+M39*T39)),IF(Q39="Probabilidad",M39,"")),"")</f>
        <v>0.60000000000000009</v>
      </c>
      <c r="AC39" s="364"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358" t="s">
        <v>165</v>
      </c>
      <c r="AE39" s="186" t="s">
        <v>199</v>
      </c>
      <c r="AF39" s="163" t="s">
        <v>181</v>
      </c>
      <c r="AG39" s="163" t="s">
        <v>200</v>
      </c>
      <c r="AH39" s="188">
        <v>45748</v>
      </c>
      <c r="AI39" s="188">
        <v>45869</v>
      </c>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42.75" customHeight="1" x14ac:dyDescent="0.3">
      <c r="A40" s="373"/>
      <c r="B40" s="380"/>
      <c r="C40" s="380"/>
      <c r="D40" s="380"/>
      <c r="E40" s="383"/>
      <c r="F40" s="380"/>
      <c r="G40" s="403"/>
      <c r="H40" s="406"/>
      <c r="I40" s="409"/>
      <c r="J40" s="415"/>
      <c r="K40" s="409"/>
      <c r="L40" s="406"/>
      <c r="M40" s="409"/>
      <c r="N40" s="412"/>
      <c r="O40" s="355"/>
      <c r="P40" s="353"/>
      <c r="Q40" s="357"/>
      <c r="R40" s="359"/>
      <c r="S40" s="359"/>
      <c r="T40" s="361"/>
      <c r="U40" s="359"/>
      <c r="V40" s="359"/>
      <c r="W40" s="359"/>
      <c r="X40" s="149"/>
      <c r="Y40" s="363"/>
      <c r="Z40" s="361"/>
      <c r="AA40" s="363"/>
      <c r="AB40" s="361"/>
      <c r="AC40" s="365"/>
      <c r="AD40" s="359"/>
      <c r="AE40" s="186" t="s">
        <v>201</v>
      </c>
      <c r="AF40" s="163" t="s">
        <v>181</v>
      </c>
      <c r="AG40" s="155" t="s">
        <v>202</v>
      </c>
      <c r="AH40" s="188">
        <v>45870</v>
      </c>
      <c r="AI40" s="188">
        <v>45961</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6.5" customHeight="1" x14ac:dyDescent="0.3">
      <c r="A41" s="373"/>
      <c r="B41" s="380"/>
      <c r="C41" s="380"/>
      <c r="D41" s="380"/>
      <c r="E41" s="383"/>
      <c r="F41" s="380"/>
      <c r="G41" s="403"/>
      <c r="H41" s="406"/>
      <c r="I41" s="409"/>
      <c r="J41" s="415"/>
      <c r="K41" s="409">
        <f>IF(NOT(ISERROR(MATCH(J41,_xlfn.ANCHORARRAY(E52),0))),I54&amp;"Por favor no seleccionar los criterios de impacto",J41)</f>
        <v>0</v>
      </c>
      <c r="L41" s="406"/>
      <c r="M41" s="409"/>
      <c r="N41" s="412"/>
      <c r="O41" s="106">
        <v>2</v>
      </c>
      <c r="P41" s="167"/>
      <c r="Q41" s="107" t="str">
        <f>IF(OR(R41="Preventivo",R41="Detectivo"),"Probabilidad",IF(R41="Correctivo","Impacto",""))</f>
        <v/>
      </c>
      <c r="R41" s="108"/>
      <c r="S41" s="108"/>
      <c r="T41" s="109" t="str">
        <f t="shared" ref="T41" si="36">IF(AND(R41="Preventivo",S41="Automático"),"50%",IF(AND(R41="Preventivo",S41="Manual"),"40%",IF(AND(R41="Detectivo",S41="Automático"),"40%",IF(AND(R41="Detectivo",S41="Manual"),"30%",IF(AND(R41="Correctivo",S41="Automático"),"35%",IF(AND(R41="Correctivo",S41="Manual"),"25%",""))))))</f>
        <v/>
      </c>
      <c r="U41" s="108"/>
      <c r="V41" s="108"/>
      <c r="W41" s="108"/>
      <c r="X41" s="110" t="str">
        <f>IFERROR(IF(AND(Q40="Probabilidad",Q41="Probabilidad"),(Z40-(+Z40*T41)),IF(AND(Q40="Impacto",Q41="Probabilidad"),(Z38-(+Z38*T41)),IF(Q41="Impacto",Z40,""))),"")</f>
        <v/>
      </c>
      <c r="Y41" s="111" t="str">
        <f t="shared" ref="Y41" si="37">IFERROR(IF(X41="","",IF(X41&lt;=0.2,"Muy Baja",IF(X41&lt;=0.4,"Baja",IF(X41&lt;=0.6,"Media",IF(X41&lt;=0.8,"Alta","Muy Alta"))))),"")</f>
        <v/>
      </c>
      <c r="Z41" s="112" t="str">
        <f t="shared" ref="Z41" si="38">+X41</f>
        <v/>
      </c>
      <c r="AA41" s="111" t="str">
        <f t="shared" ref="AA41" si="39">IFERROR(IF(AB41="","",IF(AB41&lt;=0.2,"Leve",IF(AB41&lt;=0.4,"Menor",IF(AB41&lt;=0.6,"Moderado",IF(AB41&lt;=0.8,"Mayor","Catastrófico"))))),"")</f>
        <v/>
      </c>
      <c r="AB41" s="112" t="str">
        <f>IFERROR(IF(AND(Q40="Impacto",Q41="Impacto"),(AB40-(+AB40*T41)),IF(AND(Q40="Probabilidad",Q41="Impacto"),(AB38-(+AB38*T41)),IF(Q41="Probabilidad",AB40,""))),"")</f>
        <v/>
      </c>
      <c r="AC41" s="113" t="str">
        <f t="shared" ref="AC41" si="40">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89"/>
      <c r="AF41" s="163"/>
      <c r="AG41" s="155"/>
      <c r="AH41" s="188"/>
      <c r="AI41" s="18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73"/>
      <c r="B42" s="380"/>
      <c r="C42" s="380"/>
      <c r="D42" s="380"/>
      <c r="E42" s="383"/>
      <c r="F42" s="380"/>
      <c r="G42" s="403"/>
      <c r="H42" s="406"/>
      <c r="I42" s="409"/>
      <c r="J42" s="415"/>
      <c r="K42" s="409">
        <f>IF(NOT(ISERROR(MATCH(J42,_xlfn.ANCHORARRAY(E53),0))),I55&amp;"Por favor no seleccionar los criterios de impacto",J42)</f>
        <v>0</v>
      </c>
      <c r="L42" s="406"/>
      <c r="M42" s="409"/>
      <c r="N42" s="412"/>
      <c r="O42" s="106">
        <v>3</v>
      </c>
      <c r="P42" s="167"/>
      <c r="Q42" s="107" t="str">
        <f>IF(OR(R42="Preventivo",R42="Detectivo"),"Probabilidad",IF(R42="Correctivo","Impacto",""))</f>
        <v/>
      </c>
      <c r="R42" s="108"/>
      <c r="S42" s="108"/>
      <c r="T42" s="109" t="str">
        <f t="shared" ref="T42:T46" si="41">IF(AND(R42="Preventivo",S42="Automático"),"50%",IF(AND(R42="Preventivo",S42="Manual"),"40%",IF(AND(R42="Detectivo",S42="Automático"),"40%",IF(AND(R42="Detectivo",S42="Manual"),"30%",IF(AND(R42="Correctivo",S42="Automático"),"35%",IF(AND(R42="Correctivo",S42="Manual"),"25%",""))))))</f>
        <v/>
      </c>
      <c r="U42" s="108"/>
      <c r="V42" s="108"/>
      <c r="W42" s="108"/>
      <c r="X42" s="110" t="str">
        <f>IFERROR(IF(AND(Q41="Probabilidad",Q42="Probabilidad"),(Z41-(+Z41*T42)),IF(AND(Q41="Impacto",Q42="Probabilidad"),(Z39-(+Z39*T42)),IF(Q42="Impacto",Z41,""))),"")</f>
        <v/>
      </c>
      <c r="Y42" s="111" t="str">
        <f t="shared" si="1"/>
        <v/>
      </c>
      <c r="Z42" s="112" t="str">
        <f t="shared" ref="Z42:Z45" si="42">+X42</f>
        <v/>
      </c>
      <c r="AA42" s="111" t="str">
        <f t="shared" si="3"/>
        <v/>
      </c>
      <c r="AB42" s="112" t="str">
        <f>IFERROR(IF(AND(Q41="Impacto",Q42="Impacto"),(AB41-(+AB41*T42)),IF(AND(Q41="Probabilidad",Q42="Impacto"),(AB39-(+AB39*T42)),IF(Q42="Probabilidad",AB41,""))),"")</f>
        <v/>
      </c>
      <c r="AC42" s="113" t="str">
        <f t="shared" ref="AC42" si="43">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73"/>
      <c r="B43" s="380"/>
      <c r="C43" s="380"/>
      <c r="D43" s="380"/>
      <c r="E43" s="383"/>
      <c r="F43" s="380"/>
      <c r="G43" s="403"/>
      <c r="H43" s="406"/>
      <c r="I43" s="409"/>
      <c r="J43" s="415"/>
      <c r="K43" s="409">
        <f>IF(NOT(ISERROR(MATCH(J43,_xlfn.ANCHORARRAY(E54),0))),I56&amp;"Por favor no seleccionar los criterios de impacto",J43)</f>
        <v>0</v>
      </c>
      <c r="L43" s="406"/>
      <c r="M43" s="409"/>
      <c r="N43" s="412"/>
      <c r="O43" s="106">
        <v>4</v>
      </c>
      <c r="P43" s="166"/>
      <c r="Q43" s="107" t="str">
        <f t="shared" ref="Q43:Q46" si="44">IF(OR(R43="Preventivo",R43="Detectivo"),"Probabilidad",IF(R43="Correctivo","Impacto",""))</f>
        <v/>
      </c>
      <c r="R43" s="108"/>
      <c r="S43" s="108"/>
      <c r="T43" s="109" t="str">
        <f t="shared" si="41"/>
        <v/>
      </c>
      <c r="U43" s="108"/>
      <c r="V43" s="108"/>
      <c r="W43" s="108"/>
      <c r="X43" s="110" t="str">
        <f t="shared" ref="X43:X45" si="45">IFERROR(IF(AND(Q42="Probabilidad",Q43="Probabilidad"),(Z42-(+Z42*T43)),IF(AND(Q42="Impacto",Q43="Probabilidad"),(Z41-(+Z41*T43)),IF(Q43="Impacto",Z42,""))),"")</f>
        <v/>
      </c>
      <c r="Y43" s="111" t="str">
        <f t="shared" si="1"/>
        <v/>
      </c>
      <c r="Z43" s="112" t="str">
        <f t="shared" si="42"/>
        <v/>
      </c>
      <c r="AA43" s="111" t="str">
        <f t="shared" si="3"/>
        <v/>
      </c>
      <c r="AB43" s="112" t="str">
        <f t="shared" ref="AB43:AB45" si="46">IFERROR(IF(AND(Q42="Impacto",Q43="Impacto"),(AB42-(+AB42*T43)),IF(AND(Q42="Probabilidad",Q43="Impacto"),(AB41-(+AB41*T43)),IF(Q43="Probabilidad",AB42,""))),"")</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6"/>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73"/>
      <c r="B44" s="380"/>
      <c r="C44" s="380"/>
      <c r="D44" s="380"/>
      <c r="E44" s="383"/>
      <c r="F44" s="380"/>
      <c r="G44" s="403"/>
      <c r="H44" s="406"/>
      <c r="I44" s="409"/>
      <c r="J44" s="415"/>
      <c r="K44" s="409">
        <f>IF(NOT(ISERROR(MATCH(J44,_xlfn.ANCHORARRAY(E55),0))),I57&amp;"Por favor no seleccionar los criterios de impacto",J44)</f>
        <v>0</v>
      </c>
      <c r="L44" s="406"/>
      <c r="M44" s="409"/>
      <c r="N44" s="412"/>
      <c r="O44" s="106">
        <v>5</v>
      </c>
      <c r="P44" s="166"/>
      <c r="Q44" s="107" t="str">
        <f t="shared" si="44"/>
        <v/>
      </c>
      <c r="R44" s="108"/>
      <c r="S44" s="108"/>
      <c r="T44" s="109" t="str">
        <f t="shared" si="41"/>
        <v/>
      </c>
      <c r="U44" s="108"/>
      <c r="V44" s="108"/>
      <c r="W44" s="108"/>
      <c r="X44" s="110" t="str">
        <f t="shared" si="45"/>
        <v/>
      </c>
      <c r="Y44" s="111" t="str">
        <f t="shared" si="1"/>
        <v/>
      </c>
      <c r="Z44" s="112" t="str">
        <f t="shared" si="42"/>
        <v/>
      </c>
      <c r="AA44" s="111" t="str">
        <f t="shared" si="3"/>
        <v/>
      </c>
      <c r="AB44" s="112" t="str">
        <f t="shared" si="46"/>
        <v/>
      </c>
      <c r="AC44" s="113" t="str">
        <f t="shared" ref="AC44:AC45" si="47">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6"/>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74"/>
      <c r="B45" s="381"/>
      <c r="C45" s="381"/>
      <c r="D45" s="381"/>
      <c r="E45" s="384"/>
      <c r="F45" s="381"/>
      <c r="G45" s="404"/>
      <c r="H45" s="407"/>
      <c r="I45" s="410"/>
      <c r="J45" s="416"/>
      <c r="K45" s="410">
        <f>IF(NOT(ISERROR(MATCH(J45,_xlfn.ANCHORARRAY(E56),0))),I58&amp;"Por favor no seleccionar los criterios de impacto",J45)</f>
        <v>0</v>
      </c>
      <c r="L45" s="407"/>
      <c r="M45" s="410"/>
      <c r="N45" s="413"/>
      <c r="O45" s="106">
        <v>6</v>
      </c>
      <c r="P45" s="166"/>
      <c r="Q45" s="107" t="str">
        <f t="shared" si="44"/>
        <v/>
      </c>
      <c r="R45" s="108"/>
      <c r="S45" s="108"/>
      <c r="T45" s="109" t="str">
        <f t="shared" si="41"/>
        <v/>
      </c>
      <c r="U45" s="108"/>
      <c r="V45" s="108"/>
      <c r="W45" s="108"/>
      <c r="X45" s="110" t="str">
        <f t="shared" si="45"/>
        <v/>
      </c>
      <c r="Y45" s="111" t="str">
        <f t="shared" si="1"/>
        <v/>
      </c>
      <c r="Z45" s="112" t="str">
        <f t="shared" si="42"/>
        <v/>
      </c>
      <c r="AA45" s="111" t="str">
        <f t="shared" si="3"/>
        <v/>
      </c>
      <c r="AB45" s="112" t="str">
        <f t="shared" si="46"/>
        <v/>
      </c>
      <c r="AC45" s="113" t="str">
        <f t="shared" si="47"/>
        <v/>
      </c>
      <c r="AD45" s="114"/>
      <c r="AE45" s="115"/>
      <c r="AF45" s="116"/>
      <c r="AG45" s="116"/>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83.25" customHeight="1" x14ac:dyDescent="0.3">
      <c r="A46" s="372">
        <v>6</v>
      </c>
      <c r="B46" s="379" t="s">
        <v>203</v>
      </c>
      <c r="C46" s="379" t="s">
        <v>204</v>
      </c>
      <c r="D46" s="379" t="s">
        <v>205</v>
      </c>
      <c r="E46" s="382" t="s">
        <v>206</v>
      </c>
      <c r="F46" s="379" t="s">
        <v>157</v>
      </c>
      <c r="G46" s="402">
        <v>360</v>
      </c>
      <c r="H46" s="405" t="str">
        <f>IF(G46&lt;=0,"",IF(G46&lt;=2,"Muy Baja",IF(G46&lt;=24,"Baja",IF(G46&lt;=500,"Media",IF(G46&lt;=5000,"Alta","Muy Alta")))))</f>
        <v>Media</v>
      </c>
      <c r="I46" s="408">
        <f>IF(H46="","",IF(H46="Muy Baja",0.2,IF(H46="Baja",0.4,IF(H46="Media",0.6,IF(H46="Alta",0.8,IF(H46="Muy Alta",1,))))))</f>
        <v>0.6</v>
      </c>
      <c r="J46" s="414" t="s">
        <v>188</v>
      </c>
      <c r="K46" s="408"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405" t="str">
        <f>IF(OR(K46='Tabla Impacto'!$C$11,K46='Tabla Impacto'!$D$11),"Leve",IF(OR(K46='Tabla Impacto'!$C$12,K46='Tabla Impacto'!$D$12),"Menor",IF(OR(K46='Tabla Impacto'!$C$13,K46='Tabla Impacto'!$D$13),"Moderado",IF(OR(K46='Tabla Impacto'!$C$14,K46='Tabla Impacto'!$D$14),"Mayor",IF(OR(K46='Tabla Impacto'!$C$15,K46='Tabla Impacto'!$D$15),"Catastrófico","")))))</f>
        <v>Moderado</v>
      </c>
      <c r="M46" s="408">
        <f>IF(L46="","",IF(L46="Leve",0.2,IF(L46="Menor",0.4,IF(L46="Moderado",0.6,IF(L46="Mayor",0.8,IF(L46="Catastrófico",1,))))))</f>
        <v>0.6</v>
      </c>
      <c r="N46" s="411"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166" t="s">
        <v>207</v>
      </c>
      <c r="Q46" s="152" t="str">
        <f t="shared" si="44"/>
        <v>Probabilidad</v>
      </c>
      <c r="R46" s="157" t="s">
        <v>160</v>
      </c>
      <c r="S46" s="157" t="s">
        <v>161</v>
      </c>
      <c r="T46" s="158" t="str">
        <f t="shared" si="41"/>
        <v>40%</v>
      </c>
      <c r="U46" s="157" t="s">
        <v>162</v>
      </c>
      <c r="V46" s="157" t="s">
        <v>163</v>
      </c>
      <c r="W46" s="157" t="s">
        <v>164</v>
      </c>
      <c r="X46" s="149">
        <f>IFERROR(IF(Q46="Probabilidad",(I46-(+I46*T46)),IF(Q46="Impacto",I46,"")),"")</f>
        <v>0.36</v>
      </c>
      <c r="Y46" s="159" t="str">
        <f>IFERROR(IF(X46="","",IF(X46&lt;=0.2,"Muy Baja",IF(X46&lt;=0.4,"Baja",IF(X46&lt;=0.6,"Media",IF(X46&lt;=0.8,"Alta","Muy Alta"))))),"")</f>
        <v>Baja</v>
      </c>
      <c r="Z46" s="160">
        <f>+X46</f>
        <v>0.36</v>
      </c>
      <c r="AA46" s="159" t="str">
        <f>IFERROR(IF(AB46="","",IF(AB46&lt;=0.2,"Leve",IF(AB46&lt;=0.4,"Menor",IF(AB46&lt;=0.6,"Moderado",IF(AB46&lt;=0.8,"Mayor","Catastrófico"))))),"")</f>
        <v>Moderado</v>
      </c>
      <c r="AB46" s="160">
        <f>IFERROR(IF(Q46="Impacto",(M46-(+M46*T46)),IF(Q46="Probabilidad",M46,"")),"")</f>
        <v>0.6</v>
      </c>
      <c r="AC46" s="16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62" t="s">
        <v>165</v>
      </c>
      <c r="AE46" s="186" t="s">
        <v>208</v>
      </c>
      <c r="AF46" s="190" t="s">
        <v>209</v>
      </c>
      <c r="AG46" s="187" t="s">
        <v>210</v>
      </c>
      <c r="AH46" s="191">
        <v>45658</v>
      </c>
      <c r="AI46" s="191">
        <v>46021</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73"/>
      <c r="B47" s="380"/>
      <c r="C47" s="380"/>
      <c r="D47" s="380"/>
      <c r="E47" s="383"/>
      <c r="F47" s="380"/>
      <c r="G47" s="403"/>
      <c r="H47" s="406"/>
      <c r="I47" s="409"/>
      <c r="J47" s="415"/>
      <c r="K47" s="409">
        <f>IF(NOT(ISERROR(MATCH(J47,_xlfn.ANCHORARRAY(E58),0))),I60&amp;"Por favor no seleccionar los criterios de impacto",J47)</f>
        <v>0</v>
      </c>
      <c r="L47" s="406"/>
      <c r="M47" s="409"/>
      <c r="N47" s="412"/>
      <c r="O47" s="106">
        <v>2</v>
      </c>
      <c r="P47" s="166"/>
      <c r="Q47" s="107" t="str">
        <f>IF(OR(R47="Preventivo",R47="Detectivo"),"Probabilidad",IF(R47="Correctivo","Impacto",""))</f>
        <v/>
      </c>
      <c r="R47" s="108"/>
      <c r="S47" s="108"/>
      <c r="T47" s="109" t="str">
        <f t="shared" ref="T47:T51" si="48">IF(AND(R47="Preventivo",S47="Automático"),"50%",IF(AND(R47="Preventivo",S47="Manual"),"40%",IF(AND(R47="Detectivo",S47="Automático"),"40%",IF(AND(R47="Detectivo",S47="Manual"),"30%",IF(AND(R47="Correctivo",S47="Automático"),"35%",IF(AND(R47="Correctivo",S47="Manual"),"25%",""))))))</f>
        <v/>
      </c>
      <c r="U47" s="108"/>
      <c r="V47" s="108"/>
      <c r="W47" s="108"/>
      <c r="X47" s="110" t="str">
        <f>IFERROR(IF(AND(Q46="Probabilidad",Q47="Probabilidad"),(Z46-(+Z46*T47)),IF(Q47="Probabilidad",(I46-(+I46*T47)),IF(Q47="Impacto",Z46,""))),"")</f>
        <v/>
      </c>
      <c r="Y47" s="111" t="str">
        <f t="shared" si="1"/>
        <v/>
      </c>
      <c r="Z47" s="112" t="str">
        <f t="shared" ref="Z47:Z51" si="49">+X47</f>
        <v/>
      </c>
      <c r="AA47" s="111" t="str">
        <f t="shared" si="3"/>
        <v/>
      </c>
      <c r="AB47" s="112" t="str">
        <f>IFERROR(IF(AND(Q46="Impacto",Q47="Impacto"),(AB46-(+AB46*T47)),IF(Q47="Impacto",(M46-(+M46*T47)),IF(Q47="Probabilidad",AB46,""))),"")</f>
        <v/>
      </c>
      <c r="AC47" s="11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73"/>
      <c r="B48" s="380"/>
      <c r="C48" s="380"/>
      <c r="D48" s="380"/>
      <c r="E48" s="383"/>
      <c r="F48" s="380"/>
      <c r="G48" s="403"/>
      <c r="H48" s="406"/>
      <c r="I48" s="409"/>
      <c r="J48" s="415"/>
      <c r="K48" s="409">
        <f>IF(NOT(ISERROR(MATCH(J48,_xlfn.ANCHORARRAY(E59),0))),I61&amp;"Por favor no seleccionar los criterios de impacto",J48)</f>
        <v>0</v>
      </c>
      <c r="L48" s="406"/>
      <c r="M48" s="409"/>
      <c r="N48" s="412"/>
      <c r="O48" s="106">
        <v>3</v>
      </c>
      <c r="P48" s="167"/>
      <c r="Q48" s="107" t="str">
        <f>IF(OR(R48="Preventivo",R48="Detectivo"),"Probabilidad",IF(R48="Correctivo","Impacto",""))</f>
        <v/>
      </c>
      <c r="R48" s="108"/>
      <c r="S48" s="108"/>
      <c r="T48" s="109" t="str">
        <f t="shared" si="48"/>
        <v/>
      </c>
      <c r="U48" s="108"/>
      <c r="V48" s="108"/>
      <c r="W48" s="108"/>
      <c r="X48" s="110" t="str">
        <f>IFERROR(IF(AND(Q47="Probabilidad",Q48="Probabilidad"),(Z47-(+Z47*T48)),IF(AND(Q47="Impacto",Q48="Probabilidad"),(Z46-(+Z46*T48)),IF(Q48="Impacto",Z47,""))),"")</f>
        <v/>
      </c>
      <c r="Y48" s="111" t="str">
        <f t="shared" si="1"/>
        <v/>
      </c>
      <c r="Z48" s="112" t="str">
        <f t="shared" si="49"/>
        <v/>
      </c>
      <c r="AA48" s="111" t="str">
        <f t="shared" si="3"/>
        <v/>
      </c>
      <c r="AB48" s="112" t="str">
        <f>IFERROR(IF(AND(Q47="Impacto",Q48="Impacto"),(AB47-(+AB47*T48)),IF(AND(Q47="Probabilidad",Q48="Impacto"),(AB46-(+AB46*T48)),IF(Q48="Probabilidad",AB47,""))),"")</f>
        <v/>
      </c>
      <c r="AC48" s="113" t="str">
        <f t="shared" si="50"/>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73"/>
      <c r="B49" s="380"/>
      <c r="C49" s="380"/>
      <c r="D49" s="380"/>
      <c r="E49" s="383"/>
      <c r="F49" s="380"/>
      <c r="G49" s="403"/>
      <c r="H49" s="406"/>
      <c r="I49" s="409"/>
      <c r="J49" s="415"/>
      <c r="K49" s="409">
        <f>IF(NOT(ISERROR(MATCH(J49,_xlfn.ANCHORARRAY(E60),0))),I62&amp;"Por favor no seleccionar los criterios de impacto",J49)</f>
        <v>0</v>
      </c>
      <c r="L49" s="406"/>
      <c r="M49" s="409"/>
      <c r="N49" s="412"/>
      <c r="O49" s="106">
        <v>4</v>
      </c>
      <c r="P49" s="166"/>
      <c r="Q49" s="107" t="str">
        <f t="shared" ref="Q49:Q51" si="51">IF(OR(R49="Preventivo",R49="Detectivo"),"Probabilidad",IF(R49="Correctivo","Impacto",""))</f>
        <v/>
      </c>
      <c r="R49" s="108"/>
      <c r="S49" s="108"/>
      <c r="T49" s="109" t="str">
        <f t="shared" si="48"/>
        <v/>
      </c>
      <c r="U49" s="108"/>
      <c r="V49" s="108"/>
      <c r="W49" s="108"/>
      <c r="X49" s="110" t="str">
        <f t="shared" ref="X49:X51" si="52">IFERROR(IF(AND(Q48="Probabilidad",Q49="Probabilidad"),(Z48-(+Z48*T49)),IF(AND(Q48="Impacto",Q49="Probabilidad"),(Z47-(+Z47*T49)),IF(Q49="Impacto",Z48,""))),"")</f>
        <v/>
      </c>
      <c r="Y49" s="111" t="str">
        <f t="shared" si="1"/>
        <v/>
      </c>
      <c r="Z49" s="112" t="str">
        <f t="shared" si="49"/>
        <v/>
      </c>
      <c r="AA49" s="111" t="str">
        <f t="shared" si="3"/>
        <v/>
      </c>
      <c r="AB49" s="112" t="str">
        <f t="shared" ref="AB49:AB51" si="53">IFERROR(IF(AND(Q48="Impacto",Q49="Impacto"),(AB48-(+AB48*T49)),IF(AND(Q48="Probabilidad",Q49="Impacto"),(AB47-(+AB47*T49)),IF(Q49="Probabilidad",AB48,""))),"")</f>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73"/>
      <c r="B50" s="380"/>
      <c r="C50" s="380"/>
      <c r="D50" s="380"/>
      <c r="E50" s="383"/>
      <c r="F50" s="380"/>
      <c r="G50" s="403"/>
      <c r="H50" s="406"/>
      <c r="I50" s="409"/>
      <c r="J50" s="415"/>
      <c r="K50" s="409">
        <f>IF(NOT(ISERROR(MATCH(J50,_xlfn.ANCHORARRAY(E61),0))),I63&amp;"Por favor no seleccionar los criterios de impacto",J50)</f>
        <v>0</v>
      </c>
      <c r="L50" s="406"/>
      <c r="M50" s="409"/>
      <c r="N50" s="412"/>
      <c r="O50" s="106">
        <v>5</v>
      </c>
      <c r="P50" s="166"/>
      <c r="Q50" s="107" t="str">
        <f t="shared" si="51"/>
        <v/>
      </c>
      <c r="R50" s="108"/>
      <c r="S50" s="108"/>
      <c r="T50" s="109" t="str">
        <f t="shared" si="48"/>
        <v/>
      </c>
      <c r="U50" s="108"/>
      <c r="V50" s="108"/>
      <c r="W50" s="108"/>
      <c r="X50" s="110" t="str">
        <f t="shared" si="52"/>
        <v/>
      </c>
      <c r="Y50" s="111" t="str">
        <f t="shared" si="1"/>
        <v/>
      </c>
      <c r="Z50" s="112" t="str">
        <f t="shared" si="49"/>
        <v/>
      </c>
      <c r="AA50" s="111" t="str">
        <f t="shared" si="3"/>
        <v/>
      </c>
      <c r="AB50" s="112" t="str">
        <f t="shared" si="53"/>
        <v/>
      </c>
      <c r="AC50" s="113" t="str">
        <f t="shared" ref="AC50"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6"/>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74"/>
      <c r="B51" s="381"/>
      <c r="C51" s="381"/>
      <c r="D51" s="381"/>
      <c r="E51" s="384"/>
      <c r="F51" s="381"/>
      <c r="G51" s="404"/>
      <c r="H51" s="407"/>
      <c r="I51" s="410"/>
      <c r="J51" s="416"/>
      <c r="K51" s="410">
        <f>IF(NOT(ISERROR(MATCH(J51,_xlfn.ANCHORARRAY(E62),0))),I64&amp;"Por favor no seleccionar los criterios de impacto",J51)</f>
        <v>0</v>
      </c>
      <c r="L51" s="407"/>
      <c r="M51" s="410"/>
      <c r="N51" s="413"/>
      <c r="O51" s="106">
        <v>6</v>
      </c>
      <c r="P51" s="166"/>
      <c r="Q51" s="107" t="str">
        <f t="shared" si="51"/>
        <v/>
      </c>
      <c r="R51" s="108"/>
      <c r="S51" s="108"/>
      <c r="T51" s="109" t="str">
        <f t="shared" si="48"/>
        <v/>
      </c>
      <c r="U51" s="108"/>
      <c r="V51" s="108"/>
      <c r="W51" s="108"/>
      <c r="X51" s="110" t="str">
        <f t="shared" si="52"/>
        <v/>
      </c>
      <c r="Y51" s="111" t="str">
        <f t="shared" si="1"/>
        <v/>
      </c>
      <c r="Z51" s="112" t="str">
        <f t="shared" si="49"/>
        <v/>
      </c>
      <c r="AA51" s="111" t="str">
        <f>IFERROR(IF(AB51="","",IF(AB51&lt;=0.2,"Leve",IF(AB51&lt;=0.4,"Menor",IF(AB51&lt;=0.6,"Moderado",IF(AB51&lt;=0.8,"Mayor","Catastrófico"))))),"")</f>
        <v/>
      </c>
      <c r="AB51" s="112" t="str">
        <f t="shared" si="53"/>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6"/>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99" customHeight="1" x14ac:dyDescent="0.3">
      <c r="A52" s="372">
        <v>7</v>
      </c>
      <c r="B52" s="379" t="s">
        <v>203</v>
      </c>
      <c r="C52" s="379" t="s">
        <v>348</v>
      </c>
      <c r="D52" s="379" t="s">
        <v>347</v>
      </c>
      <c r="E52" s="382" t="s">
        <v>211</v>
      </c>
      <c r="F52" s="379" t="s">
        <v>157</v>
      </c>
      <c r="G52" s="402">
        <v>24</v>
      </c>
      <c r="H52" s="405" t="str">
        <f>IF(G52&lt;=0,"",IF(G52&lt;=2,"Muy Baja",IF(G52&lt;=24,"Baja",IF(G52&lt;=500,"Media",IF(G52&lt;=5000,"Alta","Muy Alta")))))</f>
        <v>Baja</v>
      </c>
      <c r="I52" s="408">
        <f>IF(H52="","",IF(H52="Muy Baja",0.2,IF(H52="Baja",0.4,IF(H52="Media",0.6,IF(H52="Alta",0.8,IF(H52="Muy Alta",1,))))))</f>
        <v>0.4</v>
      </c>
      <c r="J52" s="414" t="s">
        <v>188</v>
      </c>
      <c r="K52" s="408" t="str">
        <f>IF(NOT(ISERROR(MATCH(J52,'Tabla Impacto'!$B$221:$B$223,0))),'Tabla Impacto'!$F$223&amp;"Por favor no seleccionar los criterios de impacto(Afectación Económica o presupuestal y Pérdida Reputacional)",J52)</f>
        <v xml:space="preserve">     El riesgo afecta la imagen de la entidad con algunos usuarios de relevancia frente al logro de los objetivos</v>
      </c>
      <c r="L52" s="405" t="str">
        <f>IF(OR(K52='Tabla Impacto'!$C$11,K52='Tabla Impacto'!$D$11),"Leve",IF(OR(K52='Tabla Impacto'!$C$12,K52='Tabla Impacto'!$D$12),"Menor",IF(OR(K52='Tabla Impacto'!$C$13,K52='Tabla Impacto'!$D$13),"Moderado",IF(OR(K52='Tabla Impacto'!$C$14,K52='Tabla Impacto'!$D$14),"Mayor",IF(OR(K52='Tabla Impacto'!$C$15,K52='Tabla Impacto'!$D$15),"Catastrófico","")))))</f>
        <v>Moderado</v>
      </c>
      <c r="M52" s="408">
        <f>IF(L52="","",IF(L52="Leve",0.2,IF(L52="Menor",0.4,IF(L52="Moderado",0.6,IF(L52="Mayor",0.8,IF(L52="Catastrófico",1,))))))</f>
        <v>0.6</v>
      </c>
      <c r="N52" s="411"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Moderado</v>
      </c>
      <c r="O52" s="106">
        <v>1</v>
      </c>
      <c r="P52" s="192" t="s">
        <v>212</v>
      </c>
      <c r="Q52" s="152" t="str">
        <f>IF(OR(R52="Preventivo",R52="Detectivo"),"Probabilidad",IF(R52="Correctivo","Impacto",""))</f>
        <v>Probabilidad</v>
      </c>
      <c r="R52" s="157" t="s">
        <v>160</v>
      </c>
      <c r="S52" s="157" t="s">
        <v>161</v>
      </c>
      <c r="T52" s="158" t="str">
        <f>IF(AND(R52="Preventivo",S52="Automático"),"50%",IF(AND(R52="Preventivo",S52="Manual"),"40%",IF(AND(R52="Detectivo",S52="Automático"),"40%",IF(AND(R52="Detectivo",S52="Manual"),"30%",IF(AND(R52="Correctivo",S52="Automático"),"35%",IF(AND(R52="Correctivo",S52="Manual"),"25%",""))))))</f>
        <v>40%</v>
      </c>
      <c r="U52" s="157" t="s">
        <v>162</v>
      </c>
      <c r="V52" s="157" t="s">
        <v>163</v>
      </c>
      <c r="W52" s="157" t="s">
        <v>164</v>
      </c>
      <c r="X52" s="149">
        <f>IFERROR(IF(Q52="Probabilidad",(I52-(+I52*T52)),IF(Q52="Impacto",I52,"")),"")</f>
        <v>0.24</v>
      </c>
      <c r="Y52" s="159" t="str">
        <f>IFERROR(IF(X52="","",IF(X52&lt;=0.2,"Muy Baja",IF(X52&lt;=0.4,"Baja",IF(X52&lt;=0.6,"Media",IF(X52&lt;=0.8,"Alta","Muy Alta"))))),"")</f>
        <v>Baja</v>
      </c>
      <c r="Z52" s="160">
        <f>+X52</f>
        <v>0.24</v>
      </c>
      <c r="AA52" s="159" t="str">
        <f>IFERROR(IF(AB52="","",IF(AB52&lt;=0.2,"Leve",IF(AB52&lt;=0.4,"Menor",IF(AB52&lt;=0.6,"Moderado",IF(AB52&lt;=0.8,"Mayor","Catastrófico"))))),"")</f>
        <v>Moderado</v>
      </c>
      <c r="AB52" s="160">
        <f>IFERROR(IF(Q52="Impacto",(M52-(+M52*T52)),IF(Q52="Probabilidad",M52,"")),"")</f>
        <v>0.6</v>
      </c>
      <c r="AC52" s="16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62" t="s">
        <v>165</v>
      </c>
      <c r="AE52" s="186" t="s">
        <v>213</v>
      </c>
      <c r="AF52" s="163" t="s">
        <v>214</v>
      </c>
      <c r="AG52" s="193" t="s">
        <v>215</v>
      </c>
      <c r="AH52" s="156">
        <v>45658</v>
      </c>
      <c r="AI52" s="156">
        <v>46021</v>
      </c>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373"/>
      <c r="B53" s="380"/>
      <c r="C53" s="380"/>
      <c r="D53" s="380"/>
      <c r="E53" s="383"/>
      <c r="F53" s="380"/>
      <c r="G53" s="403"/>
      <c r="H53" s="406"/>
      <c r="I53" s="409"/>
      <c r="J53" s="415"/>
      <c r="K53" s="409">
        <f>IF(NOT(ISERROR(MATCH(J53,_xlfn.ANCHORARRAY(E64),0))),I66&amp;"Por favor no seleccionar los criterios de impacto",J53)</f>
        <v>0</v>
      </c>
      <c r="L53" s="406"/>
      <c r="M53" s="409"/>
      <c r="N53" s="412"/>
      <c r="O53" s="106">
        <v>2</v>
      </c>
      <c r="P53" s="166"/>
      <c r="Q53" s="152" t="str">
        <f>IF(OR(R53="Preventivo",R53="Detectivo"),"Probabilidad",IF(R53="Correctivo","Impacto",""))</f>
        <v/>
      </c>
      <c r="R53" s="157"/>
      <c r="S53" s="157"/>
      <c r="T53" s="158" t="str">
        <f t="shared" ref="T53:T57" si="55">IF(AND(R53="Preventivo",S53="Automático"),"50%",IF(AND(R53="Preventivo",S53="Manual"),"40%",IF(AND(R53="Detectivo",S53="Automático"),"40%",IF(AND(R53="Detectivo",S53="Manual"),"30%",IF(AND(R53="Correctivo",S53="Automático"),"35%",IF(AND(R53="Correctivo",S53="Manual"),"25%",""))))))</f>
        <v/>
      </c>
      <c r="U53" s="157"/>
      <c r="V53" s="157"/>
      <c r="W53" s="157"/>
      <c r="X53" s="149" t="str">
        <f>IFERROR(IF(AND(Q52="Probabilidad",Q53="Probabilidad"),(Z52-(+Z52*T53)),IF(Q53="Probabilidad",(I52-(+I52*T53)),IF(Q53="Impacto",Z52,""))),"")</f>
        <v/>
      </c>
      <c r="Y53" s="159" t="str">
        <f t="shared" si="1"/>
        <v/>
      </c>
      <c r="Z53" s="160" t="str">
        <f t="shared" ref="Z53:Z57" si="56">+X53</f>
        <v/>
      </c>
      <c r="AA53" s="159" t="str">
        <f t="shared" si="3"/>
        <v/>
      </c>
      <c r="AB53" s="160" t="str">
        <f>IFERROR(IF(AND(Q52="Impacto",Q53="Impacto"),(AB52-(+AB52*T53)),IF(Q53="Impacto",(M52-(+M52*T53)),IF(Q53="Probabilidad",AB52,""))),"")</f>
        <v/>
      </c>
      <c r="AC53" s="161"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62"/>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373"/>
      <c r="B54" s="380"/>
      <c r="C54" s="380"/>
      <c r="D54" s="380"/>
      <c r="E54" s="383"/>
      <c r="F54" s="380"/>
      <c r="G54" s="403"/>
      <c r="H54" s="406"/>
      <c r="I54" s="409"/>
      <c r="J54" s="415"/>
      <c r="K54" s="409">
        <f>IF(NOT(ISERROR(MATCH(J54,_xlfn.ANCHORARRAY(E65),0))),I67&amp;"Por favor no seleccionar los criterios de impacto",J54)</f>
        <v>0</v>
      </c>
      <c r="L54" s="406"/>
      <c r="M54" s="409"/>
      <c r="N54" s="412"/>
      <c r="O54" s="106">
        <v>3</v>
      </c>
      <c r="P54" s="167"/>
      <c r="Q54" s="107" t="str">
        <f>IF(OR(R54="Preventivo",R54="Detectivo"),"Probabilidad",IF(R54="Correctivo","Impacto",""))</f>
        <v/>
      </c>
      <c r="R54" s="108"/>
      <c r="S54" s="108"/>
      <c r="T54" s="109" t="str">
        <f t="shared" si="55"/>
        <v/>
      </c>
      <c r="U54" s="108"/>
      <c r="V54" s="108"/>
      <c r="W54" s="108"/>
      <c r="X54" s="110" t="str">
        <f>IFERROR(IF(AND(Q53="Probabilidad",Q54="Probabilidad"),(Z53-(+Z53*T54)),IF(AND(Q53="Impacto",Q54="Probabilidad"),(Z52-(+Z52*T54)),IF(Q54="Impacto",Z53,""))),"")</f>
        <v/>
      </c>
      <c r="Y54" s="111" t="str">
        <f t="shared" si="1"/>
        <v/>
      </c>
      <c r="Z54" s="112" t="str">
        <f t="shared" si="56"/>
        <v/>
      </c>
      <c r="AA54" s="111" t="str">
        <f t="shared" si="3"/>
        <v/>
      </c>
      <c r="AB54" s="112" t="str">
        <f>IFERROR(IF(AND(Q53="Impacto",Q54="Impacto"),(AB53-(+AB53*T54)),IF(AND(Q53="Probabilidad",Q54="Impacto"),(AB52-(+AB52*T54)),IF(Q54="Probabilidad",AB53,""))),"")</f>
        <v/>
      </c>
      <c r="AC54" s="113" t="str">
        <f t="shared" si="57"/>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373"/>
      <c r="B55" s="380"/>
      <c r="C55" s="380"/>
      <c r="D55" s="380"/>
      <c r="E55" s="383"/>
      <c r="F55" s="380"/>
      <c r="G55" s="403"/>
      <c r="H55" s="406"/>
      <c r="I55" s="409"/>
      <c r="J55" s="415"/>
      <c r="K55" s="409">
        <f>IF(NOT(ISERROR(MATCH(J55,_xlfn.ANCHORARRAY(E66),0))),I68&amp;"Por favor no seleccionar los criterios de impacto",J55)</f>
        <v>0</v>
      </c>
      <c r="L55" s="406"/>
      <c r="M55" s="409"/>
      <c r="N55" s="412"/>
      <c r="O55" s="106">
        <v>4</v>
      </c>
      <c r="P55" s="166"/>
      <c r="Q55" s="107" t="str">
        <f t="shared" ref="Q55:Q58" si="58">IF(OR(R55="Preventivo",R55="Detectivo"),"Probabilidad",IF(R55="Correctivo","Impacto",""))</f>
        <v/>
      </c>
      <c r="R55" s="108"/>
      <c r="S55" s="108"/>
      <c r="T55" s="109" t="str">
        <f t="shared" si="55"/>
        <v/>
      </c>
      <c r="U55" s="108"/>
      <c r="V55" s="108"/>
      <c r="W55" s="108"/>
      <c r="X55" s="110" t="str">
        <f t="shared" ref="X55:X57" si="59">IFERROR(IF(AND(Q54="Probabilidad",Q55="Probabilidad"),(Z54-(+Z54*T55)),IF(AND(Q54="Impacto",Q55="Probabilidad"),(Z53-(+Z53*T55)),IF(Q55="Impacto",Z54,""))),"")</f>
        <v/>
      </c>
      <c r="Y55" s="111" t="str">
        <f t="shared" si="1"/>
        <v/>
      </c>
      <c r="Z55" s="112" t="str">
        <f t="shared" si="56"/>
        <v/>
      </c>
      <c r="AA55" s="111" t="str">
        <f t="shared" si="3"/>
        <v/>
      </c>
      <c r="AB55" s="112" t="str">
        <f t="shared" ref="AB55:AB57" si="60">IFERROR(IF(AND(Q54="Impacto",Q55="Impacto"),(AB54-(+AB54*T55)),IF(AND(Q54="Probabilidad",Q55="Impacto"),(AB53-(+AB53*T55)),IF(Q55="Probabilidad",AB54,""))),"")</f>
        <v/>
      </c>
      <c r="AC55" s="11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373"/>
      <c r="B56" s="380"/>
      <c r="C56" s="380"/>
      <c r="D56" s="380"/>
      <c r="E56" s="383"/>
      <c r="F56" s="380"/>
      <c r="G56" s="403"/>
      <c r="H56" s="406"/>
      <c r="I56" s="409"/>
      <c r="J56" s="415"/>
      <c r="K56" s="409">
        <f>IF(NOT(ISERROR(MATCH(J56,_xlfn.ANCHORARRAY(E67),0))),I69&amp;"Por favor no seleccionar los criterios de impacto",J56)</f>
        <v>0</v>
      </c>
      <c r="L56" s="406"/>
      <c r="M56" s="409"/>
      <c r="N56" s="412"/>
      <c r="O56" s="106">
        <v>5</v>
      </c>
      <c r="P56" s="166"/>
      <c r="Q56" s="107" t="str">
        <f t="shared" si="58"/>
        <v/>
      </c>
      <c r="R56" s="108"/>
      <c r="S56" s="108"/>
      <c r="T56" s="109" t="str">
        <f t="shared" si="55"/>
        <v/>
      </c>
      <c r="U56" s="108"/>
      <c r="V56" s="108"/>
      <c r="W56" s="108"/>
      <c r="X56" s="110" t="str">
        <f t="shared" si="59"/>
        <v/>
      </c>
      <c r="Y56" s="111" t="str">
        <f t="shared" si="1"/>
        <v/>
      </c>
      <c r="Z56" s="112" t="str">
        <f t="shared" si="56"/>
        <v/>
      </c>
      <c r="AA56" s="111" t="str">
        <f t="shared" si="3"/>
        <v/>
      </c>
      <c r="AB56" s="112" t="str">
        <f t="shared" si="60"/>
        <v/>
      </c>
      <c r="AC56" s="11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374"/>
      <c r="B57" s="381"/>
      <c r="C57" s="381"/>
      <c r="D57" s="381"/>
      <c r="E57" s="384"/>
      <c r="F57" s="381"/>
      <c r="G57" s="404"/>
      <c r="H57" s="407"/>
      <c r="I57" s="410"/>
      <c r="J57" s="416"/>
      <c r="K57" s="410">
        <f>IF(NOT(ISERROR(MATCH(J57,_xlfn.ANCHORARRAY(E68),0))),I70&amp;"Por favor no seleccionar los criterios de impacto",J57)</f>
        <v>0</v>
      </c>
      <c r="L57" s="407"/>
      <c r="M57" s="410"/>
      <c r="N57" s="413"/>
      <c r="O57" s="106">
        <v>6</v>
      </c>
      <c r="P57" s="166"/>
      <c r="Q57" s="107" t="str">
        <f t="shared" si="58"/>
        <v/>
      </c>
      <c r="R57" s="108"/>
      <c r="S57" s="108"/>
      <c r="T57" s="109" t="str">
        <f t="shared" si="55"/>
        <v/>
      </c>
      <c r="U57" s="108"/>
      <c r="V57" s="108"/>
      <c r="W57" s="108"/>
      <c r="X57" s="110" t="str">
        <f t="shared" si="59"/>
        <v/>
      </c>
      <c r="Y57" s="111" t="str">
        <f t="shared" si="1"/>
        <v/>
      </c>
      <c r="Z57" s="112" t="str">
        <f t="shared" si="56"/>
        <v/>
      </c>
      <c r="AA57" s="111" t="str">
        <f t="shared" si="3"/>
        <v/>
      </c>
      <c r="AB57" s="112" t="str">
        <f t="shared" si="60"/>
        <v/>
      </c>
      <c r="AC57" s="113" t="str">
        <f t="shared" si="61"/>
        <v/>
      </c>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75" customHeight="1" x14ac:dyDescent="0.3">
      <c r="A58" s="372">
        <v>8</v>
      </c>
      <c r="B58" s="379" t="s">
        <v>203</v>
      </c>
      <c r="C58" s="379" t="s">
        <v>216</v>
      </c>
      <c r="D58" s="379" t="s">
        <v>349</v>
      </c>
      <c r="E58" s="382" t="s">
        <v>217</v>
      </c>
      <c r="F58" s="379" t="s">
        <v>157</v>
      </c>
      <c r="G58" s="402">
        <v>2</v>
      </c>
      <c r="H58" s="405" t="str">
        <f>IF(G58&lt;=0,"",IF(G58&lt;=2,"Muy Baja",IF(G58&lt;=24,"Baja",IF(G58&lt;=500,"Media",IF(G58&lt;=5000,"Alta","Muy Alta")))))</f>
        <v>Muy Baja</v>
      </c>
      <c r="I58" s="408">
        <f>IF(H58="","",IF(H58="Muy Baja",0.2,IF(H58="Baja",0.4,IF(H58="Media",0.6,IF(H58="Alta",0.8,IF(H58="Muy Alta",1,))))))</f>
        <v>0.2</v>
      </c>
      <c r="J58" s="414" t="s">
        <v>188</v>
      </c>
      <c r="K58" s="408" t="str">
        <f>IF(NOT(ISERROR(MATCH(J58,'Tabla Impacto'!$B$221:$B$223,0))),'Tabla Impacto'!$F$223&amp;"Por favor no seleccionar los criterios de impacto(Afectación Económica o presupuestal y Pérdida Reputacional)",J58)</f>
        <v xml:space="preserve">     El riesgo afecta la imagen de la entidad con algunos usuarios de relevancia frente al logro de los objetivos</v>
      </c>
      <c r="L58" s="405" t="str">
        <f>IF(OR(K58='Tabla Impacto'!$C$11,K58='Tabla Impacto'!$D$11),"Leve",IF(OR(K58='Tabla Impacto'!$C$12,K58='Tabla Impacto'!$D$12),"Menor",IF(OR(K58='Tabla Impacto'!$C$13,K58='Tabla Impacto'!$D$13),"Moderado",IF(OR(K58='Tabla Impacto'!$C$14,K58='Tabla Impacto'!$D$14),"Mayor",IF(OR(K58='Tabla Impacto'!$C$15,K58='Tabla Impacto'!$D$15),"Catastrófico","")))))</f>
        <v>Moderado</v>
      </c>
      <c r="M58" s="408">
        <f>IF(L58="","",IF(L58="Leve",0.2,IF(L58="Menor",0.4,IF(L58="Moderado",0.6,IF(L58="Mayor",0.8,IF(L58="Catastrófico",1,))))))</f>
        <v>0.6</v>
      </c>
      <c r="N58" s="411"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Moderado</v>
      </c>
      <c r="O58" s="106">
        <v>1</v>
      </c>
      <c r="P58" s="166" t="s">
        <v>218</v>
      </c>
      <c r="Q58" s="107" t="str">
        <f t="shared" si="58"/>
        <v>Probabilidad</v>
      </c>
      <c r="R58" s="157" t="s">
        <v>160</v>
      </c>
      <c r="S58" s="157" t="s">
        <v>161</v>
      </c>
      <c r="T58" s="158" t="str">
        <f>IF(AND(R58="Preventivo",S58="Automático"),"50%",IF(AND(R58="Preventivo",S58="Manual"),"40%",IF(AND(R58="Detectivo",S58="Automático"),"40%",IF(AND(R58="Detectivo",S58="Manual"),"30%",IF(AND(R58="Correctivo",S58="Automático"),"35%",IF(AND(R58="Correctivo",S58="Manual"),"25%",""))))))</f>
        <v>40%</v>
      </c>
      <c r="U58" s="157" t="s">
        <v>162</v>
      </c>
      <c r="V58" s="157" t="s">
        <v>163</v>
      </c>
      <c r="W58" s="157" t="s">
        <v>164</v>
      </c>
      <c r="X58" s="149">
        <f>IFERROR(IF(Q58="Probabilidad",(I58-(+I58*T58)),IF(Q58="Impacto",I58,"")),"")</f>
        <v>0.12</v>
      </c>
      <c r="Y58" s="159" t="str">
        <f>IFERROR(IF(X58="","",IF(X58&lt;=0.2,"Muy Baja",IF(X58&lt;=0.4,"Baja",IF(X58&lt;=0.6,"Media",IF(X58&lt;=0.8,"Alta","Muy Alta"))))),"")</f>
        <v>Muy Baja</v>
      </c>
      <c r="Z58" s="160">
        <f>+X58</f>
        <v>0.12</v>
      </c>
      <c r="AA58" s="159" t="str">
        <f>IFERROR(IF(AB58="","",IF(AB58&lt;=0.2,"Leve",IF(AB58&lt;=0.4,"Menor",IF(AB58&lt;=0.6,"Moderado",IF(AB58&lt;=0.8,"Mayor","Catastrófico"))))),"")</f>
        <v>Moderado</v>
      </c>
      <c r="AB58" s="160">
        <f>IFERROR(IF(Q58="Impacto",(M58-(+M58*T58)),IF(Q58="Probabilidad",M58,"")),"")</f>
        <v>0.6</v>
      </c>
      <c r="AC58" s="16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162" t="s">
        <v>165</v>
      </c>
      <c r="AE58" s="186" t="s">
        <v>219</v>
      </c>
      <c r="AF58" s="184" t="s">
        <v>220</v>
      </c>
      <c r="AG58" s="184" t="s">
        <v>221</v>
      </c>
      <c r="AH58" s="194">
        <v>45748</v>
      </c>
      <c r="AI58" s="195">
        <v>46010</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373"/>
      <c r="B59" s="380"/>
      <c r="C59" s="380"/>
      <c r="D59" s="380"/>
      <c r="E59" s="383"/>
      <c r="F59" s="380"/>
      <c r="G59" s="403"/>
      <c r="H59" s="406"/>
      <c r="I59" s="409"/>
      <c r="J59" s="415"/>
      <c r="K59" s="409">
        <f>IF(NOT(ISERROR(MATCH(J59,_xlfn.ANCHORARRAY(E70),0))),I72&amp;"Por favor no seleccionar los criterios de impacto",J59)</f>
        <v>0</v>
      </c>
      <c r="L59" s="406"/>
      <c r="M59" s="409"/>
      <c r="N59" s="412"/>
      <c r="O59" s="106">
        <v>2</v>
      </c>
      <c r="P59" s="166"/>
      <c r="Q59" s="107" t="str">
        <f>IF(OR(R59="Preventivo",R59="Detectivo"),"Probabilidad",IF(R59="Correctivo","Impacto",""))</f>
        <v/>
      </c>
      <c r="R59" s="108"/>
      <c r="S59" s="108"/>
      <c r="T59" s="109" t="str">
        <f t="shared" ref="T59:T63" si="62">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1"/>
        <v/>
      </c>
      <c r="Z59" s="112" t="str">
        <f t="shared" ref="Z59:Z63" si="63">+X59</f>
        <v/>
      </c>
      <c r="AA59" s="111" t="str">
        <f t="shared" si="3"/>
        <v/>
      </c>
      <c r="AB59" s="112" t="str">
        <f>IFERROR(IF(AND(Q58="Impacto",Q59="Impacto"),(AB58-(+AB58*T59)),IF(Q59="Impacto",(M58-(+M58*T59)),IF(Q59="Probabilidad",AB58,""))),"")</f>
        <v/>
      </c>
      <c r="AC59" s="11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373"/>
      <c r="B60" s="380"/>
      <c r="C60" s="380"/>
      <c r="D60" s="380"/>
      <c r="E60" s="383"/>
      <c r="F60" s="380"/>
      <c r="G60" s="403"/>
      <c r="H60" s="406"/>
      <c r="I60" s="409"/>
      <c r="J60" s="415"/>
      <c r="K60" s="409">
        <f>IF(NOT(ISERROR(MATCH(J60,_xlfn.ANCHORARRAY(E71),0))),I73&amp;"Por favor no seleccionar los criterios de impacto",J60)</f>
        <v>0</v>
      </c>
      <c r="L60" s="406"/>
      <c r="M60" s="409"/>
      <c r="N60" s="412"/>
      <c r="O60" s="106">
        <v>3</v>
      </c>
      <c r="P60" s="167"/>
      <c r="Q60" s="107" t="str">
        <f>IF(OR(R60="Preventivo",R60="Detectivo"),"Probabilidad",IF(R60="Correctivo","Impacto",""))</f>
        <v/>
      </c>
      <c r="R60" s="108"/>
      <c r="S60" s="108"/>
      <c r="T60" s="109" t="str">
        <f t="shared" si="62"/>
        <v/>
      </c>
      <c r="U60" s="108"/>
      <c r="V60" s="108"/>
      <c r="W60" s="108"/>
      <c r="X60" s="110" t="str">
        <f>IFERROR(IF(AND(Q59="Probabilidad",Q60="Probabilidad"),(Z59-(+Z59*T60)),IF(AND(Q59="Impacto",Q60="Probabilidad"),(Z58-(+Z58*T60)),IF(Q60="Impacto",Z59,""))),"")</f>
        <v/>
      </c>
      <c r="Y60" s="111" t="str">
        <f t="shared" si="1"/>
        <v/>
      </c>
      <c r="Z60" s="112" t="str">
        <f t="shared" si="63"/>
        <v/>
      </c>
      <c r="AA60" s="111" t="str">
        <f t="shared" si="3"/>
        <v/>
      </c>
      <c r="AB60" s="112" t="str">
        <f>IFERROR(IF(AND(Q59="Impacto",Q60="Impacto"),(AB59-(+AB59*T60)),IF(AND(Q59="Probabilidad",Q60="Impacto"),(AB58-(+AB58*T60)),IF(Q60="Probabilidad",AB59,""))),"")</f>
        <v/>
      </c>
      <c r="AC60" s="113" t="str">
        <f t="shared" si="64"/>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373"/>
      <c r="B61" s="380"/>
      <c r="C61" s="380"/>
      <c r="D61" s="380"/>
      <c r="E61" s="383"/>
      <c r="F61" s="380"/>
      <c r="G61" s="403"/>
      <c r="H61" s="406"/>
      <c r="I61" s="409"/>
      <c r="J61" s="415"/>
      <c r="K61" s="409">
        <f>IF(NOT(ISERROR(MATCH(J61,_xlfn.ANCHORARRAY(E72),0))),I74&amp;"Por favor no seleccionar los criterios de impacto",J61)</f>
        <v>0</v>
      </c>
      <c r="L61" s="406"/>
      <c r="M61" s="409"/>
      <c r="N61" s="412"/>
      <c r="O61" s="106">
        <v>4</v>
      </c>
      <c r="P61" s="166"/>
      <c r="Q61" s="107" t="str">
        <f t="shared" ref="Q61:Q64" si="65">IF(OR(R61="Preventivo",R61="Detectivo"),"Probabilidad",IF(R61="Correctivo","Impacto",""))</f>
        <v/>
      </c>
      <c r="R61" s="108"/>
      <c r="S61" s="108"/>
      <c r="T61" s="109" t="str">
        <f t="shared" si="62"/>
        <v/>
      </c>
      <c r="U61" s="108"/>
      <c r="V61" s="108"/>
      <c r="W61" s="108"/>
      <c r="X61" s="110" t="str">
        <f t="shared" ref="X61:X63" si="66">IFERROR(IF(AND(Q60="Probabilidad",Q61="Probabilidad"),(Z60-(+Z60*T61)),IF(AND(Q60="Impacto",Q61="Probabilidad"),(Z59-(+Z59*T61)),IF(Q61="Impacto",Z60,""))),"")</f>
        <v/>
      </c>
      <c r="Y61" s="111" t="str">
        <f t="shared" si="1"/>
        <v/>
      </c>
      <c r="Z61" s="112" t="str">
        <f t="shared" si="63"/>
        <v/>
      </c>
      <c r="AA61" s="111" t="str">
        <f t="shared" si="3"/>
        <v/>
      </c>
      <c r="AB61" s="112" t="str">
        <f t="shared" ref="AB61:AB63" si="67">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373"/>
      <c r="B62" s="380"/>
      <c r="C62" s="380"/>
      <c r="D62" s="380"/>
      <c r="E62" s="383"/>
      <c r="F62" s="380"/>
      <c r="G62" s="403"/>
      <c r="H62" s="406"/>
      <c r="I62" s="409"/>
      <c r="J62" s="415"/>
      <c r="K62" s="409">
        <f>IF(NOT(ISERROR(MATCH(J62,_xlfn.ANCHORARRAY(E73),0))),I75&amp;"Por favor no seleccionar los criterios de impacto",J62)</f>
        <v>0</v>
      </c>
      <c r="L62" s="406"/>
      <c r="M62" s="409"/>
      <c r="N62" s="412"/>
      <c r="O62" s="106">
        <v>5</v>
      </c>
      <c r="P62" s="166"/>
      <c r="Q62" s="107" t="str">
        <f t="shared" si="65"/>
        <v/>
      </c>
      <c r="R62" s="108"/>
      <c r="S62" s="108"/>
      <c r="T62" s="109" t="str">
        <f t="shared" si="62"/>
        <v/>
      </c>
      <c r="U62" s="108"/>
      <c r="V62" s="108"/>
      <c r="W62" s="108"/>
      <c r="X62" s="110" t="str">
        <f t="shared" si="66"/>
        <v/>
      </c>
      <c r="Y62" s="111" t="str">
        <f t="shared" si="1"/>
        <v/>
      </c>
      <c r="Z62" s="112" t="str">
        <f t="shared" si="63"/>
        <v/>
      </c>
      <c r="AA62" s="111" t="str">
        <f t="shared" si="3"/>
        <v/>
      </c>
      <c r="AB62" s="112" t="str">
        <f t="shared" si="67"/>
        <v/>
      </c>
      <c r="AC62" s="11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374"/>
      <c r="B63" s="381"/>
      <c r="C63" s="381"/>
      <c r="D63" s="381"/>
      <c r="E63" s="384"/>
      <c r="F63" s="381"/>
      <c r="G63" s="404"/>
      <c r="H63" s="407"/>
      <c r="I63" s="410"/>
      <c r="J63" s="416"/>
      <c r="K63" s="410">
        <f>IF(NOT(ISERROR(MATCH(J63,_xlfn.ANCHORARRAY(E74),0))),I76&amp;"Por favor no seleccionar los criterios de impacto",J63)</f>
        <v>0</v>
      </c>
      <c r="L63" s="407"/>
      <c r="M63" s="410"/>
      <c r="N63" s="413"/>
      <c r="O63" s="106">
        <v>6</v>
      </c>
      <c r="P63" s="166"/>
      <c r="Q63" s="107" t="str">
        <f t="shared" si="65"/>
        <v/>
      </c>
      <c r="R63" s="108"/>
      <c r="S63" s="108"/>
      <c r="T63" s="109" t="str">
        <f t="shared" si="62"/>
        <v/>
      </c>
      <c r="U63" s="108"/>
      <c r="V63" s="108"/>
      <c r="W63" s="108"/>
      <c r="X63" s="110" t="str">
        <f t="shared" si="66"/>
        <v/>
      </c>
      <c r="Y63" s="111" t="str">
        <f t="shared" si="1"/>
        <v/>
      </c>
      <c r="Z63" s="112" t="str">
        <f t="shared" si="63"/>
        <v/>
      </c>
      <c r="AA63" s="111" t="str">
        <f t="shared" si="3"/>
        <v/>
      </c>
      <c r="AB63" s="112" t="str">
        <f t="shared" si="67"/>
        <v/>
      </c>
      <c r="AC63" s="113" t="str">
        <f t="shared" si="68"/>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08.75" customHeight="1" x14ac:dyDescent="0.3">
      <c r="A64" s="372">
        <v>9</v>
      </c>
      <c r="B64" s="379" t="s">
        <v>203</v>
      </c>
      <c r="C64" s="379" t="s">
        <v>222</v>
      </c>
      <c r="D64" s="379" t="s">
        <v>223</v>
      </c>
      <c r="E64" s="382" t="s">
        <v>224</v>
      </c>
      <c r="F64" s="379" t="s">
        <v>157</v>
      </c>
      <c r="G64" s="402">
        <v>369</v>
      </c>
      <c r="H64" s="405" t="str">
        <f>IF(G64&lt;=0,"",IF(G64&lt;=2,"Muy Baja",IF(G64&lt;=24,"Baja",IF(G64&lt;=500,"Media",IF(G64&lt;=5000,"Alta","Muy Alta")))))</f>
        <v>Media</v>
      </c>
      <c r="I64" s="408">
        <f>IF(H64="","",IF(H64="Muy Baja",0.2,IF(H64="Baja",0.4,IF(H64="Media",0.6,IF(H64="Alta",0.8,IF(H64="Muy Alta",1,))))))</f>
        <v>0.6</v>
      </c>
      <c r="J64" s="414" t="s">
        <v>188</v>
      </c>
      <c r="K64" s="408"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405" t="str">
        <f>IF(OR(K64='Tabla Impacto'!$C$11,K64='Tabla Impacto'!$D$11),"Leve",IF(OR(K64='Tabla Impacto'!$C$12,K64='Tabla Impacto'!$D$12),"Menor",IF(OR(K64='Tabla Impacto'!$C$13,K64='Tabla Impacto'!$D$13),"Moderado",IF(OR(K64='Tabla Impacto'!$C$14,K64='Tabla Impacto'!$D$14),"Mayor",IF(OR(K64='Tabla Impacto'!$C$15,K64='Tabla Impacto'!$D$15),"Catastrófico","")))))</f>
        <v>Moderado</v>
      </c>
      <c r="M64" s="408">
        <f>IF(L64="","",IF(L64="Leve",0.2,IF(L64="Menor",0.4,IF(L64="Moderado",0.6,IF(L64="Mayor",0.8,IF(L64="Catastrófico",1,))))))</f>
        <v>0.6</v>
      </c>
      <c r="N64" s="41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6">
        <v>1</v>
      </c>
      <c r="P64" s="166" t="s">
        <v>225</v>
      </c>
      <c r="Q64" s="152" t="str">
        <f t="shared" si="65"/>
        <v>Probabilidad</v>
      </c>
      <c r="R64" s="157" t="s">
        <v>160</v>
      </c>
      <c r="S64" s="157" t="s">
        <v>161</v>
      </c>
      <c r="T64" s="158" t="str">
        <f>IF(AND(R64="Preventivo",S64="Automático"),"50%",IF(AND(R64="Preventivo",S64="Manual"),"40%",IF(AND(R64="Detectivo",S64="Automático"),"40%",IF(AND(R64="Detectivo",S64="Manual"),"30%",IF(AND(R64="Correctivo",S64="Automático"),"35%",IF(AND(R64="Correctivo",S64="Manual"),"25%",""))))))</f>
        <v>40%</v>
      </c>
      <c r="U64" s="157" t="s">
        <v>162</v>
      </c>
      <c r="V64" s="157" t="s">
        <v>163</v>
      </c>
      <c r="W64" s="157" t="s">
        <v>164</v>
      </c>
      <c r="X64" s="149">
        <f>IFERROR(IF(Q64="Probabilidad",(I64-(+I64*T64)),IF(Q64="Impacto",I64,"")),"")</f>
        <v>0.36</v>
      </c>
      <c r="Y64" s="159" t="str">
        <f>IFERROR(IF(X64="","",IF(X64&lt;=0.2,"Muy Baja",IF(X64&lt;=0.4,"Baja",IF(X64&lt;=0.6,"Media",IF(X64&lt;=0.8,"Alta","Muy Alta"))))),"")</f>
        <v>Baja</v>
      </c>
      <c r="Z64" s="160">
        <f>+X64</f>
        <v>0.36</v>
      </c>
      <c r="AA64" s="159" t="str">
        <f>IFERROR(IF(AB64="","",IF(AB64&lt;=0.2,"Leve",IF(AB64&lt;=0.4,"Menor",IF(AB64&lt;=0.6,"Moderado",IF(AB64&lt;=0.8,"Mayor","Catastrófico"))))),"")</f>
        <v>Moderado</v>
      </c>
      <c r="AB64" s="160">
        <f>IFERROR(IF(Q64="Impacto",(M64-(+M64*T64)),IF(Q64="Probabilidad",M64,"")),"")</f>
        <v>0.6</v>
      </c>
      <c r="AC64" s="16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62" t="s">
        <v>165</v>
      </c>
      <c r="AE64" s="186" t="s">
        <v>226</v>
      </c>
      <c r="AF64" s="163" t="s">
        <v>227</v>
      </c>
      <c r="AG64" s="163" t="s">
        <v>228</v>
      </c>
      <c r="AH64" s="156">
        <v>45689</v>
      </c>
      <c r="AI64" s="156">
        <v>46010</v>
      </c>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373"/>
      <c r="B65" s="380"/>
      <c r="C65" s="380"/>
      <c r="D65" s="380"/>
      <c r="E65" s="383"/>
      <c r="F65" s="380"/>
      <c r="G65" s="403"/>
      <c r="H65" s="406"/>
      <c r="I65" s="409"/>
      <c r="J65" s="415"/>
      <c r="K65" s="409">
        <f>IF(NOT(ISERROR(MATCH(J65,_xlfn.ANCHORARRAY(E76),0))),I78&amp;"Por favor no seleccionar los criterios de impacto",J65)</f>
        <v>0</v>
      </c>
      <c r="L65" s="406"/>
      <c r="M65" s="409"/>
      <c r="N65" s="412"/>
      <c r="O65" s="106">
        <v>2</v>
      </c>
      <c r="P65" s="166"/>
      <c r="Q65" s="107" t="str">
        <f>IF(OR(R65="Preventivo",R65="Detectivo"),"Probabilidad",IF(R65="Correctivo","Impacto",""))</f>
        <v/>
      </c>
      <c r="R65" s="108"/>
      <c r="S65" s="108"/>
      <c r="T65" s="109" t="str">
        <f t="shared" ref="T65:T69" si="69">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1"/>
        <v/>
      </c>
      <c r="Z65" s="112" t="str">
        <f t="shared" ref="Z65:Z69" si="70">+X65</f>
        <v/>
      </c>
      <c r="AA65" s="111" t="str">
        <f t="shared" si="3"/>
        <v/>
      </c>
      <c r="AB65" s="112" t="str">
        <f>IFERROR(IF(AND(Q64="Impacto",Q65="Impacto"),(AB64-(+AB64*T65)),IF(Q65="Impacto",(M64-(+M64*T65)),IF(Q65="Probabilidad",AB64,""))),"")</f>
        <v/>
      </c>
      <c r="AC65" s="11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373"/>
      <c r="B66" s="380"/>
      <c r="C66" s="380"/>
      <c r="D66" s="380"/>
      <c r="E66" s="383"/>
      <c r="F66" s="380"/>
      <c r="G66" s="403"/>
      <c r="H66" s="406"/>
      <c r="I66" s="409"/>
      <c r="J66" s="415"/>
      <c r="K66" s="409">
        <f>IF(NOT(ISERROR(MATCH(J66,_xlfn.ANCHORARRAY(E77),0))),I79&amp;"Por favor no seleccionar los criterios de impacto",J66)</f>
        <v>0</v>
      </c>
      <c r="L66" s="406"/>
      <c r="M66" s="409"/>
      <c r="N66" s="412"/>
      <c r="O66" s="106">
        <v>3</v>
      </c>
      <c r="P66" s="167"/>
      <c r="Q66" s="107" t="str">
        <f>IF(OR(R66="Preventivo",R66="Detectivo"),"Probabilidad",IF(R66="Correctivo","Impacto",""))</f>
        <v/>
      </c>
      <c r="R66" s="108"/>
      <c r="S66" s="108"/>
      <c r="T66" s="109" t="str">
        <f t="shared" si="69"/>
        <v/>
      </c>
      <c r="U66" s="108"/>
      <c r="V66" s="108"/>
      <c r="W66" s="108"/>
      <c r="X66" s="110" t="str">
        <f>IFERROR(IF(AND(Q65="Probabilidad",Q66="Probabilidad"),(Z65-(+Z65*T66)),IF(AND(Q65="Impacto",Q66="Probabilidad"),(Z64-(+Z64*T66)),IF(Q66="Impacto",Z65,""))),"")</f>
        <v/>
      </c>
      <c r="Y66" s="111" t="str">
        <f t="shared" si="1"/>
        <v/>
      </c>
      <c r="Z66" s="112" t="str">
        <f t="shared" si="70"/>
        <v/>
      </c>
      <c r="AA66" s="111" t="str">
        <f t="shared" si="3"/>
        <v/>
      </c>
      <c r="AB66" s="112" t="str">
        <f>IFERROR(IF(AND(Q65="Impacto",Q66="Impacto"),(AB65-(+AB65*T66)),IF(AND(Q65="Probabilidad",Q66="Impacto"),(AB64-(+AB64*T66)),IF(Q66="Probabilidad",AB65,""))),"")</f>
        <v/>
      </c>
      <c r="AC66" s="113" t="str">
        <f t="shared" si="71"/>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373"/>
      <c r="B67" s="380"/>
      <c r="C67" s="380"/>
      <c r="D67" s="380"/>
      <c r="E67" s="383"/>
      <c r="F67" s="380"/>
      <c r="G67" s="403"/>
      <c r="H67" s="406"/>
      <c r="I67" s="409"/>
      <c r="J67" s="415"/>
      <c r="K67" s="409">
        <f>IF(NOT(ISERROR(MATCH(J67,_xlfn.ANCHORARRAY(E78),0))),I80&amp;"Por favor no seleccionar los criterios de impacto",J67)</f>
        <v>0</v>
      </c>
      <c r="L67" s="406"/>
      <c r="M67" s="409"/>
      <c r="N67" s="412"/>
      <c r="O67" s="106">
        <v>4</v>
      </c>
      <c r="P67" s="166"/>
      <c r="Q67" s="107" t="str">
        <f t="shared" ref="Q67:Q69" si="72">IF(OR(R67="Preventivo",R67="Detectivo"),"Probabilidad",IF(R67="Correctivo","Impacto",""))</f>
        <v/>
      </c>
      <c r="R67" s="108"/>
      <c r="S67" s="108"/>
      <c r="T67" s="109" t="str">
        <f t="shared" si="69"/>
        <v/>
      </c>
      <c r="U67" s="108"/>
      <c r="V67" s="108"/>
      <c r="W67" s="108"/>
      <c r="X67" s="110" t="str">
        <f t="shared" ref="X67:X68" si="73">IFERROR(IF(AND(Q66="Probabilidad",Q67="Probabilidad"),(Z66-(+Z66*T67)),IF(AND(Q66="Impacto",Q67="Probabilidad"),(Z65-(+Z65*T67)),IF(Q67="Impacto",Z66,""))),"")</f>
        <v/>
      </c>
      <c r="Y67" s="111" t="str">
        <f t="shared" si="1"/>
        <v/>
      </c>
      <c r="Z67" s="112" t="str">
        <f t="shared" si="70"/>
        <v/>
      </c>
      <c r="AA67" s="111" t="str">
        <f t="shared" si="3"/>
        <v/>
      </c>
      <c r="AB67" s="112" t="str">
        <f t="shared" ref="AB67:AB68" si="74">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373"/>
      <c r="B68" s="380"/>
      <c r="C68" s="380"/>
      <c r="D68" s="380"/>
      <c r="E68" s="383"/>
      <c r="F68" s="380"/>
      <c r="G68" s="403"/>
      <c r="H68" s="406"/>
      <c r="I68" s="409"/>
      <c r="J68" s="415"/>
      <c r="K68" s="409">
        <f>IF(NOT(ISERROR(MATCH(J68,_xlfn.ANCHORARRAY(E79),0))),I81&amp;"Por favor no seleccionar los criterios de impacto",J68)</f>
        <v>0</v>
      </c>
      <c r="L68" s="406"/>
      <c r="M68" s="409"/>
      <c r="N68" s="412"/>
      <c r="O68" s="106">
        <v>5</v>
      </c>
      <c r="P68" s="166"/>
      <c r="Q68" s="107" t="str">
        <f t="shared" si="72"/>
        <v/>
      </c>
      <c r="R68" s="108"/>
      <c r="S68" s="108"/>
      <c r="T68" s="109" t="str">
        <f t="shared" si="69"/>
        <v/>
      </c>
      <c r="U68" s="108"/>
      <c r="V68" s="108"/>
      <c r="W68" s="108"/>
      <c r="X68" s="110" t="str">
        <f t="shared" si="73"/>
        <v/>
      </c>
      <c r="Y68" s="111" t="str">
        <f t="shared" si="1"/>
        <v/>
      </c>
      <c r="Z68" s="112" t="str">
        <f t="shared" si="70"/>
        <v/>
      </c>
      <c r="AA68" s="111" t="str">
        <f t="shared" si="3"/>
        <v/>
      </c>
      <c r="AB68" s="112" t="str">
        <f t="shared" si="74"/>
        <v/>
      </c>
      <c r="AC68" s="11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customHeight="1" x14ac:dyDescent="0.3">
      <c r="A69" s="374"/>
      <c r="B69" s="381"/>
      <c r="C69" s="381"/>
      <c r="D69" s="381"/>
      <c r="E69" s="384"/>
      <c r="F69" s="381"/>
      <c r="G69" s="404"/>
      <c r="H69" s="407"/>
      <c r="I69" s="410"/>
      <c r="J69" s="416"/>
      <c r="K69" s="410">
        <f>IF(NOT(ISERROR(MATCH(J69,_xlfn.ANCHORARRAY(E80),0))),I82&amp;"Por favor no seleccionar los criterios de impacto",J69)</f>
        <v>0</v>
      </c>
      <c r="L69" s="407"/>
      <c r="M69" s="410"/>
      <c r="N69" s="413"/>
      <c r="O69" s="106">
        <v>6</v>
      </c>
      <c r="P69" s="166"/>
      <c r="Q69" s="107" t="str">
        <f t="shared" si="72"/>
        <v/>
      </c>
      <c r="R69" s="108"/>
      <c r="S69" s="108"/>
      <c r="T69" s="109" t="str">
        <f t="shared" si="69"/>
        <v/>
      </c>
      <c r="U69" s="108"/>
      <c r="V69" s="108"/>
      <c r="W69" s="108"/>
      <c r="X69" s="110" t="str">
        <f>IFERROR(IF(AND(Q68="Probabilidad",Q69="Probabilidad"),(Z68-(+Z68*T69)),IF(AND(Q68="Impacto",Q69="Probabilidad"),(Z67-(+Z67*T69)),IF(Q69="Impacto",Z68,""))),"")</f>
        <v/>
      </c>
      <c r="Y69" s="111" t="str">
        <f t="shared" si="1"/>
        <v/>
      </c>
      <c r="Z69" s="112" t="str">
        <f t="shared" si="70"/>
        <v/>
      </c>
      <c r="AA69" s="111" t="str">
        <f t="shared" si="3"/>
        <v/>
      </c>
      <c r="AB69" s="112" t="str">
        <f>IFERROR(IF(AND(Q68="Impacto",Q69="Impacto"),(AB68-(+AB68*T69)),IF(AND(Q68="Probabilidad",Q69="Impacto"),(AB67-(+AB67*T69)),IF(Q69="Probabilidad",AB68,""))),"")</f>
        <v/>
      </c>
      <c r="AC69" s="113" t="str">
        <f t="shared" si="75"/>
        <v/>
      </c>
      <c r="AD69" s="114"/>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72">
        <v>10</v>
      </c>
      <c r="B70" s="428"/>
      <c r="C70" s="428"/>
      <c r="D70" s="428"/>
      <c r="E70" s="431"/>
      <c r="F70" s="428"/>
      <c r="G70" s="434"/>
      <c r="H70" s="437" t="str">
        <f>IF(G70&lt;=0,"",IF(G70&lt;=2,"Muy Baja",IF(G70&lt;=24,"Baja",IF(G70&lt;=500,"Media",IF(G70&lt;=5000,"Alta","Muy Alta")))))</f>
        <v/>
      </c>
      <c r="I70" s="446" t="str">
        <f>IF(H70="","",IF(H70="Muy Baja",0.2,IF(H70="Baja",0.4,IF(H70="Media",0.6,IF(H70="Alta",0.8,IF(H70="Muy Alta",1,))))))</f>
        <v/>
      </c>
      <c r="J70" s="419"/>
      <c r="K70" s="446">
        <f>IF(NOT(ISERROR(MATCH(J70,'Tabla Impacto'!$B$221:$B$223,0))),'Tabla Impacto'!$F$223&amp;"Por favor no seleccionar los criterios de impacto(Afectación Económica o presupuestal y Pérdida Reputacional)",J70)</f>
        <v>0</v>
      </c>
      <c r="L70" s="437" t="str">
        <f>IF(OR(K70='Tabla Impacto'!$C$11,K70='Tabla Impacto'!$D$11),"Leve",IF(OR(K70='Tabla Impacto'!$C$12,K70='Tabla Impacto'!$D$12),"Menor",IF(OR(K70='Tabla Impacto'!$C$13,K70='Tabla Impacto'!$D$13),"Moderado",IF(OR(K70='Tabla Impacto'!$C$14,K70='Tabla Impacto'!$D$14),"Mayor",IF(OR(K70='Tabla Impacto'!$C$15,K70='Tabla Impacto'!$D$15),"Catastrófico","")))))</f>
        <v/>
      </c>
      <c r="M70" s="446" t="str">
        <f>IF(L70="","",IF(L70="Leve",0.2,IF(L70="Menor",0.4,IF(L70="Moderado",0.6,IF(L70="Mayor",0.8,IF(L70="Catastrófico",1,))))))</f>
        <v/>
      </c>
      <c r="N70" s="449"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06">
        <v>1</v>
      </c>
      <c r="P70" s="166"/>
      <c r="Q70" s="152"/>
      <c r="R70" s="157"/>
      <c r="S70" s="157"/>
      <c r="T70" s="158" t="str">
        <f>IF(AND(R70="Preventivo",S70="Automático"),"50%",IF(AND(R70="Preventivo",S70="Manual"),"40%",IF(AND(R70="Detectivo",S70="Automático"),"40%",IF(AND(R70="Detectivo",S70="Manual"),"30%",IF(AND(R70="Correctivo",S70="Automático"),"35%",IF(AND(R70="Correctivo",S70="Manual"),"25%",""))))))</f>
        <v/>
      </c>
      <c r="U70" s="157"/>
      <c r="V70" s="157"/>
      <c r="W70" s="157"/>
      <c r="X70" s="149" t="str">
        <f>IFERROR(IF(Q70="Probabilidad",(I70-(+I70*T70)),IF(Q70="Impacto",I70,"")),"")</f>
        <v/>
      </c>
      <c r="Y70" s="159" t="str">
        <f>IFERROR(IF(X70="","",IF(X70&lt;=0.2,"Muy Baja",IF(X70&lt;=0.4,"Baja",IF(X70&lt;=0.6,"Media",IF(X70&lt;=0.8,"Alta","Muy Alta"))))),"")</f>
        <v/>
      </c>
      <c r="Z70" s="160" t="str">
        <f>+X70</f>
        <v/>
      </c>
      <c r="AA70" s="159" t="str">
        <f>IFERROR(IF(AB70="","",IF(AB70&lt;=0.2,"Leve",IF(AB70&lt;=0.4,"Menor",IF(AB70&lt;=0.6,"Moderado",IF(AB70&lt;=0.8,"Mayor","Catastrófico"))))),"")</f>
        <v/>
      </c>
      <c r="AB70" s="160" t="str">
        <f>IFERROR(IF(Q70="Impacto",(M70-(+M70*T70)),IF(Q70="Probabilidad",M70,"")),"")</f>
        <v/>
      </c>
      <c r="AC70" s="16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62"/>
      <c r="AE70" s="115"/>
      <c r="AF70" s="116"/>
      <c r="AG70" s="116"/>
      <c r="AH70" s="117"/>
      <c r="AI70" s="117"/>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hidden="1" customHeight="1" x14ac:dyDescent="0.3">
      <c r="A71" s="373"/>
      <c r="B71" s="429"/>
      <c r="C71" s="429"/>
      <c r="D71" s="429"/>
      <c r="E71" s="432"/>
      <c r="F71" s="429"/>
      <c r="G71" s="435"/>
      <c r="H71" s="438"/>
      <c r="I71" s="447"/>
      <c r="J71" s="420"/>
      <c r="K71" s="447">
        <f>IF(NOT(ISERROR(MATCH(J71,_xlfn.ANCHORARRAY(E82),0))),I84&amp;"Por favor no seleccionar los criterios de impacto",J71)</f>
        <v>0</v>
      </c>
      <c r="L71" s="438"/>
      <c r="M71" s="447"/>
      <c r="N71" s="450"/>
      <c r="O71" s="106">
        <v>2</v>
      </c>
      <c r="P71" s="166"/>
      <c r="Q71" s="107" t="str">
        <f>IF(OR(R71="Preventivo",R71="Detectivo"),"Probabilidad",IF(R71="Correctivo","Impacto",""))</f>
        <v/>
      </c>
      <c r="R71" s="108"/>
      <c r="S71" s="108"/>
      <c r="T71" s="109" t="str">
        <f t="shared" ref="T71:T75" si="76">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1"/>
        <v/>
      </c>
      <c r="Z71" s="112" t="str">
        <f t="shared" ref="Z71:Z75" si="77">+X71</f>
        <v/>
      </c>
      <c r="AA71" s="111" t="str">
        <f t="shared" si="3"/>
        <v/>
      </c>
      <c r="AB71" s="112" t="str">
        <f>IFERROR(IF(AND(Q70="Impacto",Q71="Impacto"),(AB70-(+AB70*T71)),IF(Q71="Impacto",(M70-(+M70*T71)),IF(Q71="Probabilidad",AB70,""))),"")</f>
        <v/>
      </c>
      <c r="AC71" s="113" t="str">
        <f t="shared" ref="AC71:AC72" si="78">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73"/>
      <c r="B72" s="429"/>
      <c r="C72" s="429"/>
      <c r="D72" s="429"/>
      <c r="E72" s="432"/>
      <c r="F72" s="429"/>
      <c r="G72" s="435"/>
      <c r="H72" s="438"/>
      <c r="I72" s="447"/>
      <c r="J72" s="420"/>
      <c r="K72" s="447">
        <f>IF(NOT(ISERROR(MATCH(J72,_xlfn.ANCHORARRAY(E83),0))),I85&amp;"Por favor no seleccionar los criterios de impacto",J72)</f>
        <v>0</v>
      </c>
      <c r="L72" s="438"/>
      <c r="M72" s="447"/>
      <c r="N72" s="450"/>
      <c r="O72" s="106">
        <v>3</v>
      </c>
      <c r="P72" s="167"/>
      <c r="Q72" s="107" t="str">
        <f>IF(OR(R72="Preventivo",R72="Detectivo"),"Probabilidad",IF(R72="Correctivo","Impacto",""))</f>
        <v/>
      </c>
      <c r="R72" s="108"/>
      <c r="S72" s="108"/>
      <c r="T72" s="109" t="str">
        <f t="shared" si="76"/>
        <v/>
      </c>
      <c r="U72" s="108"/>
      <c r="V72" s="108"/>
      <c r="W72" s="108"/>
      <c r="X72" s="110" t="str">
        <f>IFERROR(IF(AND(Q71="Probabilidad",Q72="Probabilidad"),(Z71-(+Z71*T72)),IF(AND(Q71="Impacto",Q72="Probabilidad"),(Z70-(+Z70*T72)),IF(Q72="Impacto",Z71,""))),"")</f>
        <v/>
      </c>
      <c r="Y72" s="111" t="str">
        <f t="shared" si="1"/>
        <v/>
      </c>
      <c r="Z72" s="112" t="str">
        <f t="shared" si="77"/>
        <v/>
      </c>
      <c r="AA72" s="111" t="str">
        <f t="shared" si="3"/>
        <v/>
      </c>
      <c r="AB72" s="112" t="str">
        <f>IFERROR(IF(AND(Q71="Impacto",Q72="Impacto"),(AB71-(+AB71*T72)),IF(AND(Q71="Probabilidad",Q72="Impacto"),(AB70-(+AB70*T72)),IF(Q72="Probabilidad",AB71,""))),"")</f>
        <v/>
      </c>
      <c r="AC72" s="113" t="str">
        <f t="shared" si="78"/>
        <v/>
      </c>
      <c r="AD72" s="114"/>
      <c r="AE72" s="115"/>
      <c r="AF72" s="116"/>
      <c r="AG72" s="116"/>
      <c r="AH72" s="117"/>
      <c r="AI72" s="117"/>
    </row>
    <row r="73" spans="1:67" ht="18" hidden="1" customHeight="1" x14ac:dyDescent="0.3">
      <c r="A73" s="373"/>
      <c r="B73" s="429"/>
      <c r="C73" s="429"/>
      <c r="D73" s="429"/>
      <c r="E73" s="432"/>
      <c r="F73" s="429"/>
      <c r="G73" s="435"/>
      <c r="H73" s="438"/>
      <c r="I73" s="447"/>
      <c r="J73" s="420"/>
      <c r="K73" s="447">
        <f>IF(NOT(ISERROR(MATCH(J73,_xlfn.ANCHORARRAY(E84),0))),I86&amp;"Por favor no seleccionar los criterios de impacto",J73)</f>
        <v>0</v>
      </c>
      <c r="L73" s="438"/>
      <c r="M73" s="447"/>
      <c r="N73" s="450"/>
      <c r="O73" s="106">
        <v>4</v>
      </c>
      <c r="P73" s="166"/>
      <c r="Q73" s="107" t="str">
        <f t="shared" ref="Q73:Q75" si="79">IF(OR(R73="Preventivo",R73="Detectivo"),"Probabilidad",IF(R73="Correctivo","Impacto",""))</f>
        <v/>
      </c>
      <c r="R73" s="108"/>
      <c r="S73" s="108"/>
      <c r="T73" s="109" t="str">
        <f t="shared" si="76"/>
        <v/>
      </c>
      <c r="U73" s="108"/>
      <c r="V73" s="108"/>
      <c r="W73" s="108"/>
      <c r="X73" s="110" t="str">
        <f t="shared" ref="X73:X74" si="80">IFERROR(IF(AND(Q72="Probabilidad",Q73="Probabilidad"),(Z72-(+Z72*T73)),IF(AND(Q72="Impacto",Q73="Probabilidad"),(Z71-(+Z71*T73)),IF(Q73="Impacto",Z72,""))),"")</f>
        <v/>
      </c>
      <c r="Y73" s="111" t="str">
        <f t="shared" si="1"/>
        <v/>
      </c>
      <c r="Z73" s="112" t="str">
        <f t="shared" si="77"/>
        <v/>
      </c>
      <c r="AA73" s="111" t="str">
        <f t="shared" si="3"/>
        <v/>
      </c>
      <c r="AB73" s="112" t="str">
        <f t="shared" ref="AB73:AB74" si="81">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73"/>
      <c r="B74" s="429"/>
      <c r="C74" s="429"/>
      <c r="D74" s="429"/>
      <c r="E74" s="432"/>
      <c r="F74" s="429"/>
      <c r="G74" s="435"/>
      <c r="H74" s="438"/>
      <c r="I74" s="447"/>
      <c r="J74" s="420"/>
      <c r="K74" s="447">
        <f>IF(NOT(ISERROR(MATCH(J74,_xlfn.ANCHORARRAY(E85),0))),I87&amp;"Por favor no seleccionar los criterios de impacto",J74)</f>
        <v>0</v>
      </c>
      <c r="L74" s="438"/>
      <c r="M74" s="447"/>
      <c r="N74" s="450"/>
      <c r="O74" s="106">
        <v>5</v>
      </c>
      <c r="P74" s="166"/>
      <c r="Q74" s="107" t="str">
        <f t="shared" si="79"/>
        <v/>
      </c>
      <c r="R74" s="108"/>
      <c r="S74" s="108"/>
      <c r="T74" s="109" t="str">
        <f t="shared" si="76"/>
        <v/>
      </c>
      <c r="U74" s="108"/>
      <c r="V74" s="108"/>
      <c r="W74" s="108"/>
      <c r="X74" s="110" t="str">
        <f t="shared" si="80"/>
        <v/>
      </c>
      <c r="Y74" s="111" t="str">
        <f t="shared" si="1"/>
        <v/>
      </c>
      <c r="Z74" s="112" t="str">
        <f t="shared" si="77"/>
        <v/>
      </c>
      <c r="AA74" s="111" t="str">
        <f t="shared" si="3"/>
        <v/>
      </c>
      <c r="AB74" s="112" t="str">
        <f t="shared" si="81"/>
        <v/>
      </c>
      <c r="AC74" s="113" t="str">
        <f t="shared" ref="AC74:AC75" si="82">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6"/>
      <c r="AH74" s="117"/>
      <c r="AI74" s="117"/>
    </row>
    <row r="75" spans="1:67" ht="18" hidden="1" customHeight="1" x14ac:dyDescent="0.3">
      <c r="A75" s="374"/>
      <c r="B75" s="430"/>
      <c r="C75" s="430"/>
      <c r="D75" s="430"/>
      <c r="E75" s="433"/>
      <c r="F75" s="430"/>
      <c r="G75" s="436"/>
      <c r="H75" s="439"/>
      <c r="I75" s="448"/>
      <c r="J75" s="421"/>
      <c r="K75" s="448">
        <f>IF(NOT(ISERROR(MATCH(J75,_xlfn.ANCHORARRAY(E86),0))),I88&amp;"Por favor no seleccionar los criterios de impacto",J75)</f>
        <v>0</v>
      </c>
      <c r="L75" s="439"/>
      <c r="M75" s="448"/>
      <c r="N75" s="451"/>
      <c r="O75" s="106">
        <v>6</v>
      </c>
      <c r="P75" s="166"/>
      <c r="Q75" s="107" t="str">
        <f t="shared" si="79"/>
        <v/>
      </c>
      <c r="R75" s="108"/>
      <c r="S75" s="108"/>
      <c r="T75" s="109" t="str">
        <f t="shared" si="76"/>
        <v/>
      </c>
      <c r="U75" s="108"/>
      <c r="V75" s="108"/>
      <c r="W75" s="108"/>
      <c r="X75" s="110" t="str">
        <f>IFERROR(IF(AND(Q74="Probabilidad",Q75="Probabilidad"),(Z74-(+Z74*T75)),IF(AND(Q74="Impacto",Q75="Probabilidad"),(Z73-(+Z73*T75)),IF(Q75="Impacto",Z74,""))),"")</f>
        <v/>
      </c>
      <c r="Y75" s="111" t="str">
        <f t="shared" si="1"/>
        <v/>
      </c>
      <c r="Z75" s="112" t="str">
        <f t="shared" si="77"/>
        <v/>
      </c>
      <c r="AA75" s="111" t="str">
        <f t="shared" si="3"/>
        <v/>
      </c>
      <c r="AB75" s="112" t="str">
        <f>IFERROR(IF(AND(Q74="Impacto",Q75="Impacto"),(AB74-(+AB74*T75)),IF(AND(Q74="Probabilidad",Q75="Impacto"),(AB73-(+AB73*T75)),IF(Q75="Probabilidad",AB74,""))),"")</f>
        <v/>
      </c>
      <c r="AC75" s="113" t="str">
        <f t="shared" si="82"/>
        <v/>
      </c>
      <c r="AD75" s="114"/>
      <c r="AE75" s="115"/>
      <c r="AF75" s="116"/>
      <c r="AG75" s="116"/>
      <c r="AH75" s="117"/>
      <c r="AI75" s="117"/>
    </row>
    <row r="76" spans="1:67" ht="34.5" customHeight="1" x14ac:dyDescent="0.3">
      <c r="A76" s="6"/>
      <c r="B76" s="417" t="s">
        <v>229</v>
      </c>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row>
    <row r="78" spans="1:67" x14ac:dyDescent="0.3">
      <c r="A78" s="1"/>
      <c r="B78" s="24" t="s">
        <v>230</v>
      </c>
      <c r="C78" s="1"/>
      <c r="D78" s="1"/>
      <c r="F78" s="1"/>
    </row>
  </sheetData>
  <dataConsolidate/>
  <mergeCells count="234">
    <mergeCell ref="L52:L57"/>
    <mergeCell ref="J46:J51"/>
    <mergeCell ref="K46:K51"/>
    <mergeCell ref="L46:L51"/>
    <mergeCell ref="G39:G45"/>
    <mergeCell ref="H39:H45"/>
    <mergeCell ref="A39:A45"/>
    <mergeCell ref="B39:B45"/>
    <mergeCell ref="C39:C45"/>
    <mergeCell ref="A46:A51"/>
    <mergeCell ref="A64:A69"/>
    <mergeCell ref="B64:B69"/>
    <mergeCell ref="C64:C69"/>
    <mergeCell ref="D64:D69"/>
    <mergeCell ref="E64:E69"/>
    <mergeCell ref="F64:F69"/>
    <mergeCell ref="G64:G69"/>
    <mergeCell ref="H64:H69"/>
    <mergeCell ref="I64:I69"/>
    <mergeCell ref="K70:K75"/>
    <mergeCell ref="L70:L75"/>
    <mergeCell ref="M70:M75"/>
    <mergeCell ref="N70:N75"/>
    <mergeCell ref="I70:I75"/>
    <mergeCell ref="AI10:AI11"/>
    <mergeCell ref="O6:Q6"/>
    <mergeCell ref="O9:W9"/>
    <mergeCell ref="X9:AD9"/>
    <mergeCell ref="M24:M30"/>
    <mergeCell ref="N24:N30"/>
    <mergeCell ref="J31:J38"/>
    <mergeCell ref="K31:K38"/>
    <mergeCell ref="L31:L38"/>
    <mergeCell ref="M31:M38"/>
    <mergeCell ref="N31:N38"/>
    <mergeCell ref="K18:K23"/>
    <mergeCell ref="M39:M45"/>
    <mergeCell ref="N39:N45"/>
    <mergeCell ref="M46:M51"/>
    <mergeCell ref="AG10:AG11"/>
    <mergeCell ref="AE9:AI9"/>
    <mergeCell ref="J52:J57"/>
    <mergeCell ref="K52:K57"/>
    <mergeCell ref="N46:N51"/>
    <mergeCell ref="A1:D4"/>
    <mergeCell ref="A70:A75"/>
    <mergeCell ref="B70:B75"/>
    <mergeCell ref="C70:C75"/>
    <mergeCell ref="D70:D75"/>
    <mergeCell ref="E70:E75"/>
    <mergeCell ref="F70:F75"/>
    <mergeCell ref="G70:G75"/>
    <mergeCell ref="H70:H75"/>
    <mergeCell ref="C6:N6"/>
    <mergeCell ref="A9:G9"/>
    <mergeCell ref="H9:N9"/>
    <mergeCell ref="I39:I45"/>
    <mergeCell ref="J39:J45"/>
    <mergeCell ref="G46:G51"/>
    <mergeCell ref="H46:H51"/>
    <mergeCell ref="I46:I51"/>
    <mergeCell ref="K39:K45"/>
    <mergeCell ref="L39:L45"/>
    <mergeCell ref="A58:A63"/>
    <mergeCell ref="E58:E63"/>
    <mergeCell ref="A52:A57"/>
    <mergeCell ref="B52:B57"/>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J70:J75"/>
    <mergeCell ref="D58:D63"/>
    <mergeCell ref="C46:C51"/>
    <mergeCell ref="D46:D51"/>
    <mergeCell ref="E46:E51"/>
    <mergeCell ref="F46:F51"/>
    <mergeCell ref="D39:D45"/>
    <mergeCell ref="E39:E45"/>
    <mergeCell ref="F39:F45"/>
    <mergeCell ref="A31:A38"/>
    <mergeCell ref="B31:B38"/>
    <mergeCell ref="C31:C38"/>
    <mergeCell ref="D31:D38"/>
    <mergeCell ref="E31:E38"/>
    <mergeCell ref="F31:F38"/>
    <mergeCell ref="C52:C57"/>
    <mergeCell ref="B46:B51"/>
    <mergeCell ref="E52:E57"/>
    <mergeCell ref="D52:D57"/>
    <mergeCell ref="G31:G38"/>
    <mergeCell ref="H31:H38"/>
    <mergeCell ref="I31:I38"/>
    <mergeCell ref="L18:L23"/>
    <mergeCell ref="M18:M23"/>
    <mergeCell ref="N18:N23"/>
    <mergeCell ref="A24:A30"/>
    <mergeCell ref="B24:B30"/>
    <mergeCell ref="C24:C30"/>
    <mergeCell ref="D24:D30"/>
    <mergeCell ref="E24:E30"/>
    <mergeCell ref="F24:F30"/>
    <mergeCell ref="G24:G30"/>
    <mergeCell ref="H24:H30"/>
    <mergeCell ref="I24:I30"/>
    <mergeCell ref="J24:J30"/>
    <mergeCell ref="K24:K30"/>
    <mergeCell ref="L24:L30"/>
    <mergeCell ref="F18:F23"/>
    <mergeCell ref="G18:G23"/>
    <mergeCell ref="H18:H23"/>
    <mergeCell ref="I18:I23"/>
    <mergeCell ref="J18:J23"/>
    <mergeCell ref="A18:A23"/>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B10:B11"/>
    <mergeCell ref="N10:N11"/>
    <mergeCell ref="K10:K11"/>
    <mergeCell ref="Q10:Q11"/>
    <mergeCell ref="R10:W10"/>
    <mergeCell ref="B18:B23"/>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A6:B6"/>
    <mergeCell ref="A12:A17"/>
    <mergeCell ref="B12:B17"/>
    <mergeCell ref="C12:C17"/>
    <mergeCell ref="D12:D17"/>
    <mergeCell ref="E12:E17"/>
    <mergeCell ref="N12:N17"/>
    <mergeCell ref="I12:I17"/>
    <mergeCell ref="J12:J17"/>
    <mergeCell ref="K12:K17"/>
    <mergeCell ref="L12:L17"/>
    <mergeCell ref="M12:M17"/>
    <mergeCell ref="U24:U25"/>
    <mergeCell ref="V24:V25"/>
    <mergeCell ref="W24:W25"/>
    <mergeCell ref="Y24:Y25"/>
    <mergeCell ref="Z24:Z25"/>
    <mergeCell ref="AA24:AA25"/>
    <mergeCell ref="AB24:AB25"/>
    <mergeCell ref="AC24:AC25"/>
    <mergeCell ref="AD24:AD25"/>
    <mergeCell ref="P24:P25"/>
    <mergeCell ref="O24:O25"/>
    <mergeCell ref="P31:P33"/>
    <mergeCell ref="O31:O33"/>
    <mergeCell ref="Q24:Q25"/>
    <mergeCell ref="R24:R25"/>
    <mergeCell ref="S24:S25"/>
    <mergeCell ref="T24:T25"/>
    <mergeCell ref="Q31:Q33"/>
    <mergeCell ref="R31:R33"/>
    <mergeCell ref="S31:S33"/>
    <mergeCell ref="T31:T33"/>
    <mergeCell ref="Y39:Y40"/>
    <mergeCell ref="Z39:Z40"/>
    <mergeCell ref="AA39:AA40"/>
    <mergeCell ref="AB39:AB40"/>
    <mergeCell ref="AC39:AC40"/>
    <mergeCell ref="AD39:AD40"/>
    <mergeCell ref="U31:U33"/>
    <mergeCell ref="V31:V33"/>
    <mergeCell ref="W31:W33"/>
    <mergeCell ref="Y31:Y33"/>
    <mergeCell ref="Z31:Z33"/>
    <mergeCell ref="AA31:AA33"/>
    <mergeCell ref="AB31:AB33"/>
    <mergeCell ref="AC31:AC33"/>
    <mergeCell ref="AD31:AD33"/>
    <mergeCell ref="P39:P40"/>
    <mergeCell ref="O39:O40"/>
    <mergeCell ref="Q39:Q40"/>
    <mergeCell ref="R39:R40"/>
    <mergeCell ref="S39:S40"/>
    <mergeCell ref="T39:T40"/>
    <mergeCell ref="U39:U40"/>
    <mergeCell ref="V39:V40"/>
    <mergeCell ref="W39:W40"/>
  </mergeCells>
  <conditionalFormatting sqref="H12 H18">
    <cfRule type="cellIs" dxfId="145" priority="535" operator="equal">
      <formula>"Muy Alta"</formula>
    </cfRule>
    <cfRule type="cellIs" dxfId="144" priority="536" operator="equal">
      <formula>"Alta"</formula>
    </cfRule>
    <cfRule type="cellIs" dxfId="143" priority="537" operator="equal">
      <formula>"Media"</formula>
    </cfRule>
    <cfRule type="cellIs" dxfId="142" priority="538" operator="equal">
      <formula>"Baja"</formula>
    </cfRule>
    <cfRule type="cellIs" dxfId="141" priority="539" operator="equal">
      <formula>"Muy Baja"</formula>
    </cfRule>
  </conditionalFormatting>
  <conditionalFormatting sqref="H24:H25">
    <cfRule type="cellIs" dxfId="140" priority="437" operator="equal">
      <formula>"Muy Alta"</formula>
    </cfRule>
    <cfRule type="cellIs" dxfId="139" priority="438" operator="equal">
      <formula>"Alta"</formula>
    </cfRule>
    <cfRule type="cellIs" dxfId="138" priority="439" operator="equal">
      <formula>"Media"</formula>
    </cfRule>
    <cfRule type="cellIs" dxfId="137" priority="440" operator="equal">
      <formula>"Baja"</formula>
    </cfRule>
    <cfRule type="cellIs" dxfId="136" priority="441" operator="equal">
      <formula>"Muy Baja"</formula>
    </cfRule>
  </conditionalFormatting>
  <conditionalFormatting sqref="H31:H33 H39:H40">
    <cfRule type="cellIs" dxfId="135" priority="409" operator="equal">
      <formula>"Muy Alta"</formula>
    </cfRule>
    <cfRule type="cellIs" dxfId="134" priority="410" operator="equal">
      <formula>"Alta"</formula>
    </cfRule>
    <cfRule type="cellIs" dxfId="133" priority="411" operator="equal">
      <formula>"Media"</formula>
    </cfRule>
    <cfRule type="cellIs" dxfId="132" priority="412" operator="equal">
      <formula>"Baja"</formula>
    </cfRule>
    <cfRule type="cellIs" dxfId="131" priority="413" operator="equal">
      <formula>"Muy Baja"</formula>
    </cfRule>
  </conditionalFormatting>
  <conditionalFormatting sqref="H46">
    <cfRule type="cellIs" dxfId="130" priority="353" operator="equal">
      <formula>"Muy Alta"</formula>
    </cfRule>
    <cfRule type="cellIs" dxfId="129" priority="354" operator="equal">
      <formula>"Alta"</formula>
    </cfRule>
    <cfRule type="cellIs" dxfId="128" priority="355" operator="equal">
      <formula>"Media"</formula>
    </cfRule>
    <cfRule type="cellIs" dxfId="127" priority="356" operator="equal">
      <formula>"Baja"</formula>
    </cfRule>
    <cfRule type="cellIs" dxfId="126" priority="357" operator="equal">
      <formula>"Muy Baja"</formula>
    </cfRule>
  </conditionalFormatting>
  <conditionalFormatting sqref="H52">
    <cfRule type="cellIs" dxfId="125" priority="325" operator="equal">
      <formula>"Muy Alta"</formula>
    </cfRule>
    <cfRule type="cellIs" dxfId="124" priority="326" operator="equal">
      <formula>"Alta"</formula>
    </cfRule>
    <cfRule type="cellIs" dxfId="123" priority="327" operator="equal">
      <formula>"Media"</formula>
    </cfRule>
    <cfRule type="cellIs" dxfId="122" priority="328" operator="equal">
      <formula>"Baja"</formula>
    </cfRule>
    <cfRule type="cellIs" dxfId="121" priority="329" operator="equal">
      <formula>"Muy Baja"</formula>
    </cfRule>
  </conditionalFormatting>
  <conditionalFormatting sqref="H58">
    <cfRule type="cellIs" dxfId="120" priority="297" operator="equal">
      <formula>"Muy Alta"</formula>
    </cfRule>
    <cfRule type="cellIs" dxfId="119" priority="298" operator="equal">
      <formula>"Alta"</formula>
    </cfRule>
    <cfRule type="cellIs" dxfId="118" priority="299" operator="equal">
      <formula>"Media"</formula>
    </cfRule>
    <cfRule type="cellIs" dxfId="117" priority="300" operator="equal">
      <formula>"Baja"</formula>
    </cfRule>
    <cfRule type="cellIs" dxfId="116" priority="301" operator="equal">
      <formula>"Muy Baja"</formula>
    </cfRule>
  </conditionalFormatting>
  <conditionalFormatting sqref="H64">
    <cfRule type="cellIs" dxfId="115" priority="269" operator="equal">
      <formula>"Muy Alta"</formula>
    </cfRule>
    <cfRule type="cellIs" dxfId="114" priority="270" operator="equal">
      <formula>"Alta"</formula>
    </cfRule>
    <cfRule type="cellIs" dxfId="113" priority="271" operator="equal">
      <formula>"Media"</formula>
    </cfRule>
    <cfRule type="cellIs" dxfId="112" priority="272" operator="equal">
      <formula>"Baja"</formula>
    </cfRule>
    <cfRule type="cellIs" dxfId="111" priority="273" operator="equal">
      <formula>"Muy Baja"</formula>
    </cfRule>
  </conditionalFormatting>
  <conditionalFormatting sqref="H70">
    <cfRule type="cellIs" dxfId="110" priority="241" operator="equal">
      <formula>"Muy Alta"</formula>
    </cfRule>
    <cfRule type="cellIs" dxfId="109" priority="242" operator="equal">
      <formula>"Alta"</formula>
    </cfRule>
    <cfRule type="cellIs" dxfId="108" priority="243" operator="equal">
      <formula>"Media"</formula>
    </cfRule>
    <cfRule type="cellIs" dxfId="107" priority="244" operator="equal">
      <formula>"Baja"</formula>
    </cfRule>
    <cfRule type="cellIs" dxfId="106" priority="245" operator="equal">
      <formula>"Muy Baja"</formula>
    </cfRule>
  </conditionalFormatting>
  <conditionalFormatting sqref="K12:K75">
    <cfRule type="containsText" dxfId="105" priority="217" operator="containsText" text="❌">
      <formula>NOT(ISERROR(SEARCH("❌",K12)))</formula>
    </cfRule>
  </conditionalFormatting>
  <conditionalFormatting sqref="L12 L18 L24:L25 L31:L33 L39:L40 L46 L52 L58 L64 L70">
    <cfRule type="cellIs" dxfId="104" priority="530" operator="equal">
      <formula>"Catastrófico"</formula>
    </cfRule>
    <cfRule type="cellIs" dxfId="103" priority="531" operator="equal">
      <formula>"Mayor"</formula>
    </cfRule>
    <cfRule type="cellIs" dxfId="102" priority="532" operator="equal">
      <formula>"Moderado"</formula>
    </cfRule>
    <cfRule type="cellIs" dxfId="101" priority="533" operator="equal">
      <formula>"Menor"</formula>
    </cfRule>
    <cfRule type="cellIs" dxfId="100" priority="534" operator="equal">
      <formula>"Leve"</formula>
    </cfRule>
  </conditionalFormatting>
  <conditionalFormatting sqref="N12">
    <cfRule type="cellIs" dxfId="99" priority="526" operator="equal">
      <formula>"Extremo"</formula>
    </cfRule>
    <cfRule type="cellIs" dxfId="98" priority="527" operator="equal">
      <formula>"Alto"</formula>
    </cfRule>
    <cfRule type="cellIs" dxfId="97" priority="528" operator="equal">
      <formula>"Moderado"</formula>
    </cfRule>
    <cfRule type="cellIs" dxfId="96" priority="529" operator="equal">
      <formula>"Bajo"</formula>
    </cfRule>
  </conditionalFormatting>
  <conditionalFormatting sqref="N18">
    <cfRule type="cellIs" dxfId="95" priority="456" operator="equal">
      <formula>"Extremo"</formula>
    </cfRule>
    <cfRule type="cellIs" dxfId="94" priority="457" operator="equal">
      <formula>"Alto"</formula>
    </cfRule>
    <cfRule type="cellIs" dxfId="93" priority="458" operator="equal">
      <formula>"Moderado"</formula>
    </cfRule>
    <cfRule type="cellIs" dxfId="92" priority="459" operator="equal">
      <formula>"Bajo"</formula>
    </cfRule>
  </conditionalFormatting>
  <conditionalFormatting sqref="N24:N25">
    <cfRule type="cellIs" dxfId="91" priority="428" operator="equal">
      <formula>"Extremo"</formula>
    </cfRule>
    <cfRule type="cellIs" dxfId="90" priority="429" operator="equal">
      <formula>"Alto"</formula>
    </cfRule>
    <cfRule type="cellIs" dxfId="89" priority="430" operator="equal">
      <formula>"Moderado"</formula>
    </cfRule>
    <cfRule type="cellIs" dxfId="88" priority="431" operator="equal">
      <formula>"Bajo"</formula>
    </cfRule>
  </conditionalFormatting>
  <conditionalFormatting sqref="N31:N33">
    <cfRule type="cellIs" dxfId="87" priority="400" operator="equal">
      <formula>"Extremo"</formula>
    </cfRule>
    <cfRule type="cellIs" dxfId="86" priority="401" operator="equal">
      <formula>"Alto"</formula>
    </cfRule>
    <cfRule type="cellIs" dxfId="85" priority="402" operator="equal">
      <formula>"Moderado"</formula>
    </cfRule>
    <cfRule type="cellIs" dxfId="84" priority="403" operator="equal">
      <formula>"Bajo"</formula>
    </cfRule>
  </conditionalFormatting>
  <conditionalFormatting sqref="N39:N40">
    <cfRule type="cellIs" dxfId="83" priority="372" operator="equal">
      <formula>"Extremo"</formula>
    </cfRule>
    <cfRule type="cellIs" dxfId="82" priority="373" operator="equal">
      <formula>"Alto"</formula>
    </cfRule>
    <cfRule type="cellIs" dxfId="81" priority="374" operator="equal">
      <formula>"Moderado"</formula>
    </cfRule>
    <cfRule type="cellIs" dxfId="80" priority="375" operator="equal">
      <formula>"Bajo"</formula>
    </cfRule>
  </conditionalFormatting>
  <conditionalFormatting sqref="N46">
    <cfRule type="cellIs" dxfId="79" priority="344" operator="equal">
      <formula>"Extremo"</formula>
    </cfRule>
    <cfRule type="cellIs" dxfId="78" priority="345" operator="equal">
      <formula>"Alto"</formula>
    </cfRule>
    <cfRule type="cellIs" dxfId="77" priority="346" operator="equal">
      <formula>"Moderado"</formula>
    </cfRule>
    <cfRule type="cellIs" dxfId="76" priority="347" operator="equal">
      <formula>"Bajo"</formula>
    </cfRule>
  </conditionalFormatting>
  <conditionalFormatting sqref="N52">
    <cfRule type="cellIs" dxfId="75" priority="316" operator="equal">
      <formula>"Extremo"</formula>
    </cfRule>
    <cfRule type="cellIs" dxfId="74" priority="317" operator="equal">
      <formula>"Alto"</formula>
    </cfRule>
    <cfRule type="cellIs" dxfId="73" priority="318" operator="equal">
      <formula>"Moderado"</formula>
    </cfRule>
    <cfRule type="cellIs" dxfId="72" priority="319" operator="equal">
      <formula>"Bajo"</formula>
    </cfRule>
  </conditionalFormatting>
  <conditionalFormatting sqref="N58">
    <cfRule type="cellIs" dxfId="71" priority="288" operator="equal">
      <formula>"Extremo"</formula>
    </cfRule>
    <cfRule type="cellIs" dxfId="70" priority="289" operator="equal">
      <formula>"Alto"</formula>
    </cfRule>
    <cfRule type="cellIs" dxfId="69" priority="290" operator="equal">
      <formula>"Moderado"</formula>
    </cfRule>
    <cfRule type="cellIs" dxfId="68" priority="291" operator="equal">
      <formula>"Bajo"</formula>
    </cfRule>
  </conditionalFormatting>
  <conditionalFormatting sqref="N64">
    <cfRule type="cellIs" dxfId="67" priority="260" operator="equal">
      <formula>"Extremo"</formula>
    </cfRule>
    <cfRule type="cellIs" dxfId="66" priority="261" operator="equal">
      <formula>"Alto"</formula>
    </cfRule>
    <cfRule type="cellIs" dxfId="65" priority="262" operator="equal">
      <formula>"Moderado"</formula>
    </cfRule>
    <cfRule type="cellIs" dxfId="64" priority="263" operator="equal">
      <formula>"Bajo"</formula>
    </cfRule>
  </conditionalFormatting>
  <conditionalFormatting sqref="N70">
    <cfRule type="cellIs" dxfId="63" priority="232" operator="equal">
      <formula>"Extremo"</formula>
    </cfRule>
    <cfRule type="cellIs" dxfId="62" priority="233" operator="equal">
      <formula>"Alto"</formula>
    </cfRule>
    <cfRule type="cellIs" dxfId="61" priority="234" operator="equal">
      <formula>"Moderado"</formula>
    </cfRule>
    <cfRule type="cellIs" dxfId="60" priority="235" operator="equal">
      <formula>"Bajo"</formula>
    </cfRule>
  </conditionalFormatting>
  <conditionalFormatting sqref="Y12:Y24 Y36:Y39 Y42:Y75 Y26:Y31">
    <cfRule type="cellIs" dxfId="59" priority="227" operator="equal">
      <formula>"Muy Alta"</formula>
    </cfRule>
    <cfRule type="cellIs" dxfId="58" priority="228" operator="equal">
      <formula>"Alta"</formula>
    </cfRule>
    <cfRule type="cellIs" dxfId="57" priority="229" operator="equal">
      <formula>"Media"</formula>
    </cfRule>
    <cfRule type="cellIs" dxfId="56" priority="230" operator="equal">
      <formula>"Baja"</formula>
    </cfRule>
    <cfRule type="cellIs" dxfId="55" priority="231" operator="equal">
      <formula>"Muy Baja"</formula>
    </cfRule>
  </conditionalFormatting>
  <conditionalFormatting sqref="AA12:AA24 AA36:AA39 AA42:AA75 AA26:AA31">
    <cfRule type="cellIs" dxfId="54" priority="222" operator="equal">
      <formula>"Catastrófico"</formula>
    </cfRule>
    <cfRule type="cellIs" dxfId="53" priority="223" operator="equal">
      <formula>"Mayor"</formula>
    </cfRule>
    <cfRule type="cellIs" dxfId="52" priority="224" operator="equal">
      <formula>"Moderado"</formula>
    </cfRule>
    <cfRule type="cellIs" dxfId="51" priority="225" operator="equal">
      <formula>"Menor"</formula>
    </cfRule>
    <cfRule type="cellIs" dxfId="50" priority="226" operator="equal">
      <formula>"Leve"</formula>
    </cfRule>
  </conditionalFormatting>
  <conditionalFormatting sqref="AC12:AC24 AC36:AC39 AC42:AC75 AC26:AC31">
    <cfRule type="cellIs" dxfId="49" priority="218" operator="equal">
      <formula>"Extremo"</formula>
    </cfRule>
    <cfRule type="cellIs" dxfId="48" priority="219" operator="equal">
      <formula>"Alto"</formula>
    </cfRule>
    <cfRule type="cellIs" dxfId="47" priority="220" operator="equal">
      <formula>"Moderado"</formula>
    </cfRule>
    <cfRule type="cellIs" dxfId="46" priority="221" operator="equal">
      <formula>"Bajo"</formula>
    </cfRule>
  </conditionalFormatting>
  <conditionalFormatting sqref="Y34">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34">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34">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3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3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3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4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4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4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R12:R24 R26:R31 R34:R39 R41:R75</xm:sqref>
        </x14:dataValidation>
        <x14:dataValidation type="list" allowBlank="1" showInputMessage="1" showErrorMessage="1" xr:uid="{00000000-0002-0000-0200-000001000000}">
          <x14:formula1>
            <xm:f>'Tabla Valoración controles'!$D$7:$D$8</xm:f>
          </x14:formula1>
          <xm:sqref>S12:S24 S26:S31 S34:S39 S41:S75</xm:sqref>
        </x14:dataValidation>
        <x14:dataValidation type="list" allowBlank="1" showInputMessage="1" showErrorMessage="1" xr:uid="{00000000-0002-0000-0200-000002000000}">
          <x14:formula1>
            <xm:f>'Tabla Valoración controles'!$D$9:$D$10</xm:f>
          </x14:formula1>
          <xm:sqref>U12:U24 U26:U31 U34:U39 U41:U75</xm:sqref>
        </x14:dataValidation>
        <x14:dataValidation type="list" allowBlank="1" showInputMessage="1" showErrorMessage="1" xr:uid="{00000000-0002-0000-0200-000003000000}">
          <x14:formula1>
            <xm:f>'Tabla Valoración controles'!$D$11:$D$12</xm:f>
          </x14:formula1>
          <xm:sqref>V12:V24 V26:V31 V34:V39 V41:V75</xm:sqref>
        </x14:dataValidation>
        <x14:dataValidation type="list" allowBlank="1" showInputMessage="1" showErrorMessage="1" xr:uid="{00000000-0002-0000-0200-000004000000}">
          <x14:formula1>
            <xm:f>'Tabla Valoración controles'!$D$13:$D$14</xm:f>
          </x14:formula1>
          <xm:sqref>W12:W24 W26:W31 W34:W39 W41:W75</xm:sqref>
        </x14:dataValidation>
        <x14:dataValidation type="list" allowBlank="1" showInputMessage="1" showErrorMessage="1" xr:uid="{00000000-0002-0000-0200-000005000000}">
          <x14:formula1>
            <xm:f>'Opciones Tratamiento'!$B$13:$B$19</xm:f>
          </x14:formula1>
          <xm:sqref>F12:F75</xm:sqref>
        </x14:dataValidation>
        <x14:dataValidation type="list" allowBlank="1" showInputMessage="1" showErrorMessage="1" xr:uid="{00000000-0002-0000-0200-000006000000}">
          <x14:formula1>
            <xm:f>'Opciones Tratamiento'!$E$2:$E$4</xm:f>
          </x14:formula1>
          <xm:sqref>B12:B75</xm:sqref>
        </x14:dataValidation>
        <x14:dataValidation type="list" allowBlank="1" showInputMessage="1" showErrorMessage="1" xr:uid="{00000000-0002-0000-0200-000007000000}">
          <x14:formula1>
            <xm:f>'Opciones Tratamiento'!$B$2:$B$5</xm:f>
          </x14:formula1>
          <xm:sqref>AD12:AD24 AD26:AD31 AD34:AD39 AD41:AD75</xm:sqref>
        </x14:dataValidation>
        <x14:dataValidation type="list" allowBlank="1" showInputMessage="1" showErrorMessage="1" xr:uid="{00000000-0002-0000-0200-000008000000}">
          <x14:formula1>
            <xm:f>'Tabla Impacto'!$F$210:$F$221</xm:f>
          </x14:formula1>
          <xm:sqref>J12:J75</xm:sqref>
        </x14:dataValidation>
        <x14:dataValidation type="custom" allowBlank="1" showInputMessage="1" showErrorMessage="1" error="Recuerde que las acciones se generan bajo la medida de mitigar el riesgo" xr:uid="{00000000-0002-0000-0200-000009000000}">
          <x14:formula1>
            <xm:f>IF(OR(AD13='Opciones Tratamiento'!$B$2,AD13='Opciones Tratamiento'!$B$3,AD13='Opciones Tratamiento'!$B$4),ISBLANK(AD13),ISTEXT(AD13))</xm:f>
          </x14:formula1>
          <xm:sqref>AE13:AE17 AE19:AE23 AE27:AE30 AE36:AE38 AE42:AE45 AE47:AE51 AE53:AE57 AE59:AE63 AE65:AE75</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AF13:AG17 AF19:AG23 AF27:AG30 AF36:AG38 AF42:AG45 AF47:AG51 AF53:AG57 AF59:AG63 AF65:AG75</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AH13:AI17 AH19:AI23 AH27:AI30 AH36:AI38 AH42:AI45 AH47:AI51 AH53:AI57 AH59:AI63 AH65:AI75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56" t="s">
        <v>231</v>
      </c>
      <c r="C2" s="456"/>
      <c r="D2" s="456"/>
      <c r="E2" s="456"/>
      <c r="F2" s="456"/>
      <c r="G2" s="456"/>
      <c r="H2" s="456"/>
      <c r="I2" s="456"/>
      <c r="J2" s="493" t="s">
        <v>26</v>
      </c>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56"/>
      <c r="C3" s="456"/>
      <c r="D3" s="456"/>
      <c r="E3" s="456"/>
      <c r="F3" s="456"/>
      <c r="G3" s="456"/>
      <c r="H3" s="456"/>
      <c r="I3" s="456"/>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56"/>
      <c r="C4" s="456"/>
      <c r="D4" s="456"/>
      <c r="E4" s="456"/>
      <c r="F4" s="456"/>
      <c r="G4" s="456"/>
      <c r="H4" s="456"/>
      <c r="I4" s="456"/>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04" t="s">
        <v>232</v>
      </c>
      <c r="C6" s="504"/>
      <c r="D6" s="505"/>
      <c r="E6" s="494" t="s">
        <v>233</v>
      </c>
      <c r="F6" s="495"/>
      <c r="G6" s="495"/>
      <c r="H6" s="495"/>
      <c r="I6" s="496"/>
      <c r="J6" s="490" t="str">
        <f>IF(AND('Mapa de Riesgos'!$H$12="Muy Alta",'Mapa de Riesgos'!$L$12="Leve"),CONCATENATE("R",'Mapa de Riesgos'!$A$12),"")</f>
        <v/>
      </c>
      <c r="K6" s="491"/>
      <c r="L6" s="491" t="str">
        <f>IF(AND('Mapa de Riesgos'!$H$18="Muy Alta",'Mapa de Riesgos'!$L$18="Leve"),CONCATENATE("R",'Mapa de Riesgos'!$A$18),"")</f>
        <v/>
      </c>
      <c r="M6" s="491"/>
      <c r="N6" s="491" t="str">
        <f>IF(AND('Mapa de Riesgos'!$H$24="Muy Alta",'Mapa de Riesgos'!$L$24="Leve"),CONCATENATE("R",'Mapa de Riesgos'!$A$24),"")</f>
        <v/>
      </c>
      <c r="O6" s="492"/>
      <c r="P6" s="490" t="str">
        <f>IF(AND('Mapa de Riesgos'!$H$12="Muy Alta",'Mapa de Riesgos'!$L$12="Menor"),CONCATENATE("R",'Mapa de Riesgos'!$A$12),"")</f>
        <v/>
      </c>
      <c r="Q6" s="491"/>
      <c r="R6" s="491" t="str">
        <f>IF(AND('Mapa de Riesgos'!$H$18="Muy Alta",'Mapa de Riesgos'!$L$18="Menor"),CONCATENATE("R",'Mapa de Riesgos'!$A$18),"")</f>
        <v/>
      </c>
      <c r="S6" s="491"/>
      <c r="T6" s="491" t="str">
        <f>IF(AND('Mapa de Riesgos'!$H$24="Muy Alta",'Mapa de Riesgos'!$L$24="Menor"),CONCATENATE("R",'Mapa de Riesgos'!$A$24),"")</f>
        <v/>
      </c>
      <c r="U6" s="492"/>
      <c r="V6" s="490" t="str">
        <f>IF(AND('Mapa de Riesgos'!$H$12="Muy Alta",'Mapa de Riesgos'!$L$12="Moderado"),CONCATENATE("R",'Mapa de Riesgos'!$A$12),"")</f>
        <v/>
      </c>
      <c r="W6" s="491"/>
      <c r="X6" s="491" t="str">
        <f>IF(AND('Mapa de Riesgos'!$H$18="Muy Alta",'Mapa de Riesgos'!$L$18="Moderado"),CONCATENATE("R",'Mapa de Riesgos'!$A$18),"")</f>
        <v/>
      </c>
      <c r="Y6" s="491"/>
      <c r="Z6" s="491" t="str">
        <f>IF(AND('Mapa de Riesgos'!$H$24="Muy Alta",'Mapa de Riesgos'!$L$24="Moderado"),CONCATENATE("R",'Mapa de Riesgos'!$A$24),"")</f>
        <v/>
      </c>
      <c r="AA6" s="492"/>
      <c r="AB6" s="490" t="str">
        <f>IF(AND('Mapa de Riesgos'!$H$12="Muy Alta",'Mapa de Riesgos'!$L$12="Mayor"),CONCATENATE("R",'Mapa de Riesgos'!$A$12),"")</f>
        <v/>
      </c>
      <c r="AC6" s="491"/>
      <c r="AD6" s="491" t="str">
        <f>IF(AND('Mapa de Riesgos'!$H$18="Muy Alta",'Mapa de Riesgos'!$L$18="Mayor"),CONCATENATE("R",'Mapa de Riesgos'!$A$18),"")</f>
        <v/>
      </c>
      <c r="AE6" s="491"/>
      <c r="AF6" s="491" t="str">
        <f>IF(AND('Mapa de Riesgos'!$H$24="Muy Alta",'Mapa de Riesgos'!$L$24="Mayor"),CONCATENATE("R",'Mapa de Riesgos'!$A$24),"")</f>
        <v/>
      </c>
      <c r="AG6" s="492"/>
      <c r="AH6" s="481" t="str">
        <f>IF(AND('Mapa de Riesgos'!$H$12="Muy Alta",'Mapa de Riesgos'!$L$12="Catastrófico"),CONCATENATE("R",'Mapa de Riesgos'!$A$12),"")</f>
        <v/>
      </c>
      <c r="AI6" s="482"/>
      <c r="AJ6" s="482" t="str">
        <f>IF(AND('Mapa de Riesgos'!$H$18="Muy Alta",'Mapa de Riesgos'!$L$18="Catastrófico"),CONCATENATE("R",'Mapa de Riesgos'!$A$18),"")</f>
        <v/>
      </c>
      <c r="AK6" s="482"/>
      <c r="AL6" s="482" t="str">
        <f>IF(AND('Mapa de Riesgos'!$H$24="Muy Alta",'Mapa de Riesgos'!$L$24="Catastrófico"),CONCATENATE("R",'Mapa de Riesgos'!$A$24),"")</f>
        <v/>
      </c>
      <c r="AM6" s="483"/>
      <c r="AO6" s="506" t="s">
        <v>234</v>
      </c>
      <c r="AP6" s="507"/>
      <c r="AQ6" s="507"/>
      <c r="AR6" s="507"/>
      <c r="AS6" s="507"/>
      <c r="AT6" s="50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04"/>
      <c r="C7" s="504"/>
      <c r="D7" s="505"/>
      <c r="E7" s="497"/>
      <c r="F7" s="498"/>
      <c r="G7" s="498"/>
      <c r="H7" s="498"/>
      <c r="I7" s="499"/>
      <c r="J7" s="484"/>
      <c r="K7" s="485"/>
      <c r="L7" s="485"/>
      <c r="M7" s="485"/>
      <c r="N7" s="485"/>
      <c r="O7" s="486"/>
      <c r="P7" s="484"/>
      <c r="Q7" s="485"/>
      <c r="R7" s="485"/>
      <c r="S7" s="485"/>
      <c r="T7" s="485"/>
      <c r="U7" s="486"/>
      <c r="V7" s="484"/>
      <c r="W7" s="485"/>
      <c r="X7" s="485"/>
      <c r="Y7" s="485"/>
      <c r="Z7" s="485"/>
      <c r="AA7" s="486"/>
      <c r="AB7" s="484"/>
      <c r="AC7" s="485"/>
      <c r="AD7" s="485"/>
      <c r="AE7" s="485"/>
      <c r="AF7" s="485"/>
      <c r="AG7" s="486"/>
      <c r="AH7" s="475"/>
      <c r="AI7" s="476"/>
      <c r="AJ7" s="476"/>
      <c r="AK7" s="476"/>
      <c r="AL7" s="476"/>
      <c r="AM7" s="477"/>
      <c r="AN7" s="83"/>
      <c r="AO7" s="509"/>
      <c r="AP7" s="510"/>
      <c r="AQ7" s="510"/>
      <c r="AR7" s="510"/>
      <c r="AS7" s="510"/>
      <c r="AT7" s="51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04"/>
      <c r="C8" s="504"/>
      <c r="D8" s="505"/>
      <c r="E8" s="497"/>
      <c r="F8" s="498"/>
      <c r="G8" s="498"/>
      <c r="H8" s="498"/>
      <c r="I8" s="499"/>
      <c r="J8" s="484" t="str">
        <f>IF(AND('Mapa de Riesgos'!$H$31="Muy Alta",'Mapa de Riesgos'!$L$31="Leve"),CONCATENATE("R",'Mapa de Riesgos'!$A$31),"")</f>
        <v/>
      </c>
      <c r="K8" s="485"/>
      <c r="L8" s="485" t="str">
        <f>IF(AND('Mapa de Riesgos'!$H$39="Muy Alta",'Mapa de Riesgos'!$L$39="Leve"),CONCATENATE("R",'Mapa de Riesgos'!$A$39),"")</f>
        <v/>
      </c>
      <c r="M8" s="485"/>
      <c r="N8" s="485" t="str">
        <f>IF(AND('Mapa de Riesgos'!$H$46="Muy Alta",'Mapa de Riesgos'!$L$46="Leve"),CONCATENATE("R",'Mapa de Riesgos'!$A$46),"")</f>
        <v/>
      </c>
      <c r="O8" s="486"/>
      <c r="P8" s="484" t="str">
        <f>IF(AND('Mapa de Riesgos'!$H$31="Muy Alta",'Mapa de Riesgos'!$L$31="Menor"),CONCATENATE("R",'Mapa de Riesgos'!$A$31),"")</f>
        <v/>
      </c>
      <c r="Q8" s="485"/>
      <c r="R8" s="485" t="str">
        <f>IF(AND('Mapa de Riesgos'!$H$39="Muy Alta",'Mapa de Riesgos'!$L$39="Menor"),CONCATENATE("R",'Mapa de Riesgos'!$A$39),"")</f>
        <v/>
      </c>
      <c r="S8" s="485"/>
      <c r="T8" s="485" t="str">
        <f>IF(AND('Mapa de Riesgos'!$H$46="Muy Alta",'Mapa de Riesgos'!$L$46="Menor"),CONCATENATE("R",'Mapa de Riesgos'!$A$46),"")</f>
        <v/>
      </c>
      <c r="U8" s="486"/>
      <c r="V8" s="484" t="str">
        <f>IF(AND('Mapa de Riesgos'!$H$31="Muy Alta",'Mapa de Riesgos'!$L$31="Moderado"),CONCATENATE("R",'Mapa de Riesgos'!$A$31),"")</f>
        <v/>
      </c>
      <c r="W8" s="485"/>
      <c r="X8" s="485" t="str">
        <f>IF(AND('Mapa de Riesgos'!$H$39="Muy Alta",'Mapa de Riesgos'!$L$39="Moderado"),CONCATENATE("R",'Mapa de Riesgos'!$A$39),"")</f>
        <v/>
      </c>
      <c r="Y8" s="485"/>
      <c r="Z8" s="485" t="str">
        <f>IF(AND('Mapa de Riesgos'!$H$46="Muy Alta",'Mapa de Riesgos'!$L$46="Moderado"),CONCATENATE("R",'Mapa de Riesgos'!$A$46),"")</f>
        <v/>
      </c>
      <c r="AA8" s="486"/>
      <c r="AB8" s="484" t="str">
        <f>IF(AND('Mapa de Riesgos'!$H$31="Muy Alta",'Mapa de Riesgos'!$L$31="Mayor"),CONCATENATE("R",'Mapa de Riesgos'!$A$31),"")</f>
        <v/>
      </c>
      <c r="AC8" s="485"/>
      <c r="AD8" s="485" t="str">
        <f>IF(AND('Mapa de Riesgos'!$H$39="Muy Alta",'Mapa de Riesgos'!$L$39="Mayor"),CONCATENATE("R",'Mapa de Riesgos'!$A$39),"")</f>
        <v/>
      </c>
      <c r="AE8" s="485"/>
      <c r="AF8" s="485" t="str">
        <f>IF(AND('Mapa de Riesgos'!$H$46="Muy Alta",'Mapa de Riesgos'!$L$46="Mayor"),CONCATENATE("R",'Mapa de Riesgos'!$A$46),"")</f>
        <v/>
      </c>
      <c r="AG8" s="486"/>
      <c r="AH8" s="475" t="str">
        <f>IF(AND('Mapa de Riesgos'!$H$31="Muy Alta",'Mapa de Riesgos'!$L$31="Catastrófico"),CONCATENATE("R",'Mapa de Riesgos'!$A$31),"")</f>
        <v/>
      </c>
      <c r="AI8" s="476"/>
      <c r="AJ8" s="476" t="str">
        <f>IF(AND('Mapa de Riesgos'!$H$39="Muy Alta",'Mapa de Riesgos'!$L$39="Catastrófico"),CONCATENATE("R",'Mapa de Riesgos'!$A$39),"")</f>
        <v/>
      </c>
      <c r="AK8" s="476"/>
      <c r="AL8" s="476" t="str">
        <f>IF(AND('Mapa de Riesgos'!$H$46="Muy Alta",'Mapa de Riesgos'!$L$46="Catastrófico"),CONCATENATE("R",'Mapa de Riesgos'!$A$46),"")</f>
        <v/>
      </c>
      <c r="AM8" s="477"/>
      <c r="AN8" s="83"/>
      <c r="AO8" s="509"/>
      <c r="AP8" s="510"/>
      <c r="AQ8" s="510"/>
      <c r="AR8" s="510"/>
      <c r="AS8" s="510"/>
      <c r="AT8" s="51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04"/>
      <c r="C9" s="504"/>
      <c r="D9" s="505"/>
      <c r="E9" s="497"/>
      <c r="F9" s="498"/>
      <c r="G9" s="498"/>
      <c r="H9" s="498"/>
      <c r="I9" s="499"/>
      <c r="J9" s="484"/>
      <c r="K9" s="485"/>
      <c r="L9" s="485"/>
      <c r="M9" s="485"/>
      <c r="N9" s="485"/>
      <c r="O9" s="486"/>
      <c r="P9" s="484"/>
      <c r="Q9" s="485"/>
      <c r="R9" s="485"/>
      <c r="S9" s="485"/>
      <c r="T9" s="485"/>
      <c r="U9" s="486"/>
      <c r="V9" s="484"/>
      <c r="W9" s="485"/>
      <c r="X9" s="485"/>
      <c r="Y9" s="485"/>
      <c r="Z9" s="485"/>
      <c r="AA9" s="486"/>
      <c r="AB9" s="484"/>
      <c r="AC9" s="485"/>
      <c r="AD9" s="485"/>
      <c r="AE9" s="485"/>
      <c r="AF9" s="485"/>
      <c r="AG9" s="486"/>
      <c r="AH9" s="475"/>
      <c r="AI9" s="476"/>
      <c r="AJ9" s="476"/>
      <c r="AK9" s="476"/>
      <c r="AL9" s="476"/>
      <c r="AM9" s="477"/>
      <c r="AN9" s="83"/>
      <c r="AO9" s="509"/>
      <c r="AP9" s="510"/>
      <c r="AQ9" s="510"/>
      <c r="AR9" s="510"/>
      <c r="AS9" s="510"/>
      <c r="AT9" s="51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04"/>
      <c r="C10" s="504"/>
      <c r="D10" s="505"/>
      <c r="E10" s="497"/>
      <c r="F10" s="498"/>
      <c r="G10" s="498"/>
      <c r="H10" s="498"/>
      <c r="I10" s="499"/>
      <c r="J10" s="484" t="str">
        <f>IF(AND('Mapa de Riesgos'!$H$52="Muy Alta",'Mapa de Riesgos'!$L$52="Leve"),CONCATENATE("R",'Mapa de Riesgos'!$A$52),"")</f>
        <v/>
      </c>
      <c r="K10" s="485"/>
      <c r="L10" s="485" t="str">
        <f>IF(AND('Mapa de Riesgos'!$H$58="Muy Alta",'Mapa de Riesgos'!$L$58="Leve"),CONCATENATE("R",'Mapa de Riesgos'!$A$58),"")</f>
        <v/>
      </c>
      <c r="M10" s="485"/>
      <c r="N10" s="485" t="str">
        <f>IF(AND('Mapa de Riesgos'!$H$64="Muy Alta",'Mapa de Riesgos'!$L$64="Leve"),CONCATENATE("R",'Mapa de Riesgos'!$A$64),"")</f>
        <v/>
      </c>
      <c r="O10" s="486"/>
      <c r="P10" s="484" t="str">
        <f>IF(AND('Mapa de Riesgos'!$H$52="Muy Alta",'Mapa de Riesgos'!$L$52="Menor"),CONCATENATE("R",'Mapa de Riesgos'!$A$52),"")</f>
        <v/>
      </c>
      <c r="Q10" s="485"/>
      <c r="R10" s="485" t="str">
        <f>IF(AND('Mapa de Riesgos'!$H$58="Muy Alta",'Mapa de Riesgos'!$L$58="Menor"),CONCATENATE("R",'Mapa de Riesgos'!$A$58),"")</f>
        <v/>
      </c>
      <c r="S10" s="485"/>
      <c r="T10" s="485" t="str">
        <f>IF(AND('Mapa de Riesgos'!$H$64="Muy Alta",'Mapa de Riesgos'!$L$64="Menor"),CONCATENATE("R",'Mapa de Riesgos'!$A$64),"")</f>
        <v/>
      </c>
      <c r="U10" s="486"/>
      <c r="V10" s="484" t="str">
        <f>IF(AND('Mapa de Riesgos'!$H$52="Muy Alta",'Mapa de Riesgos'!$L$52="Moderado"),CONCATENATE("R",'Mapa de Riesgos'!$A$52),"")</f>
        <v/>
      </c>
      <c r="W10" s="485"/>
      <c r="X10" s="485" t="str">
        <f>IF(AND('Mapa de Riesgos'!$H$58="Muy Alta",'Mapa de Riesgos'!$L$58="Moderado"),CONCATENATE("R",'Mapa de Riesgos'!$A$58),"")</f>
        <v/>
      </c>
      <c r="Y10" s="485"/>
      <c r="Z10" s="485" t="str">
        <f>IF(AND('Mapa de Riesgos'!$H$64="Muy Alta",'Mapa de Riesgos'!$L$64="Moderado"),CONCATENATE("R",'Mapa de Riesgos'!$A$64),"")</f>
        <v/>
      </c>
      <c r="AA10" s="486"/>
      <c r="AB10" s="484" t="str">
        <f>IF(AND('Mapa de Riesgos'!$H$52="Muy Alta",'Mapa de Riesgos'!$L$52="Mayor"),CONCATENATE("R",'Mapa de Riesgos'!$A$52),"")</f>
        <v/>
      </c>
      <c r="AC10" s="485"/>
      <c r="AD10" s="485" t="str">
        <f>IF(AND('Mapa de Riesgos'!$H$58="Muy Alta",'Mapa de Riesgos'!$L$58="Mayor"),CONCATENATE("R",'Mapa de Riesgos'!$A$58),"")</f>
        <v/>
      </c>
      <c r="AE10" s="485"/>
      <c r="AF10" s="485" t="str">
        <f>IF(AND('Mapa de Riesgos'!$H$64="Muy Alta",'Mapa de Riesgos'!$L$64="Mayor"),CONCATENATE("R",'Mapa de Riesgos'!$A$64),"")</f>
        <v/>
      </c>
      <c r="AG10" s="486"/>
      <c r="AH10" s="475" t="str">
        <f>IF(AND('Mapa de Riesgos'!$H$52="Muy Alta",'Mapa de Riesgos'!$L$52="Catastrófico"),CONCATENATE("R",'Mapa de Riesgos'!$A$52),"")</f>
        <v/>
      </c>
      <c r="AI10" s="476"/>
      <c r="AJ10" s="476" t="str">
        <f>IF(AND('Mapa de Riesgos'!$H$58="Muy Alta",'Mapa de Riesgos'!$L$58="Catastrófico"),CONCATENATE("R",'Mapa de Riesgos'!$A$58),"")</f>
        <v/>
      </c>
      <c r="AK10" s="476"/>
      <c r="AL10" s="476" t="str">
        <f>IF(AND('Mapa de Riesgos'!$H$64="Muy Alta",'Mapa de Riesgos'!$L$64="Catastrófico"),CONCATENATE("R",'Mapa de Riesgos'!$A$64),"")</f>
        <v/>
      </c>
      <c r="AM10" s="477"/>
      <c r="AN10" s="83"/>
      <c r="AO10" s="509"/>
      <c r="AP10" s="510"/>
      <c r="AQ10" s="510"/>
      <c r="AR10" s="510"/>
      <c r="AS10" s="510"/>
      <c r="AT10" s="51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04"/>
      <c r="C11" s="504"/>
      <c r="D11" s="505"/>
      <c r="E11" s="497"/>
      <c r="F11" s="498"/>
      <c r="G11" s="498"/>
      <c r="H11" s="498"/>
      <c r="I11" s="499"/>
      <c r="J11" s="484"/>
      <c r="K11" s="485"/>
      <c r="L11" s="485"/>
      <c r="M11" s="485"/>
      <c r="N11" s="485"/>
      <c r="O11" s="486"/>
      <c r="P11" s="484"/>
      <c r="Q11" s="485"/>
      <c r="R11" s="485"/>
      <c r="S11" s="485"/>
      <c r="T11" s="485"/>
      <c r="U11" s="486"/>
      <c r="V11" s="484"/>
      <c r="W11" s="485"/>
      <c r="X11" s="485"/>
      <c r="Y11" s="485"/>
      <c r="Z11" s="485"/>
      <c r="AA11" s="486"/>
      <c r="AB11" s="484"/>
      <c r="AC11" s="485"/>
      <c r="AD11" s="485"/>
      <c r="AE11" s="485"/>
      <c r="AF11" s="485"/>
      <c r="AG11" s="486"/>
      <c r="AH11" s="475"/>
      <c r="AI11" s="476"/>
      <c r="AJ11" s="476"/>
      <c r="AK11" s="476"/>
      <c r="AL11" s="476"/>
      <c r="AM11" s="477"/>
      <c r="AN11" s="83"/>
      <c r="AO11" s="509"/>
      <c r="AP11" s="510"/>
      <c r="AQ11" s="510"/>
      <c r="AR11" s="510"/>
      <c r="AS11" s="510"/>
      <c r="AT11" s="51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04"/>
      <c r="C12" s="504"/>
      <c r="D12" s="505"/>
      <c r="E12" s="497"/>
      <c r="F12" s="498"/>
      <c r="G12" s="498"/>
      <c r="H12" s="498"/>
      <c r="I12" s="499"/>
      <c r="J12" s="484" t="str">
        <f>IF(AND('Mapa de Riesgos'!$H$70="Muy Alta",'Mapa de Riesgos'!$L$70="Leve"),CONCATENATE("R",'Mapa de Riesgos'!$A$70),"")</f>
        <v/>
      </c>
      <c r="K12" s="485"/>
      <c r="L12" s="485" t="str">
        <f>IF(AND('Mapa de Riesgos'!$H$76="Muy Alta",'Mapa de Riesgos'!$L$76="Leve"),CONCATENATE("R",'Mapa de Riesgos'!$A$76),"")</f>
        <v/>
      </c>
      <c r="M12" s="485"/>
      <c r="N12" s="485" t="str">
        <f>IF(AND('Mapa de Riesgos'!$H$82="Muy Alta",'Mapa de Riesgos'!$L$82="Leve"),CONCATENATE("R",'Mapa de Riesgos'!$A$82),"")</f>
        <v/>
      </c>
      <c r="O12" s="486"/>
      <c r="P12" s="484" t="str">
        <f>IF(AND('Mapa de Riesgos'!$H$70="Muy Alta",'Mapa de Riesgos'!$L$70="Menor"),CONCATENATE("R",'Mapa de Riesgos'!$A$70),"")</f>
        <v/>
      </c>
      <c r="Q12" s="485"/>
      <c r="R12" s="485" t="str">
        <f>IF(AND('Mapa de Riesgos'!$H$76="Muy Alta",'Mapa de Riesgos'!$L$76="Menor"),CONCATENATE("R",'Mapa de Riesgos'!$A$76),"")</f>
        <v/>
      </c>
      <c r="S12" s="485"/>
      <c r="T12" s="485" t="str">
        <f>IF(AND('Mapa de Riesgos'!$H$82="Muy Alta",'Mapa de Riesgos'!$L$82="Menor"),CONCATENATE("R",'Mapa de Riesgos'!$A$82),"")</f>
        <v/>
      </c>
      <c r="U12" s="486"/>
      <c r="V12" s="484" t="str">
        <f>IF(AND('Mapa de Riesgos'!$H$70="Muy Alta",'Mapa de Riesgos'!$L$70="Moderado"),CONCATENATE("R",'Mapa de Riesgos'!$A$70),"")</f>
        <v/>
      </c>
      <c r="W12" s="485"/>
      <c r="X12" s="485" t="str">
        <f>IF(AND('Mapa de Riesgos'!$H$76="Muy Alta",'Mapa de Riesgos'!$L$76="Moderado"),CONCATENATE("R",'Mapa de Riesgos'!$A$76),"")</f>
        <v/>
      </c>
      <c r="Y12" s="485"/>
      <c r="Z12" s="485" t="str">
        <f>IF(AND('Mapa de Riesgos'!$H$82="Muy Alta",'Mapa de Riesgos'!$L$82="Moderado"),CONCATENATE("R",'Mapa de Riesgos'!$A$82),"")</f>
        <v/>
      </c>
      <c r="AA12" s="486"/>
      <c r="AB12" s="484" t="str">
        <f>IF(AND('Mapa de Riesgos'!$H$70="Muy Alta",'Mapa de Riesgos'!$L$70="Mayor"),CONCATENATE("R",'Mapa de Riesgos'!$A$70),"")</f>
        <v/>
      </c>
      <c r="AC12" s="485"/>
      <c r="AD12" s="485" t="str">
        <f>IF(AND('Mapa de Riesgos'!$H$76="Muy Alta",'Mapa de Riesgos'!$L$76="Mayor"),CONCATENATE("R",'Mapa de Riesgos'!$A$76),"")</f>
        <v/>
      </c>
      <c r="AE12" s="485"/>
      <c r="AF12" s="485" t="str">
        <f>IF(AND('Mapa de Riesgos'!$H$82="Muy Alta",'Mapa de Riesgos'!$L$82="Mayor"),CONCATENATE("R",'Mapa de Riesgos'!$A$82),"")</f>
        <v/>
      </c>
      <c r="AG12" s="486"/>
      <c r="AH12" s="475" t="str">
        <f>IF(AND('Mapa de Riesgos'!$H$70="Muy Alta",'Mapa de Riesgos'!$L$70="Catastrófico"),CONCATENATE("R",'Mapa de Riesgos'!$A$70),"")</f>
        <v/>
      </c>
      <c r="AI12" s="476"/>
      <c r="AJ12" s="476" t="str">
        <f>IF(AND('Mapa de Riesgos'!$H$76="Muy Alta",'Mapa de Riesgos'!$L$76="Catastrófico"),CONCATENATE("R",'Mapa de Riesgos'!$A$76),"")</f>
        <v/>
      </c>
      <c r="AK12" s="476"/>
      <c r="AL12" s="476" t="str">
        <f>IF(AND('Mapa de Riesgos'!$H$82="Muy Alta",'Mapa de Riesgos'!$L$82="Catastrófico"),CONCATENATE("R",'Mapa de Riesgos'!$A$82),"")</f>
        <v/>
      </c>
      <c r="AM12" s="477"/>
      <c r="AN12" s="83"/>
      <c r="AO12" s="509"/>
      <c r="AP12" s="510"/>
      <c r="AQ12" s="510"/>
      <c r="AR12" s="510"/>
      <c r="AS12" s="510"/>
      <c r="AT12" s="51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04"/>
      <c r="C13" s="504"/>
      <c r="D13" s="505"/>
      <c r="E13" s="500"/>
      <c r="F13" s="501"/>
      <c r="G13" s="501"/>
      <c r="H13" s="501"/>
      <c r="I13" s="502"/>
      <c r="J13" s="484"/>
      <c r="K13" s="485"/>
      <c r="L13" s="485"/>
      <c r="M13" s="485"/>
      <c r="N13" s="485"/>
      <c r="O13" s="486"/>
      <c r="P13" s="484"/>
      <c r="Q13" s="485"/>
      <c r="R13" s="485"/>
      <c r="S13" s="485"/>
      <c r="T13" s="485"/>
      <c r="U13" s="486"/>
      <c r="V13" s="484"/>
      <c r="W13" s="485"/>
      <c r="X13" s="485"/>
      <c r="Y13" s="485"/>
      <c r="Z13" s="485"/>
      <c r="AA13" s="486"/>
      <c r="AB13" s="484"/>
      <c r="AC13" s="485"/>
      <c r="AD13" s="485"/>
      <c r="AE13" s="485"/>
      <c r="AF13" s="485"/>
      <c r="AG13" s="486"/>
      <c r="AH13" s="478"/>
      <c r="AI13" s="479"/>
      <c r="AJ13" s="479"/>
      <c r="AK13" s="479"/>
      <c r="AL13" s="479"/>
      <c r="AM13" s="480"/>
      <c r="AN13" s="83"/>
      <c r="AO13" s="512"/>
      <c r="AP13" s="513"/>
      <c r="AQ13" s="513"/>
      <c r="AR13" s="513"/>
      <c r="AS13" s="513"/>
      <c r="AT13" s="51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04"/>
      <c r="C14" s="504"/>
      <c r="D14" s="505"/>
      <c r="E14" s="494" t="s">
        <v>235</v>
      </c>
      <c r="F14" s="495"/>
      <c r="G14" s="495"/>
      <c r="H14" s="495"/>
      <c r="I14" s="495"/>
      <c r="J14" s="472" t="str">
        <f>IF(AND('Mapa de Riesgos'!$H$12="Alta",'Mapa de Riesgos'!$L$12="Leve"),CONCATENATE("R",'Mapa de Riesgos'!$A$12),"")</f>
        <v/>
      </c>
      <c r="K14" s="473"/>
      <c r="L14" s="473" t="str">
        <f>IF(AND('Mapa de Riesgos'!$H$18="Alta",'Mapa de Riesgos'!$L$18="Leve"),CONCATENATE("R",'Mapa de Riesgos'!$A$18),"")</f>
        <v/>
      </c>
      <c r="M14" s="473"/>
      <c r="N14" s="473" t="str">
        <f>IF(AND('Mapa de Riesgos'!$H$24="Alta",'Mapa de Riesgos'!$L$24="Leve"),CONCATENATE("R",'Mapa de Riesgos'!$A$24),"")</f>
        <v/>
      </c>
      <c r="O14" s="474"/>
      <c r="P14" s="472" t="str">
        <f>IF(AND('Mapa de Riesgos'!$H$12="Alta",'Mapa de Riesgos'!$L$12="Menor"),CONCATENATE("R",'Mapa de Riesgos'!$A$12),"")</f>
        <v/>
      </c>
      <c r="Q14" s="473"/>
      <c r="R14" s="473" t="str">
        <f>IF(AND('Mapa de Riesgos'!$H$18="Alta",'Mapa de Riesgos'!$L$18="Menor"),CONCATENATE("R",'Mapa de Riesgos'!$A$18),"")</f>
        <v/>
      </c>
      <c r="S14" s="473"/>
      <c r="T14" s="473" t="str">
        <f>IF(AND('Mapa de Riesgos'!$H$24="Alta",'Mapa de Riesgos'!$L$24="Menor"),CONCATENATE("R",'Mapa de Riesgos'!$A$24),"")</f>
        <v/>
      </c>
      <c r="U14" s="474"/>
      <c r="V14" s="490" t="str">
        <f>IF(AND('Mapa de Riesgos'!$H$12="Alta",'Mapa de Riesgos'!$L$12="Moderado"),CONCATENATE("R",'Mapa de Riesgos'!$A$12),"")</f>
        <v/>
      </c>
      <c r="W14" s="491"/>
      <c r="X14" s="491" t="str">
        <f>IF(AND('Mapa de Riesgos'!$H$18="Alta",'Mapa de Riesgos'!$L$18="Moderado"),CONCATENATE("R",'Mapa de Riesgos'!$A$18),"")</f>
        <v/>
      </c>
      <c r="Y14" s="491"/>
      <c r="Z14" s="491" t="str">
        <f>IF(AND('Mapa de Riesgos'!$H$24="Alta",'Mapa de Riesgos'!$L$24="Moderado"),CONCATENATE("R",'Mapa de Riesgos'!$A$24),"")</f>
        <v/>
      </c>
      <c r="AA14" s="492"/>
      <c r="AB14" s="490" t="str">
        <f>IF(AND('Mapa de Riesgos'!$H$12="Alta",'Mapa de Riesgos'!$L$12="Mayor"),CONCATENATE("R",'Mapa de Riesgos'!$A$12),"")</f>
        <v/>
      </c>
      <c r="AC14" s="491"/>
      <c r="AD14" s="491" t="str">
        <f>IF(AND('Mapa de Riesgos'!$H$18="Alta",'Mapa de Riesgos'!$L$18="Mayor"),CONCATENATE("R",'Mapa de Riesgos'!$A$18),"")</f>
        <v/>
      </c>
      <c r="AE14" s="491"/>
      <c r="AF14" s="491" t="str">
        <f>IF(AND('Mapa de Riesgos'!$H$24="Alta",'Mapa de Riesgos'!$L$24="Mayor"),CONCATENATE("R",'Mapa de Riesgos'!$A$24),"")</f>
        <v/>
      </c>
      <c r="AG14" s="492"/>
      <c r="AH14" s="481" t="str">
        <f>IF(AND('Mapa de Riesgos'!$H$12="Alta",'Mapa de Riesgos'!$L$12="Catastrófico"),CONCATENATE("R",'Mapa de Riesgos'!$A$12),"")</f>
        <v/>
      </c>
      <c r="AI14" s="482"/>
      <c r="AJ14" s="482" t="str">
        <f>IF(AND('Mapa de Riesgos'!$H$18="Alta",'Mapa de Riesgos'!$L$18="Catastrófico"),CONCATENATE("R",'Mapa de Riesgos'!$A$18),"")</f>
        <v/>
      </c>
      <c r="AK14" s="482"/>
      <c r="AL14" s="482" t="str">
        <f>IF(AND('Mapa de Riesgos'!$H$24="Alta",'Mapa de Riesgos'!$L$24="Catastrófico"),CONCATENATE("R",'Mapa de Riesgos'!$A$24),"")</f>
        <v/>
      </c>
      <c r="AM14" s="483"/>
      <c r="AN14" s="83"/>
      <c r="AO14" s="515" t="s">
        <v>236</v>
      </c>
      <c r="AP14" s="516"/>
      <c r="AQ14" s="516"/>
      <c r="AR14" s="516"/>
      <c r="AS14" s="516"/>
      <c r="AT14" s="51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04"/>
      <c r="C15" s="504"/>
      <c r="D15" s="505"/>
      <c r="E15" s="497"/>
      <c r="F15" s="498"/>
      <c r="G15" s="498"/>
      <c r="H15" s="498"/>
      <c r="I15" s="498"/>
      <c r="J15" s="466"/>
      <c r="K15" s="467"/>
      <c r="L15" s="467"/>
      <c r="M15" s="467"/>
      <c r="N15" s="467"/>
      <c r="O15" s="468"/>
      <c r="P15" s="466"/>
      <c r="Q15" s="467"/>
      <c r="R15" s="467"/>
      <c r="S15" s="467"/>
      <c r="T15" s="467"/>
      <c r="U15" s="468"/>
      <c r="V15" s="484"/>
      <c r="W15" s="485"/>
      <c r="X15" s="485"/>
      <c r="Y15" s="485"/>
      <c r="Z15" s="485"/>
      <c r="AA15" s="486"/>
      <c r="AB15" s="484"/>
      <c r="AC15" s="485"/>
      <c r="AD15" s="485"/>
      <c r="AE15" s="485"/>
      <c r="AF15" s="485"/>
      <c r="AG15" s="486"/>
      <c r="AH15" s="475"/>
      <c r="AI15" s="476"/>
      <c r="AJ15" s="476"/>
      <c r="AK15" s="476"/>
      <c r="AL15" s="476"/>
      <c r="AM15" s="477"/>
      <c r="AN15" s="83"/>
      <c r="AO15" s="518"/>
      <c r="AP15" s="519"/>
      <c r="AQ15" s="519"/>
      <c r="AR15" s="519"/>
      <c r="AS15" s="519"/>
      <c r="AT15" s="52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04"/>
      <c r="C16" s="504"/>
      <c r="D16" s="505"/>
      <c r="E16" s="497"/>
      <c r="F16" s="498"/>
      <c r="G16" s="498"/>
      <c r="H16" s="498"/>
      <c r="I16" s="498"/>
      <c r="J16" s="466" t="str">
        <f>IF(AND('Mapa de Riesgos'!$H$31="Alta",'Mapa de Riesgos'!$L$31="Leve"),CONCATENATE("R",'Mapa de Riesgos'!$A$31),"")</f>
        <v/>
      </c>
      <c r="K16" s="467"/>
      <c r="L16" s="467" t="str">
        <f>IF(AND('Mapa de Riesgos'!$H$39="Alta",'Mapa de Riesgos'!$L$39="Leve"),CONCATENATE("R",'Mapa de Riesgos'!$A$39),"")</f>
        <v/>
      </c>
      <c r="M16" s="467"/>
      <c r="N16" s="467" t="str">
        <f>IF(AND('Mapa de Riesgos'!$H$46="Alta",'Mapa de Riesgos'!$L$46="Leve"),CONCATENATE("R",'Mapa de Riesgos'!$A$46),"")</f>
        <v/>
      </c>
      <c r="O16" s="468"/>
      <c r="P16" s="466" t="str">
        <f>IF(AND('Mapa de Riesgos'!$H$31="Alta",'Mapa de Riesgos'!$L$31="Menor"),CONCATENATE("R",'Mapa de Riesgos'!$A$31),"")</f>
        <v/>
      </c>
      <c r="Q16" s="467"/>
      <c r="R16" s="467" t="str">
        <f>IF(AND('Mapa de Riesgos'!$H$39="Alta",'Mapa de Riesgos'!$L$39="Menor"),CONCATENATE("R",'Mapa de Riesgos'!$A$39),"")</f>
        <v/>
      </c>
      <c r="S16" s="467"/>
      <c r="T16" s="467" t="str">
        <f>IF(AND('Mapa de Riesgos'!$H$46="Alta",'Mapa de Riesgos'!$L$46="Menor"),CONCATENATE("R",'Mapa de Riesgos'!$A$46),"")</f>
        <v/>
      </c>
      <c r="U16" s="468"/>
      <c r="V16" s="484" t="str">
        <f>IF(AND('Mapa de Riesgos'!$H$31="Alta",'Mapa de Riesgos'!$L$31="Moderado"),CONCATENATE("R",'Mapa de Riesgos'!$A$31),"")</f>
        <v/>
      </c>
      <c r="W16" s="485"/>
      <c r="X16" s="485" t="str">
        <f>IF(AND('Mapa de Riesgos'!$H$39="Alta",'Mapa de Riesgos'!$L$39="Moderado"),CONCATENATE("R",'Mapa de Riesgos'!$A$39),"")</f>
        <v/>
      </c>
      <c r="Y16" s="485"/>
      <c r="Z16" s="485" t="str">
        <f>IF(AND('Mapa de Riesgos'!$H$46="Alta",'Mapa de Riesgos'!$L$46="Moderado"),CONCATENATE("R",'Mapa de Riesgos'!$A$46),"")</f>
        <v/>
      </c>
      <c r="AA16" s="486"/>
      <c r="AB16" s="484" t="str">
        <f>IF(AND('Mapa de Riesgos'!$H$31="Alta",'Mapa de Riesgos'!$L$31="Mayor"),CONCATENATE("R",'Mapa de Riesgos'!$A$31),"")</f>
        <v/>
      </c>
      <c r="AC16" s="485"/>
      <c r="AD16" s="485" t="str">
        <f>IF(AND('Mapa de Riesgos'!$H$39="Alta",'Mapa de Riesgos'!$L$39="Mayor"),CONCATENATE("R",'Mapa de Riesgos'!$A$39),"")</f>
        <v/>
      </c>
      <c r="AE16" s="485"/>
      <c r="AF16" s="485" t="str">
        <f>IF(AND('Mapa de Riesgos'!$H$46="Alta",'Mapa de Riesgos'!$L$46="Mayor"),CONCATENATE("R",'Mapa de Riesgos'!$A$46),"")</f>
        <v/>
      </c>
      <c r="AG16" s="486"/>
      <c r="AH16" s="475" t="str">
        <f>IF(AND('Mapa de Riesgos'!$H$31="Alta",'Mapa de Riesgos'!$L$31="Catastrófico"),CONCATENATE("R",'Mapa de Riesgos'!$A$31),"")</f>
        <v/>
      </c>
      <c r="AI16" s="476"/>
      <c r="AJ16" s="476" t="str">
        <f>IF(AND('Mapa de Riesgos'!$H$39="Alta",'Mapa de Riesgos'!$L$39="Catastrófico"),CONCATENATE("R",'Mapa de Riesgos'!$A$39),"")</f>
        <v/>
      </c>
      <c r="AK16" s="476"/>
      <c r="AL16" s="476" t="str">
        <f>IF(AND('Mapa de Riesgos'!$H$46="Alta",'Mapa de Riesgos'!$L$46="Catastrófico"),CONCATENATE("R",'Mapa de Riesgos'!$A$46),"")</f>
        <v/>
      </c>
      <c r="AM16" s="477"/>
      <c r="AN16" s="83"/>
      <c r="AO16" s="518"/>
      <c r="AP16" s="519"/>
      <c r="AQ16" s="519"/>
      <c r="AR16" s="519"/>
      <c r="AS16" s="519"/>
      <c r="AT16" s="52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04"/>
      <c r="C17" s="504"/>
      <c r="D17" s="505"/>
      <c r="E17" s="497"/>
      <c r="F17" s="498"/>
      <c r="G17" s="498"/>
      <c r="H17" s="498"/>
      <c r="I17" s="498"/>
      <c r="J17" s="466"/>
      <c r="K17" s="467"/>
      <c r="L17" s="467"/>
      <c r="M17" s="467"/>
      <c r="N17" s="467"/>
      <c r="O17" s="468"/>
      <c r="P17" s="466"/>
      <c r="Q17" s="467"/>
      <c r="R17" s="467"/>
      <c r="S17" s="467"/>
      <c r="T17" s="467"/>
      <c r="U17" s="468"/>
      <c r="V17" s="484"/>
      <c r="W17" s="485"/>
      <c r="X17" s="485"/>
      <c r="Y17" s="485"/>
      <c r="Z17" s="485"/>
      <c r="AA17" s="486"/>
      <c r="AB17" s="484"/>
      <c r="AC17" s="485"/>
      <c r="AD17" s="485"/>
      <c r="AE17" s="485"/>
      <c r="AF17" s="485"/>
      <c r="AG17" s="486"/>
      <c r="AH17" s="475"/>
      <c r="AI17" s="476"/>
      <c r="AJ17" s="476"/>
      <c r="AK17" s="476"/>
      <c r="AL17" s="476"/>
      <c r="AM17" s="477"/>
      <c r="AN17" s="83"/>
      <c r="AO17" s="518"/>
      <c r="AP17" s="519"/>
      <c r="AQ17" s="519"/>
      <c r="AR17" s="519"/>
      <c r="AS17" s="519"/>
      <c r="AT17" s="52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04"/>
      <c r="C18" s="504"/>
      <c r="D18" s="505"/>
      <c r="E18" s="497"/>
      <c r="F18" s="498"/>
      <c r="G18" s="498"/>
      <c r="H18" s="498"/>
      <c r="I18" s="498"/>
      <c r="J18" s="466" t="str">
        <f>IF(AND('Mapa de Riesgos'!$H$52="Alta",'Mapa de Riesgos'!$L$52="Leve"),CONCATENATE("R",'Mapa de Riesgos'!$A$52),"")</f>
        <v/>
      </c>
      <c r="K18" s="467"/>
      <c r="L18" s="467" t="str">
        <f>IF(AND('Mapa de Riesgos'!$H$58="Alta",'Mapa de Riesgos'!$L$58="Leve"),CONCATENATE("R",'Mapa de Riesgos'!$A$58),"")</f>
        <v/>
      </c>
      <c r="M18" s="467"/>
      <c r="N18" s="467" t="str">
        <f>IF(AND('Mapa de Riesgos'!$H$64="Alta",'Mapa de Riesgos'!$L$64="Leve"),CONCATENATE("R",'Mapa de Riesgos'!$A$64),"")</f>
        <v/>
      </c>
      <c r="O18" s="468"/>
      <c r="P18" s="466" t="str">
        <f>IF(AND('Mapa de Riesgos'!$H$52="Alta",'Mapa de Riesgos'!$L$52="Menor"),CONCATENATE("R",'Mapa de Riesgos'!$A$52),"")</f>
        <v/>
      </c>
      <c r="Q18" s="467"/>
      <c r="R18" s="467" t="str">
        <f>IF(AND('Mapa de Riesgos'!$H$58="Alta",'Mapa de Riesgos'!$L$58="Menor"),CONCATENATE("R",'Mapa de Riesgos'!$A$58),"")</f>
        <v/>
      </c>
      <c r="S18" s="467"/>
      <c r="T18" s="467" t="str">
        <f>IF(AND('Mapa de Riesgos'!$H$64="Alta",'Mapa de Riesgos'!$L$64="Menor"),CONCATENATE("R",'Mapa de Riesgos'!$A$64),"")</f>
        <v/>
      </c>
      <c r="U18" s="468"/>
      <c r="V18" s="484" t="str">
        <f>IF(AND('Mapa de Riesgos'!$H$52="Alta",'Mapa de Riesgos'!$L$52="Moderado"),CONCATENATE("R",'Mapa de Riesgos'!$A$52),"")</f>
        <v/>
      </c>
      <c r="W18" s="485"/>
      <c r="X18" s="485" t="str">
        <f>IF(AND('Mapa de Riesgos'!$H$58="Alta",'Mapa de Riesgos'!$L$58="Moderado"),CONCATENATE("R",'Mapa de Riesgos'!$A$58),"")</f>
        <v/>
      </c>
      <c r="Y18" s="485"/>
      <c r="Z18" s="485" t="str">
        <f>IF(AND('Mapa de Riesgos'!$H$64="Alta",'Mapa de Riesgos'!$L$64="Moderado"),CONCATENATE("R",'Mapa de Riesgos'!$A$64),"")</f>
        <v/>
      </c>
      <c r="AA18" s="486"/>
      <c r="AB18" s="484" t="str">
        <f>IF(AND('Mapa de Riesgos'!$H$52="Alta",'Mapa de Riesgos'!$L$52="Mayor"),CONCATENATE("R",'Mapa de Riesgos'!$A$52),"")</f>
        <v/>
      </c>
      <c r="AC18" s="485"/>
      <c r="AD18" s="485" t="str">
        <f>IF(AND('Mapa de Riesgos'!$H$58="Alta",'Mapa de Riesgos'!$L$58="Mayor"),CONCATENATE("R",'Mapa de Riesgos'!$A$58),"")</f>
        <v/>
      </c>
      <c r="AE18" s="485"/>
      <c r="AF18" s="485" t="str">
        <f>IF(AND('Mapa de Riesgos'!$H$64="Alta",'Mapa de Riesgos'!$L$64="Mayor"),CONCATENATE("R",'Mapa de Riesgos'!$A$64),"")</f>
        <v/>
      </c>
      <c r="AG18" s="486"/>
      <c r="AH18" s="475" t="str">
        <f>IF(AND('Mapa de Riesgos'!$H$52="Alta",'Mapa de Riesgos'!$L$52="Catastrófico"),CONCATENATE("R",'Mapa de Riesgos'!$A$52),"")</f>
        <v/>
      </c>
      <c r="AI18" s="476"/>
      <c r="AJ18" s="476" t="str">
        <f>IF(AND('Mapa de Riesgos'!$H$58="Alta",'Mapa de Riesgos'!$L$58="Catastrófico"),CONCATENATE("R",'Mapa de Riesgos'!$A$58),"")</f>
        <v/>
      </c>
      <c r="AK18" s="476"/>
      <c r="AL18" s="476" t="str">
        <f>IF(AND('Mapa de Riesgos'!$H$64="Alta",'Mapa de Riesgos'!$L$64="Catastrófico"),CONCATENATE("R",'Mapa de Riesgos'!$A$64),"")</f>
        <v/>
      </c>
      <c r="AM18" s="477"/>
      <c r="AN18" s="83"/>
      <c r="AO18" s="518"/>
      <c r="AP18" s="519"/>
      <c r="AQ18" s="519"/>
      <c r="AR18" s="519"/>
      <c r="AS18" s="519"/>
      <c r="AT18" s="52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04"/>
      <c r="C19" s="504"/>
      <c r="D19" s="505"/>
      <c r="E19" s="497"/>
      <c r="F19" s="498"/>
      <c r="G19" s="498"/>
      <c r="H19" s="498"/>
      <c r="I19" s="498"/>
      <c r="J19" s="466"/>
      <c r="K19" s="467"/>
      <c r="L19" s="467"/>
      <c r="M19" s="467"/>
      <c r="N19" s="467"/>
      <c r="O19" s="468"/>
      <c r="P19" s="466"/>
      <c r="Q19" s="467"/>
      <c r="R19" s="467"/>
      <c r="S19" s="467"/>
      <c r="T19" s="467"/>
      <c r="U19" s="468"/>
      <c r="V19" s="484"/>
      <c r="W19" s="485"/>
      <c r="X19" s="485"/>
      <c r="Y19" s="485"/>
      <c r="Z19" s="485"/>
      <c r="AA19" s="486"/>
      <c r="AB19" s="484"/>
      <c r="AC19" s="485"/>
      <c r="AD19" s="485"/>
      <c r="AE19" s="485"/>
      <c r="AF19" s="485"/>
      <c r="AG19" s="486"/>
      <c r="AH19" s="475"/>
      <c r="AI19" s="476"/>
      <c r="AJ19" s="476"/>
      <c r="AK19" s="476"/>
      <c r="AL19" s="476"/>
      <c r="AM19" s="477"/>
      <c r="AN19" s="83"/>
      <c r="AO19" s="518"/>
      <c r="AP19" s="519"/>
      <c r="AQ19" s="519"/>
      <c r="AR19" s="519"/>
      <c r="AS19" s="519"/>
      <c r="AT19" s="52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04"/>
      <c r="C20" s="504"/>
      <c r="D20" s="505"/>
      <c r="E20" s="497"/>
      <c r="F20" s="498"/>
      <c r="G20" s="498"/>
      <c r="H20" s="498"/>
      <c r="I20" s="498"/>
      <c r="J20" s="466" t="str">
        <f>IF(AND('Mapa de Riesgos'!$H$70="Alta",'Mapa de Riesgos'!$L$70="Leve"),CONCATENATE("R",'Mapa de Riesgos'!$A$70),"")</f>
        <v/>
      </c>
      <c r="K20" s="467"/>
      <c r="L20" s="467" t="str">
        <f>IF(AND('Mapa de Riesgos'!$H$76="Alta",'Mapa de Riesgos'!$L$76="Leve"),CONCATENATE("R",'Mapa de Riesgos'!$A$76),"")</f>
        <v/>
      </c>
      <c r="M20" s="467"/>
      <c r="N20" s="467" t="str">
        <f>IF(AND('Mapa de Riesgos'!$H$82="Alta",'Mapa de Riesgos'!$L$82="Leve"),CONCATENATE("R",'Mapa de Riesgos'!$A$82),"")</f>
        <v/>
      </c>
      <c r="O20" s="468"/>
      <c r="P20" s="466" t="str">
        <f>IF(AND('Mapa de Riesgos'!$H$70="Alta",'Mapa de Riesgos'!$L$70="Menor"),CONCATENATE("R",'Mapa de Riesgos'!$A$70),"")</f>
        <v/>
      </c>
      <c r="Q20" s="467"/>
      <c r="R20" s="467" t="str">
        <f>IF(AND('Mapa de Riesgos'!$H$76="Alta",'Mapa de Riesgos'!$L$76="Menor"),CONCATENATE("R",'Mapa de Riesgos'!$A$76),"")</f>
        <v/>
      </c>
      <c r="S20" s="467"/>
      <c r="T20" s="467" t="str">
        <f>IF(AND('Mapa de Riesgos'!$H$82="Alta",'Mapa de Riesgos'!$L$82="Menor"),CONCATENATE("R",'Mapa de Riesgos'!$A$82),"")</f>
        <v/>
      </c>
      <c r="U20" s="468"/>
      <c r="V20" s="484" t="str">
        <f>IF(AND('Mapa de Riesgos'!$H$70="Alta",'Mapa de Riesgos'!$L$70="Moderado"),CONCATENATE("R",'Mapa de Riesgos'!$A$70),"")</f>
        <v/>
      </c>
      <c r="W20" s="485"/>
      <c r="X20" s="485" t="str">
        <f>IF(AND('Mapa de Riesgos'!$H$76="Alta",'Mapa de Riesgos'!$L$76="Moderado"),CONCATENATE("R",'Mapa de Riesgos'!$A$76),"")</f>
        <v/>
      </c>
      <c r="Y20" s="485"/>
      <c r="Z20" s="485" t="str">
        <f>IF(AND('Mapa de Riesgos'!$H$82="Alta",'Mapa de Riesgos'!$L$82="Moderado"),CONCATENATE("R",'Mapa de Riesgos'!$A$82),"")</f>
        <v/>
      </c>
      <c r="AA20" s="486"/>
      <c r="AB20" s="484" t="str">
        <f>IF(AND('Mapa de Riesgos'!$H$70="Alta",'Mapa de Riesgos'!$L$70="Mayor"),CONCATENATE("R",'Mapa de Riesgos'!$A$70),"")</f>
        <v/>
      </c>
      <c r="AC20" s="485"/>
      <c r="AD20" s="485" t="str">
        <f>IF(AND('Mapa de Riesgos'!$H$76="Alta",'Mapa de Riesgos'!$L$76="Mayor"),CONCATENATE("R",'Mapa de Riesgos'!$A$76),"")</f>
        <v/>
      </c>
      <c r="AE20" s="485"/>
      <c r="AF20" s="485" t="str">
        <f>IF(AND('Mapa de Riesgos'!$H$82="Alta",'Mapa de Riesgos'!$L$82="Mayor"),CONCATENATE("R",'Mapa de Riesgos'!$A$82),"")</f>
        <v/>
      </c>
      <c r="AG20" s="486"/>
      <c r="AH20" s="475" t="str">
        <f>IF(AND('Mapa de Riesgos'!$H$70="Alta",'Mapa de Riesgos'!$L$70="Catastrófico"),CONCATENATE("R",'Mapa de Riesgos'!$A$70),"")</f>
        <v/>
      </c>
      <c r="AI20" s="476"/>
      <c r="AJ20" s="476" t="str">
        <f>IF(AND('Mapa de Riesgos'!$H$76="Alta",'Mapa de Riesgos'!$L$76="Catastrófico"),CONCATENATE("R",'Mapa de Riesgos'!$A$76),"")</f>
        <v/>
      </c>
      <c r="AK20" s="476"/>
      <c r="AL20" s="476" t="str">
        <f>IF(AND('Mapa de Riesgos'!$H$82="Alta",'Mapa de Riesgos'!$L$82="Catastrófico"),CONCATENATE("R",'Mapa de Riesgos'!$A$82),"")</f>
        <v/>
      </c>
      <c r="AM20" s="477"/>
      <c r="AN20" s="83"/>
      <c r="AO20" s="518"/>
      <c r="AP20" s="519"/>
      <c r="AQ20" s="519"/>
      <c r="AR20" s="519"/>
      <c r="AS20" s="519"/>
      <c r="AT20" s="52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04"/>
      <c r="C21" s="504"/>
      <c r="D21" s="505"/>
      <c r="E21" s="500"/>
      <c r="F21" s="501"/>
      <c r="G21" s="501"/>
      <c r="H21" s="501"/>
      <c r="I21" s="501"/>
      <c r="J21" s="469"/>
      <c r="K21" s="470"/>
      <c r="L21" s="470"/>
      <c r="M21" s="470"/>
      <c r="N21" s="470"/>
      <c r="O21" s="471"/>
      <c r="P21" s="469"/>
      <c r="Q21" s="470"/>
      <c r="R21" s="470"/>
      <c r="S21" s="470"/>
      <c r="T21" s="470"/>
      <c r="U21" s="471"/>
      <c r="V21" s="487"/>
      <c r="W21" s="488"/>
      <c r="X21" s="488"/>
      <c r="Y21" s="488"/>
      <c r="Z21" s="488"/>
      <c r="AA21" s="489"/>
      <c r="AB21" s="487"/>
      <c r="AC21" s="488"/>
      <c r="AD21" s="488"/>
      <c r="AE21" s="488"/>
      <c r="AF21" s="488"/>
      <c r="AG21" s="489"/>
      <c r="AH21" s="478"/>
      <c r="AI21" s="479"/>
      <c r="AJ21" s="479"/>
      <c r="AK21" s="479"/>
      <c r="AL21" s="479"/>
      <c r="AM21" s="480"/>
      <c r="AN21" s="83"/>
      <c r="AO21" s="521"/>
      <c r="AP21" s="522"/>
      <c r="AQ21" s="522"/>
      <c r="AR21" s="522"/>
      <c r="AS21" s="522"/>
      <c r="AT21" s="52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04"/>
      <c r="C22" s="504"/>
      <c r="D22" s="505"/>
      <c r="E22" s="494" t="s">
        <v>237</v>
      </c>
      <c r="F22" s="495"/>
      <c r="G22" s="495"/>
      <c r="H22" s="495"/>
      <c r="I22" s="496"/>
      <c r="J22" s="472" t="str">
        <f>IF(AND('Mapa de Riesgos'!$H$12="Media",'Mapa de Riesgos'!$L$12="Leve"),CONCATENATE("R",'Mapa de Riesgos'!$A$12),"")</f>
        <v/>
      </c>
      <c r="K22" s="473"/>
      <c r="L22" s="473" t="str">
        <f>IF(AND('Mapa de Riesgos'!$H$18="Media",'Mapa de Riesgos'!$L$18="Leve"),CONCATENATE("R",'Mapa de Riesgos'!$A$18),"")</f>
        <v/>
      </c>
      <c r="M22" s="473"/>
      <c r="N22" s="473" t="str">
        <f>IF(AND('Mapa de Riesgos'!$H$24="Media",'Mapa de Riesgos'!$L$24="Leve"),CONCATENATE("R",'Mapa de Riesgos'!$A$24),"")</f>
        <v/>
      </c>
      <c r="O22" s="474"/>
      <c r="P22" s="472" t="str">
        <f>IF(AND('Mapa de Riesgos'!$H$12="Media",'Mapa de Riesgos'!$L$12="Menor"),CONCATENATE("R",'Mapa de Riesgos'!$A$12),"")</f>
        <v/>
      </c>
      <c r="Q22" s="473"/>
      <c r="R22" s="473" t="str">
        <f>IF(AND('Mapa de Riesgos'!$H$18="Media",'Mapa de Riesgos'!$L$18="Menor"),CONCATENATE("R",'Mapa de Riesgos'!$A$18),"")</f>
        <v/>
      </c>
      <c r="S22" s="473"/>
      <c r="T22" s="473" t="str">
        <f>IF(AND('Mapa de Riesgos'!$H$24="Media",'Mapa de Riesgos'!$L$24="Menor"),CONCATENATE("R",'Mapa de Riesgos'!$A$24),"")</f>
        <v/>
      </c>
      <c r="U22" s="474"/>
      <c r="V22" s="472" t="str">
        <f>IF(AND('Mapa de Riesgos'!$H$12="Media",'Mapa de Riesgos'!$L$12="Moderado"),CONCATENATE("R",'Mapa de Riesgos'!$A$12),"")</f>
        <v/>
      </c>
      <c r="W22" s="473"/>
      <c r="X22" s="473" t="str">
        <f>IF(AND('Mapa de Riesgos'!$H$18="Media",'Mapa de Riesgos'!$L$18="Moderado"),CONCATENATE("R",'Mapa de Riesgos'!$A$18),"")</f>
        <v/>
      </c>
      <c r="Y22" s="473"/>
      <c r="Z22" s="473" t="str">
        <f>IF(AND('Mapa de Riesgos'!$H$24="Media",'Mapa de Riesgos'!$L$24="Moderado"),CONCATENATE("R",'Mapa de Riesgos'!$A$24),"")</f>
        <v/>
      </c>
      <c r="AA22" s="474"/>
      <c r="AB22" s="490" t="str">
        <f>IF(AND('Mapa de Riesgos'!$H$12="Media",'Mapa de Riesgos'!$L$12="Mayor"),CONCATENATE("R",'Mapa de Riesgos'!$A$12),"")</f>
        <v>R1</v>
      </c>
      <c r="AC22" s="491"/>
      <c r="AD22" s="491" t="str">
        <f>IF(AND('Mapa de Riesgos'!$H$18="Media",'Mapa de Riesgos'!$L$18="Mayor"),CONCATENATE("R",'Mapa de Riesgos'!$A$18),"")</f>
        <v/>
      </c>
      <c r="AE22" s="491"/>
      <c r="AF22" s="491" t="str">
        <f>IF(AND('Mapa de Riesgos'!$H$24="Media",'Mapa de Riesgos'!$L$24="Mayor"),CONCATENATE("R",'Mapa de Riesgos'!$A$24),"")</f>
        <v>R3</v>
      </c>
      <c r="AG22" s="492"/>
      <c r="AH22" s="481" t="str">
        <f>IF(AND('Mapa de Riesgos'!$H$12="Media",'Mapa de Riesgos'!$L$12="Catastrófico"),CONCATENATE("R",'Mapa de Riesgos'!$A$12),"")</f>
        <v/>
      </c>
      <c r="AI22" s="482"/>
      <c r="AJ22" s="482" t="str">
        <f>IF(AND('Mapa de Riesgos'!$H$18="Media",'Mapa de Riesgos'!$L$18="Catastrófico"),CONCATENATE("R",'Mapa de Riesgos'!$A$18),"")</f>
        <v/>
      </c>
      <c r="AK22" s="482"/>
      <c r="AL22" s="482" t="str">
        <f>IF(AND('Mapa de Riesgos'!$H$24="Media",'Mapa de Riesgos'!$L$24="Catastrófico"),CONCATENATE("R",'Mapa de Riesgos'!$A$24),"")</f>
        <v/>
      </c>
      <c r="AM22" s="483"/>
      <c r="AN22" s="83"/>
      <c r="AO22" s="524" t="s">
        <v>238</v>
      </c>
      <c r="AP22" s="525"/>
      <c r="AQ22" s="525"/>
      <c r="AR22" s="525"/>
      <c r="AS22" s="525"/>
      <c r="AT22" s="52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04"/>
      <c r="C23" s="504"/>
      <c r="D23" s="505"/>
      <c r="E23" s="497"/>
      <c r="F23" s="498"/>
      <c r="G23" s="498"/>
      <c r="H23" s="498"/>
      <c r="I23" s="499"/>
      <c r="J23" s="466"/>
      <c r="K23" s="467"/>
      <c r="L23" s="467"/>
      <c r="M23" s="467"/>
      <c r="N23" s="467"/>
      <c r="O23" s="468"/>
      <c r="P23" s="466"/>
      <c r="Q23" s="467"/>
      <c r="R23" s="467"/>
      <c r="S23" s="467"/>
      <c r="T23" s="467"/>
      <c r="U23" s="468"/>
      <c r="V23" s="466"/>
      <c r="W23" s="467"/>
      <c r="X23" s="467"/>
      <c r="Y23" s="467"/>
      <c r="Z23" s="467"/>
      <c r="AA23" s="468"/>
      <c r="AB23" s="484"/>
      <c r="AC23" s="485"/>
      <c r="AD23" s="485"/>
      <c r="AE23" s="485"/>
      <c r="AF23" s="485"/>
      <c r="AG23" s="486"/>
      <c r="AH23" s="475"/>
      <c r="AI23" s="476"/>
      <c r="AJ23" s="476"/>
      <c r="AK23" s="476"/>
      <c r="AL23" s="476"/>
      <c r="AM23" s="477"/>
      <c r="AN23" s="83"/>
      <c r="AO23" s="527"/>
      <c r="AP23" s="528"/>
      <c r="AQ23" s="528"/>
      <c r="AR23" s="528"/>
      <c r="AS23" s="528"/>
      <c r="AT23" s="52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04"/>
      <c r="C24" s="504"/>
      <c r="D24" s="505"/>
      <c r="E24" s="497"/>
      <c r="F24" s="498"/>
      <c r="G24" s="498"/>
      <c r="H24" s="498"/>
      <c r="I24" s="499"/>
      <c r="J24" s="466" t="str">
        <f>IF(AND('Mapa de Riesgos'!$H$31="Media",'Mapa de Riesgos'!$L$31="Leve"),CONCATENATE("R",'Mapa de Riesgos'!$A$31),"")</f>
        <v/>
      </c>
      <c r="K24" s="467"/>
      <c r="L24" s="467" t="str">
        <f>IF(AND('Mapa de Riesgos'!$H$39="Media",'Mapa de Riesgos'!$L$39="Leve"),CONCATENATE("R",'Mapa de Riesgos'!$A$39),"")</f>
        <v/>
      </c>
      <c r="M24" s="467"/>
      <c r="N24" s="467" t="str">
        <f>IF(AND('Mapa de Riesgos'!$H$46="Media",'Mapa de Riesgos'!$L$46="Leve"),CONCATENATE("R",'Mapa de Riesgos'!$A$46),"")</f>
        <v/>
      </c>
      <c r="O24" s="468"/>
      <c r="P24" s="466" t="str">
        <f>IF(AND('Mapa de Riesgos'!$H$31="Media",'Mapa de Riesgos'!$L$31="Menor"),CONCATENATE("R",'Mapa de Riesgos'!$A$31),"")</f>
        <v/>
      </c>
      <c r="Q24" s="467"/>
      <c r="R24" s="467" t="str">
        <f>IF(AND('Mapa de Riesgos'!$H$39="Media",'Mapa de Riesgos'!$L$39="Menor"),CONCATENATE("R",'Mapa de Riesgos'!$A$39),"")</f>
        <v/>
      </c>
      <c r="S24" s="467"/>
      <c r="T24" s="467" t="str">
        <f>IF(AND('Mapa de Riesgos'!$H$46="Media",'Mapa de Riesgos'!$L$46="Menor"),CONCATENATE("R",'Mapa de Riesgos'!$A$46),"")</f>
        <v/>
      </c>
      <c r="U24" s="468"/>
      <c r="V24" s="466" t="str">
        <f>IF(AND('Mapa de Riesgos'!$H$31="Media",'Mapa de Riesgos'!$L$31="Moderado"),CONCATENATE("R",'Mapa de Riesgos'!$A$31),"")</f>
        <v>R4</v>
      </c>
      <c r="W24" s="467"/>
      <c r="X24" s="467" t="str">
        <f>IF(AND('Mapa de Riesgos'!$H$39="Media",'Mapa de Riesgos'!$L$39="Moderado"),CONCATENATE("R",'Mapa de Riesgos'!$A$39),"")</f>
        <v/>
      </c>
      <c r="Y24" s="467"/>
      <c r="Z24" s="467" t="str">
        <f>IF(AND('Mapa de Riesgos'!$H$46="Media",'Mapa de Riesgos'!$L$46="Moderado"),CONCATENATE("R",'Mapa de Riesgos'!$A$46),"")</f>
        <v>R6</v>
      </c>
      <c r="AA24" s="468"/>
      <c r="AB24" s="484" t="str">
        <f>IF(AND('Mapa de Riesgos'!$H$31="Media",'Mapa de Riesgos'!$L$31="Mayor"),CONCATENATE("R",'Mapa de Riesgos'!$A$31),"")</f>
        <v/>
      </c>
      <c r="AC24" s="485"/>
      <c r="AD24" s="485" t="str">
        <f>IF(AND('Mapa de Riesgos'!$H$39="Media",'Mapa de Riesgos'!$L$39="Mayor"),CONCATENATE("R",'Mapa de Riesgos'!$A$39),"")</f>
        <v>R5</v>
      </c>
      <c r="AE24" s="485"/>
      <c r="AF24" s="485" t="str">
        <f>IF(AND('Mapa de Riesgos'!$H$46="Media",'Mapa de Riesgos'!$L$46="Mayor"),CONCATENATE("R",'Mapa de Riesgos'!$A$46),"")</f>
        <v/>
      </c>
      <c r="AG24" s="486"/>
      <c r="AH24" s="475" t="str">
        <f>IF(AND('Mapa de Riesgos'!$H$31="Media",'Mapa de Riesgos'!$L$31="Catastrófico"),CONCATENATE("R",'Mapa de Riesgos'!$A$31),"")</f>
        <v/>
      </c>
      <c r="AI24" s="476"/>
      <c r="AJ24" s="476" t="str">
        <f>IF(AND('Mapa de Riesgos'!$H$39="Media",'Mapa de Riesgos'!$L$39="Catastrófico"),CONCATENATE("R",'Mapa de Riesgos'!$A$39),"")</f>
        <v/>
      </c>
      <c r="AK24" s="476"/>
      <c r="AL24" s="476" t="str">
        <f>IF(AND('Mapa de Riesgos'!$H$46="Media",'Mapa de Riesgos'!$L$46="Catastrófico"),CONCATENATE("R",'Mapa de Riesgos'!$A$46),"")</f>
        <v/>
      </c>
      <c r="AM24" s="477"/>
      <c r="AN24" s="83"/>
      <c r="AO24" s="527"/>
      <c r="AP24" s="528"/>
      <c r="AQ24" s="528"/>
      <c r="AR24" s="528"/>
      <c r="AS24" s="528"/>
      <c r="AT24" s="52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04"/>
      <c r="C25" s="504"/>
      <c r="D25" s="505"/>
      <c r="E25" s="497"/>
      <c r="F25" s="498"/>
      <c r="G25" s="498"/>
      <c r="H25" s="498"/>
      <c r="I25" s="499"/>
      <c r="J25" s="466"/>
      <c r="K25" s="467"/>
      <c r="L25" s="467"/>
      <c r="M25" s="467"/>
      <c r="N25" s="467"/>
      <c r="O25" s="468"/>
      <c r="P25" s="466"/>
      <c r="Q25" s="467"/>
      <c r="R25" s="467"/>
      <c r="S25" s="467"/>
      <c r="T25" s="467"/>
      <c r="U25" s="468"/>
      <c r="V25" s="466"/>
      <c r="W25" s="467"/>
      <c r="X25" s="467"/>
      <c r="Y25" s="467"/>
      <c r="Z25" s="467"/>
      <c r="AA25" s="468"/>
      <c r="AB25" s="484"/>
      <c r="AC25" s="485"/>
      <c r="AD25" s="485"/>
      <c r="AE25" s="485"/>
      <c r="AF25" s="485"/>
      <c r="AG25" s="486"/>
      <c r="AH25" s="475"/>
      <c r="AI25" s="476"/>
      <c r="AJ25" s="476"/>
      <c r="AK25" s="476"/>
      <c r="AL25" s="476"/>
      <c r="AM25" s="477"/>
      <c r="AN25" s="83"/>
      <c r="AO25" s="527"/>
      <c r="AP25" s="528"/>
      <c r="AQ25" s="528"/>
      <c r="AR25" s="528"/>
      <c r="AS25" s="528"/>
      <c r="AT25" s="52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04"/>
      <c r="C26" s="504"/>
      <c r="D26" s="505"/>
      <c r="E26" s="497"/>
      <c r="F26" s="498"/>
      <c r="G26" s="498"/>
      <c r="H26" s="498"/>
      <c r="I26" s="499"/>
      <c r="J26" s="466" t="str">
        <f>IF(AND('Mapa de Riesgos'!$H$52="Media",'Mapa de Riesgos'!$L$52="Leve"),CONCATENATE("R",'Mapa de Riesgos'!$A$52),"")</f>
        <v/>
      </c>
      <c r="K26" s="467"/>
      <c r="L26" s="467" t="str">
        <f>IF(AND('Mapa de Riesgos'!$H$58="Media",'Mapa de Riesgos'!$L$58="Leve"),CONCATENATE("R",'Mapa de Riesgos'!$A$58),"")</f>
        <v/>
      </c>
      <c r="M26" s="467"/>
      <c r="N26" s="467" t="str">
        <f>IF(AND('Mapa de Riesgos'!$H$64="Media",'Mapa de Riesgos'!$L$64="Leve"),CONCATENATE("R",'Mapa de Riesgos'!$A$64),"")</f>
        <v/>
      </c>
      <c r="O26" s="468"/>
      <c r="P26" s="466" t="str">
        <f>IF(AND('Mapa de Riesgos'!$H$52="Media",'Mapa de Riesgos'!$L$52="Menor"),CONCATENATE("R",'Mapa de Riesgos'!$A$52),"")</f>
        <v/>
      </c>
      <c r="Q26" s="467"/>
      <c r="R26" s="467" t="str">
        <f>IF(AND('Mapa de Riesgos'!$H$58="Media",'Mapa de Riesgos'!$L$58="Menor"),CONCATENATE("R",'Mapa de Riesgos'!$A$58),"")</f>
        <v/>
      </c>
      <c r="S26" s="467"/>
      <c r="T26" s="467" t="str">
        <f>IF(AND('Mapa de Riesgos'!$H$64="Media",'Mapa de Riesgos'!$L$64="Menor"),CONCATENATE("R",'Mapa de Riesgos'!$A$64),"")</f>
        <v/>
      </c>
      <c r="U26" s="468"/>
      <c r="V26" s="466" t="str">
        <f>IF(AND('Mapa de Riesgos'!$H$52="Media",'Mapa de Riesgos'!$L$52="Moderado"),CONCATENATE("R",'Mapa de Riesgos'!$A$52),"")</f>
        <v/>
      </c>
      <c r="W26" s="467"/>
      <c r="X26" s="467" t="str">
        <f>IF(AND('Mapa de Riesgos'!$H$58="Media",'Mapa de Riesgos'!$L$58="Moderado"),CONCATENATE("R",'Mapa de Riesgos'!$A$58),"")</f>
        <v/>
      </c>
      <c r="Y26" s="467"/>
      <c r="Z26" s="467" t="str">
        <f>IF(AND('Mapa de Riesgos'!$H$64="Media",'Mapa de Riesgos'!$L$64="Moderado"),CONCATENATE("R",'Mapa de Riesgos'!$A$64),"")</f>
        <v>R9</v>
      </c>
      <c r="AA26" s="468"/>
      <c r="AB26" s="484" t="str">
        <f>IF(AND('Mapa de Riesgos'!$H$52="Media",'Mapa de Riesgos'!$L$52="Mayor"),CONCATENATE("R",'Mapa de Riesgos'!$A$52),"")</f>
        <v/>
      </c>
      <c r="AC26" s="485"/>
      <c r="AD26" s="485" t="str">
        <f>IF(AND('Mapa de Riesgos'!$H$58="Media",'Mapa de Riesgos'!$L$58="Mayor"),CONCATENATE("R",'Mapa de Riesgos'!$A$58),"")</f>
        <v/>
      </c>
      <c r="AE26" s="485"/>
      <c r="AF26" s="485" t="str">
        <f>IF(AND('Mapa de Riesgos'!$H$64="Media",'Mapa de Riesgos'!$L$64="Mayor"),CONCATENATE("R",'Mapa de Riesgos'!$A$64),"")</f>
        <v/>
      </c>
      <c r="AG26" s="486"/>
      <c r="AH26" s="475" t="str">
        <f>IF(AND('Mapa de Riesgos'!$H$52="Media",'Mapa de Riesgos'!$L$52="Catastrófico"),CONCATENATE("R",'Mapa de Riesgos'!$A$52),"")</f>
        <v/>
      </c>
      <c r="AI26" s="476"/>
      <c r="AJ26" s="476" t="str">
        <f>IF(AND('Mapa de Riesgos'!$H$58="Media",'Mapa de Riesgos'!$L$58="Catastrófico"),CONCATENATE("R",'Mapa de Riesgos'!$A$58),"")</f>
        <v/>
      </c>
      <c r="AK26" s="476"/>
      <c r="AL26" s="476" t="str">
        <f>IF(AND('Mapa de Riesgos'!$H$64="Media",'Mapa de Riesgos'!$L$64="Catastrófico"),CONCATENATE("R",'Mapa de Riesgos'!$A$64),"")</f>
        <v/>
      </c>
      <c r="AM26" s="477"/>
      <c r="AN26" s="83"/>
      <c r="AO26" s="527"/>
      <c r="AP26" s="528"/>
      <c r="AQ26" s="528"/>
      <c r="AR26" s="528"/>
      <c r="AS26" s="528"/>
      <c r="AT26" s="52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04"/>
      <c r="C27" s="504"/>
      <c r="D27" s="505"/>
      <c r="E27" s="497"/>
      <c r="F27" s="498"/>
      <c r="G27" s="498"/>
      <c r="H27" s="498"/>
      <c r="I27" s="499"/>
      <c r="J27" s="466"/>
      <c r="K27" s="467"/>
      <c r="L27" s="467"/>
      <c r="M27" s="467"/>
      <c r="N27" s="467"/>
      <c r="O27" s="468"/>
      <c r="P27" s="466"/>
      <c r="Q27" s="467"/>
      <c r="R27" s="467"/>
      <c r="S27" s="467"/>
      <c r="T27" s="467"/>
      <c r="U27" s="468"/>
      <c r="V27" s="466"/>
      <c r="W27" s="467"/>
      <c r="X27" s="467"/>
      <c r="Y27" s="467"/>
      <c r="Z27" s="467"/>
      <c r="AA27" s="468"/>
      <c r="AB27" s="484"/>
      <c r="AC27" s="485"/>
      <c r="AD27" s="485"/>
      <c r="AE27" s="485"/>
      <c r="AF27" s="485"/>
      <c r="AG27" s="486"/>
      <c r="AH27" s="475"/>
      <c r="AI27" s="476"/>
      <c r="AJ27" s="476"/>
      <c r="AK27" s="476"/>
      <c r="AL27" s="476"/>
      <c r="AM27" s="477"/>
      <c r="AN27" s="83"/>
      <c r="AO27" s="527"/>
      <c r="AP27" s="528"/>
      <c r="AQ27" s="528"/>
      <c r="AR27" s="528"/>
      <c r="AS27" s="528"/>
      <c r="AT27" s="52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04"/>
      <c r="C28" s="504"/>
      <c r="D28" s="505"/>
      <c r="E28" s="497"/>
      <c r="F28" s="498"/>
      <c r="G28" s="498"/>
      <c r="H28" s="498"/>
      <c r="I28" s="499"/>
      <c r="J28" s="466" t="str">
        <f>IF(AND('Mapa de Riesgos'!$H$70="Media",'Mapa de Riesgos'!$L$70="Leve"),CONCATENATE("R",'Mapa de Riesgos'!$A$70),"")</f>
        <v/>
      </c>
      <c r="K28" s="467"/>
      <c r="L28" s="467" t="str">
        <f>IF(AND('Mapa de Riesgos'!$H$76="Media",'Mapa de Riesgos'!$L$76="Leve"),CONCATENATE("R",'Mapa de Riesgos'!$A$76),"")</f>
        <v/>
      </c>
      <c r="M28" s="467"/>
      <c r="N28" s="467" t="str">
        <f>IF(AND('Mapa de Riesgos'!$H$82="Media",'Mapa de Riesgos'!$L$82="Leve"),CONCATENATE("R",'Mapa de Riesgos'!$A$82),"")</f>
        <v/>
      </c>
      <c r="O28" s="468"/>
      <c r="P28" s="466" t="str">
        <f>IF(AND('Mapa de Riesgos'!$H$70="Media",'Mapa de Riesgos'!$L$70="Menor"),CONCATENATE("R",'Mapa de Riesgos'!$A$70),"")</f>
        <v/>
      </c>
      <c r="Q28" s="467"/>
      <c r="R28" s="467" t="str">
        <f>IF(AND('Mapa de Riesgos'!$H$76="Media",'Mapa de Riesgos'!$L$76="Menor"),CONCATENATE("R",'Mapa de Riesgos'!$A$76),"")</f>
        <v/>
      </c>
      <c r="S28" s="467"/>
      <c r="T28" s="467" t="str">
        <f>IF(AND('Mapa de Riesgos'!$H$82="Media",'Mapa de Riesgos'!$L$82="Menor"),CONCATENATE("R",'Mapa de Riesgos'!$A$82),"")</f>
        <v/>
      </c>
      <c r="U28" s="468"/>
      <c r="V28" s="466" t="str">
        <f>IF(AND('Mapa de Riesgos'!$H$70="Media",'Mapa de Riesgos'!$L$70="Moderado"),CONCATENATE("R",'Mapa de Riesgos'!$A$70),"")</f>
        <v/>
      </c>
      <c r="W28" s="467"/>
      <c r="X28" s="467" t="str">
        <f>IF(AND('Mapa de Riesgos'!$H$76="Media",'Mapa de Riesgos'!$L$76="Moderado"),CONCATENATE("R",'Mapa de Riesgos'!$A$76),"")</f>
        <v/>
      </c>
      <c r="Y28" s="467"/>
      <c r="Z28" s="467" t="str">
        <f>IF(AND('Mapa de Riesgos'!$H$82="Media",'Mapa de Riesgos'!$L$82="Moderado"),CONCATENATE("R",'Mapa de Riesgos'!$A$82),"")</f>
        <v/>
      </c>
      <c r="AA28" s="468"/>
      <c r="AB28" s="484" t="str">
        <f>IF(AND('Mapa de Riesgos'!$H$70="Media",'Mapa de Riesgos'!$L$70="Mayor"),CONCATENATE("R",'Mapa de Riesgos'!$A$70),"")</f>
        <v/>
      </c>
      <c r="AC28" s="485"/>
      <c r="AD28" s="485" t="str">
        <f>IF(AND('Mapa de Riesgos'!$H$76="Media",'Mapa de Riesgos'!$L$76="Mayor"),CONCATENATE("R",'Mapa de Riesgos'!$A$76),"")</f>
        <v/>
      </c>
      <c r="AE28" s="485"/>
      <c r="AF28" s="485" t="str">
        <f>IF(AND('Mapa de Riesgos'!$H$82="Media",'Mapa de Riesgos'!$L$82="Mayor"),CONCATENATE("R",'Mapa de Riesgos'!$A$82),"")</f>
        <v/>
      </c>
      <c r="AG28" s="486"/>
      <c r="AH28" s="475" t="str">
        <f>IF(AND('Mapa de Riesgos'!$H$70="Media",'Mapa de Riesgos'!$L$70="Catastrófico"),CONCATENATE("R",'Mapa de Riesgos'!$A$70),"")</f>
        <v/>
      </c>
      <c r="AI28" s="476"/>
      <c r="AJ28" s="476" t="str">
        <f>IF(AND('Mapa de Riesgos'!$H$76="Media",'Mapa de Riesgos'!$L$76="Catastrófico"),CONCATENATE("R",'Mapa de Riesgos'!$A$76),"")</f>
        <v/>
      </c>
      <c r="AK28" s="476"/>
      <c r="AL28" s="476" t="str">
        <f>IF(AND('Mapa de Riesgos'!$H$82="Media",'Mapa de Riesgos'!$L$82="Catastrófico"),CONCATENATE("R",'Mapa de Riesgos'!$A$82),"")</f>
        <v/>
      </c>
      <c r="AM28" s="477"/>
      <c r="AN28" s="83"/>
      <c r="AO28" s="527"/>
      <c r="AP28" s="528"/>
      <c r="AQ28" s="528"/>
      <c r="AR28" s="528"/>
      <c r="AS28" s="528"/>
      <c r="AT28" s="52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04"/>
      <c r="C29" s="504"/>
      <c r="D29" s="505"/>
      <c r="E29" s="500"/>
      <c r="F29" s="501"/>
      <c r="G29" s="501"/>
      <c r="H29" s="501"/>
      <c r="I29" s="502"/>
      <c r="J29" s="466"/>
      <c r="K29" s="467"/>
      <c r="L29" s="467"/>
      <c r="M29" s="467"/>
      <c r="N29" s="467"/>
      <c r="O29" s="468"/>
      <c r="P29" s="469"/>
      <c r="Q29" s="470"/>
      <c r="R29" s="470"/>
      <c r="S29" s="470"/>
      <c r="T29" s="470"/>
      <c r="U29" s="471"/>
      <c r="V29" s="469"/>
      <c r="W29" s="470"/>
      <c r="X29" s="470"/>
      <c r="Y29" s="470"/>
      <c r="Z29" s="470"/>
      <c r="AA29" s="471"/>
      <c r="AB29" s="487"/>
      <c r="AC29" s="488"/>
      <c r="AD29" s="488"/>
      <c r="AE29" s="488"/>
      <c r="AF29" s="488"/>
      <c r="AG29" s="489"/>
      <c r="AH29" s="478"/>
      <c r="AI29" s="479"/>
      <c r="AJ29" s="479"/>
      <c r="AK29" s="479"/>
      <c r="AL29" s="479"/>
      <c r="AM29" s="480"/>
      <c r="AN29" s="83"/>
      <c r="AO29" s="530"/>
      <c r="AP29" s="531"/>
      <c r="AQ29" s="531"/>
      <c r="AR29" s="531"/>
      <c r="AS29" s="531"/>
      <c r="AT29" s="53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04"/>
      <c r="C30" s="504"/>
      <c r="D30" s="505"/>
      <c r="E30" s="494" t="s">
        <v>239</v>
      </c>
      <c r="F30" s="495"/>
      <c r="G30" s="495"/>
      <c r="H30" s="495"/>
      <c r="I30" s="495"/>
      <c r="J30" s="463" t="str">
        <f>IF(AND('Mapa de Riesgos'!$H$12="Baja",'Mapa de Riesgos'!$L$12="Leve"),CONCATENATE("R",'Mapa de Riesgos'!$A$12),"")</f>
        <v/>
      </c>
      <c r="K30" s="464"/>
      <c r="L30" s="464" t="str">
        <f>IF(AND('Mapa de Riesgos'!$H$18="Baja",'Mapa de Riesgos'!$L$18="Leve"),CONCATENATE("R",'Mapa de Riesgos'!$A$18),"")</f>
        <v/>
      </c>
      <c r="M30" s="464"/>
      <c r="N30" s="464" t="str">
        <f>IF(AND('Mapa de Riesgos'!$H$24="Baja",'Mapa de Riesgos'!$L$24="Leve"),CONCATENATE("R",'Mapa de Riesgos'!$A$24),"")</f>
        <v/>
      </c>
      <c r="O30" s="465"/>
      <c r="P30" s="473" t="str">
        <f>IF(AND('Mapa de Riesgos'!$H$12="Baja",'Mapa de Riesgos'!$L$12="Menor"),CONCATENATE("R",'Mapa de Riesgos'!$A$12),"")</f>
        <v/>
      </c>
      <c r="Q30" s="473"/>
      <c r="R30" s="473" t="str">
        <f>IF(AND('Mapa de Riesgos'!$H$18="Baja",'Mapa de Riesgos'!$L$18="Menor"),CONCATENATE("R",'Mapa de Riesgos'!$A$18),"")</f>
        <v/>
      </c>
      <c r="S30" s="473"/>
      <c r="T30" s="473" t="str">
        <f>IF(AND('Mapa de Riesgos'!$H$24="Baja",'Mapa de Riesgos'!$L$24="Menor"),CONCATENATE("R",'Mapa de Riesgos'!$A$24),"")</f>
        <v/>
      </c>
      <c r="U30" s="474"/>
      <c r="V30" s="472" t="str">
        <f>IF(AND('Mapa de Riesgos'!$H$12="Baja",'Mapa de Riesgos'!$L$12="Moderado"),CONCATENATE("R",'Mapa de Riesgos'!$A$12),"")</f>
        <v/>
      </c>
      <c r="W30" s="473"/>
      <c r="X30" s="473" t="str">
        <f>IF(AND('Mapa de Riesgos'!$H$18="Baja",'Mapa de Riesgos'!$L$18="Moderado"),CONCATENATE("R",'Mapa de Riesgos'!$A$18),"")</f>
        <v/>
      </c>
      <c r="Y30" s="473"/>
      <c r="Z30" s="473" t="str">
        <f>IF(AND('Mapa de Riesgos'!$H$24="Baja",'Mapa de Riesgos'!$L$24="Moderado"),CONCATENATE("R",'Mapa de Riesgos'!$A$24),"")</f>
        <v/>
      </c>
      <c r="AA30" s="474"/>
      <c r="AB30" s="490" t="str">
        <f>IF(AND('Mapa de Riesgos'!$H$12="Baja",'Mapa de Riesgos'!$L$12="Mayor"),CONCATENATE("R",'Mapa de Riesgos'!$A$12),"")</f>
        <v/>
      </c>
      <c r="AC30" s="491"/>
      <c r="AD30" s="491" t="str">
        <f>IF(AND('Mapa de Riesgos'!$H$18="Baja",'Mapa de Riesgos'!$L$18="Mayor"),CONCATENATE("R",'Mapa de Riesgos'!$A$18),"")</f>
        <v>R2</v>
      </c>
      <c r="AE30" s="491"/>
      <c r="AF30" s="491" t="str">
        <f>IF(AND('Mapa de Riesgos'!$H$24="Baja",'Mapa de Riesgos'!$L$24="Mayor"),CONCATENATE("R",'Mapa de Riesgos'!$A$24),"")</f>
        <v/>
      </c>
      <c r="AG30" s="492"/>
      <c r="AH30" s="481" t="str">
        <f>IF(AND('Mapa de Riesgos'!$H$12="Baja",'Mapa de Riesgos'!$L$12="Catastrófico"),CONCATENATE("R",'Mapa de Riesgos'!$A$12),"")</f>
        <v/>
      </c>
      <c r="AI30" s="482"/>
      <c r="AJ30" s="482" t="str">
        <f>IF(AND('Mapa de Riesgos'!$H$18="Baja",'Mapa de Riesgos'!$L$18="Catastrófico"),CONCATENATE("R",'Mapa de Riesgos'!$A$18),"")</f>
        <v/>
      </c>
      <c r="AK30" s="482"/>
      <c r="AL30" s="482" t="str">
        <f>IF(AND('Mapa de Riesgos'!$H$24="Baja",'Mapa de Riesgos'!$L$24="Catastrófico"),CONCATENATE("R",'Mapa de Riesgos'!$A$24),"")</f>
        <v/>
      </c>
      <c r="AM30" s="483"/>
      <c r="AN30" s="83"/>
      <c r="AO30" s="533" t="s">
        <v>240</v>
      </c>
      <c r="AP30" s="534"/>
      <c r="AQ30" s="534"/>
      <c r="AR30" s="534"/>
      <c r="AS30" s="534"/>
      <c r="AT30" s="53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04"/>
      <c r="C31" s="504"/>
      <c r="D31" s="505"/>
      <c r="E31" s="497"/>
      <c r="F31" s="498"/>
      <c r="G31" s="498"/>
      <c r="H31" s="498"/>
      <c r="I31" s="498"/>
      <c r="J31" s="457"/>
      <c r="K31" s="458"/>
      <c r="L31" s="458"/>
      <c r="M31" s="458"/>
      <c r="N31" s="458"/>
      <c r="O31" s="459"/>
      <c r="P31" s="467"/>
      <c r="Q31" s="467"/>
      <c r="R31" s="467"/>
      <c r="S31" s="467"/>
      <c r="T31" s="467"/>
      <c r="U31" s="468"/>
      <c r="V31" s="466"/>
      <c r="W31" s="467"/>
      <c r="X31" s="467"/>
      <c r="Y31" s="467"/>
      <c r="Z31" s="467"/>
      <c r="AA31" s="468"/>
      <c r="AB31" s="484"/>
      <c r="AC31" s="485"/>
      <c r="AD31" s="485"/>
      <c r="AE31" s="485"/>
      <c r="AF31" s="485"/>
      <c r="AG31" s="486"/>
      <c r="AH31" s="475"/>
      <c r="AI31" s="476"/>
      <c r="AJ31" s="476"/>
      <c r="AK31" s="476"/>
      <c r="AL31" s="476"/>
      <c r="AM31" s="477"/>
      <c r="AN31" s="83"/>
      <c r="AO31" s="536"/>
      <c r="AP31" s="537"/>
      <c r="AQ31" s="537"/>
      <c r="AR31" s="537"/>
      <c r="AS31" s="537"/>
      <c r="AT31" s="53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04"/>
      <c r="C32" s="504"/>
      <c r="D32" s="505"/>
      <c r="E32" s="497"/>
      <c r="F32" s="498"/>
      <c r="G32" s="498"/>
      <c r="H32" s="498"/>
      <c r="I32" s="498"/>
      <c r="J32" s="457" t="str">
        <f>IF(AND('Mapa de Riesgos'!$H$31="Baja",'Mapa de Riesgos'!$L$31="Leve"),CONCATENATE("R",'Mapa de Riesgos'!$A$31),"")</f>
        <v/>
      </c>
      <c r="K32" s="458"/>
      <c r="L32" s="458" t="str">
        <f>IF(AND('Mapa de Riesgos'!$H$39="Baja",'Mapa de Riesgos'!$L$39="Leve"),CONCATENATE("R",'Mapa de Riesgos'!$A$39),"")</f>
        <v/>
      </c>
      <c r="M32" s="458"/>
      <c r="N32" s="458" t="str">
        <f>IF(AND('Mapa de Riesgos'!$H$46="Baja",'Mapa de Riesgos'!$L$46="Leve"),CONCATENATE("R",'Mapa de Riesgos'!$A$46),"")</f>
        <v/>
      </c>
      <c r="O32" s="459"/>
      <c r="P32" s="467" t="str">
        <f>IF(AND('Mapa de Riesgos'!$H$31="Baja",'Mapa de Riesgos'!$L$31="Menor"),CONCATENATE("R",'Mapa de Riesgos'!$A$31),"")</f>
        <v/>
      </c>
      <c r="Q32" s="467"/>
      <c r="R32" s="467" t="str">
        <f>IF(AND('Mapa de Riesgos'!$H$39="Baja",'Mapa de Riesgos'!$L$39="Menor"),CONCATENATE("R",'Mapa de Riesgos'!$A$39),"")</f>
        <v/>
      </c>
      <c r="S32" s="467"/>
      <c r="T32" s="467" t="str">
        <f>IF(AND('Mapa de Riesgos'!$H$46="Baja",'Mapa de Riesgos'!$L$46="Menor"),CONCATENATE("R",'Mapa de Riesgos'!$A$46),"")</f>
        <v/>
      </c>
      <c r="U32" s="468"/>
      <c r="V32" s="466" t="str">
        <f>IF(AND('Mapa de Riesgos'!$H$31="Baja",'Mapa de Riesgos'!$L$31="Moderado"),CONCATENATE("R",'Mapa de Riesgos'!$A$31),"")</f>
        <v/>
      </c>
      <c r="W32" s="467"/>
      <c r="X32" s="467" t="str">
        <f>IF(AND('Mapa de Riesgos'!$H$39="Baja",'Mapa de Riesgos'!$L$39="Moderado"),CONCATENATE("R",'Mapa de Riesgos'!$A$39),"")</f>
        <v/>
      </c>
      <c r="Y32" s="467"/>
      <c r="Z32" s="467" t="str">
        <f>IF(AND('Mapa de Riesgos'!$H$46="Baja",'Mapa de Riesgos'!$L$46="Moderado"),CONCATENATE("R",'Mapa de Riesgos'!$A$46),"")</f>
        <v/>
      </c>
      <c r="AA32" s="468"/>
      <c r="AB32" s="484" t="str">
        <f>IF(AND('Mapa de Riesgos'!$H$31="Baja",'Mapa de Riesgos'!$L$31="Mayor"),CONCATENATE("R",'Mapa de Riesgos'!$A$31),"")</f>
        <v/>
      </c>
      <c r="AC32" s="485"/>
      <c r="AD32" s="485" t="str">
        <f>IF(AND('Mapa de Riesgos'!$H$39="Baja",'Mapa de Riesgos'!$L$39="Mayor"),CONCATENATE("R",'Mapa de Riesgos'!$A$39),"")</f>
        <v/>
      </c>
      <c r="AE32" s="485"/>
      <c r="AF32" s="485" t="str">
        <f>IF(AND('Mapa de Riesgos'!$H$46="Baja",'Mapa de Riesgos'!$L$46="Mayor"),CONCATENATE("R",'Mapa de Riesgos'!$A$46),"")</f>
        <v/>
      </c>
      <c r="AG32" s="486"/>
      <c r="AH32" s="475" t="str">
        <f>IF(AND('Mapa de Riesgos'!$H$31="Baja",'Mapa de Riesgos'!$L$31="Catastrófico"),CONCATENATE("R",'Mapa de Riesgos'!$A$31),"")</f>
        <v/>
      </c>
      <c r="AI32" s="476"/>
      <c r="AJ32" s="476" t="str">
        <f>IF(AND('Mapa de Riesgos'!$H$39="Baja",'Mapa de Riesgos'!$L$39="Catastrófico"),CONCATENATE("R",'Mapa de Riesgos'!$A$39),"")</f>
        <v/>
      </c>
      <c r="AK32" s="476"/>
      <c r="AL32" s="476" t="str">
        <f>IF(AND('Mapa de Riesgos'!$H$46="Baja",'Mapa de Riesgos'!$L$46="Catastrófico"),CONCATENATE("R",'Mapa de Riesgos'!$A$46),"")</f>
        <v/>
      </c>
      <c r="AM32" s="477"/>
      <c r="AN32" s="83"/>
      <c r="AO32" s="536"/>
      <c r="AP32" s="537"/>
      <c r="AQ32" s="537"/>
      <c r="AR32" s="537"/>
      <c r="AS32" s="537"/>
      <c r="AT32" s="53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04"/>
      <c r="C33" s="504"/>
      <c r="D33" s="505"/>
      <c r="E33" s="497"/>
      <c r="F33" s="498"/>
      <c r="G33" s="498"/>
      <c r="H33" s="498"/>
      <c r="I33" s="498"/>
      <c r="J33" s="457"/>
      <c r="K33" s="458"/>
      <c r="L33" s="458"/>
      <c r="M33" s="458"/>
      <c r="N33" s="458"/>
      <c r="O33" s="459"/>
      <c r="P33" s="467"/>
      <c r="Q33" s="467"/>
      <c r="R33" s="467"/>
      <c r="S33" s="467"/>
      <c r="T33" s="467"/>
      <c r="U33" s="468"/>
      <c r="V33" s="466"/>
      <c r="W33" s="467"/>
      <c r="X33" s="467"/>
      <c r="Y33" s="467"/>
      <c r="Z33" s="467"/>
      <c r="AA33" s="468"/>
      <c r="AB33" s="484"/>
      <c r="AC33" s="485"/>
      <c r="AD33" s="485"/>
      <c r="AE33" s="485"/>
      <c r="AF33" s="485"/>
      <c r="AG33" s="486"/>
      <c r="AH33" s="475"/>
      <c r="AI33" s="476"/>
      <c r="AJ33" s="476"/>
      <c r="AK33" s="476"/>
      <c r="AL33" s="476"/>
      <c r="AM33" s="477"/>
      <c r="AN33" s="83"/>
      <c r="AO33" s="536"/>
      <c r="AP33" s="537"/>
      <c r="AQ33" s="537"/>
      <c r="AR33" s="537"/>
      <c r="AS33" s="537"/>
      <c r="AT33" s="53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04"/>
      <c r="C34" s="504"/>
      <c r="D34" s="505"/>
      <c r="E34" s="497"/>
      <c r="F34" s="498"/>
      <c r="G34" s="498"/>
      <c r="H34" s="498"/>
      <c r="I34" s="498"/>
      <c r="J34" s="457" t="str">
        <f>IF(AND('Mapa de Riesgos'!$H$52="Baja",'Mapa de Riesgos'!$L$52="Leve"),CONCATENATE("R",'Mapa de Riesgos'!$A$52),"")</f>
        <v/>
      </c>
      <c r="K34" s="458"/>
      <c r="L34" s="458" t="str">
        <f>IF(AND('Mapa de Riesgos'!$H$58="Baja",'Mapa de Riesgos'!$L$58="Leve"),CONCATENATE("R",'Mapa de Riesgos'!$A$58),"")</f>
        <v/>
      </c>
      <c r="M34" s="458"/>
      <c r="N34" s="458" t="str">
        <f>IF(AND('Mapa de Riesgos'!$H$64="Baja",'Mapa de Riesgos'!$L$64="Leve"),CONCATENATE("R",'Mapa de Riesgos'!$A$64),"")</f>
        <v/>
      </c>
      <c r="O34" s="459"/>
      <c r="P34" s="467" t="str">
        <f>IF(AND('Mapa de Riesgos'!$H$52="Baja",'Mapa de Riesgos'!$L$52="Menor"),CONCATENATE("R",'Mapa de Riesgos'!$A$52),"")</f>
        <v/>
      </c>
      <c r="Q34" s="467"/>
      <c r="R34" s="467" t="str">
        <f>IF(AND('Mapa de Riesgos'!$H$58="Baja",'Mapa de Riesgos'!$L$58="Menor"),CONCATENATE("R",'Mapa de Riesgos'!$A$58),"")</f>
        <v/>
      </c>
      <c r="S34" s="467"/>
      <c r="T34" s="467" t="str">
        <f>IF(AND('Mapa de Riesgos'!$H$64="Baja",'Mapa de Riesgos'!$L$64="Menor"),CONCATENATE("R",'Mapa de Riesgos'!$A$64),"")</f>
        <v/>
      </c>
      <c r="U34" s="468"/>
      <c r="V34" s="466" t="str">
        <f>IF(AND('Mapa de Riesgos'!$H$52="Baja",'Mapa de Riesgos'!$L$52="Moderado"),CONCATENATE("R",'Mapa de Riesgos'!$A$52),"")</f>
        <v>R7</v>
      </c>
      <c r="W34" s="467"/>
      <c r="X34" s="467" t="str">
        <f>IF(AND('Mapa de Riesgos'!$H$58="Baja",'Mapa de Riesgos'!$L$58="Moderado"),CONCATENATE("R",'Mapa de Riesgos'!$A$58),"")</f>
        <v/>
      </c>
      <c r="Y34" s="467"/>
      <c r="Z34" s="467" t="str">
        <f>IF(AND('Mapa de Riesgos'!$H$64="Baja",'Mapa de Riesgos'!$L$64="Moderado"),CONCATENATE("R",'Mapa de Riesgos'!$A$64),"")</f>
        <v/>
      </c>
      <c r="AA34" s="468"/>
      <c r="AB34" s="484" t="str">
        <f>IF(AND('Mapa de Riesgos'!$H$52="Baja",'Mapa de Riesgos'!$L$52="Mayor"),CONCATENATE("R",'Mapa de Riesgos'!$A$52),"")</f>
        <v/>
      </c>
      <c r="AC34" s="485"/>
      <c r="AD34" s="485" t="str">
        <f>IF(AND('Mapa de Riesgos'!$H$58="Baja",'Mapa de Riesgos'!$L$58="Mayor"),CONCATENATE("R",'Mapa de Riesgos'!$A$58),"")</f>
        <v/>
      </c>
      <c r="AE34" s="485"/>
      <c r="AF34" s="485" t="str">
        <f>IF(AND('Mapa de Riesgos'!$H$64="Baja",'Mapa de Riesgos'!$L$64="Mayor"),CONCATENATE("R",'Mapa de Riesgos'!$A$64),"")</f>
        <v/>
      </c>
      <c r="AG34" s="486"/>
      <c r="AH34" s="475" t="str">
        <f>IF(AND('Mapa de Riesgos'!$H$52="Baja",'Mapa de Riesgos'!$L$52="Catastrófico"),CONCATENATE("R",'Mapa de Riesgos'!$A$52),"")</f>
        <v/>
      </c>
      <c r="AI34" s="476"/>
      <c r="AJ34" s="476" t="str">
        <f>IF(AND('Mapa de Riesgos'!$H$58="Baja",'Mapa de Riesgos'!$L$58="Catastrófico"),CONCATENATE("R",'Mapa de Riesgos'!$A$58),"")</f>
        <v/>
      </c>
      <c r="AK34" s="476"/>
      <c r="AL34" s="476" t="str">
        <f>IF(AND('Mapa de Riesgos'!$H$64="Baja",'Mapa de Riesgos'!$L$64="Catastrófico"),CONCATENATE("R",'Mapa de Riesgos'!$A$64),"")</f>
        <v/>
      </c>
      <c r="AM34" s="477"/>
      <c r="AN34" s="83"/>
      <c r="AO34" s="536"/>
      <c r="AP34" s="537"/>
      <c r="AQ34" s="537"/>
      <c r="AR34" s="537"/>
      <c r="AS34" s="537"/>
      <c r="AT34" s="53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04"/>
      <c r="C35" s="504"/>
      <c r="D35" s="505"/>
      <c r="E35" s="497"/>
      <c r="F35" s="498"/>
      <c r="G35" s="498"/>
      <c r="H35" s="498"/>
      <c r="I35" s="498"/>
      <c r="J35" s="457"/>
      <c r="K35" s="458"/>
      <c r="L35" s="458"/>
      <c r="M35" s="458"/>
      <c r="N35" s="458"/>
      <c r="O35" s="459"/>
      <c r="P35" s="467"/>
      <c r="Q35" s="467"/>
      <c r="R35" s="467"/>
      <c r="S35" s="467"/>
      <c r="T35" s="467"/>
      <c r="U35" s="468"/>
      <c r="V35" s="466"/>
      <c r="W35" s="467"/>
      <c r="X35" s="467"/>
      <c r="Y35" s="467"/>
      <c r="Z35" s="467"/>
      <c r="AA35" s="468"/>
      <c r="AB35" s="484"/>
      <c r="AC35" s="485"/>
      <c r="AD35" s="485"/>
      <c r="AE35" s="485"/>
      <c r="AF35" s="485"/>
      <c r="AG35" s="486"/>
      <c r="AH35" s="475"/>
      <c r="AI35" s="476"/>
      <c r="AJ35" s="476"/>
      <c r="AK35" s="476"/>
      <c r="AL35" s="476"/>
      <c r="AM35" s="477"/>
      <c r="AN35" s="83"/>
      <c r="AO35" s="536"/>
      <c r="AP35" s="537"/>
      <c r="AQ35" s="537"/>
      <c r="AR35" s="537"/>
      <c r="AS35" s="537"/>
      <c r="AT35" s="53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04"/>
      <c r="C36" s="504"/>
      <c r="D36" s="505"/>
      <c r="E36" s="497"/>
      <c r="F36" s="498"/>
      <c r="G36" s="498"/>
      <c r="H36" s="498"/>
      <c r="I36" s="498"/>
      <c r="J36" s="457" t="str">
        <f>IF(AND('Mapa de Riesgos'!$H$70="Baja",'Mapa de Riesgos'!$L$70="Leve"),CONCATENATE("R",'Mapa de Riesgos'!$A$70),"")</f>
        <v/>
      </c>
      <c r="K36" s="458"/>
      <c r="L36" s="458" t="str">
        <f>IF(AND('Mapa de Riesgos'!$H$76="Baja",'Mapa de Riesgos'!$L$76="Leve"),CONCATENATE("R",'Mapa de Riesgos'!$A$76),"")</f>
        <v/>
      </c>
      <c r="M36" s="458"/>
      <c r="N36" s="458" t="str">
        <f>IF(AND('Mapa de Riesgos'!$H$82="Baja",'Mapa de Riesgos'!$L$82="Leve"),CONCATENATE("R",'Mapa de Riesgos'!$A$82),"")</f>
        <v/>
      </c>
      <c r="O36" s="459"/>
      <c r="P36" s="467" t="str">
        <f>IF(AND('Mapa de Riesgos'!$H$70="Baja",'Mapa de Riesgos'!$L$70="Menor"),CONCATENATE("R",'Mapa de Riesgos'!$A$70),"")</f>
        <v/>
      </c>
      <c r="Q36" s="467"/>
      <c r="R36" s="467" t="str">
        <f>IF(AND('Mapa de Riesgos'!$H$76="Baja",'Mapa de Riesgos'!$L$76="Menor"),CONCATENATE("R",'Mapa de Riesgos'!$A$76),"")</f>
        <v/>
      </c>
      <c r="S36" s="467"/>
      <c r="T36" s="467" t="str">
        <f>IF(AND('Mapa de Riesgos'!$H$82="Baja",'Mapa de Riesgos'!$L$82="Menor"),CONCATENATE("R",'Mapa de Riesgos'!$A$82),"")</f>
        <v/>
      </c>
      <c r="U36" s="468"/>
      <c r="V36" s="466" t="str">
        <f>IF(AND('Mapa de Riesgos'!$H$70="Baja",'Mapa de Riesgos'!$L$70="Moderado"),CONCATENATE("R",'Mapa de Riesgos'!$A$70),"")</f>
        <v/>
      </c>
      <c r="W36" s="467"/>
      <c r="X36" s="467" t="str">
        <f>IF(AND('Mapa de Riesgos'!$H$76="Baja",'Mapa de Riesgos'!$L$76="Moderado"),CONCATENATE("R",'Mapa de Riesgos'!$A$76),"")</f>
        <v/>
      </c>
      <c r="Y36" s="467"/>
      <c r="Z36" s="467" t="str">
        <f>IF(AND('Mapa de Riesgos'!$H$82="Baja",'Mapa de Riesgos'!$L$82="Moderado"),CONCATENATE("R",'Mapa de Riesgos'!$A$82),"")</f>
        <v/>
      </c>
      <c r="AA36" s="468"/>
      <c r="AB36" s="484" t="str">
        <f>IF(AND('Mapa de Riesgos'!$H$70="Baja",'Mapa de Riesgos'!$L$70="Mayor"),CONCATENATE("R",'Mapa de Riesgos'!$A$70),"")</f>
        <v/>
      </c>
      <c r="AC36" s="485"/>
      <c r="AD36" s="485" t="str">
        <f>IF(AND('Mapa de Riesgos'!$H$76="Baja",'Mapa de Riesgos'!$L$76="Mayor"),CONCATENATE("R",'Mapa de Riesgos'!$A$76),"")</f>
        <v/>
      </c>
      <c r="AE36" s="485"/>
      <c r="AF36" s="485" t="str">
        <f>IF(AND('Mapa de Riesgos'!$H$82="Baja",'Mapa de Riesgos'!$L$82="Mayor"),CONCATENATE("R",'Mapa de Riesgos'!$A$82),"")</f>
        <v/>
      </c>
      <c r="AG36" s="486"/>
      <c r="AH36" s="475" t="str">
        <f>IF(AND('Mapa de Riesgos'!$H$70="Baja",'Mapa de Riesgos'!$L$70="Catastrófico"),CONCATENATE("R",'Mapa de Riesgos'!$A$70),"")</f>
        <v/>
      </c>
      <c r="AI36" s="476"/>
      <c r="AJ36" s="476" t="str">
        <f>IF(AND('Mapa de Riesgos'!$H$76="Baja",'Mapa de Riesgos'!$L$76="Catastrófico"),CONCATENATE("R",'Mapa de Riesgos'!$A$76),"")</f>
        <v/>
      </c>
      <c r="AK36" s="476"/>
      <c r="AL36" s="476" t="str">
        <f>IF(AND('Mapa de Riesgos'!$H$82="Baja",'Mapa de Riesgos'!$L$82="Catastrófico"),CONCATENATE("R",'Mapa de Riesgos'!$A$82),"")</f>
        <v/>
      </c>
      <c r="AM36" s="477"/>
      <c r="AN36" s="83"/>
      <c r="AO36" s="536"/>
      <c r="AP36" s="537"/>
      <c r="AQ36" s="537"/>
      <c r="AR36" s="537"/>
      <c r="AS36" s="537"/>
      <c r="AT36" s="53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04"/>
      <c r="C37" s="504"/>
      <c r="D37" s="505"/>
      <c r="E37" s="500"/>
      <c r="F37" s="501"/>
      <c r="G37" s="501"/>
      <c r="H37" s="501"/>
      <c r="I37" s="501"/>
      <c r="J37" s="460"/>
      <c r="K37" s="461"/>
      <c r="L37" s="461"/>
      <c r="M37" s="461"/>
      <c r="N37" s="461"/>
      <c r="O37" s="462"/>
      <c r="P37" s="470"/>
      <c r="Q37" s="470"/>
      <c r="R37" s="470"/>
      <c r="S37" s="470"/>
      <c r="T37" s="470"/>
      <c r="U37" s="471"/>
      <c r="V37" s="469"/>
      <c r="W37" s="470"/>
      <c r="X37" s="470"/>
      <c r="Y37" s="470"/>
      <c r="Z37" s="470"/>
      <c r="AA37" s="471"/>
      <c r="AB37" s="487"/>
      <c r="AC37" s="488"/>
      <c r="AD37" s="488"/>
      <c r="AE37" s="488"/>
      <c r="AF37" s="488"/>
      <c r="AG37" s="489"/>
      <c r="AH37" s="478"/>
      <c r="AI37" s="479"/>
      <c r="AJ37" s="479"/>
      <c r="AK37" s="479"/>
      <c r="AL37" s="479"/>
      <c r="AM37" s="480"/>
      <c r="AN37" s="83"/>
      <c r="AO37" s="539"/>
      <c r="AP37" s="540"/>
      <c r="AQ37" s="540"/>
      <c r="AR37" s="540"/>
      <c r="AS37" s="540"/>
      <c r="AT37" s="54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04"/>
      <c r="C38" s="504"/>
      <c r="D38" s="505"/>
      <c r="E38" s="494" t="s">
        <v>241</v>
      </c>
      <c r="F38" s="495"/>
      <c r="G38" s="495"/>
      <c r="H38" s="495"/>
      <c r="I38" s="496"/>
      <c r="J38" s="463" t="str">
        <f>IF(AND('Mapa de Riesgos'!$H$12="Muy Baja",'Mapa de Riesgos'!$L$12="Leve"),CONCATENATE("R",'Mapa de Riesgos'!$A$12),"")</f>
        <v/>
      </c>
      <c r="K38" s="464"/>
      <c r="L38" s="464" t="str">
        <f>IF(AND('Mapa de Riesgos'!$H$18="Muy Baja",'Mapa de Riesgos'!$L$18="Leve"),CONCATENATE("R",'Mapa de Riesgos'!$A$18),"")</f>
        <v/>
      </c>
      <c r="M38" s="464"/>
      <c r="N38" s="464" t="str">
        <f>IF(AND('Mapa de Riesgos'!$H$24="Muy Baja",'Mapa de Riesgos'!$L$24="Leve"),CONCATENATE("R",'Mapa de Riesgos'!$A$24),"")</f>
        <v/>
      </c>
      <c r="O38" s="465"/>
      <c r="P38" s="463" t="str">
        <f>IF(AND('Mapa de Riesgos'!$H$12="Muy Baja",'Mapa de Riesgos'!$L$12="Menor"),CONCATENATE("R",'Mapa de Riesgos'!$A$12),"")</f>
        <v/>
      </c>
      <c r="Q38" s="464"/>
      <c r="R38" s="464" t="str">
        <f>IF(AND('Mapa de Riesgos'!$H$18="Muy Baja",'Mapa de Riesgos'!$L$18="Menor"),CONCATENATE("R",'Mapa de Riesgos'!$A$18),"")</f>
        <v/>
      </c>
      <c r="S38" s="464"/>
      <c r="T38" s="464" t="str">
        <f>IF(AND('Mapa de Riesgos'!$H$24="Muy Baja",'Mapa de Riesgos'!$L$24="Menor"),CONCATENATE("R",'Mapa de Riesgos'!$A$24),"")</f>
        <v/>
      </c>
      <c r="U38" s="465"/>
      <c r="V38" s="472" t="str">
        <f>IF(AND('Mapa de Riesgos'!$H$12="Muy Baja",'Mapa de Riesgos'!$L$12="Moderado"),CONCATENATE("R",'Mapa de Riesgos'!$A$12),"")</f>
        <v/>
      </c>
      <c r="W38" s="473"/>
      <c r="X38" s="473" t="str">
        <f>IF(AND('Mapa de Riesgos'!$H$18="Muy Baja",'Mapa de Riesgos'!$L$18="Moderado"),CONCATENATE("R",'Mapa de Riesgos'!$A$18),"")</f>
        <v/>
      </c>
      <c r="Y38" s="473"/>
      <c r="Z38" s="473" t="str">
        <f>IF(AND('Mapa de Riesgos'!$H$24="Muy Baja",'Mapa de Riesgos'!$L$24="Moderado"),CONCATENATE("R",'Mapa de Riesgos'!$A$24),"")</f>
        <v/>
      </c>
      <c r="AA38" s="474"/>
      <c r="AB38" s="490" t="str">
        <f>IF(AND('Mapa de Riesgos'!$H$12="Muy Baja",'Mapa de Riesgos'!$L$12="Mayor"),CONCATENATE("R",'Mapa de Riesgos'!$A$12),"")</f>
        <v/>
      </c>
      <c r="AC38" s="491"/>
      <c r="AD38" s="491" t="str">
        <f>IF(AND('Mapa de Riesgos'!$H$18="Muy Baja",'Mapa de Riesgos'!$L$18="Mayor"),CONCATENATE("R",'Mapa de Riesgos'!$A$18),"")</f>
        <v/>
      </c>
      <c r="AE38" s="491"/>
      <c r="AF38" s="491" t="str">
        <f>IF(AND('Mapa de Riesgos'!$H$24="Muy Baja",'Mapa de Riesgos'!$L$24="Mayor"),CONCATENATE("R",'Mapa de Riesgos'!$A$24),"")</f>
        <v/>
      </c>
      <c r="AG38" s="492"/>
      <c r="AH38" s="481" t="str">
        <f>IF(AND('Mapa de Riesgos'!$H$12="Muy Baja",'Mapa de Riesgos'!$L$12="Catastrófico"),CONCATENATE("R",'Mapa de Riesgos'!$A$12),"")</f>
        <v/>
      </c>
      <c r="AI38" s="482"/>
      <c r="AJ38" s="482" t="str">
        <f>IF(AND('Mapa de Riesgos'!$H$18="Muy Baja",'Mapa de Riesgos'!$L$18="Catastrófico"),CONCATENATE("R",'Mapa de Riesgos'!$A$18),"")</f>
        <v/>
      </c>
      <c r="AK38" s="482"/>
      <c r="AL38" s="482" t="str">
        <f>IF(AND('Mapa de Riesgos'!$H$24="Muy Baja",'Mapa de Riesgos'!$L$24="Catastrófico"),CONCATENATE("R",'Mapa de Riesgos'!$A$24),"")</f>
        <v/>
      </c>
      <c r="AM38" s="4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04"/>
      <c r="C39" s="504"/>
      <c r="D39" s="505"/>
      <c r="E39" s="497"/>
      <c r="F39" s="498"/>
      <c r="G39" s="498"/>
      <c r="H39" s="498"/>
      <c r="I39" s="499"/>
      <c r="J39" s="457"/>
      <c r="K39" s="458"/>
      <c r="L39" s="458"/>
      <c r="M39" s="458"/>
      <c r="N39" s="458"/>
      <c r="O39" s="459"/>
      <c r="P39" s="457"/>
      <c r="Q39" s="458"/>
      <c r="R39" s="458"/>
      <c r="S39" s="458"/>
      <c r="T39" s="458"/>
      <c r="U39" s="459"/>
      <c r="V39" s="466"/>
      <c r="W39" s="467"/>
      <c r="X39" s="467"/>
      <c r="Y39" s="467"/>
      <c r="Z39" s="467"/>
      <c r="AA39" s="468"/>
      <c r="AB39" s="484"/>
      <c r="AC39" s="485"/>
      <c r="AD39" s="485"/>
      <c r="AE39" s="485"/>
      <c r="AF39" s="485"/>
      <c r="AG39" s="486"/>
      <c r="AH39" s="475"/>
      <c r="AI39" s="476"/>
      <c r="AJ39" s="476"/>
      <c r="AK39" s="476"/>
      <c r="AL39" s="476"/>
      <c r="AM39" s="47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04"/>
      <c r="C40" s="504"/>
      <c r="D40" s="505"/>
      <c r="E40" s="497"/>
      <c r="F40" s="498"/>
      <c r="G40" s="498"/>
      <c r="H40" s="498"/>
      <c r="I40" s="499"/>
      <c r="J40" s="457" t="str">
        <f>IF(AND('Mapa de Riesgos'!$H$31="Muy Baja",'Mapa de Riesgos'!$L$31="Leve"),CONCATENATE("R",'Mapa de Riesgos'!$A$31),"")</f>
        <v/>
      </c>
      <c r="K40" s="458"/>
      <c r="L40" s="458" t="str">
        <f>IF(AND('Mapa de Riesgos'!$H$39="Muy Baja",'Mapa de Riesgos'!$L$39="Leve"),CONCATENATE("R",'Mapa de Riesgos'!$A$39),"")</f>
        <v/>
      </c>
      <c r="M40" s="458"/>
      <c r="N40" s="458" t="str">
        <f>IF(AND('Mapa de Riesgos'!$H$46="Muy Baja",'Mapa de Riesgos'!$L$46="Leve"),CONCATENATE("R",'Mapa de Riesgos'!$A$46),"")</f>
        <v/>
      </c>
      <c r="O40" s="459"/>
      <c r="P40" s="457" t="str">
        <f>IF(AND('Mapa de Riesgos'!$H$31="Muy Baja",'Mapa de Riesgos'!$L$31="Menor"),CONCATENATE("R",'Mapa de Riesgos'!$A$31),"")</f>
        <v/>
      </c>
      <c r="Q40" s="458"/>
      <c r="R40" s="458" t="str">
        <f>IF(AND('Mapa de Riesgos'!$H$39="Muy Baja",'Mapa de Riesgos'!$L$39="Menor"),CONCATENATE("R",'Mapa de Riesgos'!$A$39),"")</f>
        <v/>
      </c>
      <c r="S40" s="458"/>
      <c r="T40" s="458" t="str">
        <f>IF(AND('Mapa de Riesgos'!$H$46="Muy Baja",'Mapa de Riesgos'!$L$46="Menor"),CONCATENATE("R",'Mapa de Riesgos'!$A$46),"")</f>
        <v/>
      </c>
      <c r="U40" s="459"/>
      <c r="V40" s="466" t="str">
        <f>IF(AND('Mapa de Riesgos'!$H$31="Muy Baja",'Mapa de Riesgos'!$L$31="Moderado"),CONCATENATE("R",'Mapa de Riesgos'!$A$31),"")</f>
        <v/>
      </c>
      <c r="W40" s="467"/>
      <c r="X40" s="467" t="str">
        <f>IF(AND('Mapa de Riesgos'!$H$39="Muy Baja",'Mapa de Riesgos'!$L$39="Moderado"),CONCATENATE("R",'Mapa de Riesgos'!$A$39),"")</f>
        <v/>
      </c>
      <c r="Y40" s="467"/>
      <c r="Z40" s="467" t="str">
        <f>IF(AND('Mapa de Riesgos'!$H$46="Muy Baja",'Mapa de Riesgos'!$L$46="Moderado"),CONCATENATE("R",'Mapa de Riesgos'!$A$46),"")</f>
        <v/>
      </c>
      <c r="AA40" s="468"/>
      <c r="AB40" s="484" t="str">
        <f>IF(AND('Mapa de Riesgos'!$H$31="Muy Baja",'Mapa de Riesgos'!$L$31="Mayor"),CONCATENATE("R",'Mapa de Riesgos'!$A$31),"")</f>
        <v/>
      </c>
      <c r="AC40" s="485"/>
      <c r="AD40" s="485" t="str">
        <f>IF(AND('Mapa de Riesgos'!$H$39="Muy Baja",'Mapa de Riesgos'!$L$39="Mayor"),CONCATENATE("R",'Mapa de Riesgos'!$A$39),"")</f>
        <v/>
      </c>
      <c r="AE40" s="485"/>
      <c r="AF40" s="485" t="str">
        <f>IF(AND('Mapa de Riesgos'!$H$46="Muy Baja",'Mapa de Riesgos'!$L$46="Mayor"),CONCATENATE("R",'Mapa de Riesgos'!$A$46),"")</f>
        <v/>
      </c>
      <c r="AG40" s="486"/>
      <c r="AH40" s="475" t="str">
        <f>IF(AND('Mapa de Riesgos'!$H$31="Muy Baja",'Mapa de Riesgos'!$L$31="Catastrófico"),CONCATENATE("R",'Mapa de Riesgos'!$A$31),"")</f>
        <v/>
      </c>
      <c r="AI40" s="476"/>
      <c r="AJ40" s="476" t="str">
        <f>IF(AND('Mapa de Riesgos'!$H$39="Muy Baja",'Mapa de Riesgos'!$L$39="Catastrófico"),CONCATENATE("R",'Mapa de Riesgos'!$A$39),"")</f>
        <v/>
      </c>
      <c r="AK40" s="476"/>
      <c r="AL40" s="476" t="str">
        <f>IF(AND('Mapa de Riesgos'!$H$46="Muy Baja",'Mapa de Riesgos'!$L$46="Catastrófico"),CONCATENATE("R",'Mapa de Riesgos'!$A$46),"")</f>
        <v/>
      </c>
      <c r="AM40" s="47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04"/>
      <c r="C41" s="504"/>
      <c r="D41" s="505"/>
      <c r="E41" s="497"/>
      <c r="F41" s="498"/>
      <c r="G41" s="498"/>
      <c r="H41" s="498"/>
      <c r="I41" s="499"/>
      <c r="J41" s="457"/>
      <c r="K41" s="458"/>
      <c r="L41" s="458"/>
      <c r="M41" s="458"/>
      <c r="N41" s="458"/>
      <c r="O41" s="459"/>
      <c r="P41" s="457"/>
      <c r="Q41" s="458"/>
      <c r="R41" s="458"/>
      <c r="S41" s="458"/>
      <c r="T41" s="458"/>
      <c r="U41" s="459"/>
      <c r="V41" s="466"/>
      <c r="W41" s="467"/>
      <c r="X41" s="467"/>
      <c r="Y41" s="467"/>
      <c r="Z41" s="467"/>
      <c r="AA41" s="468"/>
      <c r="AB41" s="484"/>
      <c r="AC41" s="485"/>
      <c r="AD41" s="485"/>
      <c r="AE41" s="485"/>
      <c r="AF41" s="485"/>
      <c r="AG41" s="486"/>
      <c r="AH41" s="475"/>
      <c r="AI41" s="476"/>
      <c r="AJ41" s="476"/>
      <c r="AK41" s="476"/>
      <c r="AL41" s="476"/>
      <c r="AM41" s="47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04"/>
      <c r="C42" s="504"/>
      <c r="D42" s="505"/>
      <c r="E42" s="497"/>
      <c r="F42" s="498"/>
      <c r="G42" s="498"/>
      <c r="H42" s="498"/>
      <c r="I42" s="499"/>
      <c r="J42" s="457" t="str">
        <f>IF(AND('Mapa de Riesgos'!$H$52="Muy Baja",'Mapa de Riesgos'!$L$52="Leve"),CONCATENATE("R",'Mapa de Riesgos'!$A$52),"")</f>
        <v/>
      </c>
      <c r="K42" s="458"/>
      <c r="L42" s="458" t="str">
        <f>IF(AND('Mapa de Riesgos'!$H$58="Muy Baja",'Mapa de Riesgos'!$L$58="Leve"),CONCATENATE("R",'Mapa de Riesgos'!$A$58),"")</f>
        <v/>
      </c>
      <c r="M42" s="458"/>
      <c r="N42" s="458" t="str">
        <f>IF(AND('Mapa de Riesgos'!$H$64="Muy Baja",'Mapa de Riesgos'!$L$64="Leve"),CONCATENATE("R",'Mapa de Riesgos'!$A$64),"")</f>
        <v/>
      </c>
      <c r="O42" s="459"/>
      <c r="P42" s="457" t="str">
        <f>IF(AND('Mapa de Riesgos'!$H$52="Muy Baja",'Mapa de Riesgos'!$L$52="Menor"),CONCATENATE("R",'Mapa de Riesgos'!$A$52),"")</f>
        <v/>
      </c>
      <c r="Q42" s="458"/>
      <c r="R42" s="458" t="str">
        <f>IF(AND('Mapa de Riesgos'!$H$58="Muy Baja",'Mapa de Riesgos'!$L$58="Menor"),CONCATENATE("R",'Mapa de Riesgos'!$A$58),"")</f>
        <v/>
      </c>
      <c r="S42" s="458"/>
      <c r="T42" s="458" t="str">
        <f>IF(AND('Mapa de Riesgos'!$H$64="Muy Baja",'Mapa de Riesgos'!$L$64="Menor"),CONCATENATE("R",'Mapa de Riesgos'!$A$64),"")</f>
        <v/>
      </c>
      <c r="U42" s="459"/>
      <c r="V42" s="466" t="str">
        <f>IF(AND('Mapa de Riesgos'!$H$52="Muy Baja",'Mapa de Riesgos'!$L$52="Moderado"),CONCATENATE("R",'Mapa de Riesgos'!$A$52),"")</f>
        <v/>
      </c>
      <c r="W42" s="467"/>
      <c r="X42" s="467" t="str">
        <f>IF(AND('Mapa de Riesgos'!$H$58="Muy Baja",'Mapa de Riesgos'!$L$58="Moderado"),CONCATENATE("R",'Mapa de Riesgos'!$A$58),"")</f>
        <v>R8</v>
      </c>
      <c r="Y42" s="467"/>
      <c r="Z42" s="467" t="str">
        <f>IF(AND('Mapa de Riesgos'!$H$64="Muy Baja",'Mapa de Riesgos'!$L$64="Moderado"),CONCATENATE("R",'Mapa de Riesgos'!$A$64),"")</f>
        <v/>
      </c>
      <c r="AA42" s="468"/>
      <c r="AB42" s="484" t="str">
        <f>IF(AND('Mapa de Riesgos'!$H$52="Muy Baja",'Mapa de Riesgos'!$L$52="Mayor"),CONCATENATE("R",'Mapa de Riesgos'!$A$52),"")</f>
        <v/>
      </c>
      <c r="AC42" s="485"/>
      <c r="AD42" s="485" t="str">
        <f>IF(AND('Mapa de Riesgos'!$H$58="Muy Baja",'Mapa de Riesgos'!$L$58="Mayor"),CONCATENATE("R",'Mapa de Riesgos'!$A$58),"")</f>
        <v/>
      </c>
      <c r="AE42" s="485"/>
      <c r="AF42" s="485" t="str">
        <f>IF(AND('Mapa de Riesgos'!$H$64="Muy Baja",'Mapa de Riesgos'!$L$64="Mayor"),CONCATENATE("R",'Mapa de Riesgos'!$A$64),"")</f>
        <v/>
      </c>
      <c r="AG42" s="486"/>
      <c r="AH42" s="475" t="str">
        <f>IF(AND('Mapa de Riesgos'!$H$52="Muy Baja",'Mapa de Riesgos'!$L$52="Catastrófico"),CONCATENATE("R",'Mapa de Riesgos'!$A$52),"")</f>
        <v/>
      </c>
      <c r="AI42" s="476"/>
      <c r="AJ42" s="476" t="str">
        <f>IF(AND('Mapa de Riesgos'!$H$58="Muy Baja",'Mapa de Riesgos'!$L$58="Catastrófico"),CONCATENATE("R",'Mapa de Riesgos'!$A$58),"")</f>
        <v/>
      </c>
      <c r="AK42" s="476"/>
      <c r="AL42" s="476" t="str">
        <f>IF(AND('Mapa de Riesgos'!$H$64="Muy Baja",'Mapa de Riesgos'!$L$64="Catastrófico"),CONCATENATE("R",'Mapa de Riesgos'!$A$64),"")</f>
        <v/>
      </c>
      <c r="AM42" s="47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04"/>
      <c r="C43" s="504"/>
      <c r="D43" s="505"/>
      <c r="E43" s="497"/>
      <c r="F43" s="498"/>
      <c r="G43" s="498"/>
      <c r="H43" s="498"/>
      <c r="I43" s="499"/>
      <c r="J43" s="457"/>
      <c r="K43" s="458"/>
      <c r="L43" s="458"/>
      <c r="M43" s="458"/>
      <c r="N43" s="458"/>
      <c r="O43" s="459"/>
      <c r="P43" s="457"/>
      <c r="Q43" s="458"/>
      <c r="R43" s="458"/>
      <c r="S43" s="458"/>
      <c r="T43" s="458"/>
      <c r="U43" s="459"/>
      <c r="V43" s="466"/>
      <c r="W43" s="467"/>
      <c r="X43" s="467"/>
      <c r="Y43" s="467"/>
      <c r="Z43" s="467"/>
      <c r="AA43" s="468"/>
      <c r="AB43" s="484"/>
      <c r="AC43" s="485"/>
      <c r="AD43" s="485"/>
      <c r="AE43" s="485"/>
      <c r="AF43" s="485"/>
      <c r="AG43" s="486"/>
      <c r="AH43" s="475"/>
      <c r="AI43" s="476"/>
      <c r="AJ43" s="476"/>
      <c r="AK43" s="476"/>
      <c r="AL43" s="476"/>
      <c r="AM43" s="47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04"/>
      <c r="C44" s="504"/>
      <c r="D44" s="505"/>
      <c r="E44" s="497"/>
      <c r="F44" s="498"/>
      <c r="G44" s="498"/>
      <c r="H44" s="498"/>
      <c r="I44" s="499"/>
      <c r="J44" s="457" t="str">
        <f>IF(AND('Mapa de Riesgos'!$H$70="Muy Baja",'Mapa de Riesgos'!$L$70="Leve"),CONCATENATE("R",'Mapa de Riesgos'!$A$70),"")</f>
        <v/>
      </c>
      <c r="K44" s="458"/>
      <c r="L44" s="458" t="str">
        <f>IF(AND('Mapa de Riesgos'!$H$76="Muy Baja",'Mapa de Riesgos'!$L$76="Leve"),CONCATENATE("R",'Mapa de Riesgos'!$A$76),"")</f>
        <v/>
      </c>
      <c r="M44" s="458"/>
      <c r="N44" s="458" t="str">
        <f>IF(AND('Mapa de Riesgos'!$H$82="Muy Baja",'Mapa de Riesgos'!$L$82="Leve"),CONCATENATE("R",'Mapa de Riesgos'!$A$82),"")</f>
        <v/>
      </c>
      <c r="O44" s="459"/>
      <c r="P44" s="457" t="str">
        <f>IF(AND('Mapa de Riesgos'!$H$70="Muy Baja",'Mapa de Riesgos'!$L$70="Menor"),CONCATENATE("R",'Mapa de Riesgos'!$A$70),"")</f>
        <v/>
      </c>
      <c r="Q44" s="458"/>
      <c r="R44" s="458" t="str">
        <f>IF(AND('Mapa de Riesgos'!$H$76="Muy Baja",'Mapa de Riesgos'!$L$76="Menor"),CONCATENATE("R",'Mapa de Riesgos'!$A$76),"")</f>
        <v/>
      </c>
      <c r="S44" s="458"/>
      <c r="T44" s="458" t="str">
        <f>IF(AND('Mapa de Riesgos'!$H$82="Muy Baja",'Mapa de Riesgos'!$L$82="Menor"),CONCATENATE("R",'Mapa de Riesgos'!$A$82),"")</f>
        <v/>
      </c>
      <c r="U44" s="459"/>
      <c r="V44" s="466" t="str">
        <f>IF(AND('Mapa de Riesgos'!$H$70="Muy Baja",'Mapa de Riesgos'!$L$70="Moderado"),CONCATENATE("R",'Mapa de Riesgos'!$A$70),"")</f>
        <v/>
      </c>
      <c r="W44" s="467"/>
      <c r="X44" s="467" t="str">
        <f>IF(AND('Mapa de Riesgos'!$H$76="Muy Baja",'Mapa de Riesgos'!$L$76="Moderado"),CONCATENATE("R",'Mapa de Riesgos'!$A$76),"")</f>
        <v/>
      </c>
      <c r="Y44" s="467"/>
      <c r="Z44" s="467" t="str">
        <f>IF(AND('Mapa de Riesgos'!$H$82="Muy Baja",'Mapa de Riesgos'!$L$82="Moderado"),CONCATENATE("R",'Mapa de Riesgos'!$A$82),"")</f>
        <v/>
      </c>
      <c r="AA44" s="468"/>
      <c r="AB44" s="484" t="str">
        <f>IF(AND('Mapa de Riesgos'!$H$70="Muy Baja",'Mapa de Riesgos'!$L$70="Mayor"),CONCATENATE("R",'Mapa de Riesgos'!$A$70),"")</f>
        <v/>
      </c>
      <c r="AC44" s="485"/>
      <c r="AD44" s="485" t="str">
        <f>IF(AND('Mapa de Riesgos'!$H$76="Muy Baja",'Mapa de Riesgos'!$L$76="Mayor"),CONCATENATE("R",'Mapa de Riesgos'!$A$76),"")</f>
        <v/>
      </c>
      <c r="AE44" s="485"/>
      <c r="AF44" s="485" t="str">
        <f>IF(AND('Mapa de Riesgos'!$H$82="Muy Baja",'Mapa de Riesgos'!$L$82="Mayor"),CONCATENATE("R",'Mapa de Riesgos'!$A$82),"")</f>
        <v/>
      </c>
      <c r="AG44" s="486"/>
      <c r="AH44" s="475" t="str">
        <f>IF(AND('Mapa de Riesgos'!$H$70="Muy Baja",'Mapa de Riesgos'!$L$70="Catastrófico"),CONCATENATE("R",'Mapa de Riesgos'!$A$70),"")</f>
        <v/>
      </c>
      <c r="AI44" s="476"/>
      <c r="AJ44" s="476" t="str">
        <f>IF(AND('Mapa de Riesgos'!$H$76="Muy Baja",'Mapa de Riesgos'!$L$76="Catastrófico"),CONCATENATE("R",'Mapa de Riesgos'!$A$76),"")</f>
        <v/>
      </c>
      <c r="AK44" s="476"/>
      <c r="AL44" s="476" t="str">
        <f>IF(AND('Mapa de Riesgos'!$H$82="Muy Baja",'Mapa de Riesgos'!$L$82="Catastrófico"),CONCATENATE("R",'Mapa de Riesgos'!$A$82),"")</f>
        <v/>
      </c>
      <c r="AM44" s="47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04"/>
      <c r="C45" s="504"/>
      <c r="D45" s="505"/>
      <c r="E45" s="500"/>
      <c r="F45" s="501"/>
      <c r="G45" s="501"/>
      <c r="H45" s="501"/>
      <c r="I45" s="502"/>
      <c r="J45" s="460"/>
      <c r="K45" s="461"/>
      <c r="L45" s="461"/>
      <c r="M45" s="461"/>
      <c r="N45" s="461"/>
      <c r="O45" s="462"/>
      <c r="P45" s="460"/>
      <c r="Q45" s="461"/>
      <c r="R45" s="461"/>
      <c r="S45" s="461"/>
      <c r="T45" s="461"/>
      <c r="U45" s="462"/>
      <c r="V45" s="469"/>
      <c r="W45" s="470"/>
      <c r="X45" s="470"/>
      <c r="Y45" s="470"/>
      <c r="Z45" s="470"/>
      <c r="AA45" s="471"/>
      <c r="AB45" s="487"/>
      <c r="AC45" s="488"/>
      <c r="AD45" s="488"/>
      <c r="AE45" s="488"/>
      <c r="AF45" s="488"/>
      <c r="AG45" s="489"/>
      <c r="AH45" s="478"/>
      <c r="AI45" s="479"/>
      <c r="AJ45" s="479"/>
      <c r="AK45" s="479"/>
      <c r="AL45" s="479"/>
      <c r="AM45" s="48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94" t="s">
        <v>242</v>
      </c>
      <c r="K46" s="495"/>
      <c r="L46" s="495"/>
      <c r="M46" s="495"/>
      <c r="N46" s="495"/>
      <c r="O46" s="496"/>
      <c r="P46" s="494" t="s">
        <v>243</v>
      </c>
      <c r="Q46" s="495"/>
      <c r="R46" s="495"/>
      <c r="S46" s="495"/>
      <c r="T46" s="495"/>
      <c r="U46" s="496"/>
      <c r="V46" s="494" t="s">
        <v>244</v>
      </c>
      <c r="W46" s="495"/>
      <c r="X46" s="495"/>
      <c r="Y46" s="495"/>
      <c r="Z46" s="495"/>
      <c r="AA46" s="496"/>
      <c r="AB46" s="494" t="s">
        <v>245</v>
      </c>
      <c r="AC46" s="503"/>
      <c r="AD46" s="495"/>
      <c r="AE46" s="495"/>
      <c r="AF46" s="495"/>
      <c r="AG46" s="496"/>
      <c r="AH46" s="494" t="s">
        <v>246</v>
      </c>
      <c r="AI46" s="495"/>
      <c r="AJ46" s="495"/>
      <c r="AK46" s="495"/>
      <c r="AL46" s="495"/>
      <c r="AM46" s="49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97"/>
      <c r="K47" s="498"/>
      <c r="L47" s="498"/>
      <c r="M47" s="498"/>
      <c r="N47" s="498"/>
      <c r="O47" s="499"/>
      <c r="P47" s="497"/>
      <c r="Q47" s="498"/>
      <c r="R47" s="498"/>
      <c r="S47" s="498"/>
      <c r="T47" s="498"/>
      <c r="U47" s="499"/>
      <c r="V47" s="497"/>
      <c r="W47" s="498"/>
      <c r="X47" s="498"/>
      <c r="Y47" s="498"/>
      <c r="Z47" s="498"/>
      <c r="AA47" s="499"/>
      <c r="AB47" s="497"/>
      <c r="AC47" s="498"/>
      <c r="AD47" s="498"/>
      <c r="AE47" s="498"/>
      <c r="AF47" s="498"/>
      <c r="AG47" s="499"/>
      <c r="AH47" s="497"/>
      <c r="AI47" s="498"/>
      <c r="AJ47" s="498"/>
      <c r="AK47" s="498"/>
      <c r="AL47" s="498"/>
      <c r="AM47" s="49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97"/>
      <c r="K48" s="498"/>
      <c r="L48" s="498"/>
      <c r="M48" s="498"/>
      <c r="N48" s="498"/>
      <c r="O48" s="499"/>
      <c r="P48" s="497"/>
      <c r="Q48" s="498"/>
      <c r="R48" s="498"/>
      <c r="S48" s="498"/>
      <c r="T48" s="498"/>
      <c r="U48" s="499"/>
      <c r="V48" s="497"/>
      <c r="W48" s="498"/>
      <c r="X48" s="498"/>
      <c r="Y48" s="498"/>
      <c r="Z48" s="498"/>
      <c r="AA48" s="499"/>
      <c r="AB48" s="497"/>
      <c r="AC48" s="498"/>
      <c r="AD48" s="498"/>
      <c r="AE48" s="498"/>
      <c r="AF48" s="498"/>
      <c r="AG48" s="499"/>
      <c r="AH48" s="497"/>
      <c r="AI48" s="498"/>
      <c r="AJ48" s="498"/>
      <c r="AK48" s="498"/>
      <c r="AL48" s="498"/>
      <c r="AM48" s="49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97"/>
      <c r="K49" s="498"/>
      <c r="L49" s="498"/>
      <c r="M49" s="498"/>
      <c r="N49" s="498"/>
      <c r="O49" s="499"/>
      <c r="P49" s="497"/>
      <c r="Q49" s="498"/>
      <c r="R49" s="498"/>
      <c r="S49" s="498"/>
      <c r="T49" s="498"/>
      <c r="U49" s="499"/>
      <c r="V49" s="497"/>
      <c r="W49" s="498"/>
      <c r="X49" s="498"/>
      <c r="Y49" s="498"/>
      <c r="Z49" s="498"/>
      <c r="AA49" s="499"/>
      <c r="AB49" s="497"/>
      <c r="AC49" s="498"/>
      <c r="AD49" s="498"/>
      <c r="AE49" s="498"/>
      <c r="AF49" s="498"/>
      <c r="AG49" s="499"/>
      <c r="AH49" s="497"/>
      <c r="AI49" s="498"/>
      <c r="AJ49" s="498"/>
      <c r="AK49" s="498"/>
      <c r="AL49" s="498"/>
      <c r="AM49" s="49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97"/>
      <c r="K50" s="498"/>
      <c r="L50" s="498"/>
      <c r="M50" s="498"/>
      <c r="N50" s="498"/>
      <c r="O50" s="499"/>
      <c r="P50" s="497"/>
      <c r="Q50" s="498"/>
      <c r="R50" s="498"/>
      <c r="S50" s="498"/>
      <c r="T50" s="498"/>
      <c r="U50" s="499"/>
      <c r="V50" s="497"/>
      <c r="W50" s="498"/>
      <c r="X50" s="498"/>
      <c r="Y50" s="498"/>
      <c r="Z50" s="498"/>
      <c r="AA50" s="499"/>
      <c r="AB50" s="497"/>
      <c r="AC50" s="498"/>
      <c r="AD50" s="498"/>
      <c r="AE50" s="498"/>
      <c r="AF50" s="498"/>
      <c r="AG50" s="499"/>
      <c r="AH50" s="497"/>
      <c r="AI50" s="498"/>
      <c r="AJ50" s="498"/>
      <c r="AK50" s="498"/>
      <c r="AL50" s="498"/>
      <c r="AM50" s="49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00"/>
      <c r="K51" s="501"/>
      <c r="L51" s="501"/>
      <c r="M51" s="501"/>
      <c r="N51" s="501"/>
      <c r="O51" s="502"/>
      <c r="P51" s="500"/>
      <c r="Q51" s="501"/>
      <c r="R51" s="501"/>
      <c r="S51" s="501"/>
      <c r="T51" s="501"/>
      <c r="U51" s="502"/>
      <c r="V51" s="500"/>
      <c r="W51" s="501"/>
      <c r="X51" s="501"/>
      <c r="Y51" s="501"/>
      <c r="Z51" s="501"/>
      <c r="AA51" s="502"/>
      <c r="AB51" s="500"/>
      <c r="AC51" s="501"/>
      <c r="AD51" s="501"/>
      <c r="AE51" s="501"/>
      <c r="AF51" s="501"/>
      <c r="AG51" s="502"/>
      <c r="AH51" s="500"/>
      <c r="AI51" s="501"/>
      <c r="AJ51" s="501"/>
      <c r="AK51" s="501"/>
      <c r="AL51" s="501"/>
      <c r="AM51" s="50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2"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71" t="s">
        <v>247</v>
      </c>
      <c r="C2" s="572"/>
      <c r="D2" s="572"/>
      <c r="E2" s="572"/>
      <c r="F2" s="572"/>
      <c r="G2" s="572"/>
      <c r="H2" s="572"/>
      <c r="I2" s="572"/>
      <c r="J2" s="493" t="s">
        <v>26</v>
      </c>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72"/>
      <c r="C3" s="572"/>
      <c r="D3" s="572"/>
      <c r="E3" s="572"/>
      <c r="F3" s="572"/>
      <c r="G3" s="572"/>
      <c r="H3" s="572"/>
      <c r="I3" s="572"/>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72"/>
      <c r="C4" s="572"/>
      <c r="D4" s="572"/>
      <c r="E4" s="572"/>
      <c r="F4" s="572"/>
      <c r="G4" s="572"/>
      <c r="H4" s="572"/>
      <c r="I4" s="572"/>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04" t="s">
        <v>232</v>
      </c>
      <c r="C6" s="504"/>
      <c r="D6" s="505"/>
      <c r="E6" s="542" t="s">
        <v>233</v>
      </c>
      <c r="F6" s="543"/>
      <c r="G6" s="543"/>
      <c r="H6" s="543"/>
      <c r="I6" s="544"/>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62" t="s">
        <v>234</v>
      </c>
      <c r="AP6" s="563"/>
      <c r="AQ6" s="563"/>
      <c r="AR6" s="563"/>
      <c r="AS6" s="563"/>
      <c r="AT6" s="56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04"/>
      <c r="C7" s="504"/>
      <c r="D7" s="505"/>
      <c r="E7" s="545"/>
      <c r="F7" s="546"/>
      <c r="G7" s="546"/>
      <c r="H7" s="546"/>
      <c r="I7" s="547"/>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65"/>
      <c r="AP7" s="566"/>
      <c r="AQ7" s="566"/>
      <c r="AR7" s="566"/>
      <c r="AS7" s="566"/>
      <c r="AT7" s="56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04"/>
      <c r="C8" s="504"/>
      <c r="D8" s="505"/>
      <c r="E8" s="545"/>
      <c r="F8" s="546"/>
      <c r="G8" s="546"/>
      <c r="H8" s="546"/>
      <c r="I8" s="547"/>
      <c r="J8" s="52" t="str">
        <f>IF(AND('Mapa de Riesgos'!$Y$24="Muy Alta",'Mapa de Riesgos'!$AA$24="Leve"),CONCATENATE("R3C",'Mapa de Riesgos'!$O$24),"")</f>
        <v/>
      </c>
      <c r="K8" s="53" t="str">
        <f>IF(AND('Mapa de Riesgos'!$Y$26="Muy Alta",'Mapa de Riesgos'!$AA$26="Leve"),CONCATENATE("R3C",'Mapa de Riesgos'!$O$26),"")</f>
        <v/>
      </c>
      <c r="L8" s="53" t="str">
        <f>IF(AND('Mapa de Riesgos'!$Y$27="Muy Alta",'Mapa de Riesgos'!$AA$27="Leve"),CONCATENATE("R3C",'Mapa de Riesgos'!$O$27),"")</f>
        <v/>
      </c>
      <c r="M8" s="53" t="str">
        <f>IF(AND('Mapa de Riesgos'!$Y$28="Muy Alta",'Mapa de Riesgos'!$AA$28="Leve"),CONCATENATE("R3C",'Mapa de Riesgos'!$O$28),"")</f>
        <v/>
      </c>
      <c r="N8" s="53" t="str">
        <f>IF(AND('Mapa de Riesgos'!$Y$29="Muy Alta",'Mapa de Riesgos'!$AA$29="Leve"),CONCATENATE("R3C",'Mapa de Riesgos'!$O$29),"")</f>
        <v/>
      </c>
      <c r="O8" s="54" t="str">
        <f>IF(AND('Mapa de Riesgos'!$Y$30="Muy Alta",'Mapa de Riesgos'!$AA$30="Leve"),CONCATENATE("R3C",'Mapa de Riesgos'!$O$30),"")</f>
        <v/>
      </c>
      <c r="P8" s="52" t="str">
        <f>IF(AND('Mapa de Riesgos'!$Y$24="Muy Alta",'Mapa de Riesgos'!$AA$24="Menor"),CONCATENATE("R3C",'Mapa de Riesgos'!$O$24),"")</f>
        <v/>
      </c>
      <c r="Q8" s="53" t="str">
        <f>IF(AND('Mapa de Riesgos'!$Y$26="Muy Alta",'Mapa de Riesgos'!$AA$26="Menor"),CONCATENATE("R3C",'Mapa de Riesgos'!$O$26),"")</f>
        <v/>
      </c>
      <c r="R8" s="53" t="str">
        <f>IF(AND('Mapa de Riesgos'!$Y$27="Muy Alta",'Mapa de Riesgos'!$AA$27="Menor"),CONCATENATE("R3C",'Mapa de Riesgos'!$O$27),"")</f>
        <v/>
      </c>
      <c r="S8" s="53" t="str">
        <f>IF(AND('Mapa de Riesgos'!$Y$28="Muy Alta",'Mapa de Riesgos'!$AA$28="Menor"),CONCATENATE("R3C",'Mapa de Riesgos'!$O$28),"")</f>
        <v/>
      </c>
      <c r="T8" s="53" t="str">
        <f>IF(AND('Mapa de Riesgos'!$Y$29="Muy Alta",'Mapa de Riesgos'!$AA$29="Menor"),CONCATENATE("R3C",'Mapa de Riesgos'!$O$29),"")</f>
        <v/>
      </c>
      <c r="U8" s="54" t="str">
        <f>IF(AND('Mapa de Riesgos'!$Y$30="Muy Alta",'Mapa de Riesgos'!$AA$30="Menor"),CONCATENATE("R3C",'Mapa de Riesgos'!$O$30),"")</f>
        <v/>
      </c>
      <c r="V8" s="52" t="str">
        <f>IF(AND('Mapa de Riesgos'!$Y$24="Muy Alta",'Mapa de Riesgos'!$AA$24="Moderado"),CONCATENATE("R3C",'Mapa de Riesgos'!$O$24),"")</f>
        <v/>
      </c>
      <c r="W8" s="53" t="str">
        <f>IF(AND('Mapa de Riesgos'!$Y$26="Muy Alta",'Mapa de Riesgos'!$AA$26="Moderado"),CONCATENATE("R3C",'Mapa de Riesgos'!$O$26),"")</f>
        <v/>
      </c>
      <c r="X8" s="53" t="str">
        <f>IF(AND('Mapa de Riesgos'!$Y$27="Muy Alta",'Mapa de Riesgos'!$AA$27="Moderado"),CONCATENATE("R3C",'Mapa de Riesgos'!$O$27),"")</f>
        <v/>
      </c>
      <c r="Y8" s="53" t="str">
        <f>IF(AND('Mapa de Riesgos'!$Y$28="Muy Alta",'Mapa de Riesgos'!$AA$28="Moderado"),CONCATENATE("R3C",'Mapa de Riesgos'!$O$28),"")</f>
        <v/>
      </c>
      <c r="Z8" s="53" t="str">
        <f>IF(AND('Mapa de Riesgos'!$Y$29="Muy Alta",'Mapa de Riesgos'!$AA$29="Moderado"),CONCATENATE("R3C",'Mapa de Riesgos'!$O$29),"")</f>
        <v/>
      </c>
      <c r="AA8" s="54" t="str">
        <f>IF(AND('Mapa de Riesgos'!$Y$30="Muy Alta",'Mapa de Riesgos'!$AA$30="Moderado"),CONCATENATE("R3C",'Mapa de Riesgos'!$O$30),"")</f>
        <v/>
      </c>
      <c r="AB8" s="52" t="str">
        <f>IF(AND('Mapa de Riesgos'!$Y$24="Muy Alta",'Mapa de Riesgos'!$AA$24="Mayor"),CONCATENATE("R3C",'Mapa de Riesgos'!$O$24),"")</f>
        <v/>
      </c>
      <c r="AC8" s="53" t="str">
        <f>IF(AND('Mapa de Riesgos'!$Y$26="Muy Alta",'Mapa de Riesgos'!$AA$26="Mayor"),CONCATENATE("R3C",'Mapa de Riesgos'!$O$26),"")</f>
        <v/>
      </c>
      <c r="AD8" s="53" t="str">
        <f>IF(AND('Mapa de Riesgos'!$Y$27="Muy Alta",'Mapa de Riesgos'!$AA$27="Mayor"),CONCATENATE("R3C",'Mapa de Riesgos'!$O$27),"")</f>
        <v/>
      </c>
      <c r="AE8" s="53" t="str">
        <f>IF(AND('Mapa de Riesgos'!$Y$28="Muy Alta",'Mapa de Riesgos'!$AA$28="Mayor"),CONCATENATE("R3C",'Mapa de Riesgos'!$O$28),"")</f>
        <v/>
      </c>
      <c r="AF8" s="53" t="str">
        <f>IF(AND('Mapa de Riesgos'!$Y$29="Muy Alta",'Mapa de Riesgos'!$AA$29="Mayor"),CONCATENATE("R3C",'Mapa de Riesgos'!$O$29),"")</f>
        <v/>
      </c>
      <c r="AG8" s="54" t="str">
        <f>IF(AND('Mapa de Riesgos'!$Y$30="Muy Alta",'Mapa de Riesgos'!$AA$30="Mayor"),CONCATENATE("R3C",'Mapa de Riesgos'!$O$30),"")</f>
        <v/>
      </c>
      <c r="AH8" s="55" t="str">
        <f>IF(AND('Mapa de Riesgos'!$Y$24="Muy Alta",'Mapa de Riesgos'!$AA$24="Catastrófico"),CONCATENATE("R3C",'Mapa de Riesgos'!$O$24),"")</f>
        <v/>
      </c>
      <c r="AI8" s="56" t="str">
        <f>IF(AND('Mapa de Riesgos'!$Y$26="Muy Alta",'Mapa de Riesgos'!$AA$26="Catastrófico"),CONCATENATE("R3C",'Mapa de Riesgos'!$O$26),"")</f>
        <v/>
      </c>
      <c r="AJ8" s="56" t="str">
        <f>IF(AND('Mapa de Riesgos'!$Y$27="Muy Alta",'Mapa de Riesgos'!$AA$27="Catastrófico"),CONCATENATE("R3C",'Mapa de Riesgos'!$O$27),"")</f>
        <v/>
      </c>
      <c r="AK8" s="56" t="str">
        <f>IF(AND('Mapa de Riesgos'!$Y$28="Muy Alta",'Mapa de Riesgos'!$AA$28="Catastrófico"),CONCATENATE("R3C",'Mapa de Riesgos'!$O$28),"")</f>
        <v/>
      </c>
      <c r="AL8" s="56" t="str">
        <f>IF(AND('Mapa de Riesgos'!$Y$29="Muy Alta",'Mapa de Riesgos'!$AA$29="Catastrófico"),CONCATENATE("R3C",'Mapa de Riesgos'!$O$29),"")</f>
        <v/>
      </c>
      <c r="AM8" s="57" t="str">
        <f>IF(AND('Mapa de Riesgos'!$Y$30="Muy Alta",'Mapa de Riesgos'!$AA$30="Catastrófico"),CONCATENATE("R3C",'Mapa de Riesgos'!$O$30),"")</f>
        <v/>
      </c>
      <c r="AN8" s="83"/>
      <c r="AO8" s="565"/>
      <c r="AP8" s="566"/>
      <c r="AQ8" s="566"/>
      <c r="AR8" s="566"/>
      <c r="AS8" s="566"/>
      <c r="AT8" s="56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04"/>
      <c r="C9" s="504"/>
      <c r="D9" s="505"/>
      <c r="E9" s="545"/>
      <c r="F9" s="546"/>
      <c r="G9" s="546"/>
      <c r="H9" s="546"/>
      <c r="I9" s="547"/>
      <c r="J9" s="52" t="str">
        <f>IF(AND('Mapa de Riesgos'!$Y$31="Muy Alta",'Mapa de Riesgos'!$AA$31="Leve"),CONCATENATE("R4C",'Mapa de Riesgos'!$O$31),"")</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Riesgos'!$Y$31="Muy Alta",'Mapa de Riesgos'!$AA$31="Menor"),CONCATENATE("R4C",'Mapa de Riesgos'!$O$31),"")</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Riesgos'!$Y$31="Muy Alta",'Mapa de Riesgos'!$AA$31="Moderado"),CONCATENATE("R4C",'Mapa de Riesgos'!$O$31),"")</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Riesgos'!$Y$31="Muy Alta",'Mapa de Riesgos'!$AA$31="Mayor"),CONCATENATE("R4C",'Mapa de Riesgos'!$O$31),"")</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Riesgos'!$Y$31="Muy Alta",'Mapa de Riesgos'!$AA$31="Catastrófico"),CONCATENATE("R4C",'Mapa de Riesgos'!$O$31),"")</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65"/>
      <c r="AP9" s="566"/>
      <c r="AQ9" s="566"/>
      <c r="AR9" s="566"/>
      <c r="AS9" s="566"/>
      <c r="AT9" s="56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04"/>
      <c r="C10" s="504"/>
      <c r="D10" s="505"/>
      <c r="E10" s="545"/>
      <c r="F10" s="546"/>
      <c r="G10" s="546"/>
      <c r="H10" s="546"/>
      <c r="I10" s="547"/>
      <c r="J10" s="52" t="str">
        <f>IF(AND('Mapa de Riesgos'!$Y$39="Muy Alta",'Mapa de Riesgos'!$AA$39="Leve"),CONCATENATE("R5C",'Mapa de Riesgos'!$O$39),"")</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Riesgos'!$Y$39="Muy Alta",'Mapa de Riesgos'!$AA$39="Menor"),CONCATENATE("R5C",'Mapa de Riesgos'!$O$39),"")</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Riesgos'!$Y$39="Muy Alta",'Mapa de Riesgos'!$AA$39="Moderado"),CONCATENATE("R5C",'Mapa de Riesgos'!$O$39),"")</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Riesgos'!$Y$39="Muy Alta",'Mapa de Riesgos'!$AA$39="Mayor"),CONCATENATE("R5C",'Mapa de Riesgos'!$O$39),"")</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Riesgos'!$Y$39="Muy Alta",'Mapa de Riesgos'!$AA$39="Catastrófico"),CONCATENATE("R5C",'Mapa de Riesgos'!$O$39),"")</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65"/>
      <c r="AP10" s="566"/>
      <c r="AQ10" s="566"/>
      <c r="AR10" s="566"/>
      <c r="AS10" s="566"/>
      <c r="AT10" s="56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04"/>
      <c r="C11" s="504"/>
      <c r="D11" s="505"/>
      <c r="E11" s="545"/>
      <c r="F11" s="546"/>
      <c r="G11" s="546"/>
      <c r="H11" s="546"/>
      <c r="I11" s="547"/>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65"/>
      <c r="AP11" s="566"/>
      <c r="AQ11" s="566"/>
      <c r="AR11" s="566"/>
      <c r="AS11" s="566"/>
      <c r="AT11" s="56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04"/>
      <c r="C12" s="504"/>
      <c r="D12" s="505"/>
      <c r="E12" s="545"/>
      <c r="F12" s="546"/>
      <c r="G12" s="546"/>
      <c r="H12" s="546"/>
      <c r="I12" s="547"/>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65"/>
      <c r="AP12" s="566"/>
      <c r="AQ12" s="566"/>
      <c r="AR12" s="566"/>
      <c r="AS12" s="566"/>
      <c r="AT12" s="56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04"/>
      <c r="C13" s="504"/>
      <c r="D13" s="505"/>
      <c r="E13" s="545"/>
      <c r="F13" s="546"/>
      <c r="G13" s="546"/>
      <c r="H13" s="546"/>
      <c r="I13" s="547"/>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65"/>
      <c r="AP13" s="566"/>
      <c r="AQ13" s="566"/>
      <c r="AR13" s="566"/>
      <c r="AS13" s="566"/>
      <c r="AT13" s="56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04"/>
      <c r="C14" s="504"/>
      <c r="D14" s="505"/>
      <c r="E14" s="545"/>
      <c r="F14" s="546"/>
      <c r="G14" s="546"/>
      <c r="H14" s="546"/>
      <c r="I14" s="547"/>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65"/>
      <c r="AP14" s="566"/>
      <c r="AQ14" s="566"/>
      <c r="AR14" s="566"/>
      <c r="AS14" s="566"/>
      <c r="AT14" s="56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04"/>
      <c r="C15" s="504"/>
      <c r="D15" s="505"/>
      <c r="E15" s="548"/>
      <c r="F15" s="549"/>
      <c r="G15" s="549"/>
      <c r="H15" s="549"/>
      <c r="I15" s="550"/>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68"/>
      <c r="AP15" s="569"/>
      <c r="AQ15" s="569"/>
      <c r="AR15" s="569"/>
      <c r="AS15" s="569"/>
      <c r="AT15" s="57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04"/>
      <c r="C16" s="504"/>
      <c r="D16" s="505"/>
      <c r="E16" s="542" t="s">
        <v>235</v>
      </c>
      <c r="F16" s="543"/>
      <c r="G16" s="543"/>
      <c r="H16" s="543"/>
      <c r="I16" s="543"/>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52" t="s">
        <v>236</v>
      </c>
      <c r="AP16" s="553"/>
      <c r="AQ16" s="553"/>
      <c r="AR16" s="553"/>
      <c r="AS16" s="553"/>
      <c r="AT16" s="55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04"/>
      <c r="C17" s="504"/>
      <c r="D17" s="505"/>
      <c r="E17" s="561"/>
      <c r="F17" s="546"/>
      <c r="G17" s="546"/>
      <c r="H17" s="546"/>
      <c r="I17" s="546"/>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55"/>
      <c r="AP17" s="556"/>
      <c r="AQ17" s="556"/>
      <c r="AR17" s="556"/>
      <c r="AS17" s="556"/>
      <c r="AT17" s="55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04"/>
      <c r="C18" s="504"/>
      <c r="D18" s="505"/>
      <c r="E18" s="545"/>
      <c r="F18" s="546"/>
      <c r="G18" s="546"/>
      <c r="H18" s="546"/>
      <c r="I18" s="546"/>
      <c r="J18" s="67" t="str">
        <f>IF(AND('Mapa de Riesgos'!$Y$24="Alta",'Mapa de Riesgos'!$AA$24="Leve"),CONCATENATE("R3C",'Mapa de Riesgos'!$O$24),"")</f>
        <v/>
      </c>
      <c r="K18" s="68" t="str">
        <f>IF(AND('Mapa de Riesgos'!$Y$26="Alta",'Mapa de Riesgos'!$AA$26="Leve"),CONCATENATE("R3C",'Mapa de Riesgos'!$O$26),"")</f>
        <v/>
      </c>
      <c r="L18" s="68" t="str">
        <f>IF(AND('Mapa de Riesgos'!$Y$27="Alta",'Mapa de Riesgos'!$AA$27="Leve"),CONCATENATE("R3C",'Mapa de Riesgos'!$O$27),"")</f>
        <v/>
      </c>
      <c r="M18" s="68" t="str">
        <f>IF(AND('Mapa de Riesgos'!$Y$28="Alta",'Mapa de Riesgos'!$AA$28="Leve"),CONCATENATE("R3C",'Mapa de Riesgos'!$O$28),"")</f>
        <v/>
      </c>
      <c r="N18" s="68" t="str">
        <f>IF(AND('Mapa de Riesgos'!$Y$29="Alta",'Mapa de Riesgos'!$AA$29="Leve"),CONCATENATE("R3C",'Mapa de Riesgos'!$O$29),"")</f>
        <v/>
      </c>
      <c r="O18" s="69" t="str">
        <f>IF(AND('Mapa de Riesgos'!$Y$30="Alta",'Mapa de Riesgos'!$AA$30="Leve"),CONCATENATE("R3C",'Mapa de Riesgos'!$O$30),"")</f>
        <v/>
      </c>
      <c r="P18" s="67" t="str">
        <f>IF(AND('Mapa de Riesgos'!$Y$24="Alta",'Mapa de Riesgos'!$AA$24="Menor"),CONCATENATE("R3C",'Mapa de Riesgos'!$O$24),"")</f>
        <v/>
      </c>
      <c r="Q18" s="68" t="str">
        <f>IF(AND('Mapa de Riesgos'!$Y$26="Alta",'Mapa de Riesgos'!$AA$26="Menor"),CONCATENATE("R3C",'Mapa de Riesgos'!$O$26),"")</f>
        <v/>
      </c>
      <c r="R18" s="68" t="str">
        <f>IF(AND('Mapa de Riesgos'!$Y$27="Alta",'Mapa de Riesgos'!$AA$27="Menor"),CONCATENATE("R3C",'Mapa de Riesgos'!$O$27),"")</f>
        <v/>
      </c>
      <c r="S18" s="68" t="str">
        <f>IF(AND('Mapa de Riesgos'!$Y$28="Alta",'Mapa de Riesgos'!$AA$28="Menor"),CONCATENATE("R3C",'Mapa de Riesgos'!$O$28),"")</f>
        <v/>
      </c>
      <c r="T18" s="68" t="str">
        <f>IF(AND('Mapa de Riesgos'!$Y$29="Alta",'Mapa de Riesgos'!$AA$29="Menor"),CONCATENATE("R3C",'Mapa de Riesgos'!$O$29),"")</f>
        <v/>
      </c>
      <c r="U18" s="69" t="str">
        <f>IF(AND('Mapa de Riesgos'!$Y$30="Alta",'Mapa de Riesgos'!$AA$30="Menor"),CONCATENATE("R3C",'Mapa de Riesgos'!$O$30),"")</f>
        <v/>
      </c>
      <c r="V18" s="52" t="str">
        <f>IF(AND('Mapa de Riesgos'!$Y$24="Alta",'Mapa de Riesgos'!$AA$24="Moderado"),CONCATENATE("R3C",'Mapa de Riesgos'!$O$24),"")</f>
        <v/>
      </c>
      <c r="W18" s="53" t="str">
        <f>IF(AND('Mapa de Riesgos'!$Y$26="Alta",'Mapa de Riesgos'!$AA$26="Moderado"),CONCATENATE("R3C",'Mapa de Riesgos'!$O$26),"")</f>
        <v/>
      </c>
      <c r="X18" s="53" t="str">
        <f>IF(AND('Mapa de Riesgos'!$Y$27="Alta",'Mapa de Riesgos'!$AA$27="Moderado"),CONCATENATE("R3C",'Mapa de Riesgos'!$O$27),"")</f>
        <v/>
      </c>
      <c r="Y18" s="53" t="str">
        <f>IF(AND('Mapa de Riesgos'!$Y$28="Alta",'Mapa de Riesgos'!$AA$28="Moderado"),CONCATENATE("R3C",'Mapa de Riesgos'!$O$28),"")</f>
        <v/>
      </c>
      <c r="Z18" s="53" t="str">
        <f>IF(AND('Mapa de Riesgos'!$Y$29="Alta",'Mapa de Riesgos'!$AA$29="Moderado"),CONCATENATE("R3C",'Mapa de Riesgos'!$O$29),"")</f>
        <v/>
      </c>
      <c r="AA18" s="54" t="str">
        <f>IF(AND('Mapa de Riesgos'!$Y$30="Alta",'Mapa de Riesgos'!$AA$30="Moderado"),CONCATENATE("R3C",'Mapa de Riesgos'!$O$30),"")</f>
        <v/>
      </c>
      <c r="AB18" s="52" t="str">
        <f>IF(AND('Mapa de Riesgos'!$Y$24="Alta",'Mapa de Riesgos'!$AA$24="Mayor"),CONCATENATE("R3C",'Mapa de Riesgos'!$O$24),"")</f>
        <v/>
      </c>
      <c r="AC18" s="53" t="str">
        <f>IF(AND('Mapa de Riesgos'!$Y$26="Alta",'Mapa de Riesgos'!$AA$26="Mayor"),CONCATENATE("R3C",'Mapa de Riesgos'!$O$26),"")</f>
        <v/>
      </c>
      <c r="AD18" s="53" t="str">
        <f>IF(AND('Mapa de Riesgos'!$Y$27="Alta",'Mapa de Riesgos'!$AA$27="Mayor"),CONCATENATE("R3C",'Mapa de Riesgos'!$O$27),"")</f>
        <v/>
      </c>
      <c r="AE18" s="53" t="str">
        <f>IF(AND('Mapa de Riesgos'!$Y$28="Alta",'Mapa de Riesgos'!$AA$28="Mayor"),CONCATENATE("R3C",'Mapa de Riesgos'!$O$28),"")</f>
        <v/>
      </c>
      <c r="AF18" s="53" t="str">
        <f>IF(AND('Mapa de Riesgos'!$Y$29="Alta",'Mapa de Riesgos'!$AA$29="Mayor"),CONCATENATE("R3C",'Mapa de Riesgos'!$O$29),"")</f>
        <v/>
      </c>
      <c r="AG18" s="54" t="str">
        <f>IF(AND('Mapa de Riesgos'!$Y$30="Alta",'Mapa de Riesgos'!$AA$30="Mayor"),CONCATENATE("R3C",'Mapa de Riesgos'!$O$30),"")</f>
        <v/>
      </c>
      <c r="AH18" s="55" t="str">
        <f>IF(AND('Mapa de Riesgos'!$Y$24="Alta",'Mapa de Riesgos'!$AA$24="Catastrófico"),CONCATENATE("R3C",'Mapa de Riesgos'!$O$24),"")</f>
        <v/>
      </c>
      <c r="AI18" s="56" t="str">
        <f>IF(AND('Mapa de Riesgos'!$Y$26="Alta",'Mapa de Riesgos'!$AA$26="Catastrófico"),CONCATENATE("R3C",'Mapa de Riesgos'!$O$26),"")</f>
        <v/>
      </c>
      <c r="AJ18" s="56" t="str">
        <f>IF(AND('Mapa de Riesgos'!$Y$27="Alta",'Mapa de Riesgos'!$AA$27="Catastrófico"),CONCATENATE("R3C",'Mapa de Riesgos'!$O$27),"")</f>
        <v/>
      </c>
      <c r="AK18" s="56" t="str">
        <f>IF(AND('Mapa de Riesgos'!$Y$28="Alta",'Mapa de Riesgos'!$AA$28="Catastrófico"),CONCATENATE("R3C",'Mapa de Riesgos'!$O$28),"")</f>
        <v/>
      </c>
      <c r="AL18" s="56" t="str">
        <f>IF(AND('Mapa de Riesgos'!$Y$29="Alta",'Mapa de Riesgos'!$AA$29="Catastrófico"),CONCATENATE("R3C",'Mapa de Riesgos'!$O$29),"")</f>
        <v/>
      </c>
      <c r="AM18" s="57" t="str">
        <f>IF(AND('Mapa de Riesgos'!$Y$30="Alta",'Mapa de Riesgos'!$AA$30="Catastrófico"),CONCATENATE("R3C",'Mapa de Riesgos'!$O$30),"")</f>
        <v/>
      </c>
      <c r="AN18" s="83"/>
      <c r="AO18" s="555"/>
      <c r="AP18" s="556"/>
      <c r="AQ18" s="556"/>
      <c r="AR18" s="556"/>
      <c r="AS18" s="556"/>
      <c r="AT18" s="55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04"/>
      <c r="C19" s="504"/>
      <c r="D19" s="505"/>
      <c r="E19" s="545"/>
      <c r="F19" s="546"/>
      <c r="G19" s="546"/>
      <c r="H19" s="546"/>
      <c r="I19" s="546"/>
      <c r="J19" s="67" t="str">
        <f>IF(AND('Mapa de Riesgos'!$Y$31="Alta",'Mapa de Riesgos'!$AA$31="Leve"),CONCATENATE("R4C",'Mapa de Riesgos'!$O$31),"")</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Riesgos'!$Y$31="Alta",'Mapa de Riesgos'!$AA$31="Menor"),CONCATENATE("R4C",'Mapa de Riesgos'!$O$31),"")</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Riesgos'!$Y$31="Alta",'Mapa de Riesgos'!$AA$31="Moderado"),CONCATENATE("R4C",'Mapa de Riesgos'!$O$31),"")</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Riesgos'!$Y$31="Alta",'Mapa de Riesgos'!$AA$31="Mayor"),CONCATENATE("R4C",'Mapa de Riesgos'!$O$31),"")</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Riesgos'!$Y$31="Alta",'Mapa de Riesgos'!$AA$31="Catastrófico"),CONCATENATE("R4C",'Mapa de Riesgos'!$O$31),"")</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55"/>
      <c r="AP19" s="556"/>
      <c r="AQ19" s="556"/>
      <c r="AR19" s="556"/>
      <c r="AS19" s="556"/>
      <c r="AT19" s="55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04"/>
      <c r="C20" s="504"/>
      <c r="D20" s="505"/>
      <c r="E20" s="545"/>
      <c r="F20" s="546"/>
      <c r="G20" s="546"/>
      <c r="H20" s="546"/>
      <c r="I20" s="546"/>
      <c r="J20" s="67" t="str">
        <f>IF(AND('Mapa de Riesgos'!$Y$39="Alta",'Mapa de Riesgos'!$AA$39="Leve"),CONCATENATE("R5C",'Mapa de Riesgos'!$O$39),"")</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Riesgos'!$Y$39="Alta",'Mapa de Riesgos'!$AA$39="Menor"),CONCATENATE("R5C",'Mapa de Riesgos'!$O$39),"")</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Riesgos'!$Y$39="Alta",'Mapa de Riesgos'!$AA$39="Moderado"),CONCATENATE("R5C",'Mapa de Riesgos'!$O$39),"")</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Riesgos'!$Y$39="Alta",'Mapa de Riesgos'!$AA$39="Mayor"),CONCATENATE("R5C",'Mapa de Riesgos'!$O$39),"")</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Riesgos'!$Y$39="Alta",'Mapa de Riesgos'!$AA$39="Catastrófico"),CONCATENATE("R5C",'Mapa de Riesgos'!$O$39),"")</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55"/>
      <c r="AP20" s="556"/>
      <c r="AQ20" s="556"/>
      <c r="AR20" s="556"/>
      <c r="AS20" s="556"/>
      <c r="AT20" s="55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04"/>
      <c r="C21" s="504"/>
      <c r="D21" s="505"/>
      <c r="E21" s="545"/>
      <c r="F21" s="546"/>
      <c r="G21" s="546"/>
      <c r="H21" s="546"/>
      <c r="I21" s="546"/>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55"/>
      <c r="AP21" s="556"/>
      <c r="AQ21" s="556"/>
      <c r="AR21" s="556"/>
      <c r="AS21" s="556"/>
      <c r="AT21" s="55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04"/>
      <c r="C22" s="504"/>
      <c r="D22" s="505"/>
      <c r="E22" s="545"/>
      <c r="F22" s="546"/>
      <c r="G22" s="546"/>
      <c r="H22" s="546"/>
      <c r="I22" s="546"/>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55"/>
      <c r="AP22" s="556"/>
      <c r="AQ22" s="556"/>
      <c r="AR22" s="556"/>
      <c r="AS22" s="556"/>
      <c r="AT22" s="55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04"/>
      <c r="C23" s="504"/>
      <c r="D23" s="505"/>
      <c r="E23" s="545"/>
      <c r="F23" s="546"/>
      <c r="G23" s="546"/>
      <c r="H23" s="546"/>
      <c r="I23" s="546"/>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55"/>
      <c r="AP23" s="556"/>
      <c r="AQ23" s="556"/>
      <c r="AR23" s="556"/>
      <c r="AS23" s="556"/>
      <c r="AT23" s="55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04"/>
      <c r="C24" s="504"/>
      <c r="D24" s="505"/>
      <c r="E24" s="545"/>
      <c r="F24" s="546"/>
      <c r="G24" s="546"/>
      <c r="H24" s="546"/>
      <c r="I24" s="546"/>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55"/>
      <c r="AP24" s="556"/>
      <c r="AQ24" s="556"/>
      <c r="AR24" s="556"/>
      <c r="AS24" s="556"/>
      <c r="AT24" s="55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04"/>
      <c r="C25" s="504"/>
      <c r="D25" s="505"/>
      <c r="E25" s="548"/>
      <c r="F25" s="549"/>
      <c r="G25" s="549"/>
      <c r="H25" s="549"/>
      <c r="I25" s="549"/>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58"/>
      <c r="AP25" s="559"/>
      <c r="AQ25" s="559"/>
      <c r="AR25" s="559"/>
      <c r="AS25" s="559"/>
      <c r="AT25" s="56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04"/>
      <c r="C26" s="504"/>
      <c r="D26" s="505"/>
      <c r="E26" s="542" t="s">
        <v>237</v>
      </c>
      <c r="F26" s="543"/>
      <c r="G26" s="543"/>
      <c r="H26" s="543"/>
      <c r="I26" s="544"/>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82" t="s">
        <v>238</v>
      </c>
      <c r="AP26" s="583"/>
      <c r="AQ26" s="583"/>
      <c r="AR26" s="583"/>
      <c r="AS26" s="583"/>
      <c r="AT26" s="58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04"/>
      <c r="C27" s="504"/>
      <c r="D27" s="505"/>
      <c r="E27" s="561"/>
      <c r="F27" s="546"/>
      <c r="G27" s="546"/>
      <c r="H27" s="546"/>
      <c r="I27" s="547"/>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85"/>
      <c r="AP27" s="586"/>
      <c r="AQ27" s="586"/>
      <c r="AR27" s="586"/>
      <c r="AS27" s="586"/>
      <c r="AT27" s="58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04"/>
      <c r="C28" s="504"/>
      <c r="D28" s="505"/>
      <c r="E28" s="545"/>
      <c r="F28" s="546"/>
      <c r="G28" s="546"/>
      <c r="H28" s="546"/>
      <c r="I28" s="547"/>
      <c r="J28" s="67" t="str">
        <f>IF(AND('Mapa de Riesgos'!$Y$24="Media",'Mapa de Riesgos'!$AA$24="Leve"),CONCATENATE("R3C",'Mapa de Riesgos'!$O$24),"")</f>
        <v/>
      </c>
      <c r="K28" s="68" t="str">
        <f>IF(AND('Mapa de Riesgos'!$Y$26="Media",'Mapa de Riesgos'!$AA$26="Leve"),CONCATENATE("R3C",'Mapa de Riesgos'!$O$26),"")</f>
        <v/>
      </c>
      <c r="L28" s="68" t="str">
        <f>IF(AND('Mapa de Riesgos'!$Y$27="Media",'Mapa de Riesgos'!$AA$27="Leve"),CONCATENATE("R3C",'Mapa de Riesgos'!$O$27),"")</f>
        <v/>
      </c>
      <c r="M28" s="68" t="str">
        <f>IF(AND('Mapa de Riesgos'!$Y$28="Media",'Mapa de Riesgos'!$AA$28="Leve"),CONCATENATE("R3C",'Mapa de Riesgos'!$O$28),"")</f>
        <v/>
      </c>
      <c r="N28" s="68" t="str">
        <f>IF(AND('Mapa de Riesgos'!$Y$29="Media",'Mapa de Riesgos'!$AA$29="Leve"),CONCATENATE("R3C",'Mapa de Riesgos'!$O$29),"")</f>
        <v/>
      </c>
      <c r="O28" s="69" t="str">
        <f>IF(AND('Mapa de Riesgos'!$Y$30="Media",'Mapa de Riesgos'!$AA$30="Leve"),CONCATENATE("R3C",'Mapa de Riesgos'!$O$30),"")</f>
        <v/>
      </c>
      <c r="P28" s="67" t="str">
        <f>IF(AND('Mapa de Riesgos'!$Y$24="Media",'Mapa de Riesgos'!$AA$24="Menor"),CONCATENATE("R3C",'Mapa de Riesgos'!$O$24),"")</f>
        <v/>
      </c>
      <c r="Q28" s="68" t="str">
        <f>IF(AND('Mapa de Riesgos'!$Y$26="Media",'Mapa de Riesgos'!$AA$26="Menor"),CONCATENATE("R3C",'Mapa de Riesgos'!$O$26),"")</f>
        <v/>
      </c>
      <c r="R28" s="68" t="str">
        <f>IF(AND('Mapa de Riesgos'!$Y$27="Media",'Mapa de Riesgos'!$AA$27="Menor"),CONCATENATE("R3C",'Mapa de Riesgos'!$O$27),"")</f>
        <v/>
      </c>
      <c r="S28" s="68" t="str">
        <f>IF(AND('Mapa de Riesgos'!$Y$28="Media",'Mapa de Riesgos'!$AA$28="Menor"),CONCATENATE("R3C",'Mapa de Riesgos'!$O$28),"")</f>
        <v/>
      </c>
      <c r="T28" s="68" t="str">
        <f>IF(AND('Mapa de Riesgos'!$Y$29="Media",'Mapa de Riesgos'!$AA$29="Menor"),CONCATENATE("R3C",'Mapa de Riesgos'!$O$29),"")</f>
        <v/>
      </c>
      <c r="U28" s="69" t="str">
        <f>IF(AND('Mapa de Riesgos'!$Y$30="Media",'Mapa de Riesgos'!$AA$30="Menor"),CONCATENATE("R3C",'Mapa de Riesgos'!$O$30),"")</f>
        <v/>
      </c>
      <c r="V28" s="67" t="str">
        <f>IF(AND('Mapa de Riesgos'!$Y$24="Media",'Mapa de Riesgos'!$AA$24="Moderado"),CONCATENATE("R3C",'Mapa de Riesgos'!$O$24),"")</f>
        <v/>
      </c>
      <c r="W28" s="68" t="str">
        <f>IF(AND('Mapa de Riesgos'!$Y$26="Media",'Mapa de Riesgos'!$AA$26="Moderado"),CONCATENATE("R3C",'Mapa de Riesgos'!$O$26),"")</f>
        <v/>
      </c>
      <c r="X28" s="68" t="str">
        <f>IF(AND('Mapa de Riesgos'!$Y$27="Media",'Mapa de Riesgos'!$AA$27="Moderado"),CONCATENATE("R3C",'Mapa de Riesgos'!$O$27),"")</f>
        <v/>
      </c>
      <c r="Y28" s="68" t="str">
        <f>IF(AND('Mapa de Riesgos'!$Y$28="Media",'Mapa de Riesgos'!$AA$28="Moderado"),CONCATENATE("R3C",'Mapa de Riesgos'!$O$28),"")</f>
        <v/>
      </c>
      <c r="Z28" s="68" t="str">
        <f>IF(AND('Mapa de Riesgos'!$Y$29="Media",'Mapa de Riesgos'!$AA$29="Moderado"),CONCATENATE("R3C",'Mapa de Riesgos'!$O$29),"")</f>
        <v/>
      </c>
      <c r="AA28" s="69" t="str">
        <f>IF(AND('Mapa de Riesgos'!$Y$30="Media",'Mapa de Riesgos'!$AA$30="Moderado"),CONCATENATE("R3C",'Mapa de Riesgos'!$O$30),"")</f>
        <v/>
      </c>
      <c r="AB28" s="52" t="str">
        <f>IF(AND('Mapa de Riesgos'!$Y$24="Media",'Mapa de Riesgos'!$AA$24="Mayor"),CONCATENATE("R3C",'Mapa de Riesgos'!$O$24),"")</f>
        <v/>
      </c>
      <c r="AC28" s="53" t="str">
        <f>IF(AND('Mapa de Riesgos'!$Y$26="Media",'Mapa de Riesgos'!$AA$26="Mayor"),CONCATENATE("R3C",'Mapa de Riesgos'!$O$26),"")</f>
        <v/>
      </c>
      <c r="AD28" s="53" t="str">
        <f>IF(AND('Mapa de Riesgos'!$Y$27="Media",'Mapa de Riesgos'!$AA$27="Mayor"),CONCATENATE("R3C",'Mapa de Riesgos'!$O$27),"")</f>
        <v/>
      </c>
      <c r="AE28" s="53" t="str">
        <f>IF(AND('Mapa de Riesgos'!$Y$28="Media",'Mapa de Riesgos'!$AA$28="Mayor"),CONCATENATE("R3C",'Mapa de Riesgos'!$O$28),"")</f>
        <v/>
      </c>
      <c r="AF28" s="53" t="str">
        <f>IF(AND('Mapa de Riesgos'!$Y$29="Media",'Mapa de Riesgos'!$AA$29="Mayor"),CONCATENATE("R3C",'Mapa de Riesgos'!$O$29),"")</f>
        <v/>
      </c>
      <c r="AG28" s="54" t="str">
        <f>IF(AND('Mapa de Riesgos'!$Y$30="Media",'Mapa de Riesgos'!$AA$30="Mayor"),CONCATENATE("R3C",'Mapa de Riesgos'!$O$30),"")</f>
        <v/>
      </c>
      <c r="AH28" s="55" t="str">
        <f>IF(AND('Mapa de Riesgos'!$Y$24="Media",'Mapa de Riesgos'!$AA$24="Catastrófico"),CONCATENATE("R3C",'Mapa de Riesgos'!$O$24),"")</f>
        <v/>
      </c>
      <c r="AI28" s="56" t="str">
        <f>IF(AND('Mapa de Riesgos'!$Y$26="Media",'Mapa de Riesgos'!$AA$26="Catastrófico"),CONCATENATE("R3C",'Mapa de Riesgos'!$O$26),"")</f>
        <v/>
      </c>
      <c r="AJ28" s="56" t="str">
        <f>IF(AND('Mapa de Riesgos'!$Y$27="Media",'Mapa de Riesgos'!$AA$27="Catastrófico"),CONCATENATE("R3C",'Mapa de Riesgos'!$O$27),"")</f>
        <v/>
      </c>
      <c r="AK28" s="56" t="str">
        <f>IF(AND('Mapa de Riesgos'!$Y$28="Media",'Mapa de Riesgos'!$AA$28="Catastrófico"),CONCATENATE("R3C",'Mapa de Riesgos'!$O$28),"")</f>
        <v/>
      </c>
      <c r="AL28" s="56" t="str">
        <f>IF(AND('Mapa de Riesgos'!$Y$29="Media",'Mapa de Riesgos'!$AA$29="Catastrófico"),CONCATENATE("R3C",'Mapa de Riesgos'!$O$29),"")</f>
        <v/>
      </c>
      <c r="AM28" s="57" t="str">
        <f>IF(AND('Mapa de Riesgos'!$Y$30="Media",'Mapa de Riesgos'!$AA$30="Catastrófico"),CONCATENATE("R3C",'Mapa de Riesgos'!$O$30),"")</f>
        <v/>
      </c>
      <c r="AN28" s="83"/>
      <c r="AO28" s="585"/>
      <c r="AP28" s="586"/>
      <c r="AQ28" s="586"/>
      <c r="AR28" s="586"/>
      <c r="AS28" s="586"/>
      <c r="AT28" s="58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04"/>
      <c r="C29" s="504"/>
      <c r="D29" s="505"/>
      <c r="E29" s="545"/>
      <c r="F29" s="546"/>
      <c r="G29" s="546"/>
      <c r="H29" s="546"/>
      <c r="I29" s="547"/>
      <c r="J29" s="67" t="str">
        <f>IF(AND('Mapa de Riesgos'!$Y$31="Media",'Mapa de Riesgos'!$AA$31="Leve"),CONCATENATE("R4C",'Mapa de Riesgos'!$O$31),"")</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Riesgos'!$Y$31="Media",'Mapa de Riesgos'!$AA$31="Menor"),CONCATENATE("R4C",'Mapa de Riesgos'!$O$31),"")</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Riesgos'!$Y$31="Media",'Mapa de Riesgos'!$AA$31="Moderado"),CONCATENATE("R4C",'Mapa de Riesgos'!$O$31),"")</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Riesgos'!$Y$31="Media",'Mapa de Riesgos'!$AA$31="Mayor"),CONCATENATE("R4C",'Mapa de Riesgos'!$O$31),"")</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Riesgos'!$Y$31="Media",'Mapa de Riesgos'!$AA$31="Catastrófico"),CONCATENATE("R4C",'Mapa de Riesgos'!$O$31),"")</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85"/>
      <c r="AP29" s="586"/>
      <c r="AQ29" s="586"/>
      <c r="AR29" s="586"/>
      <c r="AS29" s="586"/>
      <c r="AT29" s="58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04"/>
      <c r="C30" s="504"/>
      <c r="D30" s="505"/>
      <c r="E30" s="545"/>
      <c r="F30" s="546"/>
      <c r="G30" s="546"/>
      <c r="H30" s="546"/>
      <c r="I30" s="547"/>
      <c r="J30" s="67" t="str">
        <f>IF(AND('Mapa de Riesgos'!$Y$39="Media",'Mapa de Riesgos'!$AA$39="Leve"),CONCATENATE("R5C",'Mapa de Riesgos'!$O$39),"")</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Riesgos'!$Y$39="Media",'Mapa de Riesgos'!$AA$39="Menor"),CONCATENATE("R5C",'Mapa de Riesgos'!$O$39),"")</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Riesgos'!$Y$39="Media",'Mapa de Riesgos'!$AA$39="Moderado"),CONCATENATE("R5C",'Mapa de Riesgos'!$O$39),"")</f>
        <v>R5C1</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Riesgos'!$Y$39="Media",'Mapa de Riesgos'!$AA$39="Mayor"),CONCATENATE("R5C",'Mapa de Riesgos'!$O$39),"")</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Riesgos'!$Y$39="Media",'Mapa de Riesgos'!$AA$39="Catastrófico"),CONCATENATE("R5C",'Mapa de Riesgos'!$O$39),"")</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585"/>
      <c r="AP30" s="586"/>
      <c r="AQ30" s="586"/>
      <c r="AR30" s="586"/>
      <c r="AS30" s="586"/>
      <c r="AT30" s="58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04"/>
      <c r="C31" s="504"/>
      <c r="D31" s="505"/>
      <c r="E31" s="545"/>
      <c r="F31" s="546"/>
      <c r="G31" s="546"/>
      <c r="H31" s="546"/>
      <c r="I31" s="547"/>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585"/>
      <c r="AP31" s="586"/>
      <c r="AQ31" s="586"/>
      <c r="AR31" s="586"/>
      <c r="AS31" s="586"/>
      <c r="AT31" s="58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04"/>
      <c r="C32" s="504"/>
      <c r="D32" s="505"/>
      <c r="E32" s="545"/>
      <c r="F32" s="546"/>
      <c r="G32" s="546"/>
      <c r="H32" s="546"/>
      <c r="I32" s="547"/>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585"/>
      <c r="AP32" s="586"/>
      <c r="AQ32" s="586"/>
      <c r="AR32" s="586"/>
      <c r="AS32" s="586"/>
      <c r="AT32" s="58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04"/>
      <c r="C33" s="504"/>
      <c r="D33" s="505"/>
      <c r="E33" s="545"/>
      <c r="F33" s="546"/>
      <c r="G33" s="546"/>
      <c r="H33" s="546"/>
      <c r="I33" s="547"/>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585"/>
      <c r="AP33" s="586"/>
      <c r="AQ33" s="586"/>
      <c r="AR33" s="586"/>
      <c r="AS33" s="586"/>
      <c r="AT33" s="58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04"/>
      <c r="C34" s="504"/>
      <c r="D34" s="505"/>
      <c r="E34" s="545"/>
      <c r="F34" s="546"/>
      <c r="G34" s="546"/>
      <c r="H34" s="546"/>
      <c r="I34" s="547"/>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585"/>
      <c r="AP34" s="586"/>
      <c r="AQ34" s="586"/>
      <c r="AR34" s="586"/>
      <c r="AS34" s="586"/>
      <c r="AT34" s="58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04"/>
      <c r="C35" s="504"/>
      <c r="D35" s="505"/>
      <c r="E35" s="548"/>
      <c r="F35" s="549"/>
      <c r="G35" s="549"/>
      <c r="H35" s="549"/>
      <c r="I35" s="550"/>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588"/>
      <c r="AP35" s="589"/>
      <c r="AQ35" s="589"/>
      <c r="AR35" s="589"/>
      <c r="AS35" s="589"/>
      <c r="AT35" s="59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04"/>
      <c r="C36" s="504"/>
      <c r="D36" s="505"/>
      <c r="E36" s="542" t="s">
        <v>239</v>
      </c>
      <c r="F36" s="543"/>
      <c r="G36" s="543"/>
      <c r="H36" s="543"/>
      <c r="I36" s="543"/>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73" t="s">
        <v>240</v>
      </c>
      <c r="AP36" s="574"/>
      <c r="AQ36" s="574"/>
      <c r="AR36" s="574"/>
      <c r="AS36" s="574"/>
      <c r="AT36" s="57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04"/>
      <c r="C37" s="504"/>
      <c r="D37" s="505"/>
      <c r="E37" s="561"/>
      <c r="F37" s="546"/>
      <c r="G37" s="546"/>
      <c r="H37" s="546"/>
      <c r="I37" s="546"/>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R2C1</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76"/>
      <c r="AP37" s="577"/>
      <c r="AQ37" s="577"/>
      <c r="AR37" s="577"/>
      <c r="AS37" s="577"/>
      <c r="AT37" s="57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04"/>
      <c r="C38" s="504"/>
      <c r="D38" s="505"/>
      <c r="E38" s="545"/>
      <c r="F38" s="546"/>
      <c r="G38" s="546"/>
      <c r="H38" s="546"/>
      <c r="I38" s="546"/>
      <c r="J38" s="76" t="str">
        <f>IF(AND('Mapa de Riesgos'!$Y$24="Baja",'Mapa de Riesgos'!$AA$24="Leve"),CONCATENATE("R3C",'Mapa de Riesgos'!$O$24),"")</f>
        <v/>
      </c>
      <c r="K38" s="77" t="str">
        <f>IF(AND('Mapa de Riesgos'!$Y$26="Baja",'Mapa de Riesgos'!$AA$26="Leve"),CONCATENATE("R3C",'Mapa de Riesgos'!$O$26),"")</f>
        <v/>
      </c>
      <c r="L38" s="77" t="str">
        <f>IF(AND('Mapa de Riesgos'!$Y$27="Baja",'Mapa de Riesgos'!$AA$27="Leve"),CONCATENATE("R3C",'Mapa de Riesgos'!$O$27),"")</f>
        <v/>
      </c>
      <c r="M38" s="77" t="str">
        <f>IF(AND('Mapa de Riesgos'!$Y$28="Baja",'Mapa de Riesgos'!$AA$28="Leve"),CONCATENATE("R3C",'Mapa de Riesgos'!$O$28),"")</f>
        <v/>
      </c>
      <c r="N38" s="77" t="str">
        <f>IF(AND('Mapa de Riesgos'!$Y$29="Baja",'Mapa de Riesgos'!$AA$29="Leve"),CONCATENATE("R3C",'Mapa de Riesgos'!$O$29),"")</f>
        <v/>
      </c>
      <c r="O38" s="78" t="str">
        <f>IF(AND('Mapa de Riesgos'!$Y$30="Baja",'Mapa de Riesgos'!$AA$30="Leve"),CONCATENATE("R3C",'Mapa de Riesgos'!$O$30),"")</f>
        <v/>
      </c>
      <c r="P38" s="67" t="str">
        <f>IF(AND('Mapa de Riesgos'!$Y$24="Baja",'Mapa de Riesgos'!$AA$24="Menor"),CONCATENATE("R3C",'Mapa de Riesgos'!$O$24),"")</f>
        <v/>
      </c>
      <c r="Q38" s="68" t="str">
        <f>IF(AND('Mapa de Riesgos'!$Y$26="Baja",'Mapa de Riesgos'!$AA$26="Menor"),CONCATENATE("R3C",'Mapa de Riesgos'!$O$26),"")</f>
        <v/>
      </c>
      <c r="R38" s="68" t="str">
        <f>IF(AND('Mapa de Riesgos'!$Y$27="Baja",'Mapa de Riesgos'!$AA$27="Menor"),CONCATENATE("R3C",'Mapa de Riesgos'!$O$27),"")</f>
        <v/>
      </c>
      <c r="S38" s="68" t="str">
        <f>IF(AND('Mapa de Riesgos'!$Y$28="Baja",'Mapa de Riesgos'!$AA$28="Menor"),CONCATENATE("R3C",'Mapa de Riesgos'!$O$28),"")</f>
        <v/>
      </c>
      <c r="T38" s="68" t="str">
        <f>IF(AND('Mapa de Riesgos'!$Y$29="Baja",'Mapa de Riesgos'!$AA$29="Menor"),CONCATENATE("R3C",'Mapa de Riesgos'!$O$29),"")</f>
        <v/>
      </c>
      <c r="U38" s="69" t="str">
        <f>IF(AND('Mapa de Riesgos'!$Y$30="Baja",'Mapa de Riesgos'!$AA$30="Menor"),CONCATENATE("R3C",'Mapa de Riesgos'!$O$30),"")</f>
        <v/>
      </c>
      <c r="V38" s="67" t="str">
        <f>IF(AND('Mapa de Riesgos'!$Y$24="Baja",'Mapa de Riesgos'!$AA$24="Moderado"),CONCATENATE("R3C",'Mapa de Riesgos'!$O$24),"")</f>
        <v/>
      </c>
      <c r="W38" s="68" t="str">
        <f>IF(AND('Mapa de Riesgos'!$Y$26="Baja",'Mapa de Riesgos'!$AA$26="Moderado"),CONCATENATE("R3C",'Mapa de Riesgos'!$O$26),"")</f>
        <v/>
      </c>
      <c r="X38" s="68" t="str">
        <f>IF(AND('Mapa de Riesgos'!$Y$27="Baja",'Mapa de Riesgos'!$AA$27="Moderado"),CONCATENATE("R3C",'Mapa de Riesgos'!$O$27),"")</f>
        <v/>
      </c>
      <c r="Y38" s="68" t="str">
        <f>IF(AND('Mapa de Riesgos'!$Y$28="Baja",'Mapa de Riesgos'!$AA$28="Moderado"),CONCATENATE("R3C",'Mapa de Riesgos'!$O$28),"")</f>
        <v/>
      </c>
      <c r="Z38" s="68" t="str">
        <f>IF(AND('Mapa de Riesgos'!$Y$29="Baja",'Mapa de Riesgos'!$AA$29="Moderado"),CONCATENATE("R3C",'Mapa de Riesgos'!$O$29),"")</f>
        <v/>
      </c>
      <c r="AA38" s="69" t="str">
        <f>IF(AND('Mapa de Riesgos'!$Y$30="Baja",'Mapa de Riesgos'!$AA$30="Moderado"),CONCATENATE("R3C",'Mapa de Riesgos'!$O$30),"")</f>
        <v/>
      </c>
      <c r="AB38" s="52" t="str">
        <f>IF(AND('Mapa de Riesgos'!$Y$24="Baja",'Mapa de Riesgos'!$AA$24="Mayor"),CONCATENATE("R3C",'Mapa de Riesgos'!$O$24),"")</f>
        <v>R3C1</v>
      </c>
      <c r="AC38" s="53" t="str">
        <f>IF(AND('Mapa de Riesgos'!$Y$26="Baja",'Mapa de Riesgos'!$AA$26="Mayor"),CONCATENATE("R3C",'Mapa de Riesgos'!$O$26),"")</f>
        <v/>
      </c>
      <c r="AD38" s="53" t="str">
        <f>IF(AND('Mapa de Riesgos'!$Y$27="Baja",'Mapa de Riesgos'!$AA$27="Mayor"),CONCATENATE("R3C",'Mapa de Riesgos'!$O$27),"")</f>
        <v/>
      </c>
      <c r="AE38" s="53" t="str">
        <f>IF(AND('Mapa de Riesgos'!$Y$28="Baja",'Mapa de Riesgos'!$AA$28="Mayor"),CONCATENATE("R3C",'Mapa de Riesgos'!$O$28),"")</f>
        <v/>
      </c>
      <c r="AF38" s="53" t="str">
        <f>IF(AND('Mapa de Riesgos'!$Y$29="Baja",'Mapa de Riesgos'!$AA$29="Mayor"),CONCATENATE("R3C",'Mapa de Riesgos'!$O$29),"")</f>
        <v/>
      </c>
      <c r="AG38" s="54" t="str">
        <f>IF(AND('Mapa de Riesgos'!$Y$30="Baja",'Mapa de Riesgos'!$AA$30="Mayor"),CONCATENATE("R3C",'Mapa de Riesgos'!$O$30),"")</f>
        <v/>
      </c>
      <c r="AH38" s="55" t="str">
        <f>IF(AND('Mapa de Riesgos'!$Y$24="Baja",'Mapa de Riesgos'!$AA$24="Catastrófico"),CONCATENATE("R3C",'Mapa de Riesgos'!$O$24),"")</f>
        <v/>
      </c>
      <c r="AI38" s="56" t="str">
        <f>IF(AND('Mapa de Riesgos'!$Y$26="Baja",'Mapa de Riesgos'!$AA$26="Catastrófico"),CONCATENATE("R3C",'Mapa de Riesgos'!$O$26),"")</f>
        <v/>
      </c>
      <c r="AJ38" s="56" t="str">
        <f>IF(AND('Mapa de Riesgos'!$Y$27="Baja",'Mapa de Riesgos'!$AA$27="Catastrófico"),CONCATENATE("R3C",'Mapa de Riesgos'!$O$27),"")</f>
        <v/>
      </c>
      <c r="AK38" s="56" t="str">
        <f>IF(AND('Mapa de Riesgos'!$Y$28="Baja",'Mapa de Riesgos'!$AA$28="Catastrófico"),CONCATENATE("R3C",'Mapa de Riesgos'!$O$28),"")</f>
        <v/>
      </c>
      <c r="AL38" s="56" t="str">
        <f>IF(AND('Mapa de Riesgos'!$Y$29="Baja",'Mapa de Riesgos'!$AA$29="Catastrófico"),CONCATENATE("R3C",'Mapa de Riesgos'!$O$29),"")</f>
        <v/>
      </c>
      <c r="AM38" s="57" t="str">
        <f>IF(AND('Mapa de Riesgos'!$Y$30="Baja",'Mapa de Riesgos'!$AA$30="Catastrófico"),CONCATENATE("R3C",'Mapa de Riesgos'!$O$30),"")</f>
        <v/>
      </c>
      <c r="AN38" s="83"/>
      <c r="AO38" s="576"/>
      <c r="AP38" s="577"/>
      <c r="AQ38" s="577"/>
      <c r="AR38" s="577"/>
      <c r="AS38" s="577"/>
      <c r="AT38" s="57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04"/>
      <c r="C39" s="504"/>
      <c r="D39" s="505"/>
      <c r="E39" s="545"/>
      <c r="F39" s="546"/>
      <c r="G39" s="546"/>
      <c r="H39" s="546"/>
      <c r="I39" s="546"/>
      <c r="J39" s="76" t="str">
        <f>IF(AND('Mapa de Riesgos'!$Y$31="Baja",'Mapa de Riesgos'!$AA$31="Leve"),CONCATENATE("R4C",'Mapa de Riesgos'!$O$31),"")</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Riesgos'!$Y$31="Baja",'Mapa de Riesgos'!$AA$31="Menor"),CONCATENATE("R4C",'Mapa de Riesgos'!$O$31),"")</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Riesgos'!$Y$31="Baja",'Mapa de Riesgos'!$AA$31="Moderado"),CONCATENATE("R4C",'Mapa de Riesgos'!$O$31),"")</f>
        <v>R4C1</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Riesgos'!$Y$31="Baja",'Mapa de Riesgos'!$AA$31="Mayor"),CONCATENATE("R4C",'Mapa de Riesgos'!$O$31),"")</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Riesgos'!$Y$31="Baja",'Mapa de Riesgos'!$AA$31="Catastrófico"),CONCATENATE("R4C",'Mapa de Riesgos'!$O$31),"")</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76"/>
      <c r="AP39" s="577"/>
      <c r="AQ39" s="577"/>
      <c r="AR39" s="577"/>
      <c r="AS39" s="577"/>
      <c r="AT39" s="57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04"/>
      <c r="C40" s="504"/>
      <c r="D40" s="505"/>
      <c r="E40" s="545"/>
      <c r="F40" s="546"/>
      <c r="G40" s="546"/>
      <c r="H40" s="546"/>
      <c r="I40" s="546"/>
      <c r="J40" s="76" t="str">
        <f>IF(AND('Mapa de Riesgos'!$Y$39="Baja",'Mapa de Riesgos'!$AA$39="Leve"),CONCATENATE("R5C",'Mapa de Riesgos'!$O$39),"")</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Riesgos'!$Y$39="Baja",'Mapa de Riesgos'!$AA$39="Menor"),CONCATENATE("R5C",'Mapa de Riesgos'!$O$39),"")</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Riesgos'!$Y$39="Baja",'Mapa de Riesgos'!$AA$39="Moderado"),CONCATENATE("R5C",'Mapa de Riesgos'!$O$39),"")</f>
        <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Riesgos'!$Y$39="Baja",'Mapa de Riesgos'!$AA$39="Mayor"),CONCATENATE("R5C",'Mapa de Riesgos'!$O$39),"")</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Riesgos'!$Y$39="Baja",'Mapa de Riesgos'!$AA$39="Catastrófico"),CONCATENATE("R5C",'Mapa de Riesgos'!$O$39),"")</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576"/>
      <c r="AP40" s="577"/>
      <c r="AQ40" s="577"/>
      <c r="AR40" s="577"/>
      <c r="AS40" s="577"/>
      <c r="AT40" s="57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04"/>
      <c r="C41" s="504"/>
      <c r="D41" s="505"/>
      <c r="E41" s="545"/>
      <c r="F41" s="546"/>
      <c r="G41" s="546"/>
      <c r="H41" s="546"/>
      <c r="I41" s="546"/>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576"/>
      <c r="AP41" s="577"/>
      <c r="AQ41" s="577"/>
      <c r="AR41" s="577"/>
      <c r="AS41" s="577"/>
      <c r="AT41" s="57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04"/>
      <c r="C42" s="504"/>
      <c r="D42" s="505"/>
      <c r="E42" s="545"/>
      <c r="F42" s="546"/>
      <c r="G42" s="546"/>
      <c r="H42" s="546"/>
      <c r="I42" s="546"/>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R7C1</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576"/>
      <c r="AP42" s="577"/>
      <c r="AQ42" s="577"/>
      <c r="AR42" s="577"/>
      <c r="AS42" s="577"/>
      <c r="AT42" s="57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04"/>
      <c r="C43" s="504"/>
      <c r="D43" s="505"/>
      <c r="E43" s="545"/>
      <c r="F43" s="546"/>
      <c r="G43" s="546"/>
      <c r="H43" s="546"/>
      <c r="I43" s="546"/>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576"/>
      <c r="AP43" s="577"/>
      <c r="AQ43" s="577"/>
      <c r="AR43" s="577"/>
      <c r="AS43" s="577"/>
      <c r="AT43" s="57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04"/>
      <c r="C44" s="504"/>
      <c r="D44" s="505"/>
      <c r="E44" s="545"/>
      <c r="F44" s="546"/>
      <c r="G44" s="546"/>
      <c r="H44" s="546"/>
      <c r="I44" s="546"/>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R9C1</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576"/>
      <c r="AP44" s="577"/>
      <c r="AQ44" s="577"/>
      <c r="AR44" s="577"/>
      <c r="AS44" s="577"/>
      <c r="AT44" s="57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04"/>
      <c r="C45" s="504"/>
      <c r="D45" s="505"/>
      <c r="E45" s="548"/>
      <c r="F45" s="549"/>
      <c r="G45" s="549"/>
      <c r="H45" s="549"/>
      <c r="I45" s="549"/>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579"/>
      <c r="AP45" s="580"/>
      <c r="AQ45" s="580"/>
      <c r="AR45" s="580"/>
      <c r="AS45" s="580"/>
      <c r="AT45" s="581"/>
    </row>
    <row r="46" spans="1:80" ht="46.5" customHeight="1" x14ac:dyDescent="0.35">
      <c r="A46" s="83"/>
      <c r="B46" s="504"/>
      <c r="C46" s="504"/>
      <c r="D46" s="505"/>
      <c r="E46" s="542" t="s">
        <v>241</v>
      </c>
      <c r="F46" s="543"/>
      <c r="G46" s="543"/>
      <c r="H46" s="543"/>
      <c r="I46" s="544"/>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04"/>
      <c r="C47" s="504"/>
      <c r="D47" s="505"/>
      <c r="E47" s="561"/>
      <c r="F47" s="546"/>
      <c r="G47" s="546"/>
      <c r="H47" s="546"/>
      <c r="I47" s="547"/>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04"/>
      <c r="C48" s="504"/>
      <c r="D48" s="505"/>
      <c r="E48" s="561"/>
      <c r="F48" s="546"/>
      <c r="G48" s="546"/>
      <c r="H48" s="546"/>
      <c r="I48" s="547"/>
      <c r="J48" s="76" t="str">
        <f>IF(AND('Mapa de Riesgos'!$Y$24="Muy Baja",'Mapa de Riesgos'!$AA$24="Leve"),CONCATENATE("R3C",'Mapa de Riesgos'!$O$24),"")</f>
        <v/>
      </c>
      <c r="K48" s="77" t="str">
        <f>IF(AND('Mapa de Riesgos'!$Y$26="Muy Baja",'Mapa de Riesgos'!$AA$26="Leve"),CONCATENATE("R3C",'Mapa de Riesgos'!$O$26),"")</f>
        <v/>
      </c>
      <c r="L48" s="77" t="str">
        <f>IF(AND('Mapa de Riesgos'!$Y$27="Muy Baja",'Mapa de Riesgos'!$AA$27="Leve"),CONCATENATE("R3C",'Mapa de Riesgos'!$O$27),"")</f>
        <v/>
      </c>
      <c r="M48" s="77" t="str">
        <f>IF(AND('Mapa de Riesgos'!$Y$28="Muy Baja",'Mapa de Riesgos'!$AA$28="Leve"),CONCATENATE("R3C",'Mapa de Riesgos'!$O$28),"")</f>
        <v/>
      </c>
      <c r="N48" s="77" t="str">
        <f>IF(AND('Mapa de Riesgos'!$Y$29="Muy Baja",'Mapa de Riesgos'!$AA$29="Leve"),CONCATENATE("R3C",'Mapa de Riesgos'!$O$29),"")</f>
        <v/>
      </c>
      <c r="O48" s="78" t="str">
        <f>IF(AND('Mapa de Riesgos'!$Y$30="Muy Baja",'Mapa de Riesgos'!$AA$30="Leve"),CONCATENATE("R3C",'Mapa de Riesgos'!$O$30),"")</f>
        <v/>
      </c>
      <c r="P48" s="76" t="str">
        <f>IF(AND('Mapa de Riesgos'!$Y$24="Muy Baja",'Mapa de Riesgos'!$AA$24="Menor"),CONCATENATE("R3C",'Mapa de Riesgos'!$O$24),"")</f>
        <v/>
      </c>
      <c r="Q48" s="77" t="str">
        <f>IF(AND('Mapa de Riesgos'!$Y$26="Muy Baja",'Mapa de Riesgos'!$AA$26="Menor"),CONCATENATE("R3C",'Mapa de Riesgos'!$O$26),"")</f>
        <v/>
      </c>
      <c r="R48" s="77" t="str">
        <f>IF(AND('Mapa de Riesgos'!$Y$27="Muy Baja",'Mapa de Riesgos'!$AA$27="Menor"),CONCATENATE("R3C",'Mapa de Riesgos'!$O$27),"")</f>
        <v/>
      </c>
      <c r="S48" s="77" t="str">
        <f>IF(AND('Mapa de Riesgos'!$Y$28="Muy Baja",'Mapa de Riesgos'!$AA$28="Menor"),CONCATENATE("R3C",'Mapa de Riesgos'!$O$28),"")</f>
        <v/>
      </c>
      <c r="T48" s="77" t="str">
        <f>IF(AND('Mapa de Riesgos'!$Y$29="Muy Baja",'Mapa de Riesgos'!$AA$29="Menor"),CONCATENATE("R3C",'Mapa de Riesgos'!$O$29),"")</f>
        <v/>
      </c>
      <c r="U48" s="78" t="str">
        <f>IF(AND('Mapa de Riesgos'!$Y$30="Muy Baja",'Mapa de Riesgos'!$AA$30="Menor"),CONCATENATE("R3C",'Mapa de Riesgos'!$O$30),"")</f>
        <v/>
      </c>
      <c r="V48" s="67" t="str">
        <f>IF(AND('Mapa de Riesgos'!$Y$24="Muy Baja",'Mapa de Riesgos'!$AA$24="Moderado"),CONCATENATE("R3C",'Mapa de Riesgos'!$O$24),"")</f>
        <v/>
      </c>
      <c r="W48" s="68" t="str">
        <f>IF(AND('Mapa de Riesgos'!$Y$26="Muy Baja",'Mapa de Riesgos'!$AA$26="Moderado"),CONCATENATE("R3C",'Mapa de Riesgos'!$O$26),"")</f>
        <v/>
      </c>
      <c r="X48" s="68" t="str">
        <f>IF(AND('Mapa de Riesgos'!$Y$27="Muy Baja",'Mapa de Riesgos'!$AA$27="Moderado"),CONCATENATE("R3C",'Mapa de Riesgos'!$O$27),"")</f>
        <v/>
      </c>
      <c r="Y48" s="68" t="str">
        <f>IF(AND('Mapa de Riesgos'!$Y$28="Muy Baja",'Mapa de Riesgos'!$AA$28="Moderado"),CONCATENATE("R3C",'Mapa de Riesgos'!$O$28),"")</f>
        <v/>
      </c>
      <c r="Z48" s="68" t="str">
        <f>IF(AND('Mapa de Riesgos'!$Y$29="Muy Baja",'Mapa de Riesgos'!$AA$29="Moderado"),CONCATENATE("R3C",'Mapa de Riesgos'!$O$29),"")</f>
        <v/>
      </c>
      <c r="AA48" s="69" t="str">
        <f>IF(AND('Mapa de Riesgos'!$Y$30="Muy Baja",'Mapa de Riesgos'!$AA$30="Moderado"),CONCATENATE("R3C",'Mapa de Riesgos'!$O$30),"")</f>
        <v/>
      </c>
      <c r="AB48" s="52" t="str">
        <f>IF(AND('Mapa de Riesgos'!$Y$24="Muy Baja",'Mapa de Riesgos'!$AA$24="Mayor"),CONCATENATE("R3C",'Mapa de Riesgos'!$O$24),"")</f>
        <v/>
      </c>
      <c r="AC48" s="53" t="str">
        <f>IF(AND('Mapa de Riesgos'!$Y$26="Muy Baja",'Mapa de Riesgos'!$AA$26="Mayor"),CONCATENATE("R3C",'Mapa de Riesgos'!$O$26),"")</f>
        <v/>
      </c>
      <c r="AD48" s="53" t="str">
        <f>IF(AND('Mapa de Riesgos'!$Y$27="Muy Baja",'Mapa de Riesgos'!$AA$27="Mayor"),CONCATENATE("R3C",'Mapa de Riesgos'!$O$27),"")</f>
        <v/>
      </c>
      <c r="AE48" s="53" t="str">
        <f>IF(AND('Mapa de Riesgos'!$Y$28="Muy Baja",'Mapa de Riesgos'!$AA$28="Mayor"),CONCATENATE("R3C",'Mapa de Riesgos'!$O$28),"")</f>
        <v/>
      </c>
      <c r="AF48" s="53" t="str">
        <f>IF(AND('Mapa de Riesgos'!$Y$29="Muy Baja",'Mapa de Riesgos'!$AA$29="Mayor"),CONCATENATE("R3C",'Mapa de Riesgos'!$O$29),"")</f>
        <v/>
      </c>
      <c r="AG48" s="54" t="str">
        <f>IF(AND('Mapa de Riesgos'!$Y$30="Muy Baja",'Mapa de Riesgos'!$AA$30="Mayor"),CONCATENATE("R3C",'Mapa de Riesgos'!$O$30),"")</f>
        <v/>
      </c>
      <c r="AH48" s="55" t="str">
        <f>IF(AND('Mapa de Riesgos'!$Y$24="Muy Baja",'Mapa de Riesgos'!$AA$24="Catastrófico"),CONCATENATE("R3C",'Mapa de Riesgos'!$O$24),"")</f>
        <v/>
      </c>
      <c r="AI48" s="56" t="str">
        <f>IF(AND('Mapa de Riesgos'!$Y$26="Muy Baja",'Mapa de Riesgos'!$AA$26="Catastrófico"),CONCATENATE("R3C",'Mapa de Riesgos'!$O$26),"")</f>
        <v/>
      </c>
      <c r="AJ48" s="56" t="str">
        <f>IF(AND('Mapa de Riesgos'!$Y$27="Muy Baja",'Mapa de Riesgos'!$AA$27="Catastrófico"),CONCATENATE("R3C",'Mapa de Riesgos'!$O$27),"")</f>
        <v/>
      </c>
      <c r="AK48" s="56" t="str">
        <f>IF(AND('Mapa de Riesgos'!$Y$28="Muy Baja",'Mapa de Riesgos'!$AA$28="Catastrófico"),CONCATENATE("R3C",'Mapa de Riesgos'!$O$28),"")</f>
        <v/>
      </c>
      <c r="AL48" s="56" t="str">
        <f>IF(AND('Mapa de Riesgos'!$Y$29="Muy Baja",'Mapa de Riesgos'!$AA$29="Catastrófico"),CONCATENATE("R3C",'Mapa de Riesgos'!$O$29),"")</f>
        <v/>
      </c>
      <c r="AM48" s="57" t="str">
        <f>IF(AND('Mapa de Riesgos'!$Y$30="Muy Baja",'Mapa de Riesgos'!$AA$30="Catastrófico"),CONCATENATE("R3C",'Mapa de Riesgos'!$O$30),"")</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04"/>
      <c r="C49" s="504"/>
      <c r="D49" s="505"/>
      <c r="E49" s="545"/>
      <c r="F49" s="546"/>
      <c r="G49" s="546"/>
      <c r="H49" s="546"/>
      <c r="I49" s="547"/>
      <c r="J49" s="76" t="str">
        <f>IF(AND('Mapa de Riesgos'!$Y$31="Muy Baja",'Mapa de Riesgos'!$AA$31="Leve"),CONCATENATE("R4C",'Mapa de Riesgos'!$O$31),"")</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Riesgos'!$Y$31="Muy Baja",'Mapa de Riesgos'!$AA$31="Menor"),CONCATENATE("R4C",'Mapa de Riesgos'!$O$31),"")</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Riesgos'!$Y$31="Muy Baja",'Mapa de Riesgos'!$AA$31="Moderado"),CONCATENATE("R4C",'Mapa de Riesgos'!$O$31),"")</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Riesgos'!$Y$31="Muy Baja",'Mapa de Riesgos'!$AA$31="Mayor"),CONCATENATE("R4C",'Mapa de Riesgos'!$O$31),"")</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Riesgos'!$Y$31="Muy Baja",'Mapa de Riesgos'!$AA$31="Catastrófico"),CONCATENATE("R4C",'Mapa de Riesgos'!$O$31),"")</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04"/>
      <c r="C50" s="504"/>
      <c r="D50" s="505"/>
      <c r="E50" s="545"/>
      <c r="F50" s="546"/>
      <c r="G50" s="546"/>
      <c r="H50" s="546"/>
      <c r="I50" s="547"/>
      <c r="J50" s="76" t="str">
        <f>IF(AND('Mapa de Riesgos'!$Y$39="Muy Baja",'Mapa de Riesgos'!$AA$39="Leve"),CONCATENATE("R5C",'Mapa de Riesgos'!$O$39),"")</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Riesgos'!$Y$39="Muy Baja",'Mapa de Riesgos'!$AA$39="Menor"),CONCATENATE("R5C",'Mapa de Riesgos'!$O$39),"")</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Riesgos'!$Y$39="Muy Baja",'Mapa de Riesgos'!$AA$39="Moderado"),CONCATENATE("R5C",'Mapa de Riesgos'!$O$39),"")</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Riesgos'!$Y$39="Muy Baja",'Mapa de Riesgos'!$AA$39="Mayor"),CONCATENATE("R5C",'Mapa de Riesgos'!$O$39),"")</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Riesgos'!$Y$39="Muy Baja",'Mapa de Riesgos'!$AA$39="Catastrófico"),CONCATENATE("R5C",'Mapa de Riesgos'!$O$39),"")</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04"/>
      <c r="C51" s="504"/>
      <c r="D51" s="505"/>
      <c r="E51" s="545"/>
      <c r="F51" s="546"/>
      <c r="G51" s="546"/>
      <c r="H51" s="546"/>
      <c r="I51" s="547"/>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04"/>
      <c r="C52" s="504"/>
      <c r="D52" s="505"/>
      <c r="E52" s="545"/>
      <c r="F52" s="546"/>
      <c r="G52" s="546"/>
      <c r="H52" s="546"/>
      <c r="I52" s="547"/>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04"/>
      <c r="C53" s="504"/>
      <c r="D53" s="505"/>
      <c r="E53" s="545"/>
      <c r="F53" s="546"/>
      <c r="G53" s="546"/>
      <c r="H53" s="546"/>
      <c r="I53" s="547"/>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R8C1</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04"/>
      <c r="C54" s="504"/>
      <c r="D54" s="505"/>
      <c r="E54" s="545"/>
      <c r="F54" s="546"/>
      <c r="G54" s="546"/>
      <c r="H54" s="546"/>
      <c r="I54" s="547"/>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04"/>
      <c r="C55" s="504"/>
      <c r="D55" s="505"/>
      <c r="E55" s="548"/>
      <c r="F55" s="549"/>
      <c r="G55" s="549"/>
      <c r="H55" s="549"/>
      <c r="I55" s="550"/>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42" t="s">
        <v>242</v>
      </c>
      <c r="K56" s="543"/>
      <c r="L56" s="543"/>
      <c r="M56" s="543"/>
      <c r="N56" s="543"/>
      <c r="O56" s="544"/>
      <c r="P56" s="542" t="s">
        <v>243</v>
      </c>
      <c r="Q56" s="543"/>
      <c r="R56" s="543"/>
      <c r="S56" s="543"/>
      <c r="T56" s="543"/>
      <c r="U56" s="544"/>
      <c r="V56" s="542" t="s">
        <v>244</v>
      </c>
      <c r="W56" s="543"/>
      <c r="X56" s="543"/>
      <c r="Y56" s="543"/>
      <c r="Z56" s="543"/>
      <c r="AA56" s="544"/>
      <c r="AB56" s="542" t="s">
        <v>245</v>
      </c>
      <c r="AC56" s="551"/>
      <c r="AD56" s="543"/>
      <c r="AE56" s="543"/>
      <c r="AF56" s="543"/>
      <c r="AG56" s="544"/>
      <c r="AH56" s="542" t="s">
        <v>246</v>
      </c>
      <c r="AI56" s="543"/>
      <c r="AJ56" s="543"/>
      <c r="AK56" s="543"/>
      <c r="AL56" s="543"/>
      <c r="AM56" s="54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5"/>
      <c r="K57" s="546"/>
      <c r="L57" s="546"/>
      <c r="M57" s="546"/>
      <c r="N57" s="546"/>
      <c r="O57" s="547"/>
      <c r="P57" s="545"/>
      <c r="Q57" s="546"/>
      <c r="R57" s="546"/>
      <c r="S57" s="546"/>
      <c r="T57" s="546"/>
      <c r="U57" s="547"/>
      <c r="V57" s="545"/>
      <c r="W57" s="546"/>
      <c r="X57" s="546"/>
      <c r="Y57" s="546"/>
      <c r="Z57" s="546"/>
      <c r="AA57" s="547"/>
      <c r="AB57" s="545"/>
      <c r="AC57" s="546"/>
      <c r="AD57" s="546"/>
      <c r="AE57" s="546"/>
      <c r="AF57" s="546"/>
      <c r="AG57" s="547"/>
      <c r="AH57" s="545"/>
      <c r="AI57" s="546"/>
      <c r="AJ57" s="546"/>
      <c r="AK57" s="546"/>
      <c r="AL57" s="546"/>
      <c r="AM57" s="547"/>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5"/>
      <c r="K58" s="546"/>
      <c r="L58" s="546"/>
      <c r="M58" s="546"/>
      <c r="N58" s="546"/>
      <c r="O58" s="547"/>
      <c r="P58" s="545"/>
      <c r="Q58" s="546"/>
      <c r="R58" s="546"/>
      <c r="S58" s="546"/>
      <c r="T58" s="546"/>
      <c r="U58" s="547"/>
      <c r="V58" s="545"/>
      <c r="W58" s="546"/>
      <c r="X58" s="546"/>
      <c r="Y58" s="546"/>
      <c r="Z58" s="546"/>
      <c r="AA58" s="547"/>
      <c r="AB58" s="545"/>
      <c r="AC58" s="546"/>
      <c r="AD58" s="546"/>
      <c r="AE58" s="546"/>
      <c r="AF58" s="546"/>
      <c r="AG58" s="547"/>
      <c r="AH58" s="545"/>
      <c r="AI58" s="546"/>
      <c r="AJ58" s="546"/>
      <c r="AK58" s="546"/>
      <c r="AL58" s="546"/>
      <c r="AM58" s="547"/>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5"/>
      <c r="K59" s="546"/>
      <c r="L59" s="546"/>
      <c r="M59" s="546"/>
      <c r="N59" s="546"/>
      <c r="O59" s="547"/>
      <c r="P59" s="545"/>
      <c r="Q59" s="546"/>
      <c r="R59" s="546"/>
      <c r="S59" s="546"/>
      <c r="T59" s="546"/>
      <c r="U59" s="547"/>
      <c r="V59" s="545"/>
      <c r="W59" s="546"/>
      <c r="X59" s="546"/>
      <c r="Y59" s="546"/>
      <c r="Z59" s="546"/>
      <c r="AA59" s="547"/>
      <c r="AB59" s="545"/>
      <c r="AC59" s="546"/>
      <c r="AD59" s="546"/>
      <c r="AE59" s="546"/>
      <c r="AF59" s="546"/>
      <c r="AG59" s="547"/>
      <c r="AH59" s="545"/>
      <c r="AI59" s="546"/>
      <c r="AJ59" s="546"/>
      <c r="AK59" s="546"/>
      <c r="AL59" s="546"/>
      <c r="AM59" s="547"/>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5"/>
      <c r="K60" s="546"/>
      <c r="L60" s="546"/>
      <c r="M60" s="546"/>
      <c r="N60" s="546"/>
      <c r="O60" s="547"/>
      <c r="P60" s="545"/>
      <c r="Q60" s="546"/>
      <c r="R60" s="546"/>
      <c r="S60" s="546"/>
      <c r="T60" s="546"/>
      <c r="U60" s="547"/>
      <c r="V60" s="545"/>
      <c r="W60" s="546"/>
      <c r="X60" s="546"/>
      <c r="Y60" s="546"/>
      <c r="Z60" s="546"/>
      <c r="AA60" s="547"/>
      <c r="AB60" s="545"/>
      <c r="AC60" s="546"/>
      <c r="AD60" s="546"/>
      <c r="AE60" s="546"/>
      <c r="AF60" s="546"/>
      <c r="AG60" s="547"/>
      <c r="AH60" s="545"/>
      <c r="AI60" s="546"/>
      <c r="AJ60" s="546"/>
      <c r="AK60" s="546"/>
      <c r="AL60" s="546"/>
      <c r="AM60" s="547"/>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8"/>
      <c r="K61" s="549"/>
      <c r="L61" s="549"/>
      <c r="M61" s="549"/>
      <c r="N61" s="549"/>
      <c r="O61" s="550"/>
      <c r="P61" s="548"/>
      <c r="Q61" s="549"/>
      <c r="R61" s="549"/>
      <c r="S61" s="549"/>
      <c r="T61" s="549"/>
      <c r="U61" s="550"/>
      <c r="V61" s="548"/>
      <c r="W61" s="549"/>
      <c r="X61" s="549"/>
      <c r="Y61" s="549"/>
      <c r="Z61" s="549"/>
      <c r="AA61" s="550"/>
      <c r="AB61" s="548"/>
      <c r="AC61" s="549"/>
      <c r="AD61" s="549"/>
      <c r="AE61" s="549"/>
      <c r="AF61" s="549"/>
      <c r="AG61" s="550"/>
      <c r="AH61" s="548"/>
      <c r="AI61" s="549"/>
      <c r="AJ61" s="549"/>
      <c r="AK61" s="549"/>
      <c r="AL61" s="549"/>
      <c r="AM61" s="55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91" t="s">
        <v>248</v>
      </c>
      <c r="C1" s="591"/>
      <c r="D1" s="59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249</v>
      </c>
      <c r="D3" s="12" t="s">
        <v>232</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250</v>
      </c>
      <c r="C4" s="14" t="s">
        <v>251</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252</v>
      </c>
      <c r="C5" s="17" t="s">
        <v>253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254</v>
      </c>
      <c r="C6" s="17" t="s">
        <v>255</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256</v>
      </c>
      <c r="C7" s="17" t="s">
        <v>257</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258</v>
      </c>
      <c r="C8" s="17" t="s">
        <v>259</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B5" sqref="B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92" t="s">
        <v>260</v>
      </c>
      <c r="C1" s="592"/>
      <c r="D1" s="59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261</v>
      </c>
      <c r="D3" s="36" t="s">
        <v>262</v>
      </c>
      <c r="E3" s="83"/>
      <c r="F3" s="83"/>
      <c r="G3" s="83"/>
      <c r="H3" s="83"/>
      <c r="I3" s="83"/>
      <c r="J3" s="83"/>
      <c r="K3" s="83"/>
      <c r="L3" s="83"/>
      <c r="M3" s="83"/>
      <c r="N3" s="83"/>
      <c r="O3" s="83"/>
      <c r="P3" s="83"/>
      <c r="Q3" s="83"/>
      <c r="R3" s="83"/>
      <c r="S3" s="83"/>
      <c r="T3" s="83"/>
      <c r="U3" s="83"/>
    </row>
    <row r="4" spans="1:21" ht="33.75" x14ac:dyDescent="0.25">
      <c r="A4" s="100" t="s">
        <v>263</v>
      </c>
      <c r="B4" s="39" t="s">
        <v>264</v>
      </c>
      <c r="C4" s="44" t="s">
        <v>265</v>
      </c>
      <c r="D4" s="37" t="s">
        <v>266</v>
      </c>
      <c r="E4" s="83"/>
      <c r="F4" s="83"/>
      <c r="G4" s="83"/>
      <c r="H4" s="83"/>
      <c r="I4" s="83"/>
      <c r="J4" s="83"/>
      <c r="K4" s="83"/>
      <c r="L4" s="83"/>
      <c r="M4" s="83"/>
      <c r="N4" s="83"/>
      <c r="O4" s="83"/>
      <c r="P4" s="83"/>
      <c r="Q4" s="83"/>
      <c r="R4" s="83"/>
      <c r="S4" s="83"/>
      <c r="T4" s="83"/>
      <c r="U4" s="83"/>
    </row>
    <row r="5" spans="1:21" ht="67.5" x14ac:dyDescent="0.25">
      <c r="A5" s="100" t="s">
        <v>267</v>
      </c>
      <c r="B5" s="40" t="s">
        <v>268</v>
      </c>
      <c r="C5" s="45" t="s">
        <v>269</v>
      </c>
      <c r="D5" s="38" t="s">
        <v>270</v>
      </c>
      <c r="E5" s="83"/>
      <c r="F5" s="83"/>
      <c r="G5" s="83"/>
      <c r="H5" s="83"/>
      <c r="I5" s="83"/>
      <c r="J5" s="83"/>
      <c r="K5" s="83"/>
      <c r="L5" s="83"/>
      <c r="M5" s="83"/>
      <c r="N5" s="83"/>
      <c r="O5" s="83"/>
      <c r="P5" s="83"/>
      <c r="Q5" s="83"/>
      <c r="R5" s="83"/>
      <c r="S5" s="83"/>
      <c r="T5" s="83"/>
      <c r="U5" s="83"/>
    </row>
    <row r="6" spans="1:21" ht="67.5" x14ac:dyDescent="0.25">
      <c r="A6" s="100" t="s">
        <v>238</v>
      </c>
      <c r="B6" s="41" t="s">
        <v>271</v>
      </c>
      <c r="C6" s="45" t="s">
        <v>272</v>
      </c>
      <c r="D6" s="38" t="s">
        <v>273</v>
      </c>
      <c r="E6" s="83"/>
      <c r="F6" s="83"/>
      <c r="G6" s="83"/>
      <c r="H6" s="83"/>
      <c r="I6" s="83"/>
      <c r="J6" s="83"/>
      <c r="K6" s="83"/>
      <c r="L6" s="83"/>
      <c r="M6" s="83"/>
      <c r="N6" s="83"/>
      <c r="O6" s="83"/>
      <c r="P6" s="83"/>
      <c r="Q6" s="83"/>
      <c r="R6" s="83"/>
      <c r="S6" s="83"/>
      <c r="T6" s="83"/>
      <c r="U6" s="83"/>
    </row>
    <row r="7" spans="1:21" ht="101.25" x14ac:dyDescent="0.25">
      <c r="A7" s="100" t="s">
        <v>274</v>
      </c>
      <c r="B7" s="42" t="s">
        <v>275</v>
      </c>
      <c r="C7" s="45" t="s">
        <v>276</v>
      </c>
      <c r="D7" s="38" t="s">
        <v>277</v>
      </c>
      <c r="E7" s="83"/>
      <c r="F7" s="83"/>
      <c r="G7" s="83"/>
      <c r="H7" s="83"/>
      <c r="I7" s="83"/>
      <c r="J7" s="83"/>
      <c r="K7" s="83"/>
      <c r="L7" s="83"/>
      <c r="M7" s="83"/>
      <c r="N7" s="83"/>
      <c r="O7" s="83"/>
      <c r="P7" s="83"/>
      <c r="Q7" s="83"/>
      <c r="R7" s="83"/>
      <c r="S7" s="83"/>
      <c r="T7" s="83"/>
      <c r="U7" s="83"/>
    </row>
    <row r="8" spans="1:21" ht="67.5" x14ac:dyDescent="0.25">
      <c r="A8" s="100" t="s">
        <v>278</v>
      </c>
      <c r="B8" s="43" t="s">
        <v>279</v>
      </c>
      <c r="C8" s="45" t="s">
        <v>280</v>
      </c>
      <c r="D8" s="38" t="s">
        <v>281</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282</v>
      </c>
      <c r="C11" s="100" t="s">
        <v>283</v>
      </c>
      <c r="D11" s="100" t="s">
        <v>284</v>
      </c>
      <c r="E11" s="83"/>
      <c r="F11" s="83"/>
      <c r="G11" s="83"/>
      <c r="H11" s="83"/>
      <c r="I11" s="83"/>
      <c r="J11" s="83"/>
      <c r="K11" s="83"/>
      <c r="L11" s="83"/>
      <c r="M11" s="83"/>
      <c r="N11" s="83"/>
      <c r="O11" s="83"/>
      <c r="P11" s="83"/>
      <c r="Q11" s="83"/>
      <c r="R11" s="83"/>
      <c r="S11" s="83"/>
      <c r="T11" s="83"/>
      <c r="U11" s="83"/>
    </row>
    <row r="12" spans="1:21" x14ac:dyDescent="0.25">
      <c r="A12" s="100"/>
      <c r="B12" s="100" t="s">
        <v>285</v>
      </c>
      <c r="C12" s="100" t="s">
        <v>286</v>
      </c>
      <c r="D12" s="100" t="s">
        <v>287</v>
      </c>
      <c r="E12" s="83"/>
      <c r="F12" s="83"/>
      <c r="G12" s="83"/>
      <c r="H12" s="83"/>
      <c r="I12" s="83"/>
      <c r="J12" s="83"/>
      <c r="K12" s="83"/>
      <c r="L12" s="83"/>
      <c r="M12" s="83"/>
      <c r="N12" s="83"/>
      <c r="O12" s="83"/>
      <c r="P12" s="83"/>
      <c r="Q12" s="83"/>
      <c r="R12" s="83"/>
      <c r="S12" s="83"/>
      <c r="T12" s="83"/>
      <c r="U12" s="83"/>
    </row>
    <row r="13" spans="1:21" x14ac:dyDescent="0.25">
      <c r="A13" s="100"/>
      <c r="B13" s="100"/>
      <c r="C13" s="100" t="s">
        <v>288</v>
      </c>
      <c r="D13" s="100" t="s">
        <v>188</v>
      </c>
      <c r="E13" s="83"/>
      <c r="F13" s="83"/>
      <c r="G13" s="83"/>
      <c r="H13" s="83"/>
      <c r="I13" s="83"/>
      <c r="J13" s="83"/>
      <c r="K13" s="83"/>
      <c r="L13" s="83"/>
      <c r="M13" s="83"/>
      <c r="N13" s="83"/>
      <c r="O13" s="83"/>
      <c r="P13" s="83"/>
      <c r="Q13" s="83"/>
      <c r="R13" s="83"/>
      <c r="S13" s="83"/>
      <c r="T13" s="83"/>
      <c r="U13" s="83"/>
    </row>
    <row r="14" spans="1:21" x14ac:dyDescent="0.25">
      <c r="A14" s="100"/>
      <c r="B14" s="100"/>
      <c r="C14" s="100" t="s">
        <v>158</v>
      </c>
      <c r="D14" s="100" t="s">
        <v>289</v>
      </c>
      <c r="E14" s="83"/>
      <c r="F14" s="83"/>
      <c r="G14" s="83"/>
      <c r="H14" s="83"/>
      <c r="I14" s="83"/>
      <c r="J14" s="83"/>
      <c r="K14" s="83"/>
      <c r="L14" s="83"/>
      <c r="M14" s="83"/>
      <c r="N14" s="83"/>
      <c r="O14" s="83"/>
      <c r="P14" s="83"/>
      <c r="Q14" s="83"/>
      <c r="R14" s="83"/>
      <c r="S14" s="83"/>
      <c r="T14" s="83"/>
      <c r="U14" s="83"/>
    </row>
    <row r="15" spans="1:21" x14ac:dyDescent="0.25">
      <c r="A15" s="100"/>
      <c r="B15" s="100"/>
      <c r="C15" s="100" t="s">
        <v>290</v>
      </c>
      <c r="D15" s="100" t="s">
        <v>291</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292</v>
      </c>
      <c r="C209" s="30" t="s">
        <v>293</v>
      </c>
      <c r="D209" s="33" t="s">
        <v>292</v>
      </c>
      <c r="E209" s="33" t="s">
        <v>293</v>
      </c>
    </row>
    <row r="210" spans="1:8" ht="21" x14ac:dyDescent="0.35">
      <c r="A210" s="83"/>
      <c r="B210" s="31" t="s">
        <v>294</v>
      </c>
      <c r="C210" s="31" t="s">
        <v>295</v>
      </c>
      <c r="D210" t="s">
        <v>294</v>
      </c>
      <c r="F210" t="str">
        <f>IF(NOT(ISBLANK(D210)),D210,IF(NOT(ISBLANK(E210)),"     "&amp;E210,FALSE))</f>
        <v>Afectación Económica o presupuestal</v>
      </c>
      <c r="G210" t="s">
        <v>294</v>
      </c>
      <c r="H210" t="str">
        <f>IF(NOT(ISERROR(MATCH(G210,_xlfn.ANCHORARRAY(B221),0))),F223&amp;"Por favor no seleccionar los criterios de impacto",G210)</f>
        <v>❌Por favor no seleccionar los criterios de impacto</v>
      </c>
    </row>
    <row r="211" spans="1:8" ht="21" x14ac:dyDescent="0.35">
      <c r="A211" s="83"/>
      <c r="B211" s="31" t="s">
        <v>294</v>
      </c>
      <c r="C211" s="31" t="s">
        <v>269</v>
      </c>
      <c r="E211" t="s">
        <v>295</v>
      </c>
      <c r="F211" t="str">
        <f t="shared" ref="F211:F221" si="0">IF(NOT(ISBLANK(D211)),D211,IF(NOT(ISBLANK(E211)),"     "&amp;E211,FALSE))</f>
        <v xml:space="preserve">     Afectación menor a 10 SMLMV .</v>
      </c>
    </row>
    <row r="212" spans="1:8" ht="21" x14ac:dyDescent="0.35">
      <c r="A212" s="83"/>
      <c r="B212" s="31" t="s">
        <v>294</v>
      </c>
      <c r="C212" s="31" t="s">
        <v>272</v>
      </c>
      <c r="E212" t="s">
        <v>269</v>
      </c>
      <c r="F212" t="str">
        <f t="shared" si="0"/>
        <v xml:space="preserve">     Entre 10 y 50 SMLMV </v>
      </c>
    </row>
    <row r="213" spans="1:8" ht="21" x14ac:dyDescent="0.35">
      <c r="A213" s="83"/>
      <c r="B213" s="31" t="s">
        <v>294</v>
      </c>
      <c r="C213" s="31" t="s">
        <v>276</v>
      </c>
      <c r="E213" t="s">
        <v>272</v>
      </c>
      <c r="F213" t="str">
        <f t="shared" si="0"/>
        <v xml:space="preserve">     Entre 50 y 100 SMLMV </v>
      </c>
    </row>
    <row r="214" spans="1:8" ht="21" x14ac:dyDescent="0.35">
      <c r="A214" s="83"/>
      <c r="B214" s="31" t="s">
        <v>294</v>
      </c>
      <c r="C214" s="31" t="s">
        <v>280</v>
      </c>
      <c r="E214" t="s">
        <v>276</v>
      </c>
      <c r="F214" t="str">
        <f t="shared" si="0"/>
        <v xml:space="preserve">     Entre 100 y 500 SMLMV </v>
      </c>
    </row>
    <row r="215" spans="1:8" ht="21" x14ac:dyDescent="0.35">
      <c r="A215" s="83"/>
      <c r="B215" s="31" t="s">
        <v>262</v>
      </c>
      <c r="C215" s="31" t="s">
        <v>266</v>
      </c>
      <c r="E215" t="s">
        <v>280</v>
      </c>
      <c r="F215" t="str">
        <f t="shared" si="0"/>
        <v xml:space="preserve">     Mayor a 500 SMLMV </v>
      </c>
    </row>
    <row r="216" spans="1:8" ht="21" x14ac:dyDescent="0.35">
      <c r="A216" s="83"/>
      <c r="B216" s="31" t="s">
        <v>262</v>
      </c>
      <c r="C216" s="31" t="s">
        <v>270</v>
      </c>
      <c r="D216" t="s">
        <v>262</v>
      </c>
      <c r="F216" t="str">
        <f t="shared" si="0"/>
        <v>Pérdida Reputacional</v>
      </c>
    </row>
    <row r="217" spans="1:8" ht="21" x14ac:dyDescent="0.35">
      <c r="A217" s="83"/>
      <c r="B217" s="31" t="s">
        <v>262</v>
      </c>
      <c r="C217" s="31" t="s">
        <v>273</v>
      </c>
      <c r="E217" t="s">
        <v>266</v>
      </c>
      <c r="F217" t="str">
        <f t="shared" si="0"/>
        <v xml:space="preserve">     El riesgo afecta la imagen de alguna área de la organización</v>
      </c>
    </row>
    <row r="218" spans="1:8" ht="21" x14ac:dyDescent="0.35">
      <c r="A218" s="83"/>
      <c r="B218" s="31" t="s">
        <v>262</v>
      </c>
      <c r="C218" s="31" t="s">
        <v>277</v>
      </c>
      <c r="E218" t="s">
        <v>270</v>
      </c>
      <c r="F218" t="str">
        <f t="shared" si="0"/>
        <v xml:space="preserve">     El riesgo afecta la imagen de la entidad internamente, de conocimiento general, nivel interno, de junta dircetiva y accionistas y/o de provedores</v>
      </c>
    </row>
    <row r="219" spans="1:8" ht="21" x14ac:dyDescent="0.35">
      <c r="A219" s="83"/>
      <c r="B219" s="31" t="s">
        <v>262</v>
      </c>
      <c r="C219" s="31" t="s">
        <v>281</v>
      </c>
      <c r="E219" t="s">
        <v>273</v>
      </c>
      <c r="F219" t="str">
        <f t="shared" si="0"/>
        <v xml:space="preserve">     El riesgo afecta la imagen de la entidad con algunos usuarios de relevancia frente al logro de los objetivos</v>
      </c>
    </row>
    <row r="220" spans="1:8" x14ac:dyDescent="0.25">
      <c r="A220" s="83"/>
      <c r="B220" s="32"/>
      <c r="C220" s="32"/>
      <c r="E220" t="s">
        <v>277</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281</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296</v>
      </c>
    </row>
    <row r="224" spans="1:8" x14ac:dyDescent="0.25">
      <c r="B224" s="22"/>
      <c r="C224" s="22"/>
      <c r="F224" s="35" t="s">
        <v>297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93" t="s">
        <v>298</v>
      </c>
      <c r="C1" s="594"/>
      <c r="D1" s="594"/>
      <c r="E1" s="594"/>
      <c r="F1" s="595"/>
    </row>
    <row r="2" spans="2:6" ht="16.5" thickBot="1" x14ac:dyDescent="0.3">
      <c r="B2" s="86"/>
      <c r="C2" s="86"/>
      <c r="D2" s="86"/>
      <c r="E2" s="86"/>
      <c r="F2" s="86"/>
    </row>
    <row r="3" spans="2:6" ht="16.5" thickBot="1" x14ac:dyDescent="0.25">
      <c r="B3" s="597" t="s">
        <v>299</v>
      </c>
      <c r="C3" s="598"/>
      <c r="D3" s="598"/>
      <c r="E3" s="98" t="s">
        <v>300</v>
      </c>
      <c r="F3" s="99" t="s">
        <v>301</v>
      </c>
    </row>
    <row r="4" spans="2:6" ht="31.5" x14ac:dyDescent="0.2">
      <c r="B4" s="599" t="s">
        <v>302</v>
      </c>
      <c r="C4" s="601" t="s">
        <v>147</v>
      </c>
      <c r="D4" s="87" t="s">
        <v>160</v>
      </c>
      <c r="E4" s="88" t="s">
        <v>303</v>
      </c>
      <c r="F4" s="89">
        <v>0.25</v>
      </c>
    </row>
    <row r="5" spans="2:6" ht="47.25" x14ac:dyDescent="0.2">
      <c r="B5" s="600"/>
      <c r="C5" s="602"/>
      <c r="D5" s="90" t="s">
        <v>304</v>
      </c>
      <c r="E5" s="91" t="s">
        <v>305</v>
      </c>
      <c r="F5" s="92">
        <v>0.15</v>
      </c>
    </row>
    <row r="6" spans="2:6" ht="47.25" x14ac:dyDescent="0.2">
      <c r="B6" s="600"/>
      <c r="C6" s="602"/>
      <c r="D6" s="90" t="s">
        <v>198</v>
      </c>
      <c r="E6" s="91" t="s">
        <v>306</v>
      </c>
      <c r="F6" s="92">
        <v>0.1</v>
      </c>
    </row>
    <row r="7" spans="2:6" ht="63" x14ac:dyDescent="0.2">
      <c r="B7" s="600"/>
      <c r="C7" s="602" t="s">
        <v>148</v>
      </c>
      <c r="D7" s="90" t="s">
        <v>307</v>
      </c>
      <c r="E7" s="91" t="s">
        <v>308</v>
      </c>
      <c r="F7" s="92">
        <v>0.25</v>
      </c>
    </row>
    <row r="8" spans="2:6" ht="31.5" x14ac:dyDescent="0.2">
      <c r="B8" s="600"/>
      <c r="C8" s="602"/>
      <c r="D8" s="90" t="s">
        <v>161</v>
      </c>
      <c r="E8" s="91" t="s">
        <v>309</v>
      </c>
      <c r="F8" s="92">
        <v>0.15</v>
      </c>
    </row>
    <row r="9" spans="2:6" ht="47.25" x14ac:dyDescent="0.2">
      <c r="B9" s="600" t="s">
        <v>310</v>
      </c>
      <c r="C9" s="602" t="s">
        <v>150</v>
      </c>
      <c r="D9" s="90" t="s">
        <v>162</v>
      </c>
      <c r="E9" s="91" t="s">
        <v>311</v>
      </c>
      <c r="F9" s="93" t="s">
        <v>312</v>
      </c>
    </row>
    <row r="10" spans="2:6" ht="63" x14ac:dyDescent="0.2">
      <c r="B10" s="600"/>
      <c r="C10" s="602"/>
      <c r="D10" s="90" t="s">
        <v>313</v>
      </c>
      <c r="E10" s="91" t="s">
        <v>314</v>
      </c>
      <c r="F10" s="93" t="s">
        <v>312</v>
      </c>
    </row>
    <row r="11" spans="2:6" ht="47.25" x14ac:dyDescent="0.2">
      <c r="B11" s="600"/>
      <c r="C11" s="602" t="s">
        <v>151</v>
      </c>
      <c r="D11" s="90" t="s">
        <v>163</v>
      </c>
      <c r="E11" s="91" t="s">
        <v>315</v>
      </c>
      <c r="F11" s="93" t="s">
        <v>312</v>
      </c>
    </row>
    <row r="12" spans="2:6" ht="47.25" x14ac:dyDescent="0.2">
      <c r="B12" s="600"/>
      <c r="C12" s="602"/>
      <c r="D12" s="90" t="s">
        <v>316</v>
      </c>
      <c r="E12" s="91" t="s">
        <v>317</v>
      </c>
      <c r="F12" s="93" t="s">
        <v>312</v>
      </c>
    </row>
    <row r="13" spans="2:6" ht="31.5" x14ac:dyDescent="0.2">
      <c r="B13" s="600"/>
      <c r="C13" s="602" t="s">
        <v>152</v>
      </c>
      <c r="D13" s="90" t="s">
        <v>164</v>
      </c>
      <c r="E13" s="91" t="s">
        <v>318</v>
      </c>
      <c r="F13" s="93" t="s">
        <v>312</v>
      </c>
    </row>
    <row r="14" spans="2:6" ht="32.25" thickBot="1" x14ac:dyDescent="0.25">
      <c r="B14" s="603"/>
      <c r="C14" s="604"/>
      <c r="D14" s="94" t="s">
        <v>319</v>
      </c>
      <c r="E14" s="95" t="s">
        <v>320</v>
      </c>
      <c r="F14" s="96" t="s">
        <v>312</v>
      </c>
    </row>
    <row r="15" spans="2:6" ht="49.5" customHeight="1" x14ac:dyDescent="0.2">
      <c r="B15" s="596" t="s">
        <v>321</v>
      </c>
      <c r="C15" s="596"/>
      <c r="D15" s="596"/>
      <c r="E15" s="596"/>
      <c r="F15" s="59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322</v>
      </c>
      <c r="E2" t="s">
        <v>323</v>
      </c>
    </row>
    <row r="3" spans="2:5" x14ac:dyDescent="0.25">
      <c r="B3" t="s">
        <v>324</v>
      </c>
      <c r="E3" t="s">
        <v>203</v>
      </c>
    </row>
    <row r="4" spans="2:5" x14ac:dyDescent="0.25">
      <c r="B4" t="s">
        <v>325</v>
      </c>
      <c r="E4" t="s">
        <v>153</v>
      </c>
    </row>
    <row r="5" spans="2:5" x14ac:dyDescent="0.25">
      <c r="B5" t="s">
        <v>165</v>
      </c>
    </row>
    <row r="8" spans="2:5" x14ac:dyDescent="0.25">
      <c r="B8" t="s">
        <v>326</v>
      </c>
    </row>
    <row r="9" spans="2:5" x14ac:dyDescent="0.25">
      <c r="B9" t="s">
        <v>327</v>
      </c>
    </row>
    <row r="10" spans="2:5" x14ac:dyDescent="0.25">
      <c r="B10" t="s">
        <v>328</v>
      </c>
    </row>
    <row r="13" spans="2:5" x14ac:dyDescent="0.25">
      <c r="B13" t="s">
        <v>329</v>
      </c>
    </row>
    <row r="14" spans="2:5" x14ac:dyDescent="0.25">
      <c r="B14" t="s">
        <v>157</v>
      </c>
    </row>
    <row r="15" spans="2:5" x14ac:dyDescent="0.25">
      <c r="B15" t="s">
        <v>330</v>
      </c>
    </row>
    <row r="16" spans="2:5" x14ac:dyDescent="0.25">
      <c r="B16" t="s">
        <v>331</v>
      </c>
    </row>
    <row r="17" spans="2:2" x14ac:dyDescent="0.25">
      <c r="B17" t="s">
        <v>332</v>
      </c>
    </row>
    <row r="18" spans="2:2" x14ac:dyDescent="0.25">
      <c r="B18" t="s">
        <v>333</v>
      </c>
    </row>
    <row r="19" spans="2:2" x14ac:dyDescent="0.25">
      <c r="B19" t="s">
        <v>334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2025-04-24T21:55:39Z</dcterms:modified>
  <cp:category/>
  <cp:contentStatus/>
</cp:coreProperties>
</file>