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4FABB605-8382-4740-902C-2C8E1D8429B4}" xr6:coauthVersionLast="47" xr6:coauthVersionMax="47" xr10:uidLastSave="{00000000-0000-0000-0000-000000000000}"/>
  <bookViews>
    <workbookView xWindow="-120" yWindow="-120" windowWidth="20730" windowHeight="11040" tabRatio="884" firstSheet="1" activeTab="2" xr2:uid="{00000000-000D-0000-FFFF-FFFF00000000}"/>
  </bookViews>
  <sheets>
    <sheet name="Intructivo " sheetId="21" r:id="rId1"/>
    <sheet name="CONTEXTO" sheetId="24"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 r:id="rId14"/>
    <externalReference r:id="rId15"/>
  </externalReferences>
  <calcPr calcId="191029"/>
  <pivotCaches>
    <pivotCache cacheId="0"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 i="1" l="1"/>
  <c r="Q32" i="1"/>
  <c r="T31" i="1"/>
  <c r="Q31" i="1"/>
  <c r="AB32" i="1" s="1"/>
  <c r="AA32" i="1" s="1"/>
  <c r="T30" i="1"/>
  <c r="Q30" i="1"/>
  <c r="AB31" i="1" s="1"/>
  <c r="AA31" i="1" s="1"/>
  <c r="T29" i="1"/>
  <c r="Q29" i="1"/>
  <c r="AB30" i="1" s="1"/>
  <c r="AA30" i="1" s="1"/>
  <c r="T77" i="1"/>
  <c r="Q77" i="1"/>
  <c r="T76" i="1"/>
  <c r="Q76" i="1"/>
  <c r="AB76" i="1" s="1"/>
  <c r="AA76" i="1" s="1"/>
  <c r="T73" i="1"/>
  <c r="Q73" i="1"/>
  <c r="T72" i="1"/>
  <c r="Q72" i="1"/>
  <c r="K72" i="1"/>
  <c r="L72" i="1" s="1"/>
  <c r="M72" i="1" s="1"/>
  <c r="H72" i="1"/>
  <c r="T71" i="1"/>
  <c r="Q71" i="1"/>
  <c r="T70" i="1"/>
  <c r="Q70" i="1"/>
  <c r="T69" i="1"/>
  <c r="Q69" i="1"/>
  <c r="T68" i="1"/>
  <c r="Q68" i="1"/>
  <c r="T67" i="1"/>
  <c r="Q67" i="1"/>
  <c r="T66" i="1"/>
  <c r="Q66" i="1"/>
  <c r="K66" i="1"/>
  <c r="L66" i="1" s="1"/>
  <c r="N66" i="1" s="1"/>
  <c r="H66" i="1"/>
  <c r="I66" i="1" s="1"/>
  <c r="T65" i="1"/>
  <c r="Q65" i="1"/>
  <c r="T64" i="1"/>
  <c r="Q64" i="1"/>
  <c r="T63" i="1"/>
  <c r="Q63" i="1"/>
  <c r="T62" i="1"/>
  <c r="Q62" i="1"/>
  <c r="AB62" i="1" s="1"/>
  <c r="AA62" i="1" s="1"/>
  <c r="T61" i="1"/>
  <c r="Q61" i="1"/>
  <c r="T60" i="1"/>
  <c r="Q60" i="1"/>
  <c r="K60" i="1"/>
  <c r="L60" i="1" s="1"/>
  <c r="M60" i="1" s="1"/>
  <c r="H60" i="1"/>
  <c r="T59" i="1"/>
  <c r="Q59" i="1"/>
  <c r="AB59" i="1" s="1"/>
  <c r="AA59" i="1" s="1"/>
  <c r="T58" i="1"/>
  <c r="Q58" i="1"/>
  <c r="T57" i="1"/>
  <c r="Q57" i="1"/>
  <c r="T56" i="1"/>
  <c r="Q56" i="1"/>
  <c r="T55" i="1"/>
  <c r="Q55" i="1"/>
  <c r="T54" i="1"/>
  <c r="Q54" i="1"/>
  <c r="K54" i="1"/>
  <c r="L54" i="1" s="1"/>
  <c r="M54" i="1" s="1"/>
  <c r="H54" i="1"/>
  <c r="I54" i="1" s="1"/>
  <c r="T53" i="1"/>
  <c r="Q53" i="1"/>
  <c r="T52" i="1"/>
  <c r="Q52" i="1"/>
  <c r="T51" i="1"/>
  <c r="Q51" i="1"/>
  <c r="AB51" i="1" s="1"/>
  <c r="AA51" i="1" s="1"/>
  <c r="T50" i="1"/>
  <c r="Q50" i="1"/>
  <c r="T49" i="1"/>
  <c r="Q49" i="1"/>
  <c r="T48" i="1"/>
  <c r="Q48" i="1"/>
  <c r="K48" i="1"/>
  <c r="L48" i="1" s="1"/>
  <c r="N48" i="1" s="1"/>
  <c r="I48" i="1"/>
  <c r="H48" i="1"/>
  <c r="T47" i="1"/>
  <c r="Q47" i="1"/>
  <c r="T45" i="1"/>
  <c r="Q45" i="1"/>
  <c r="T44" i="1"/>
  <c r="Q44" i="1"/>
  <c r="AB44" i="1" s="1"/>
  <c r="AA44" i="1" s="1"/>
  <c r="K42" i="1"/>
  <c r="L41" i="1" s="1"/>
  <c r="M41" i="1" s="1"/>
  <c r="AB41" i="1" s="1"/>
  <c r="AA41" i="1" s="1"/>
  <c r="T41" i="1"/>
  <c r="Q41" i="1"/>
  <c r="X43" i="1" s="1"/>
  <c r="H41" i="1"/>
  <c r="T40" i="1"/>
  <c r="Q40" i="1"/>
  <c r="T39" i="1"/>
  <c r="Q39" i="1"/>
  <c r="T37" i="1"/>
  <c r="Q37" i="1"/>
  <c r="AB37" i="1" s="1"/>
  <c r="AA37" i="1" s="1"/>
  <c r="K35" i="1"/>
  <c r="L34" i="1" s="1"/>
  <c r="M34" i="1" s="1"/>
  <c r="T34" i="1"/>
  <c r="Q34" i="1"/>
  <c r="X36" i="1" s="1"/>
  <c r="H34" i="1"/>
  <c r="I34" i="1" s="1"/>
  <c r="T33" i="1"/>
  <c r="Q33" i="1"/>
  <c r="X28" i="1"/>
  <c r="T26" i="1"/>
  <c r="Q26" i="1"/>
  <c r="K26" i="1"/>
  <c r="L26" i="1" s="1"/>
  <c r="M26" i="1" s="1"/>
  <c r="H26" i="1"/>
  <c r="T25" i="1"/>
  <c r="Q25" i="1"/>
  <c r="T24" i="1"/>
  <c r="Q24" i="1"/>
  <c r="T23" i="1"/>
  <c r="Q23" i="1"/>
  <c r="AB23" i="1" s="1"/>
  <c r="AA23" i="1" s="1"/>
  <c r="T22" i="1"/>
  <c r="Q22" i="1"/>
  <c r="T21" i="1"/>
  <c r="Q21" i="1"/>
  <c r="T20" i="1"/>
  <c r="Q20" i="1"/>
  <c r="K20" i="1"/>
  <c r="L20" i="1" s="1"/>
  <c r="M20" i="1" s="1"/>
  <c r="H20" i="1"/>
  <c r="I20" i="1" s="1"/>
  <c r="K14" i="1"/>
  <c r="L12" i="1" s="1"/>
  <c r="M12" i="1" s="1"/>
  <c r="T12" i="1"/>
  <c r="Q12" i="1"/>
  <c r="H12" i="1"/>
  <c r="K77" i="1"/>
  <c r="K75" i="1"/>
  <c r="K73" i="1"/>
  <c r="K70" i="1"/>
  <c r="K68" i="1"/>
  <c r="K65" i="1"/>
  <c r="K63" i="1"/>
  <c r="K61" i="1"/>
  <c r="K58" i="1"/>
  <c r="K76" i="1"/>
  <c r="K74" i="1"/>
  <c r="K71" i="1"/>
  <c r="K69" i="1"/>
  <c r="K67" i="1"/>
  <c r="K64" i="1"/>
  <c r="K62" i="1"/>
  <c r="K59" i="1"/>
  <c r="K57" i="1"/>
  <c r="K55" i="1"/>
  <c r="K53" i="1"/>
  <c r="K52" i="1"/>
  <c r="K50" i="1"/>
  <c r="K47" i="1"/>
  <c r="K44" i="1"/>
  <c r="K43" i="1"/>
  <c r="K39" i="1"/>
  <c r="K33" i="1"/>
  <c r="K31" i="1"/>
  <c r="K28" i="1"/>
  <c r="K27" i="1"/>
  <c r="K24" i="1"/>
  <c r="K22" i="1"/>
  <c r="K56" i="1"/>
  <c r="K51" i="1"/>
  <c r="K49" i="1"/>
  <c r="K45" i="1"/>
  <c r="K40" i="1"/>
  <c r="K37" i="1"/>
  <c r="K36" i="1"/>
  <c r="K32" i="1"/>
  <c r="K25" i="1"/>
  <c r="K23" i="1"/>
  <c r="K21" i="1"/>
  <c r="K18" i="1"/>
  <c r="K17" i="1"/>
  <c r="K19" i="1"/>
  <c r="X29" i="1" l="1"/>
  <c r="X31" i="1"/>
  <c r="X30" i="1"/>
  <c r="X32" i="1"/>
  <c r="AB29" i="1"/>
  <c r="AA29" i="1" s="1"/>
  <c r="AB69" i="1"/>
  <c r="AA69" i="1" s="1"/>
  <c r="AB64" i="1"/>
  <c r="AA64" i="1" s="1"/>
  <c r="AB67" i="1"/>
  <c r="AA67" i="1" s="1"/>
  <c r="AB71" i="1"/>
  <c r="AA71" i="1" s="1"/>
  <c r="AB45" i="1"/>
  <c r="AA45" i="1" s="1"/>
  <c r="AB40" i="1"/>
  <c r="AA40" i="1" s="1"/>
  <c r="AB25" i="1"/>
  <c r="AA25" i="1" s="1"/>
  <c r="N12" i="1"/>
  <c r="AB12" i="1"/>
  <c r="AA12" i="1" s="1"/>
  <c r="N41" i="1"/>
  <c r="N34" i="1"/>
  <c r="N54" i="1"/>
  <c r="AB20" i="1"/>
  <c r="AA20" i="1" s="1"/>
  <c r="I12" i="1"/>
  <c r="N20" i="1"/>
  <c r="N26" i="1"/>
  <c r="AB26" i="1"/>
  <c r="AA26" i="1" s="1"/>
  <c r="X14" i="1"/>
  <c r="X20" i="1"/>
  <c r="X24" i="1"/>
  <c r="AB24" i="1"/>
  <c r="AA24" i="1" s="1"/>
  <c r="I26" i="1"/>
  <c r="X27" i="1"/>
  <c r="X33" i="1"/>
  <c r="AB33" i="1"/>
  <c r="AA33" i="1" s="1"/>
  <c r="AB34" i="1"/>
  <c r="AA34" i="1" s="1"/>
  <c r="X39" i="1"/>
  <c r="AB39" i="1"/>
  <c r="AA39" i="1" s="1"/>
  <c r="I41" i="1"/>
  <c r="X42" i="1" s="1"/>
  <c r="X44" i="1"/>
  <c r="X47" i="1"/>
  <c r="AB47" i="1"/>
  <c r="AA47" i="1" s="1"/>
  <c r="M48" i="1"/>
  <c r="AB48" i="1" s="1"/>
  <c r="X48" i="1"/>
  <c r="X50" i="1"/>
  <c r="AB50" i="1"/>
  <c r="AA50" i="1" s="1"/>
  <c r="AB53" i="1"/>
  <c r="AA53" i="1" s="1"/>
  <c r="X53" i="1"/>
  <c r="X52" i="1"/>
  <c r="AB52" i="1"/>
  <c r="AA52" i="1" s="1"/>
  <c r="AB54" i="1"/>
  <c r="AA54" i="1" s="1"/>
  <c r="AB57" i="1"/>
  <c r="AA57" i="1" s="1"/>
  <c r="AB58" i="1"/>
  <c r="AA58" i="1" s="1"/>
  <c r="X58" i="1"/>
  <c r="X57" i="1"/>
  <c r="N60" i="1"/>
  <c r="AB60" i="1"/>
  <c r="AA60" i="1" s="1"/>
  <c r="N72" i="1"/>
  <c r="AB72" i="1"/>
  <c r="AA72" i="1" s="1"/>
  <c r="X23" i="1"/>
  <c r="X25" i="1"/>
  <c r="X26" i="1"/>
  <c r="X35" i="1"/>
  <c r="X37" i="1"/>
  <c r="X40" i="1"/>
  <c r="X45" i="1"/>
  <c r="X51" i="1"/>
  <c r="AB56" i="1"/>
  <c r="AA56" i="1" s="1"/>
  <c r="X56" i="1"/>
  <c r="X55" i="1"/>
  <c r="AB55" i="1"/>
  <c r="AA55" i="1" s="1"/>
  <c r="X54" i="1"/>
  <c r="I60" i="1"/>
  <c r="X61" i="1"/>
  <c r="AB61" i="1"/>
  <c r="AA61" i="1" s="1"/>
  <c r="X63" i="1"/>
  <c r="AB63" i="1"/>
  <c r="AA63" i="1" s="1"/>
  <c r="X65" i="1"/>
  <c r="AB65" i="1"/>
  <c r="AA65" i="1" s="1"/>
  <c r="M66" i="1"/>
  <c r="AB66" i="1" s="1"/>
  <c r="AA66" i="1" s="1"/>
  <c r="X66" i="1"/>
  <c r="X68" i="1"/>
  <c r="AB68" i="1"/>
  <c r="AA68" i="1" s="1"/>
  <c r="X70" i="1"/>
  <c r="AB70" i="1"/>
  <c r="AA70" i="1" s="1"/>
  <c r="I72" i="1"/>
  <c r="X73" i="1"/>
  <c r="AB73" i="1"/>
  <c r="AA73" i="1" s="1"/>
  <c r="X77" i="1"/>
  <c r="AB77" i="1"/>
  <c r="AA77" i="1" s="1"/>
  <c r="X59" i="1"/>
  <c r="X60" i="1"/>
  <c r="X62" i="1"/>
  <c r="X64" i="1"/>
  <c r="X67" i="1"/>
  <c r="X69" i="1"/>
  <c r="X71" i="1"/>
  <c r="X72" i="1"/>
  <c r="X76" i="1"/>
  <c r="F221" i="13"/>
  <c r="F211" i="13"/>
  <c r="F212" i="13"/>
  <c r="F213" i="13"/>
  <c r="F214" i="13"/>
  <c r="F215" i="13"/>
  <c r="F216" i="13"/>
  <c r="F217" i="13"/>
  <c r="F218" i="13"/>
  <c r="F219" i="13"/>
  <c r="F220" i="13"/>
  <c r="F210" i="13"/>
  <c r="B221" i="13" a="1"/>
  <c r="Z32" i="1" l="1"/>
  <c r="Y32" i="1"/>
  <c r="AC32" i="1" s="1"/>
  <c r="Z30" i="1"/>
  <c r="Y30" i="1"/>
  <c r="AC30" i="1" s="1"/>
  <c r="Z31" i="1"/>
  <c r="Y31" i="1"/>
  <c r="AC31" i="1" s="1"/>
  <c r="Z29" i="1"/>
  <c r="Y29" i="1"/>
  <c r="AC29" i="1" s="1"/>
  <c r="AB21" i="1"/>
  <c r="AA21" i="1" s="1"/>
  <c r="AB22" i="1"/>
  <c r="AA22" i="1" s="1"/>
  <c r="AA48" i="1"/>
  <c r="AB49" i="1"/>
  <c r="AA49" i="1" s="1"/>
  <c r="Z69" i="1"/>
  <c r="Y69" i="1"/>
  <c r="AC69" i="1" s="1"/>
  <c r="Z64" i="1"/>
  <c r="Y64" i="1"/>
  <c r="AC64" i="1" s="1"/>
  <c r="Y70" i="1"/>
  <c r="AC70" i="1" s="1"/>
  <c r="Z70" i="1"/>
  <c r="Y68" i="1"/>
  <c r="AC68" i="1" s="1"/>
  <c r="Z68" i="1"/>
  <c r="Y65" i="1"/>
  <c r="AC65" i="1" s="1"/>
  <c r="Z65" i="1"/>
  <c r="Y63" i="1"/>
  <c r="AC63" i="1" s="1"/>
  <c r="Z63" i="1"/>
  <c r="Y61" i="1"/>
  <c r="AC61" i="1" s="1"/>
  <c r="Z61" i="1"/>
  <c r="Z54" i="1"/>
  <c r="Y54" i="1"/>
  <c r="AC54" i="1" s="1"/>
  <c r="Y55" i="1"/>
  <c r="AC55" i="1" s="1"/>
  <c r="Z55" i="1"/>
  <c r="Z40" i="1"/>
  <c r="Y40" i="1"/>
  <c r="AC40" i="1" s="1"/>
  <c r="Y34" i="1"/>
  <c r="AC34" i="1" s="1"/>
  <c r="Z34" i="1"/>
  <c r="Z26" i="1"/>
  <c r="Y26" i="1"/>
  <c r="AC26" i="1" s="1"/>
  <c r="Z23" i="1"/>
  <c r="Y23" i="1"/>
  <c r="AC23" i="1" s="1"/>
  <c r="Y57" i="1"/>
  <c r="AC57" i="1" s="1"/>
  <c r="Z57" i="1"/>
  <c r="Y52" i="1"/>
  <c r="AC52" i="1" s="1"/>
  <c r="Z52" i="1"/>
  <c r="Y50" i="1"/>
  <c r="AC50" i="1" s="1"/>
  <c r="Z50" i="1"/>
  <c r="Y47" i="1"/>
  <c r="AC47" i="1" s="1"/>
  <c r="Z47" i="1"/>
  <c r="Z41" i="1"/>
  <c r="Y41" i="1"/>
  <c r="AC41" i="1" s="1"/>
  <c r="Y33" i="1"/>
  <c r="AC33" i="1" s="1"/>
  <c r="Z33" i="1"/>
  <c r="Z20" i="1"/>
  <c r="X21" i="1" s="1"/>
  <c r="Y20" i="1"/>
  <c r="AC20" i="1" s="1"/>
  <c r="Z72" i="1"/>
  <c r="Y72" i="1"/>
  <c r="AC72" i="1" s="1"/>
  <c r="Z60" i="1"/>
  <c r="Y60" i="1"/>
  <c r="AC60" i="1" s="1"/>
  <c r="Z76" i="1"/>
  <c r="Y76" i="1"/>
  <c r="AC76" i="1" s="1"/>
  <c r="Z71" i="1"/>
  <c r="Y71" i="1"/>
  <c r="AC71" i="1" s="1"/>
  <c r="Z67" i="1"/>
  <c r="Y67" i="1"/>
  <c r="AC67" i="1" s="1"/>
  <c r="Z62" i="1"/>
  <c r="Y62" i="1"/>
  <c r="AC62" i="1" s="1"/>
  <c r="Z59" i="1"/>
  <c r="Y59" i="1"/>
  <c r="AC59" i="1" s="1"/>
  <c r="Y77" i="1"/>
  <c r="AC77" i="1" s="1"/>
  <c r="Z77" i="1"/>
  <c r="Y73" i="1"/>
  <c r="AC73" i="1" s="1"/>
  <c r="Z73" i="1"/>
  <c r="Y66" i="1"/>
  <c r="AC66" i="1" s="1"/>
  <c r="Z66" i="1"/>
  <c r="Z56" i="1"/>
  <c r="Y56" i="1"/>
  <c r="AC56" i="1" s="1"/>
  <c r="Z51" i="1"/>
  <c r="Y51" i="1"/>
  <c r="AC51" i="1" s="1"/>
  <c r="Z45" i="1"/>
  <c r="Y45" i="1"/>
  <c r="AC45" i="1" s="1"/>
  <c r="Z37" i="1"/>
  <c r="Y37" i="1"/>
  <c r="AC37" i="1" s="1"/>
  <c r="Z25" i="1"/>
  <c r="Y25" i="1"/>
  <c r="AC25" i="1" s="1"/>
  <c r="Y58" i="1"/>
  <c r="AC58" i="1" s="1"/>
  <c r="Z58" i="1"/>
  <c r="Z53" i="1"/>
  <c r="Y53" i="1"/>
  <c r="AC53" i="1" s="1"/>
  <c r="Y48" i="1"/>
  <c r="AC48" i="1" s="1"/>
  <c r="Z48" i="1"/>
  <c r="X49" i="1" s="1"/>
  <c r="Y44" i="1"/>
  <c r="AC44" i="1" s="1"/>
  <c r="Z44" i="1"/>
  <c r="Y39" i="1"/>
  <c r="AC39" i="1" s="1"/>
  <c r="Z39" i="1"/>
  <c r="Y24" i="1"/>
  <c r="AC24" i="1" s="1"/>
  <c r="Z24" i="1"/>
  <c r="Z12" i="1"/>
  <c r="Y12" i="1"/>
  <c r="AC12" i="1" s="1"/>
  <c r="B221" i="13"/>
  <c r="Z49" i="1" l="1"/>
  <c r="Y49" i="1"/>
  <c r="AC49" i="1" s="1"/>
  <c r="Z21" i="1"/>
  <c r="X22" i="1" s="1"/>
  <c r="Y21" i="1"/>
  <c r="AC21"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Y22" i="1" l="1"/>
  <c r="AC22" i="1" s="1"/>
  <c r="Z2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AJ42" i="18"/>
  <c r="AJ18" i="18"/>
  <c r="AD26" i="18"/>
  <c r="L10" i="18"/>
  <c r="AD10" i="18"/>
  <c r="X18" i="18"/>
  <c r="AD42" i="18"/>
  <c r="L18" i="18"/>
  <c r="R10" i="18"/>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V22" i="19" l="1"/>
  <c r="J28" i="19"/>
  <c r="J47" i="19"/>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V37" i="19" l="1"/>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38" i="18" l="1"/>
  <c r="P6" i="18" l="1"/>
  <c r="J14" i="18"/>
  <c r="AH22" i="18"/>
  <c r="AH38" i="18"/>
  <c r="P30" i="18"/>
  <c r="AH14" i="18"/>
  <c r="J6" i="18"/>
  <c r="V6" i="18"/>
  <c r="V14" i="18"/>
  <c r="AH6" i="18"/>
  <c r="V22" i="18"/>
  <c r="J38" i="18"/>
  <c r="P14" i="18"/>
  <c r="AB6" i="18"/>
  <c r="V38" i="18"/>
  <c r="P38" i="18"/>
  <c r="J22" i="18"/>
  <c r="J30" i="18"/>
  <c r="AH30" i="18"/>
  <c r="V46" i="19"/>
  <c r="AB14" i="18"/>
  <c r="AB30" i="18"/>
  <c r="V30" i="18"/>
  <c r="P22" i="18"/>
  <c r="AB22" i="18"/>
  <c r="AH16" i="19"/>
  <c r="AB16" i="19"/>
  <c r="J26" i="19"/>
  <c r="AH26" i="19"/>
  <c r="V6" i="19"/>
  <c r="J16" i="19"/>
  <c r="J46" i="19"/>
  <c r="P16" i="19"/>
  <c r="V26" i="19"/>
  <c r="P6" i="19"/>
  <c r="AH36" i="19"/>
  <c r="AH6" i="19"/>
  <c r="P26" i="19"/>
  <c r="J36" i="19" l="1"/>
  <c r="AB26" i="19"/>
  <c r="P36" i="19"/>
  <c r="P46" i="19"/>
  <c r="AB6" i="19"/>
  <c r="J6" i="19"/>
  <c r="AB36" i="19"/>
  <c r="AB46" i="19"/>
  <c r="V36" i="19"/>
  <c r="AH46" i="19"/>
  <c r="V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<sst xmlns="http://schemas.openxmlformats.org/spreadsheetml/2006/main" count="653" uniqueCount="430">
  <si>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</si>
  <si>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</si>
  <si>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</si>
  <si>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</si>
  <si>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</si>
  <si>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</si>
  <si>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</si>
  <si>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</si>
  <si>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</si>
  <si>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</si>
  <si>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</si>
  <si>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</si>
  <si>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</si>
  <si>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</si>
  <si>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</si>
  <si>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</si>
  <si>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</si>
  <si>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</si>
  <si>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</si>
  <si>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</si>
  <si>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</si>
  <si>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</si>
  <si>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</si>
  <si>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</si>
  <si>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</si>
  <si>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</si>
  <si>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</si>
  <si>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</si>
  <si>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</si>
  <si>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</si>
  <si>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</si>
  <si>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</si>
  <si>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</si>
  <si>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</si>
  <si>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</si>
  <si>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</si>
  <si>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</si>
  <si>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</si>
  <si>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</si>
  <si>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</si>
  <si>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</si>
  <si>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</si>
  <si>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</si>
  <si>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</si>
  <si>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</si>
  <si>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</si>
  <si>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</si>
  <si>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</si>
  <si>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</si>
  <si>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</si>
  <si>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</si>
  <si>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</si>
  <si>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</si>
  <si>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</si>
  <si>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</si>
  <si>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</si>
  <si>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</si>
  <si>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</si>
  <si>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</si>
  <si>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</si>
  <si>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</si>
  <si>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</si>
  <si>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</si>
  <si>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</si>
  <si>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</si>
  <si>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</si>
  <si>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</si>
  <si>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</si>
  <si>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</si>
  <si>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</si>
  <si>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</si>
  <si>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</si>
  <si>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</si>
  <si>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</si>
  <si>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</si>
  <si>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</si>
  <si>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</si>
  <si>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</si>
  <si>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</si>
  <si>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</si>
  <si>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</si>
  <si>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</si>
  <si>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</si>
  <si>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</si>
  <si>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</si>
  <si>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</si>
  <si>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</si>
  <si>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</si>
  <si>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</si>
  <si>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</si>
  <si>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</si>
  <si>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</si>
  <si>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</si>
  <si>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</si>
  <si>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</si>
  <si>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</si>
  <si>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</si>
  <si>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</si>
  <si>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</si>
  <si>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</si>
  <si>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</si>
  <si>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</si>
  <si>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</si>
  <si>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</si>
  <si>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</si>
  <si>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</si>
  <si>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</si>
  <si>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</si>
  <si>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</si>
  <si>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</si>
  <si>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</si>
  <si>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</si>
  <si>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</si>
  <si>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</si>
  <si>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</si>
  <si>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</si>
  <si>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</si>
  <si>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</si>
  <si>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</si>
  <si>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</si>
  <si>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</si>
  <si>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</si>
  <si>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</si>
  <si>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</si>
  <si>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</si>
  <si>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</si>
  <si>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</si>
  <si>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</si>
  <si>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</si>
  <si>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</si>
  <si>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</si>
  <si>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</si>
  <si>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</si>
  <si>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</si>
  <si>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</si>
  <si>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</si>
  <si>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</si>
  <si>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</si>
  <si>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</si>
  <si>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</si>
  <si>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</si>
  <si>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</si>
  <si>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</si>
  <si>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</si>
  <si>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</si>
  <si>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</si>
  <si>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</si>
  <si>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</si>
  <si>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</si>
  <si>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</si>
  <si>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</si>
  <si>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</si>
  <si>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</si>
  <si>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</si>
  <si>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</si>
  <si>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</si>
  <si>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</si>
  <si>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</si>
  <si>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</si>
  <si>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</si>
  <si>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</si>
  <si>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</si>
  <si>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</si>
  <si>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</si>
  <si>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</si>
  <si>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</si>
  <si>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</si>
  <si>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</si>
  <si>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</si>
  <si>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</si>
  <si>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</si>
  <si>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</si>
  <si>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</si>
  <si>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</si>
  <si>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</si>
  <si>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</si>
  <si>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</si>
  <si>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</si>
  <si>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</si>
  <si>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</si>
  <si>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</si>
  <si>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</si>
  <si>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</si>
  <si>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</si>
  <si>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</si>
  <si>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</si>
  <si>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</si>
  <si>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</si>
  <si>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Proceso</t>
  </si>
  <si>
    <t>Objetivo</t>
  </si>
  <si>
    <t>Alcance</t>
  </si>
  <si>
    <t>Diligencie el alcance del proceso.</t>
  </si>
  <si>
    <t>Descripción - Lineamientos para el diligenciamiento</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</si>
  <si>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</si>
  <si>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</si>
  <si>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</si>
  <si>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</si>
  <si>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</si>
  <si>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Objetivos estratégicos</t>
  </si>
  <si>
    <t>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</si>
  <si>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</si>
  <si>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</si>
  <si>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</si>
  <si>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</si>
  <si>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</si>
  <si>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</si>
  <si>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</si>
  <si>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</si>
  <si>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</si>
  <si>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</si>
  <si>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t>CONTEXTO ESTRATÉGICO</t>
  </si>
  <si>
    <t>Hábitat y territorio:
Planear, desarrollar y liderar una ciudad segura y a escala humana, con conectividad digital, espacio público inclusivo, sistema de movilidad sostenible, ambientes de vivienda dignos, y prevención y mitigación de riesgos.</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</si>
  <si>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</si>
  <si>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</si>
  <si>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</si>
  <si>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</si>
  <si>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ALCANCE:</t>
  </si>
  <si>
    <t>OBJETIVOS ESTRATÉGICOS</t>
  </si>
  <si>
    <t>OBJETIVO DEL PROCESO</t>
  </si>
  <si>
    <t>PLANEACIÓN INSTITUCIONAL</t>
  </si>
  <si>
    <t>PUNTOS DE RIESGO EN LA CADENA DE VALOR</t>
  </si>
  <si>
    <t>MATRIZ DOFA</t>
  </si>
  <si>
    <t>DEBILIDADES</t>
  </si>
  <si>
    <t>AMENAZAS</t>
  </si>
  <si>
    <t>FORTALEZAS</t>
  </si>
  <si>
    <t>OPORTUNIDADES</t>
  </si>
  <si>
    <t>Fecha de inicio</t>
  </si>
  <si>
    <t>Fecha de terminación</t>
  </si>
  <si>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</si>
  <si>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</si>
  <si>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 xml:space="preserve">Diligencie el objetivo del proceso </t>
  </si>
  <si>
    <t>Diligencie el nombre del proceso al cual se le identificarán y valorarán los riesgos (conforme a la caracterización del proceso)</t>
  </si>
  <si>
    <t>Diligencie el nombre del proceso al cual se le identificarán y valorarán los riesgos (conforme a la caracterización del proceso vigente en la nube)</t>
  </si>
  <si>
    <t>Diligencie el alcance del proceso (conforme a la caracterización del proceso vigente en la nube)</t>
  </si>
  <si>
    <t>Diligencie el objetivo del proceso (conforme a la caracterización del proceso vigente en la nube)</t>
  </si>
  <si>
    <t>Utilice la lista de despligue que se encuentra parametrizada, le aparecerán los objetivos estratégicos de la entidad, seleccione el o los de su proceso (conforme al Plan de Desarrollo Municipal vigente)</t>
  </si>
  <si>
    <t>CONTEXTO ESTRATÉGICO DEL PROCESO</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</si>
  <si>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</si>
  <si>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</si>
  <si>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</si>
  <si>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t xml:space="preserve"> </t>
  </si>
  <si>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</si>
  <si>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</si>
  <si>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Código: F-DPM-10100-238,37-013</t>
  </si>
  <si>
    <t>Versión: 4.0</t>
  </si>
  <si>
    <t>Descripcion</t>
  </si>
  <si>
    <t>4.0</t>
  </si>
  <si>
    <t>Fecha</t>
  </si>
  <si>
    <t>Version</t>
  </si>
  <si>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</si>
  <si>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CONTROL DE CAMBIOS</t>
  </si>
  <si>
    <t xml:space="preserve">Se solicita el ajuste al documento solicitado con el fin de dar cumplimiento a lineamientos del DAFP y a recomendaciones por hallazgos de auditoria. </t>
  </si>
  <si>
    <t>Entregable</t>
  </si>
  <si>
    <r>
      <t xml:space="preserve">Plan de Acción
</t>
    </r>
    <r>
      <rPr>
        <sz val="9"/>
        <rFont val="Arial Narrow"/>
        <family val="2"/>
      </rPr>
      <t>Responsable, entregable, fecha de inicio, fecha de terminación</t>
    </r>
  </si>
  <si>
    <t>Fecha de aprobación: 7/03/2025</t>
  </si>
  <si>
    <t xml:space="preserve">Version </t>
  </si>
  <si>
    <t xml:space="preserve">Fecha </t>
  </si>
  <si>
    <t>1.0</t>
  </si>
  <si>
    <t>Erica Rueda/Profesional Secretaria de Planeacion</t>
  </si>
  <si>
    <t xml:space="preserve">Ajustes al documento con el fin de dar cumplimiento a lineamientos del DAFP y a recomendaciones por hallazgos de auditoria. </t>
  </si>
  <si>
    <t>Convocatoria previa, control de asistencia, memorias de la socialización 
(1)</t>
  </si>
  <si>
    <t>Servidores públicos y contratistas</t>
  </si>
  <si>
    <t>Acta de transferencia documental F-GDO-8600-238,37-022</t>
  </si>
  <si>
    <t xml:space="preserve">Informe de seguimiento a la organización documental F-GDO-8600-238,37-033 </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</si>
  <si>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</si>
  <si>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</si>
  <si>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t>Realizar monitoreo trimestral al Plan de Desarrollo Municipal para verificar el avance en el cumplimiento físico de metas y ejecución de recursos financieros</t>
  </si>
  <si>
    <t>Lider de proceso y profesional asignado</t>
  </si>
  <si>
    <t>Acta de reunion (3)</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</si>
  <si>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</si>
  <si>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</si>
  <si>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</si>
  <si>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</si>
  <si>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Profesional Asignado</t>
  </si>
  <si>
    <t>Investigaciones disciplinarias</t>
  </si>
  <si>
    <t>Realizar  un seguimiento  a las acciones establecidas en los Planes de Mejoramiento de auditorías internas suscritos</t>
  </si>
  <si>
    <t>Lider de proceso y
Profesional encargada</t>
  </si>
  <si>
    <t>Actas de seguimiento (1)</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</si>
  <si>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</si>
  <si>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</si>
  <si>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Crisis económica</t>
  </si>
  <si>
    <t>Sanciones disciplinarias, administrativas y fiscales por entes de control</t>
  </si>
  <si>
    <t xml:space="preserve">Base de datos de personas priorizadas para entrega de beneficios, generando la entrega inadecuada de los mismos. </t>
  </si>
  <si>
    <t xml:space="preserve">Posibilidad de afectación económica y reputacional por sanciones disciplinarias, administrativas y fiscales por entes de control, debido a la falta de control en la base de datos de personas priorizadas para entrega de beneficios, generando la entrega inadecuada de los mismos. </t>
  </si>
  <si>
    <t>El líder encargado de la administración del Observatorio de datos de la Secretaría de Desarrollo Social, implementa controles de seguridad para el acceso, manejo, consulta y descargue de información, de conformidad con los roles asignados por los lideres de cada programa.</t>
  </si>
  <si>
    <t xml:space="preserve">Realizar cada vez que se requiera la firma de compromisos de confidencialidad, por parte de líderes y apoyos designados para el manejo de las bases de datos de los diferentes programas de la Secretaría de Desarrollo Social. </t>
  </si>
  <si>
    <t>Subsecretario de Desarrollo Social/líder del programa-encargado de manejo de plataforma bases de datos</t>
  </si>
  <si>
    <t>Formato Compromiso de Confidencialidad</t>
  </si>
  <si>
    <t>Realizar semestralmente el cambio de contraseña a los correos institucionales, de los líderes y apoyos que manejan las bases de datos de los programas de la Secretaría de Desarrollo Social, registrados mediante acta.</t>
  </si>
  <si>
    <t>Acta de reunion en donde se registra el cambio de contraseñas (2)</t>
  </si>
  <si>
    <t>Realizar un (1) informe de seguimiento semestral al manejo de las bases de datos por parte de los responsables de cada programa de la Secretaría de Desarrollo Social.</t>
  </si>
  <si>
    <t>Informe de seguimiento (2)</t>
  </si>
  <si>
    <t>Investigaciones disciplinarias y administrativas por entes de control</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</si>
  <si>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</si>
  <si>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El Secretario de Desarrollo Social, emite lineamientos a supervisores y contratistas sobre la obligatoriedad de publicar a tiempo en la plataforma SECOP los documentos generados en los diferentes procesos contractuales conforme lo establece la norma.</t>
  </si>
  <si>
    <t>Expedir una (1) circular con el sustento normativo sobre la obligatoriedad de publicar los documentos de contratación en el SECOP, en los tiempos establecidos en la Ley.</t>
  </si>
  <si>
    <t>Secretario de  Desarrollo Social</t>
  </si>
  <si>
    <t>Circular Expedida (1)</t>
  </si>
  <si>
    <t>La Subsecretaria de Despacho impartirá instrucciones al equipo de contratación y supervisores de contratos de la Secretaría de Desarrollo Social, para realizar seguimiento y monitoreo aleatorio a la publicación de documentos en el SECOP</t>
  </si>
  <si>
    <t>Realizar un informe de seguimiento semestral al 20% de los procesos contractuales publicados en el SECOP</t>
  </si>
  <si>
    <t>Subsecretario  de Desarrollo de Social - equipo de contratación, supervisores de contratos.</t>
  </si>
  <si>
    <t xml:space="preserve">El coordinador jurídico y de contratación  organizará capacitación  en el tema de   contratación pública dirigido all equipo de contratación, financiero  y  supervisores de contratos de la SDS para aclarar dudas y reforzar conocimientos.  </t>
  </si>
  <si>
    <t xml:space="preserve">Realizar una jornada de socialización en el tema de contratación pública  al equipo de contratación, financiero  y  supervisores de contratos de la SDS para aclarar dudas y reforzar conocimientos.  </t>
  </si>
  <si>
    <t>Líder de Contratación</t>
  </si>
  <si>
    <t>Investigaciones y sanciones disciplinarias por entes de control</t>
  </si>
  <si>
    <t>Incumplimiento de la Ley 594 del 2000 en los documentos emanados por la Secretaría de Desarrollo Social.</t>
  </si>
  <si>
    <t>Posibilidad de afectación reputacional por posibles investigaciones y sanciones disciplinarias por entes de control, debido al incumplimiento de la Ley 594 del 2000 en los documentos emanados por la Secretaría de Desarrollo Social.</t>
  </si>
  <si>
    <t>El área de archivo de la Secretaría de Desarrollo Social encargada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</si>
  <si>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Secretaría de Desarrollo Social en los tiempos establecidos en el cronograma para la vigencia que aplique la tabla de retención documental vigentes</t>
  </si>
  <si>
    <t>Organizar el 20% de los expedientes producidos por la Secretaría de Desarrollo Social</t>
  </si>
  <si>
    <t>Elaborar el 20% de los inventarios documentales de los archivos producidos por la Secretaría de Desarrollo Social</t>
  </si>
  <si>
    <t xml:space="preserve">Informe de seguimiento a la organización documental F-GDO-8600-238,37-003 </t>
  </si>
  <si>
    <t>Sanciones e investigaciones disciplinarias de entes de control</t>
  </si>
  <si>
    <t>Posibilidad de afectación económica y reputacional por sanciones e investigaciones disciplinarias de entes de control debido a la falta de seguimiento al ingreso y ejecución de recursos provenientes de la estampilla departamental pro adulto mayor.</t>
  </si>
  <si>
    <t>El Secretario de Desarrollo Social del municipio mediante comunicación al Secretario de Desarrollo Social del Departamento de Santander, solicitará la transferencia de los recursos de la estampilla para el Bienestar del Adulto Mayor, de manera oportuna para garantizar su ejecución.</t>
  </si>
  <si>
    <t xml:space="preserve">Enviar dos comunicaciones, dirigida a la Secretaría de Desarrollo Social del Departamento de Santander, solicitando la transferencia de los recursos de la estampilla para el Bienestar del Adulto Mayor de manera oportuna. </t>
  </si>
  <si>
    <t>Secretario de Desarrollo Social y Coordinador área financiera y  jurídica de la SDS..</t>
  </si>
  <si>
    <t>Comunicaciones enviadas (2)</t>
  </si>
  <si>
    <t>1/03/2025
01/07/2025</t>
  </si>
  <si>
    <t>30/06/2025
30/08/2025</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</si>
  <si>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</si>
  <si>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Informe de Seguimiento (2)</t>
  </si>
  <si>
    <t>Investigaciones y sanciones disciplinarias por entes de Control</t>
  </si>
  <si>
    <t>Interrupción en la prestación de los servicios ofrecidos por la Secretaría de Desarrollo Social.</t>
  </si>
  <si>
    <t>Posibilidad de afectación reputacional por posibles investigaciones y sanciones disciplinarias por entes de Control, debido a la interrupción en la prestación de los servicios ofrecidos por la Secretaría de Desarrollo Social.</t>
  </si>
  <si>
    <t>La Subsecretaría de Desarrollo Social, identifica los programas y servicios que no puede ser interrumpidos y gestiona las vigencias futuras para garantizar la continuidad de los mismos</t>
  </si>
  <si>
    <t>Realizar un informe donde se prioricen los programas que requieren continuidad para garantizar la prestación de servicios y presentar la solicitud de vigencias futuras</t>
  </si>
  <si>
    <t>Secretario de Desarrollo Social</t>
  </si>
  <si>
    <t>Informe priorizacicon (1)</t>
  </si>
  <si>
    <t>Realizar el trámite de solicitud de vigencias futuras de los programas priorizados.</t>
  </si>
  <si>
    <t>Correo electronico de solicitud de vigencias futuras y anexos</t>
  </si>
  <si>
    <t xml:space="preserve"> Investigaciones y sanciones disciplinarias por entes de Control</t>
  </si>
  <si>
    <t>Incumplimiento de la Ley 1551 del 2012, articulo 42 relacionado con el pago de seguridad social y póliza de vida a ediles activos.</t>
  </si>
  <si>
    <t>Posibilidad de afectación reputacional por posibles investigaciones y sanciones disciplinarias por entes de Control, debido al incumplimiento de la Ley 1551 del 2012, articulo 42 relacionado con el pago de seguridad social y póliza de vida a ediles activos.</t>
  </si>
  <si>
    <t>El profesional de UNDECO, entrega al Área Financiera la liquidación de la planilla de seguridad social de los ediles activos, para adelantar el pago oportunamente.</t>
  </si>
  <si>
    <t>Realizar mensualmente el trámite para el pago de seguridad social de los ediles activos, a través de correo electrónico a la Tesorería Municipal.</t>
  </si>
  <si>
    <t>Correo electronico de solicitud (12)</t>
  </si>
  <si>
    <t>El líder de UNDECO, verifica el listado de ediles activos de Bucaramanga para la adquisición   de póliza de vida para los ediles electos.</t>
  </si>
  <si>
    <t>Realizar la compra de póliza para los ediles elegidos de Bucaramanga, de la vigencia 2025, sin perder la continuidad</t>
  </si>
  <si>
    <t>Poliza adquirida (1)</t>
  </si>
  <si>
    <t>Solicitar  al área TIC la publicación del 100% de documentos solictados  vía correo electrónico relacionados  con acciones  a cargo de la Secretaria de Desarrollo Social, de acuerdo con los estandares establecidos en la Resolucuión 1519 de 2020</t>
  </si>
  <si>
    <t>Lider de programas  y profesional asignado</t>
  </si>
  <si>
    <t>Solicitudes de publicación enviados al área TIC</t>
  </si>
  <si>
    <t xml:space="preserve">El profesional encargado revisa las acciones correctivas establecidas y plasmadas en los Planes de Mejoramiento de auditorías internas suscritos, a través de seguimientos con los responsables de su cumplimiento </t>
  </si>
  <si>
    <r>
      <rPr>
        <sz val="10"/>
        <rFont val="Arial Narrow"/>
        <family val="2"/>
      </rPr>
      <t>El profesional responsable de la Secretaria de Desarrollo Social realiza monitoreo al Plan de Desarrollo Municipal 2024-2027, con el objetivo de verificar el avance en el cumplimiento físico de las metas y/o ejecución de recursos financieros, siguiendo los lineamientos del orden nacional y normas vigentes</t>
    </r>
    <r>
      <rPr>
        <sz val="10"/>
        <color theme="1"/>
        <rFont val="Arial Narrow"/>
        <family val="2"/>
      </rPr>
      <t>.</t>
    </r>
  </si>
  <si>
    <t>Investigaciones disciplinarias y sanciones por entes de control</t>
  </si>
  <si>
    <t>Deficiente planeación de las necesidades de plan anual de adquisiciones por parte de la Secretaría de Desarrollo</t>
  </si>
  <si>
    <t>Posibilidad de afectación reputacional por investigaciones disciplinarias y sanciones por entes de control por deficiente planeación de las necesidades del Plan Anual de Adquisiciones por parte de la Secretaria de Desarrollo Social</t>
  </si>
  <si>
    <t>El Secretario de Desarrollo Social y su equipo de contratación verifican las necesidades del trimestre en el plan anual de adquisiciones, en caso de que se requieraa solicita la modificacion o actualizacion a bienes y servicios</t>
  </si>
  <si>
    <t>Realizar una reunion de seguimiento trimestral a la contratacion programada en el Plan Anual de Adquisiciones PAA</t>
  </si>
  <si>
    <t>Acta de Reunion (3)</t>
  </si>
  <si>
    <t>PROYECCIÓN Y DESARROLLO COMUNITARIO</t>
  </si>
  <si>
    <t>Direccionar el diseño, monitoreo y asesoría a los diferentes programas de las Secretarias de Desarrollo Social y del Interior mediante estrategias y acciones que promuevan la igualdad de derechos y oportunidades de los diversos grupos poblacionales de Bucaramanga</t>
  </si>
  <si>
    <t>El proceso inicia con la identificación de necesidades de la población en situación de vulnerabilidad y pobreza extrema, insumos para la adopción de políticas públicas de grupos poblacionales, el diseño de planes, programas y proyectos de corte social y termina con la implementación y ejecución de acciones que superen condiciones de inequidad social y generen bienestar en los menos favorecidos.</t>
  </si>
  <si>
    <t xml:space="preserve">PROYECCIÓN Y DESARROLLO COMUNITARIO </t>
  </si>
  <si>
    <t>Programas sociales, proyectos, Políticas Públicas, Plan de acción</t>
  </si>
  <si>
    <t xml:space="preserve">Formulación de programas, proyectos, divulgación de la información, contratación, plan de acción y seguimiento, selección de población beneficiaria de servicios, 
Entrega de beneficios.  </t>
  </si>
  <si>
    <t xml:space="preserve">TERRITORIO SEGURO QUE INTEGRA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</si>
  <si>
    <t>Escasos  canales formales de comunicación y divulgación de beneficios y oferta institucional.</t>
  </si>
  <si>
    <t>Aumento de la población en situación de vulnerabilidad.</t>
  </si>
  <si>
    <t>Demora en la contrataciónd el personald e apoyo a la gestión.</t>
  </si>
  <si>
    <t>Discriminación hacia la población habitante en  calle</t>
  </si>
  <si>
    <t>Dificulatda para obtener documentos de identificación del habitante en calle.</t>
  </si>
  <si>
    <t>Influencia y manipulación de la clase política en las oragnziaciones de base</t>
  </si>
  <si>
    <t>Limitada  fomación académica de los líderes de base JAC-JAL</t>
  </si>
  <si>
    <t>Falsas noticias en redes sociales</t>
  </si>
  <si>
    <t>Insuficientes Recursos Económicos para inversión en  Programas Sociales</t>
  </si>
  <si>
    <t>Falta de compromiso  e interés de la familia del adulto mayor para involucrarse  y apoyarlo en el proceso de envejecimiento digno.</t>
  </si>
  <si>
    <t>Infraestructura inadecuada para una prestación del servicio acorde con normas de salud y seguridad en el trabajo y atención a la comunidad.</t>
  </si>
  <si>
    <t>Falta de conciencia solidaria con la población en condición de discapacidad.</t>
  </si>
  <si>
    <t>Infraestructura tecnológica deficiente</t>
  </si>
  <si>
    <t>La no regularización y legalización de status migratorio en el país por parte de la pobalción migrante Venezolana.</t>
  </si>
  <si>
    <t xml:space="preserve">Falta de que existan vinculos con las plataformas informativas oficiales que atienden  población migrante venezolana. </t>
  </si>
  <si>
    <t xml:space="preserve">Continua y permanente llegada de personas víctimas, desplazados y otros  en situaciones socioeconómicas débiles </t>
  </si>
  <si>
    <t xml:space="preserve">Barreras de accesibilidad en  las poblaciones a los sistemas de  información y registro. </t>
  </si>
  <si>
    <t>Alteraciones en el orden publico  e inseguridad.</t>
  </si>
  <si>
    <t>Falta de apoyo del sector empresarial y de la banca al impulso de proyectos de corte social.</t>
  </si>
  <si>
    <t>Actitudes xenofóbicas y homofóbicas aun existentes en la ciudadanía</t>
  </si>
  <si>
    <t>poblaciones con  características diversas</t>
  </si>
  <si>
    <t xml:space="preserve">Desconocimiento de manejo herramientas tecnológicas por parte de clientes internos y externos.. </t>
  </si>
  <si>
    <t>Desconocimiento de uso de plataformas por parte de beneficiarios de programas.</t>
  </si>
  <si>
    <t>Monopolios locales en la producción agropecuaria.</t>
  </si>
  <si>
    <t>Baja seguridad en el manejo y conservación de  datos</t>
  </si>
  <si>
    <t>Insuficiente Personal de  Planta  que lidere la totalidad de los Programas Institucionales</t>
  </si>
  <si>
    <t>Crisis humanitaria y política en Venezuela.</t>
  </si>
  <si>
    <t>Limitada caracterización de poblaciones.</t>
  </si>
  <si>
    <t>Alta rotación de la población</t>
  </si>
  <si>
    <t>Uso inadecuado de la ayuda o beneficio  entregado.</t>
  </si>
  <si>
    <t>Bajo relevo generacional rural.</t>
  </si>
  <si>
    <t>El programa Desarrollo del Campo no esta constituido como Entidad pestadora  del servicio de extensión Agropecuaria.</t>
  </si>
  <si>
    <t>Escases de mano de obra rural.</t>
  </si>
  <si>
    <t>Cambio climático.</t>
  </si>
  <si>
    <t>Personal de planta y CPS capacitados, con actitud de servicio, alta experiencia y gran compromiso.</t>
  </si>
  <si>
    <t>Posibilidad de gestionar recursos en entidades a nivel nacional e internacional.</t>
  </si>
  <si>
    <t>Alianzas con organizaciones nacionales e internacionales, públicas y privadas..</t>
  </si>
  <si>
    <t xml:space="preserve">Acceder a  recursos de Cooperación Internacional  (O.I.M) </t>
  </si>
  <si>
    <t>Trabajo articulado a  nivel interinstitucional.</t>
  </si>
  <si>
    <t>Incentivos y subsidios para población vulnerable por parte del gobierno nacional y local.</t>
  </si>
  <si>
    <t xml:space="preserve">Adopción de políticas  públicas </t>
  </si>
  <si>
    <t>Posibilidad de implementar programas de  rehabilitación para la población con discapacidad.</t>
  </si>
  <si>
    <t>Implementación de un observatorio de información ( sistema de identificación de beneficiarios, seguimiento a políticas públicas y cumplimiento de metas).</t>
  </si>
  <si>
    <t>Auge de innovación tecnológica.</t>
  </si>
  <si>
    <t>El contar con cuatro centros  vida, y 29 ágoras  de propiedad del Municipio.</t>
  </si>
  <si>
    <t>La exigencia del orden nacional al ente territorial para el cumplimiento  de la política pública</t>
  </si>
  <si>
    <t xml:space="preserve">Equipos de trabajo capacitado con enfoque de género y diferencial </t>
  </si>
  <si>
    <t>Cambio de conciencia hacia la aceptación de las diferencias de identidad de género y orientación sexual.</t>
  </si>
  <si>
    <t>Desarrollo de proceso de caracterización de poblaciones.</t>
  </si>
  <si>
    <t>Interés del gobierno Nacional y local en la implementación de políticas de protección a las persona mayores  en situación  de  vulnerabilidad y pobreza extrema.</t>
  </si>
  <si>
    <t>Amplio conocimiento de los programas ejecutados por parte  del equipo de trabajo.</t>
  </si>
  <si>
    <t>Oportunidad para establecer nuevos convenios interinsticionales</t>
  </si>
  <si>
    <t>Liderazgo y compromiso del nivel directivo</t>
  </si>
  <si>
    <t>Reactivación económica.</t>
  </si>
  <si>
    <t>Practica de inclusión en los diferentes programas implementados.</t>
  </si>
  <si>
    <t>Oferta institucional para  formación y educación a  poblaciones.</t>
  </si>
  <si>
    <t>Infrestructura propia(  ágoras, centros vida, casa de la mujer dotadas ).</t>
  </si>
  <si>
    <t>Nuevas ofertas Institucionales  del Gobierno Nacional para impulsar el desarrollo agropecuario.</t>
  </si>
  <si>
    <t>Integración del productor campesino con el consumidor en la ciudad a traves de los mercadillos campesinos.</t>
  </si>
  <si>
    <t>Plan de Desarrollo Nacional que incluye políticas de corte social.</t>
  </si>
  <si>
    <t xml:space="preserve">Servicio de atención psicología, trabajo social y asesoría jurídica en  casos de violencias basadas en género y demás  programas  </t>
  </si>
  <si>
    <t>El contar con normas Nacionales relacionadas con la particpación ciudadana y la transaprencia.</t>
  </si>
  <si>
    <t>Normatividad reciente</t>
  </si>
  <si>
    <t>en cuanto a operatividad de JAL y JAC</t>
  </si>
  <si>
    <t>Exsitencia de bases de datos de población priorizada</t>
  </si>
  <si>
    <t>Erika Rueda Profesional                            Secretaraia de Planeacion</t>
  </si>
  <si>
    <t>Posibilidad de afectación reputacional por investigaciones disciplinarias debido al incumplimiento de las acciones correctivas en los tiempos estipulados y plasmados en los Planes de Mejoramiento de auditorías internas, suscritos</t>
  </si>
  <si>
    <t>incumplimiento de las acciones correctivas en los tiempos estipulados y plasmados en los Planes de Mejoramiento de auditorías internas, suscritos</t>
  </si>
  <si>
    <t xml:space="preserve">Investigaciones y sanciones disciplinarias por entes de control </t>
  </si>
  <si>
    <t>Matriz Mapa Riesgos de Gestión 2025</t>
  </si>
  <si>
    <t>incumplimiento de la normatividad relacionada con los procesos de contratación pública tramitados en la Secretaría de Desarrollo Social</t>
  </si>
  <si>
    <t>falta de seguimiento al ingreso y ejecución de recursos provenientes de la estampilla departamental pro 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</si>
</sst>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9"/>
      <color theme="1"/>
      <name val="Arial"/>
      <family val="2"/>
    </font>
    <font>
      <sz val="11"/>
      <color rgb="FF000000"/>
      <name val="Arial Narrow"/>
      <family val="2"/>
    </font>
    <font>
      <sz val="11"/>
      <color rgb="FF00000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2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7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7" xfId="0" applyFont="1" applyFill="1" applyBorder="1" applyAlignment="1">
      <alignment horizontal="left" vertical="center" wrapText="1" indent="1"/>
    </xf>
    <xf numFmtId="0" fontId="72"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66" fillId="0" borderId="111" xfId="0" applyFont="1" applyBorder="1" applyAlignment="1">
      <alignment horizontal="center"/>
    </xf>
    <xf numFmtId="0" fontId="72" fillId="17" borderId="106" xfId="0" applyFont="1" applyFill="1" applyBorder="1" applyAlignment="1">
      <alignment horizontal="center" vertical="center" wrapText="1"/>
    </xf>
    <xf numFmtId="0" fontId="1" fillId="0" borderId="4" xfId="0" applyFont="1" applyBorder="1" applyAlignment="1">
      <alignment horizontal="center" vertical="center"/>
    </xf>
    <xf numFmtId="0" fontId="4" fillId="2" borderId="8" xfId="0" applyFont="1" applyFill="1" applyBorder="1" applyAlignment="1">
      <alignment horizontal="center" vertical="center" wrapText="1"/>
    </xf>
    <xf numFmtId="9" fontId="1" fillId="0" borderId="8" xfId="0" applyNumberFormat="1" applyFont="1" applyBorder="1" applyAlignment="1" applyProtection="1">
      <alignment horizontal="center" vertical="center" wrapText="1"/>
      <protection hidden="1"/>
    </xf>
    <xf numFmtId="0" fontId="1" fillId="3" borderId="2"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70" fillId="17" borderId="96" xfId="0" applyFont="1" applyFill="1" applyBorder="1" applyAlignment="1">
      <alignment horizontal="left" vertical="center" wrapText="1" indent="1"/>
    </xf>
    <xf numFmtId="0" fontId="74" fillId="0" borderId="0" xfId="0" applyFont="1" applyAlignment="1">
      <alignment horizontal="center" vertical="center"/>
    </xf>
    <xf numFmtId="0" fontId="50" fillId="0" borderId="2" xfId="0" applyFont="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6" fillId="0" borderId="2" xfId="0" applyFont="1" applyBorder="1" applyAlignment="1" applyProtection="1">
      <alignment horizontal="center" vertical="center" wrapText="1"/>
      <protection locked="0"/>
    </xf>
    <xf numFmtId="0" fontId="50" fillId="0" borderId="2" xfId="0" applyFont="1" applyBorder="1" applyAlignment="1" applyProtection="1">
      <alignment horizontal="justify" vertical="center" wrapText="1"/>
      <protection locked="0"/>
    </xf>
    <xf numFmtId="0" fontId="50" fillId="0" borderId="2" xfId="0" applyFont="1" applyFill="1" applyBorder="1" applyAlignment="1" applyProtection="1">
      <alignment horizontal="justify" vertical="center"/>
      <protection locked="0"/>
    </xf>
    <xf numFmtId="0" fontId="2"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justify" vertical="center" wrapText="1"/>
      <protection locked="0"/>
    </xf>
    <xf numFmtId="14" fontId="6" fillId="0" borderId="2" xfId="0" applyNumberFormat="1" applyFont="1" applyFill="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6" fillId="3" borderId="64" xfId="0" applyFont="1" applyFill="1" applyBorder="1" applyAlignment="1">
      <alignment horizontal="left" vertical="top"/>
    </xf>
    <xf numFmtId="0" fontId="6" fillId="3" borderId="65" xfId="0" applyFont="1" applyFill="1" applyBorder="1" applyAlignment="1">
      <alignment horizontal="left" vertical="top"/>
    </xf>
    <xf numFmtId="0" fontId="6" fillId="3" borderId="66" xfId="0" applyFont="1" applyFill="1" applyBorder="1" applyAlignment="1">
      <alignment horizontal="left" vertical="top"/>
    </xf>
    <xf numFmtId="0" fontId="6" fillId="0" borderId="72" xfId="0" applyFont="1" applyBorder="1" applyAlignment="1">
      <alignment horizontal="left" vertical="top"/>
    </xf>
    <xf numFmtId="0" fontId="6" fillId="0" borderId="41" xfId="0" applyFont="1" applyBorder="1" applyAlignment="1">
      <alignment horizontal="left" vertical="top"/>
    </xf>
    <xf numFmtId="0" fontId="6" fillId="0" borderId="104" xfId="0" applyFont="1" applyBorder="1" applyAlignment="1">
      <alignment horizontal="left" vertical="top"/>
    </xf>
    <xf numFmtId="0" fontId="6" fillId="0" borderId="105" xfId="0" applyFont="1" applyBorder="1" applyAlignment="1">
      <alignment horizontal="left" vertical="top"/>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6" fillId="3" borderId="104" xfId="0" applyFont="1" applyFill="1" applyBorder="1" applyAlignment="1">
      <alignment horizontal="left" vertical="top" wrapText="1"/>
    </xf>
    <xf numFmtId="0" fontId="6" fillId="3" borderId="105" xfId="0" applyFont="1" applyFill="1" applyBorder="1" applyAlignment="1">
      <alignment horizontal="left" vertical="top" wrapText="1"/>
    </xf>
    <xf numFmtId="0" fontId="6" fillId="3" borderId="104" xfId="0" applyFont="1" applyFill="1" applyBorder="1" applyAlignment="1">
      <alignment horizontal="left" vertical="top"/>
    </xf>
    <xf numFmtId="0" fontId="6" fillId="3" borderId="105" xfId="0" applyFont="1" applyFill="1" applyBorder="1" applyAlignment="1">
      <alignment horizontal="left" vertical="top"/>
    </xf>
    <xf numFmtId="0" fontId="6" fillId="3" borderId="77" xfId="0" applyFont="1" applyFill="1" applyBorder="1" applyAlignment="1">
      <alignment horizontal="left" vertical="top"/>
    </xf>
    <xf numFmtId="0" fontId="3" fillId="0" borderId="104" xfId="0" applyFont="1" applyBorder="1" applyAlignment="1">
      <alignment horizontal="left" vertical="top"/>
    </xf>
    <xf numFmtId="0" fontId="3" fillId="0" borderId="105" xfId="0" applyFont="1" applyBorder="1" applyAlignment="1">
      <alignment horizontal="left" vertical="top"/>
    </xf>
    <xf numFmtId="0" fontId="3" fillId="0" borderId="77" xfId="0" applyFont="1" applyBorder="1" applyAlignment="1">
      <alignment horizontal="left" vertical="top"/>
    </xf>
    <xf numFmtId="0" fontId="6" fillId="3" borderId="35" xfId="0" applyFont="1" applyFill="1" applyBorder="1" applyAlignment="1">
      <alignment horizontal="left" vertical="top"/>
    </xf>
    <xf numFmtId="0" fontId="6" fillId="3" borderId="31" xfId="0" applyFont="1" applyFill="1" applyBorder="1" applyAlignment="1">
      <alignment horizontal="left" vertical="top"/>
    </xf>
    <xf numFmtId="0" fontId="6" fillId="3" borderId="36" xfId="0" applyFont="1" applyFill="1" applyBorder="1" applyAlignment="1">
      <alignment horizontal="left" vertical="top"/>
    </xf>
    <xf numFmtId="0" fontId="6" fillId="0" borderId="35" xfId="0" applyFont="1" applyBorder="1" applyAlignment="1">
      <alignment horizontal="left" vertical="top"/>
    </xf>
    <xf numFmtId="0" fontId="6" fillId="0" borderId="36" xfId="0" applyFont="1" applyBorder="1" applyAlignment="1">
      <alignment horizontal="left" vertical="top"/>
    </xf>
    <xf numFmtId="0" fontId="6" fillId="3" borderId="49" xfId="0" applyFont="1" applyFill="1" applyBorder="1" applyAlignment="1">
      <alignment horizontal="left" vertical="top"/>
    </xf>
    <xf numFmtId="0" fontId="6" fillId="3" borderId="50" xfId="0" applyFont="1" applyFill="1" applyBorder="1" applyAlignment="1">
      <alignment horizontal="left" vertical="top"/>
    </xf>
    <xf numFmtId="0" fontId="6" fillId="0" borderId="50" xfId="0" applyFont="1" applyBorder="1" applyAlignment="1">
      <alignment horizontal="left" vertical="top"/>
    </xf>
    <xf numFmtId="0" fontId="6" fillId="0" borderId="35" xfId="0" applyFont="1" applyBorder="1" applyAlignment="1">
      <alignment horizontal="left"/>
    </xf>
    <xf numFmtId="0" fontId="6" fillId="0" borderId="36" xfId="0" applyFont="1" applyBorder="1" applyAlignment="1">
      <alignment horizontal="left"/>
    </xf>
    <xf numFmtId="0" fontId="6" fillId="0" borderId="35" xfId="0" applyFont="1" applyBorder="1"/>
    <xf numFmtId="0" fontId="6" fillId="0" borderId="36" xfId="0" applyFont="1" applyBorder="1"/>
    <xf numFmtId="0" fontId="6" fillId="0" borderId="31" xfId="0" applyFont="1" applyBorder="1"/>
    <xf numFmtId="0" fontId="6" fillId="0" borderId="79" xfId="0" applyFont="1" applyBorder="1"/>
    <xf numFmtId="0" fontId="6" fillId="0" borderId="49" xfId="0" applyFont="1" applyBorder="1" applyAlignment="1">
      <alignment horizontal="left"/>
    </xf>
    <xf numFmtId="0" fontId="6" fillId="0" borderId="77" xfId="0" applyFont="1" applyBorder="1" applyAlignment="1">
      <alignment horizontal="left"/>
    </xf>
    <xf numFmtId="0" fontId="6" fillId="0" borderId="105" xfId="0" applyFont="1" applyBorder="1" applyAlignment="1">
      <alignment horizontal="left"/>
    </xf>
    <xf numFmtId="0" fontId="1" fillId="0" borderId="5" xfId="0" applyFont="1" applyBorder="1" applyAlignment="1">
      <alignment horizontal="center" vertical="center" wrapText="1"/>
    </xf>
    <xf numFmtId="14" fontId="6" fillId="3" borderId="10"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protection locked="0"/>
    </xf>
    <xf numFmtId="14" fontId="6" fillId="0" borderId="2" xfId="0" applyNumberFormat="1" applyFont="1" applyFill="1" applyBorder="1" applyAlignment="1">
      <alignment horizontal="center"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0" fillId="19" borderId="0" xfId="0" applyFont="1" applyFill="1" applyAlignment="1">
      <alignment horizontal="center" vertical="center" wrapText="1"/>
    </xf>
    <xf numFmtId="0" fontId="69" fillId="0" borderId="92" xfId="0" applyFont="1" applyBorder="1" applyAlignment="1">
      <alignment vertical="top" wrapText="1"/>
    </xf>
    <xf numFmtId="0" fontId="69" fillId="0" borderId="94" xfId="0" applyFont="1" applyBorder="1" applyAlignment="1">
      <alignment vertical="top" wrapText="1"/>
    </xf>
    <xf numFmtId="0" fontId="69" fillId="0" borderId="95" xfId="0" applyFont="1" applyBorder="1" applyAlignment="1">
      <alignment vertical="top" wrapText="1"/>
    </xf>
    <xf numFmtId="0" fontId="60" fillId="0" borderId="12"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Alignment="1">
      <alignment horizontal="center" vertical="center" wrapText="1"/>
    </xf>
    <xf numFmtId="0" fontId="60" fillId="0" borderId="16" xfId="0" applyFont="1" applyBorder="1" applyAlignment="1">
      <alignment horizontal="center" vertical="center" wrapText="1"/>
    </xf>
    <xf numFmtId="0" fontId="60" fillId="0" borderId="18" xfId="0" applyFont="1" applyBorder="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45" fillId="18" borderId="120"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71" fillId="18" borderId="98" xfId="0" applyFont="1" applyFill="1" applyBorder="1" applyAlignment="1">
      <alignment horizontal="left" vertical="center" wrapText="1" indent="1"/>
    </xf>
    <xf numFmtId="0" fontId="71" fillId="18" borderId="99" xfId="0" applyFont="1" applyFill="1" applyBorder="1" applyAlignment="1">
      <alignment horizontal="left" vertical="center" wrapText="1" indent="1"/>
    </xf>
    <xf numFmtId="0" fontId="71" fillId="18" borderId="100" xfId="0" applyFont="1" applyFill="1" applyBorder="1" applyAlignment="1">
      <alignment horizontal="left" vertical="center" wrapText="1" indent="1"/>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2" fillId="17" borderId="12" xfId="0" applyFont="1" applyFill="1" applyBorder="1" applyAlignment="1">
      <alignment horizontal="center" vertical="center" wrapText="1"/>
    </xf>
    <xf numFmtId="0" fontId="72" fillId="17" borderId="106" xfId="0" applyFont="1" applyFill="1" applyBorder="1" applyAlignment="1">
      <alignment horizontal="center" vertical="center" wrapText="1"/>
    </xf>
    <xf numFmtId="0" fontId="67" fillId="0" borderId="12" xfId="0" applyFont="1" applyBorder="1" applyAlignment="1">
      <alignment horizontal="left" vertical="center" wrapText="1"/>
    </xf>
    <xf numFmtId="0" fontId="67" fillId="0" borderId="13" xfId="0" applyFont="1" applyBorder="1" applyAlignment="1">
      <alignment horizontal="left" vertical="center" wrapText="1"/>
    </xf>
    <xf numFmtId="0" fontId="71" fillId="0" borderId="106"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07" xfId="0" applyFont="1" applyBorder="1" applyAlignment="1">
      <alignment horizontal="center" vertical="center" wrapText="1"/>
    </xf>
    <xf numFmtId="0" fontId="59" fillId="0" borderId="108" xfId="0" applyFont="1" applyBorder="1" applyAlignment="1">
      <alignment horizontal="center" vertical="center" wrapText="1"/>
    </xf>
    <xf numFmtId="0" fontId="59" fillId="0" borderId="109" xfId="0" applyFont="1" applyBorder="1" applyAlignment="1">
      <alignment horizontal="center" vertical="center" wrapText="1"/>
    </xf>
    <xf numFmtId="0" fontId="59" fillId="0" borderId="110" xfId="0" applyFont="1" applyBorder="1" applyAlignment="1">
      <alignment horizontal="center" vertical="center" wrapText="1"/>
    </xf>
    <xf numFmtId="0" fontId="59" fillId="0" borderId="92" xfId="0" applyFont="1" applyBorder="1" applyAlignment="1">
      <alignment horizontal="center" vertical="center" wrapText="1"/>
    </xf>
    <xf numFmtId="0" fontId="59" fillId="0" borderId="94" xfId="0" applyFont="1" applyBorder="1" applyAlignment="1">
      <alignment horizontal="center" vertical="center" wrapText="1"/>
    </xf>
    <xf numFmtId="0" fontId="59" fillId="0" borderId="95"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5" xfId="0" applyFont="1" applyBorder="1" applyAlignment="1">
      <alignment horizontal="left" vertical="center" wrapText="1"/>
    </xf>
    <xf numFmtId="0" fontId="73" fillId="0" borderId="14" xfId="0" applyFont="1" applyBorder="1" applyAlignment="1">
      <alignment horizontal="left" vertical="center" wrapText="1"/>
    </xf>
    <xf numFmtId="0" fontId="73" fillId="0" borderId="15" xfId="0" applyFont="1" applyBorder="1" applyAlignment="1">
      <alignment horizontal="left" vertical="center" wrapText="1"/>
    </xf>
    <xf numFmtId="0" fontId="6" fillId="3" borderId="35" xfId="0" applyFont="1" applyFill="1" applyBorder="1" applyAlignment="1">
      <alignment horizontal="left" vertical="top"/>
    </xf>
    <xf numFmtId="0" fontId="6" fillId="3" borderId="31" xfId="0" applyFont="1" applyFill="1" applyBorder="1" applyAlignment="1">
      <alignment horizontal="left" vertical="top"/>
    </xf>
    <xf numFmtId="0" fontId="6" fillId="3" borderId="36" xfId="0" applyFont="1" applyFill="1" applyBorder="1" applyAlignment="1">
      <alignment horizontal="left" vertical="top"/>
    </xf>
    <xf numFmtId="0" fontId="73" fillId="0" borderId="16" xfId="0" applyFont="1" applyBorder="1" applyAlignment="1">
      <alignment horizontal="left" vertical="center" wrapText="1"/>
    </xf>
    <xf numFmtId="0" fontId="73" fillId="0" borderId="17" xfId="0" applyFont="1" applyBorder="1" applyAlignment="1">
      <alignment horizontal="left" vertical="center" wrapText="1"/>
    </xf>
    <xf numFmtId="0" fontId="61"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6" fillId="3" borderId="96" xfId="0" applyFont="1" applyFill="1" applyBorder="1" applyAlignment="1">
      <alignment horizontal="left" vertical="top"/>
    </xf>
    <xf numFmtId="0" fontId="6" fillId="3" borderId="101" xfId="0" applyFont="1" applyFill="1" applyBorder="1" applyAlignment="1">
      <alignment horizontal="left" vertical="top"/>
    </xf>
    <xf numFmtId="0" fontId="6" fillId="3" borderId="102" xfId="0" applyFont="1" applyFill="1" applyBorder="1" applyAlignment="1">
      <alignment horizontal="left" vertical="top"/>
    </xf>
    <xf numFmtId="0" fontId="6" fillId="0" borderId="103" xfId="0" applyFont="1" applyBorder="1" applyAlignment="1">
      <alignment horizontal="left" vertical="top"/>
    </xf>
    <xf numFmtId="0" fontId="6" fillId="0" borderId="102" xfId="0" applyFont="1" applyBorder="1" applyAlignment="1">
      <alignment horizontal="left" vertical="top"/>
    </xf>
    <xf numFmtId="0" fontId="6" fillId="0" borderId="104" xfId="0" applyFont="1" applyBorder="1" applyAlignment="1">
      <alignment horizontal="left" vertical="top"/>
    </xf>
    <xf numFmtId="0" fontId="6" fillId="0" borderId="105" xfId="0" applyFont="1" applyBorder="1" applyAlignment="1">
      <alignment horizontal="left" vertical="top"/>
    </xf>
    <xf numFmtId="0" fontId="6" fillId="3" borderId="104" xfId="0" applyFont="1" applyFill="1" applyBorder="1" applyAlignment="1">
      <alignment horizontal="left" vertical="top"/>
    </xf>
    <xf numFmtId="0" fontId="6" fillId="3" borderId="77" xfId="0" applyFont="1" applyFill="1" applyBorder="1" applyAlignment="1">
      <alignment horizontal="left" vertical="top"/>
    </xf>
    <xf numFmtId="0" fontId="6" fillId="3" borderId="105" xfId="0" applyFont="1" applyFill="1" applyBorder="1" applyAlignment="1">
      <alignment horizontal="left" vertical="top"/>
    </xf>
    <xf numFmtId="0" fontId="6" fillId="3" borderId="46" xfId="0" applyFont="1" applyFill="1" applyBorder="1" applyAlignment="1">
      <alignment horizontal="left" vertical="top"/>
    </xf>
    <xf numFmtId="0" fontId="6" fillId="3" borderId="47" xfId="0" applyFont="1" applyFill="1" applyBorder="1" applyAlignment="1">
      <alignment horizontal="left" vertical="top"/>
    </xf>
    <xf numFmtId="0" fontId="3" fillId="0" borderId="96" xfId="0" applyFont="1" applyBorder="1" applyAlignment="1">
      <alignment horizontal="left" vertical="top" wrapText="1"/>
    </xf>
    <xf numFmtId="0" fontId="3" fillId="0" borderId="102" xfId="0" applyFont="1" applyBorder="1" applyAlignment="1">
      <alignment horizontal="left" vertical="top" wrapText="1"/>
    </xf>
    <xf numFmtId="0" fontId="6" fillId="3" borderId="35"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5" xfId="0" applyFont="1" applyFill="1" applyBorder="1" applyAlignment="1">
      <alignment horizontal="left" vertical="center"/>
    </xf>
    <xf numFmtId="0" fontId="6" fillId="3" borderId="31" xfId="0" applyFont="1" applyFill="1" applyBorder="1" applyAlignment="1">
      <alignment horizontal="left" vertical="center"/>
    </xf>
    <xf numFmtId="0" fontId="6" fillId="3" borderId="36" xfId="0" applyFont="1" applyFill="1" applyBorder="1" applyAlignment="1">
      <alignment horizontal="left" vertical="center"/>
    </xf>
    <xf numFmtId="0" fontId="6" fillId="3" borderId="104" xfId="0" applyFont="1" applyFill="1" applyBorder="1" applyAlignment="1">
      <alignment horizontal="center" vertical="top"/>
    </xf>
    <xf numFmtId="0" fontId="6" fillId="3" borderId="77" xfId="0" applyFont="1" applyFill="1" applyBorder="1" applyAlignment="1">
      <alignment horizontal="center" vertical="top"/>
    </xf>
    <xf numFmtId="0" fontId="6" fillId="3" borderId="105" xfId="0" applyFont="1" applyFill="1" applyBorder="1" applyAlignment="1">
      <alignment horizontal="center" vertical="top"/>
    </xf>
    <xf numFmtId="0" fontId="3" fillId="0" borderId="77" xfId="0" applyFont="1" applyBorder="1" applyAlignment="1">
      <alignment horizontal="left" vertical="top"/>
    </xf>
    <xf numFmtId="0" fontId="3" fillId="0" borderId="105" xfId="0" applyFont="1" applyBorder="1" applyAlignment="1">
      <alignment horizontal="left" vertical="top"/>
    </xf>
    <xf numFmtId="0" fontId="1" fillId="3" borderId="104" xfId="0" applyFont="1" applyFill="1" applyBorder="1" applyAlignment="1">
      <alignment horizontal="left" vertical="center"/>
    </xf>
    <xf numFmtId="0" fontId="1" fillId="3" borderId="77" xfId="0" applyFont="1" applyFill="1" applyBorder="1" applyAlignment="1">
      <alignment horizontal="left" vertical="center"/>
    </xf>
    <xf numFmtId="0" fontId="1" fillId="3" borderId="105" xfId="0" applyFont="1" applyFill="1" applyBorder="1" applyAlignment="1">
      <alignment horizontal="left" vertical="center"/>
    </xf>
    <xf numFmtId="0" fontId="45" fillId="20" borderId="33" xfId="0" applyFont="1" applyFill="1" applyBorder="1" applyAlignment="1">
      <alignment horizontal="center" vertical="center" wrapText="1"/>
    </xf>
    <xf numFmtId="0" fontId="45" fillId="20" borderId="34" xfId="0" applyFont="1" applyFill="1" applyBorder="1" applyAlignment="1">
      <alignment horizontal="center" vertical="center" wrapText="1"/>
    </xf>
    <xf numFmtId="0" fontId="45" fillId="20" borderId="45" xfId="0" applyFont="1" applyFill="1" applyBorder="1" applyAlignment="1">
      <alignment horizontal="center" vertical="center"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6" fillId="0" borderId="104" xfId="0" applyFont="1" applyBorder="1" applyAlignment="1">
      <alignment horizontal="left"/>
    </xf>
    <xf numFmtId="0" fontId="6" fillId="0" borderId="77" xfId="0" applyFont="1" applyBorder="1" applyAlignment="1">
      <alignment horizontal="left"/>
    </xf>
    <xf numFmtId="0" fontId="6" fillId="3" borderId="104" xfId="0" applyFont="1" applyFill="1" applyBorder="1" applyAlignment="1">
      <alignment horizontal="left" vertical="top" wrapText="1"/>
    </xf>
    <xf numFmtId="0" fontId="6" fillId="3" borderId="77" xfId="0" applyFont="1" applyFill="1" applyBorder="1" applyAlignment="1">
      <alignment horizontal="left" vertical="top"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6" fillId="3" borderId="104" xfId="0" applyFont="1" applyFill="1" applyBorder="1" applyAlignment="1">
      <alignment horizontal="left" vertical="center"/>
    </xf>
    <xf numFmtId="0" fontId="6" fillId="3" borderId="77" xfId="0" applyFont="1" applyFill="1" applyBorder="1" applyAlignment="1">
      <alignment horizontal="left" vertical="center"/>
    </xf>
    <xf numFmtId="0" fontId="66" fillId="0" borderId="111" xfId="0" applyFont="1" applyBorder="1" applyAlignment="1">
      <alignment horizontal="center" vertical="center"/>
    </xf>
    <xf numFmtId="0" fontId="66" fillId="0" borderId="111" xfId="0" applyFont="1" applyBorder="1" applyAlignment="1">
      <alignment horizontal="center"/>
    </xf>
    <xf numFmtId="0" fontId="62" fillId="0" borderId="112" xfId="0" applyFont="1" applyBorder="1" applyAlignment="1">
      <alignment horizontal="center" vertical="center" wrapText="1"/>
    </xf>
    <xf numFmtId="0" fontId="62" fillId="0" borderId="72" xfId="0" applyFont="1" applyBorder="1" applyAlignment="1">
      <alignment horizontal="center" vertical="center" wrapText="1"/>
    </xf>
    <xf numFmtId="0" fontId="6" fillId="0" borderId="105" xfId="0" applyFont="1" applyBorder="1" applyAlignment="1">
      <alignment horizontal="left"/>
    </xf>
    <xf numFmtId="0" fontId="75" fillId="0" borderId="35" xfId="0" applyFont="1" applyBorder="1" applyAlignment="1">
      <alignment horizontal="left" wrapText="1"/>
    </xf>
    <xf numFmtId="0" fontId="75" fillId="0" borderId="36" xfId="0" applyFont="1" applyBorder="1" applyAlignment="1">
      <alignment horizontal="left" wrapText="1"/>
    </xf>
    <xf numFmtId="0" fontId="75" fillId="0" borderId="104" xfId="0" applyFont="1" applyBorder="1" applyAlignment="1">
      <alignment horizontal="center" wrapText="1"/>
    </xf>
    <xf numFmtId="0" fontId="75" fillId="0" borderId="105" xfId="0" applyFont="1" applyBorder="1" applyAlignment="1">
      <alignment horizontal="center" wrapText="1"/>
    </xf>
    <xf numFmtId="0" fontId="76" fillId="0" borderId="37" xfId="0" applyFont="1" applyBorder="1" applyAlignment="1">
      <alignment horizontal="left" vertical="center" wrapText="1"/>
    </xf>
    <xf numFmtId="0" fontId="76" fillId="0" borderId="38" xfId="0" applyFont="1" applyBorder="1" applyAlignment="1">
      <alignment horizontal="left" vertical="center" wrapText="1"/>
    </xf>
    <xf numFmtId="0" fontId="76" fillId="0" borderId="39" xfId="0" applyFont="1" applyBorder="1" applyAlignment="1">
      <alignment horizontal="left" vertical="center" wrapText="1"/>
    </xf>
    <xf numFmtId="0" fontId="62" fillId="0" borderId="121" xfId="0" applyFont="1" applyBorder="1" applyAlignment="1">
      <alignment horizontal="left"/>
    </xf>
    <xf numFmtId="0" fontId="62" fillId="0" borderId="100" xfId="0" applyFont="1" applyBorder="1" applyAlignment="1">
      <alignment horizontal="left"/>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6" fillId="0" borderId="4" xfId="0" applyFont="1" applyFill="1" applyBorder="1" applyAlignment="1" applyProtection="1">
      <alignment horizontal="justify" vertical="center" wrapText="1"/>
      <protection locked="0"/>
    </xf>
    <xf numFmtId="0" fontId="6" fillId="0" borderId="8" xfId="0" applyFont="1" applyFill="1" applyBorder="1" applyAlignment="1" applyProtection="1">
      <alignment horizontal="justify" vertical="center" wrapText="1"/>
      <protection locked="0"/>
    </xf>
    <xf numFmtId="0" fontId="6" fillId="0" borderId="5" xfId="0" applyFont="1" applyFill="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7" fillId="3" borderId="6" xfId="0" applyFont="1" applyFill="1" applyBorder="1" applyAlignment="1" applyProtection="1">
      <alignment horizontal="left" vertical="center" wrapText="1"/>
      <protection locked="0"/>
    </xf>
    <xf numFmtId="0" fontId="27" fillId="3" borderId="10"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1" fillId="0" borderId="5" xfId="0" applyFont="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9" fontId="1" fillId="0" borderId="28" xfId="0" applyNumberFormat="1"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0" fontId="50" fillId="0" borderId="4" xfId="0" applyFont="1" applyBorder="1" applyAlignment="1" applyProtection="1">
      <alignment horizontal="justify" vertical="center" wrapText="1"/>
      <protection locked="0"/>
    </xf>
    <xf numFmtId="0" fontId="50" fillId="0" borderId="8" xfId="0" applyFont="1" applyBorder="1" applyAlignment="1" applyProtection="1">
      <alignment horizontal="justify" vertical="center"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62" fillId="3" borderId="65" xfId="0" applyFont="1" applyFill="1" applyBorder="1" applyAlignment="1">
      <alignment horizontal="center" vertical="center" wrapText="1"/>
    </xf>
    <xf numFmtId="14" fontId="62" fillId="3" borderId="116" xfId="0" applyNumberFormat="1" applyFont="1" applyFill="1" applyBorder="1" applyAlignment="1">
      <alignment horizontal="center" vertical="center" wrapText="1"/>
    </xf>
    <xf numFmtId="14" fontId="62" fillId="3" borderId="117" xfId="0" applyNumberFormat="1" applyFont="1" applyFill="1" applyBorder="1" applyAlignment="1">
      <alignment horizontal="center" vertical="center" wrapText="1"/>
    </xf>
    <xf numFmtId="0" fontId="62" fillId="3" borderId="32"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0" fontId="66" fillId="3" borderId="118" xfId="0" applyFont="1" applyFill="1" applyBorder="1" applyAlignment="1">
      <alignment horizontal="center" vertical="center" wrapText="1"/>
    </xf>
    <xf numFmtId="0" fontId="66" fillId="3" borderId="119" xfId="0" applyFont="1" applyFill="1" applyBorder="1" applyAlignment="1">
      <alignment horizontal="center" vertical="center" wrapText="1"/>
    </xf>
    <xf numFmtId="0" fontId="66" fillId="3" borderId="114" xfId="0" applyFont="1" applyFill="1" applyBorder="1" applyAlignment="1">
      <alignment horizontal="center" vertical="center" wrapText="1"/>
    </xf>
    <xf numFmtId="0" fontId="66" fillId="3" borderId="115" xfId="0" applyFont="1" applyFill="1" applyBorder="1" applyAlignment="1">
      <alignment horizontal="center" vertical="center" wrapText="1"/>
    </xf>
    <xf numFmtId="0" fontId="66" fillId="3" borderId="113"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10" xfId="0" applyFont="1" applyFill="1" applyBorder="1" applyAlignment="1">
      <alignment horizontal="left" vertical="center"/>
    </xf>
    <xf numFmtId="0" fontId="27" fillId="2" borderId="7" xfId="0" applyFont="1" applyFill="1" applyBorder="1" applyAlignment="1">
      <alignment horizontal="left" vertical="center"/>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4" fillId="2" borderId="2" xfId="0" applyFont="1" applyFill="1" applyBorder="1" applyAlignment="1">
      <alignment horizontal="center" vertical="center" textRotation="90" wrapText="1"/>
    </xf>
    <xf numFmtId="0" fontId="64" fillId="0" borderId="4" xfId="0" applyFont="1" applyBorder="1" applyAlignment="1" applyProtection="1">
      <alignment horizontal="center" vertical="center" textRotation="90" wrapText="1"/>
      <protection hidden="1"/>
    </xf>
    <xf numFmtId="0" fontId="64"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4" fillId="0" borderId="8" xfId="0" applyFont="1" applyBorder="1" applyAlignment="1" applyProtection="1">
      <alignment horizontal="center" vertical="center" textRotation="90" wrapText="1"/>
      <protection hidden="1"/>
    </xf>
    <xf numFmtId="0" fontId="64" fillId="0" borderId="8" xfId="0" applyFont="1" applyBorder="1" applyAlignment="1" applyProtection="1">
      <alignment horizontal="center" vertical="center" textRotation="90"/>
      <protection hidden="1"/>
    </xf>
    <xf numFmtId="164" fontId="6" fillId="0" borderId="2" xfId="1" applyNumberFormat="1" applyFont="1" applyBorder="1" applyAlignment="1">
      <alignment horizontal="center" vertical="center"/>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4"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4"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0" fontId="64"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4"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4" fillId="0" borderId="5" xfId="0" applyFont="1" applyBorder="1" applyAlignment="1" applyProtection="1">
      <alignment horizontal="center" vertical="center" textRotation="90" wrapText="1"/>
      <protection hidden="1"/>
    </xf>
    <xf numFmtId="0" fontId="64" fillId="0" borderId="5" xfId="0" applyFont="1" applyBorder="1" applyAlignment="1" applyProtection="1">
      <alignment horizontal="center" vertical="center" textRotation="90"/>
      <protection hidden="1"/>
    </xf>
    <xf numFmtId="0" fontId="6" fillId="0" borderId="2" xfId="0" applyFont="1" applyBorder="1" applyAlignment="1" applyProtection="1">
      <alignment horizontal="justify" vertical="center"/>
      <protection locked="0"/>
    </xf>
    <xf numFmtId="0" fontId="6" fillId="0" borderId="4" xfId="0" applyFont="1" applyBorder="1" applyAlignment="1" applyProtection="1">
      <alignment horizontal="center" vertical="center"/>
      <protection hidden="1"/>
    </xf>
    <xf numFmtId="0" fontId="64" fillId="0" borderId="4" xfId="0" applyFont="1" applyBorder="1" applyAlignment="1" applyProtection="1">
      <alignment horizontal="center" vertical="center" textRotation="90" wrapText="1"/>
      <protection hidden="1"/>
    </xf>
    <xf numFmtId="0" fontId="64" fillId="0" borderId="4" xfId="0" applyFont="1" applyBorder="1" applyAlignment="1" applyProtection="1">
      <alignment horizontal="center" vertical="center" textRotation="90"/>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1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26988</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2.MAPAS%20DE%20RIESGOS/2.DESARROLLO%20SOCIAL/RIESGOS%202025/MRG%202025-DESARROLLO%20SOCIAL%20va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2.DESARROLLO%20SOCIAL/MRG%202024%20-%20DESARROLLO%20SOCIAL%20ajustado%201%20(nov%2019%20de%20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RIESGO%20DE%20GESTION%20PARA%20TODAS%20LAS%20QUE%20TENGAN%20METAS%20EN%20EL%20PD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ADQUISICIONES/MRG%202025%20-%20ADQUISI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opLeftCell="A37" zoomScale="110" zoomScaleNormal="110" workbookViewId="0">
      <selection activeCell="C44" sqref="C44:D44"/>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54" t="s">
        <v>228</v>
      </c>
      <c r="C2" s="255"/>
      <c r="D2" s="255"/>
      <c r="E2" s="255"/>
      <c r="F2" s="255"/>
      <c r="G2" s="255"/>
      <c r="H2" s="256"/>
    </row>
    <row r="3" spans="1:8" x14ac:dyDescent="0.25">
      <c r="B3" s="110"/>
      <c r="C3" s="111"/>
      <c r="D3" s="111"/>
      <c r="E3" s="111"/>
      <c r="F3" s="111"/>
      <c r="G3" s="111"/>
      <c r="H3" s="112"/>
    </row>
    <row r="4" spans="1:8" ht="63" customHeight="1" x14ac:dyDescent="0.25">
      <c r="B4" s="257" t="s">
        <v>229</v>
      </c>
      <c r="C4" s="258"/>
      <c r="D4" s="258"/>
      <c r="E4" s="258"/>
      <c r="F4" s="258"/>
      <c r="G4" s="258"/>
      <c r="H4" s="259"/>
    </row>
    <row r="5" spans="1:8" ht="63" customHeight="1" x14ac:dyDescent="0.25">
      <c r="B5" s="260"/>
      <c r="C5" s="261"/>
      <c r="D5" s="261"/>
      <c r="E5" s="261"/>
      <c r="F5" s="261"/>
      <c r="G5" s="261"/>
      <c r="H5" s="262"/>
    </row>
    <row r="6" spans="1:8" ht="16.5" x14ac:dyDescent="0.25">
      <c r="A6" s="113"/>
      <c r="B6" s="263" t="s">
        <v>159</v>
      </c>
      <c r="C6" s="264"/>
      <c r="D6" s="264"/>
      <c r="E6" s="264"/>
      <c r="F6" s="264"/>
      <c r="G6" s="264"/>
      <c r="H6" s="265"/>
    </row>
    <row r="7" spans="1:8" ht="95.25" customHeight="1" x14ac:dyDescent="0.25">
      <c r="A7" s="113"/>
      <c r="B7" s="266" t="s">
        <v>163</v>
      </c>
      <c r="C7" s="266"/>
      <c r="D7" s="266"/>
      <c r="E7" s="266"/>
      <c r="F7" s="266"/>
      <c r="G7" s="266"/>
      <c r="H7" s="267"/>
    </row>
    <row r="8" spans="1:8" ht="16.5" x14ac:dyDescent="0.25">
      <c r="A8" s="113"/>
      <c r="B8" s="114"/>
      <c r="C8" s="115"/>
      <c r="D8" s="115"/>
      <c r="E8" s="115"/>
      <c r="F8" s="115"/>
      <c r="G8" s="115"/>
      <c r="H8" s="116"/>
    </row>
    <row r="9" spans="1:8" ht="16.5" customHeight="1" x14ac:dyDescent="0.25">
      <c r="A9" s="113"/>
      <c r="B9" s="268" t="s">
        <v>197</v>
      </c>
      <c r="C9" s="268"/>
      <c r="D9" s="268"/>
      <c r="E9" s="268"/>
      <c r="F9" s="268"/>
      <c r="G9" s="268"/>
      <c r="H9" s="269"/>
    </row>
    <row r="10" spans="1:8" ht="16.5" customHeight="1" x14ac:dyDescent="0.25">
      <c r="A10" s="113"/>
      <c r="B10" s="268"/>
      <c r="C10" s="268"/>
      <c r="D10" s="268"/>
      <c r="E10" s="268"/>
      <c r="F10" s="268"/>
      <c r="G10" s="268"/>
      <c r="H10" s="269"/>
    </row>
    <row r="11" spans="1:8" ht="11.65" customHeight="1" x14ac:dyDescent="0.25">
      <c r="A11" s="113"/>
      <c r="B11" s="268"/>
      <c r="C11" s="268"/>
      <c r="D11" s="268"/>
      <c r="E11" s="268"/>
      <c r="F11" s="268"/>
      <c r="G11" s="268"/>
      <c r="H11" s="269"/>
    </row>
    <row r="12" spans="1:8" ht="11.65" customHeight="1" thickBot="1" x14ac:dyDescent="0.3">
      <c r="A12" s="113"/>
      <c r="B12" s="117"/>
      <c r="C12" s="117"/>
      <c r="D12" s="117"/>
      <c r="E12" s="117"/>
      <c r="F12" s="117"/>
      <c r="G12" s="117"/>
      <c r="H12" s="118"/>
    </row>
    <row r="13" spans="1:8" ht="14.25" customHeight="1" thickTop="1" x14ac:dyDescent="0.25">
      <c r="A13" s="113"/>
      <c r="B13" s="117"/>
      <c r="C13" s="253" t="s">
        <v>160</v>
      </c>
      <c r="D13" s="246"/>
      <c r="E13" s="247" t="s">
        <v>192</v>
      </c>
      <c r="F13" s="248"/>
      <c r="G13" s="117"/>
      <c r="H13" s="118"/>
    </row>
    <row r="14" spans="1:8" ht="23.25" customHeight="1" x14ac:dyDescent="0.25">
      <c r="A14" s="113"/>
      <c r="B14" s="117"/>
      <c r="C14" s="234" t="s">
        <v>188</v>
      </c>
      <c r="D14" s="235"/>
      <c r="E14" s="236" t="s">
        <v>232</v>
      </c>
      <c r="F14" s="231"/>
      <c r="G14" s="117"/>
      <c r="H14" s="118"/>
    </row>
    <row r="15" spans="1:8" ht="27" customHeight="1" x14ac:dyDescent="0.25">
      <c r="A15" s="113"/>
      <c r="B15" s="117"/>
      <c r="C15" s="234" t="s">
        <v>190</v>
      </c>
      <c r="D15" s="235"/>
      <c r="E15" s="236" t="s">
        <v>233</v>
      </c>
      <c r="F15" s="231"/>
      <c r="G15" s="117"/>
      <c r="H15" s="118"/>
    </row>
    <row r="16" spans="1:8" ht="39" customHeight="1" x14ac:dyDescent="0.25">
      <c r="A16" s="113"/>
      <c r="B16" s="117"/>
      <c r="C16" s="234" t="s">
        <v>198</v>
      </c>
      <c r="D16" s="235"/>
      <c r="E16" s="236" t="s">
        <v>235</v>
      </c>
      <c r="F16" s="231"/>
      <c r="G16" s="117"/>
      <c r="H16" s="118"/>
    </row>
    <row r="17" spans="1:8" ht="24.75" customHeight="1" x14ac:dyDescent="0.25">
      <c r="A17" s="113"/>
      <c r="B17" s="117"/>
      <c r="C17" s="234" t="s">
        <v>199</v>
      </c>
      <c r="D17" s="235"/>
      <c r="E17" s="236" t="s">
        <v>234</v>
      </c>
      <c r="F17" s="231"/>
      <c r="G17" s="117"/>
      <c r="H17" s="119"/>
    </row>
    <row r="18" spans="1:8" ht="12.4" customHeight="1" x14ac:dyDescent="0.25">
      <c r="A18" s="113"/>
      <c r="B18" s="117"/>
      <c r="C18" s="234" t="s">
        <v>200</v>
      </c>
      <c r="D18" s="235"/>
      <c r="E18" s="237" t="s">
        <v>201</v>
      </c>
      <c r="F18" s="231"/>
      <c r="G18" s="117"/>
      <c r="H18" s="118"/>
    </row>
    <row r="19" spans="1:8" ht="24" customHeight="1" thickBot="1" x14ac:dyDescent="0.3">
      <c r="A19" s="113"/>
      <c r="B19" s="117"/>
      <c r="C19" s="238" t="s">
        <v>202</v>
      </c>
      <c r="D19" s="239"/>
      <c r="E19" s="240" t="s">
        <v>203</v>
      </c>
      <c r="F19" s="241"/>
      <c r="G19" s="117"/>
      <c r="H19" s="118"/>
    </row>
    <row r="20" spans="1:8" ht="11.65" customHeight="1" thickTop="1" x14ac:dyDescent="0.25">
      <c r="A20" s="113"/>
      <c r="B20" s="117"/>
      <c r="C20" s="120"/>
      <c r="D20" s="120"/>
      <c r="E20" s="120"/>
      <c r="F20" s="120"/>
      <c r="G20" s="117"/>
      <c r="H20" s="118"/>
    </row>
    <row r="21" spans="1:8" ht="27.4" customHeight="1" thickBot="1" x14ac:dyDescent="0.3">
      <c r="A21" s="113"/>
      <c r="B21" s="242" t="s">
        <v>204</v>
      </c>
      <c r="C21" s="243"/>
      <c r="D21" s="243"/>
      <c r="E21" s="243"/>
      <c r="F21" s="243"/>
      <c r="G21" s="243"/>
      <c r="H21" s="244"/>
    </row>
    <row r="22" spans="1:8" ht="15.75" thickTop="1" x14ac:dyDescent="0.25">
      <c r="A22" s="113"/>
      <c r="B22" s="121"/>
      <c r="C22" s="245" t="s">
        <v>160</v>
      </c>
      <c r="D22" s="246"/>
      <c r="E22" s="247" t="s">
        <v>192</v>
      </c>
      <c r="F22" s="248"/>
      <c r="G22" s="120"/>
      <c r="H22" s="122"/>
    </row>
    <row r="23" spans="1:8" ht="13.5" customHeight="1" x14ac:dyDescent="0.25">
      <c r="A23" s="113"/>
      <c r="B23" s="123"/>
      <c r="C23" s="249" t="s">
        <v>188</v>
      </c>
      <c r="D23" s="250"/>
      <c r="E23" s="251" t="s">
        <v>231</v>
      </c>
      <c r="F23" s="252"/>
      <c r="G23" s="124"/>
      <c r="H23" s="125"/>
    </row>
    <row r="24" spans="1:8" ht="13.5" customHeight="1" x14ac:dyDescent="0.25">
      <c r="A24" s="113"/>
      <c r="B24" s="123"/>
      <c r="C24" s="228" t="s">
        <v>189</v>
      </c>
      <c r="D24" s="229"/>
      <c r="E24" s="230" t="s">
        <v>230</v>
      </c>
      <c r="F24" s="231"/>
      <c r="G24" s="124"/>
      <c r="H24" s="125"/>
    </row>
    <row r="25" spans="1:8" ht="13.5" customHeight="1" x14ac:dyDescent="0.25">
      <c r="A25" s="113"/>
      <c r="B25" s="123"/>
      <c r="C25" s="228" t="s">
        <v>190</v>
      </c>
      <c r="D25" s="229"/>
      <c r="E25" s="230" t="s">
        <v>191</v>
      </c>
      <c r="F25" s="231"/>
      <c r="G25" s="124"/>
      <c r="H25" s="125"/>
    </row>
    <row r="26" spans="1:8" ht="22.9" customHeight="1" x14ac:dyDescent="0.25">
      <c r="A26" s="113"/>
      <c r="B26" s="123"/>
      <c r="C26" s="228" t="s">
        <v>161</v>
      </c>
      <c r="D26" s="229"/>
      <c r="E26" s="232" t="s">
        <v>162</v>
      </c>
      <c r="F26" s="233"/>
      <c r="G26" s="124"/>
      <c r="H26" s="125"/>
    </row>
    <row r="27" spans="1:8" ht="39.75" customHeight="1" x14ac:dyDescent="0.25">
      <c r="A27" s="113"/>
      <c r="B27" s="123"/>
      <c r="C27" s="219" t="s">
        <v>2</v>
      </c>
      <c r="D27" s="227"/>
      <c r="E27" s="220" t="s">
        <v>193</v>
      </c>
      <c r="F27" s="221"/>
      <c r="G27" s="124"/>
      <c r="H27" s="126"/>
    </row>
    <row r="28" spans="1:8" ht="34.5" customHeight="1" x14ac:dyDescent="0.25">
      <c r="B28" s="127"/>
      <c r="C28" s="226" t="s">
        <v>3</v>
      </c>
      <c r="D28" s="227"/>
      <c r="E28" s="220" t="s">
        <v>194</v>
      </c>
      <c r="F28" s="221"/>
      <c r="G28" s="124"/>
      <c r="H28" s="126"/>
    </row>
    <row r="29" spans="1:8" ht="27.75" customHeight="1" x14ac:dyDescent="0.25">
      <c r="B29" s="127"/>
      <c r="C29" s="226" t="s">
        <v>38</v>
      </c>
      <c r="D29" s="227"/>
      <c r="E29" s="220" t="s">
        <v>195</v>
      </c>
      <c r="F29" s="221"/>
      <c r="G29" s="124"/>
      <c r="H29" s="126"/>
    </row>
    <row r="30" spans="1:8" ht="72" customHeight="1" x14ac:dyDescent="0.25">
      <c r="B30" s="127"/>
      <c r="C30" s="226" t="s">
        <v>1</v>
      </c>
      <c r="D30" s="227"/>
      <c r="E30" s="220" t="s">
        <v>196</v>
      </c>
      <c r="F30" s="221"/>
      <c r="G30" s="124"/>
      <c r="H30" s="126"/>
    </row>
    <row r="31" spans="1:8" ht="72.75" customHeight="1" x14ac:dyDescent="0.25">
      <c r="B31" s="127"/>
      <c r="C31" s="226" t="s">
        <v>46</v>
      </c>
      <c r="D31" s="227"/>
      <c r="E31" s="220" t="s">
        <v>165</v>
      </c>
      <c r="F31" s="221"/>
      <c r="G31" s="124"/>
      <c r="H31" s="126"/>
    </row>
    <row r="32" spans="1:8" ht="64.5" customHeight="1" x14ac:dyDescent="0.25">
      <c r="B32" s="127"/>
      <c r="C32" s="226" t="s">
        <v>164</v>
      </c>
      <c r="D32" s="227"/>
      <c r="E32" s="220" t="s">
        <v>166</v>
      </c>
      <c r="F32" s="221"/>
      <c r="G32" s="124"/>
      <c r="H32" s="126"/>
    </row>
    <row r="33" spans="2:8" ht="71.25" customHeight="1" x14ac:dyDescent="0.25">
      <c r="B33" s="127"/>
      <c r="C33" s="218" t="s">
        <v>167</v>
      </c>
      <c r="D33" s="219"/>
      <c r="E33" s="220" t="s">
        <v>168</v>
      </c>
      <c r="F33" s="221"/>
      <c r="G33" s="124"/>
      <c r="H33" s="126"/>
    </row>
    <row r="34" spans="2:8" ht="55.5" customHeight="1" x14ac:dyDescent="0.25">
      <c r="B34" s="127"/>
      <c r="C34" s="218" t="s">
        <v>44</v>
      </c>
      <c r="D34" s="219"/>
      <c r="E34" s="220" t="s">
        <v>169</v>
      </c>
      <c r="F34" s="221"/>
      <c r="G34" s="124"/>
      <c r="H34" s="126"/>
    </row>
    <row r="35" spans="2:8" ht="42" customHeight="1" x14ac:dyDescent="0.25">
      <c r="B35" s="127"/>
      <c r="C35" s="218" t="s">
        <v>158</v>
      </c>
      <c r="D35" s="219"/>
      <c r="E35" s="220" t="s">
        <v>170</v>
      </c>
      <c r="F35" s="221"/>
      <c r="G35" s="124"/>
      <c r="H35" s="126"/>
    </row>
    <row r="36" spans="2:8" ht="59.25" customHeight="1" x14ac:dyDescent="0.25">
      <c r="B36" s="127"/>
      <c r="C36" s="218" t="s">
        <v>12</v>
      </c>
      <c r="D36" s="219"/>
      <c r="E36" s="220" t="s">
        <v>171</v>
      </c>
      <c r="F36" s="221"/>
      <c r="G36" s="124"/>
      <c r="H36" s="126"/>
    </row>
    <row r="37" spans="2:8" ht="23.25" customHeight="1" x14ac:dyDescent="0.25">
      <c r="B37" s="127"/>
      <c r="C37" s="218" t="s">
        <v>175</v>
      </c>
      <c r="D37" s="219"/>
      <c r="E37" s="220" t="s">
        <v>172</v>
      </c>
      <c r="F37" s="221"/>
      <c r="G37" s="124"/>
      <c r="H37" s="126"/>
    </row>
    <row r="38" spans="2:8" ht="30.75" customHeight="1" x14ac:dyDescent="0.25">
      <c r="B38" s="127"/>
      <c r="C38" s="218" t="s">
        <v>176</v>
      </c>
      <c r="D38" s="219"/>
      <c r="E38" s="220" t="s">
        <v>173</v>
      </c>
      <c r="F38" s="221"/>
      <c r="G38" s="124"/>
      <c r="H38" s="126"/>
    </row>
    <row r="39" spans="2:8" ht="35.25" customHeight="1" x14ac:dyDescent="0.25">
      <c r="B39" s="127"/>
      <c r="C39" s="218" t="s">
        <v>176</v>
      </c>
      <c r="D39" s="219"/>
      <c r="E39" s="220" t="s">
        <v>173</v>
      </c>
      <c r="F39" s="221"/>
      <c r="G39" s="124"/>
      <c r="H39" s="126"/>
    </row>
    <row r="40" spans="2:8" ht="33" customHeight="1" x14ac:dyDescent="0.25">
      <c r="B40" s="127"/>
      <c r="C40" s="218" t="s">
        <v>177</v>
      </c>
      <c r="D40" s="219"/>
      <c r="E40" s="220" t="s">
        <v>174</v>
      </c>
      <c r="F40" s="221"/>
      <c r="G40" s="124"/>
      <c r="H40" s="126"/>
    </row>
    <row r="41" spans="2:8" ht="30" customHeight="1" x14ac:dyDescent="0.25">
      <c r="B41" s="127"/>
      <c r="C41" s="218" t="s">
        <v>178</v>
      </c>
      <c r="D41" s="219"/>
      <c r="E41" s="220" t="s">
        <v>179</v>
      </c>
      <c r="F41" s="221"/>
      <c r="G41" s="124"/>
      <c r="H41" s="126"/>
    </row>
    <row r="42" spans="2:8" ht="35.25" customHeight="1" x14ac:dyDescent="0.25">
      <c r="B42" s="127"/>
      <c r="C42" s="218" t="s">
        <v>180</v>
      </c>
      <c r="D42" s="219"/>
      <c r="E42" s="220" t="s">
        <v>181</v>
      </c>
      <c r="F42" s="221"/>
      <c r="G42" s="124"/>
      <c r="H42" s="126"/>
    </row>
    <row r="43" spans="2:8" ht="31.5" customHeight="1" x14ac:dyDescent="0.25">
      <c r="B43" s="127"/>
      <c r="C43" s="218" t="s">
        <v>182</v>
      </c>
      <c r="D43" s="219"/>
      <c r="E43" s="220" t="s">
        <v>183</v>
      </c>
      <c r="F43" s="221"/>
      <c r="G43" s="124"/>
      <c r="H43" s="126"/>
    </row>
    <row r="44" spans="2:8" ht="54" customHeight="1" x14ac:dyDescent="0.25">
      <c r="B44" s="127"/>
      <c r="C44" s="218" t="s">
        <v>184</v>
      </c>
      <c r="D44" s="219"/>
      <c r="E44" s="220" t="s">
        <v>185</v>
      </c>
      <c r="F44" s="221"/>
      <c r="G44" s="124"/>
      <c r="H44" s="126"/>
    </row>
    <row r="45" spans="2:8" ht="59.25" customHeight="1" x14ac:dyDescent="0.25">
      <c r="B45" s="127"/>
      <c r="C45" s="218" t="s">
        <v>29</v>
      </c>
      <c r="D45" s="219"/>
      <c r="E45" s="220" t="s">
        <v>186</v>
      </c>
      <c r="F45" s="221"/>
      <c r="G45" s="124"/>
      <c r="H45" s="126"/>
    </row>
    <row r="46" spans="2:8" ht="84" customHeight="1" x14ac:dyDescent="0.25">
      <c r="B46" s="127"/>
      <c r="C46" s="218" t="s">
        <v>253</v>
      </c>
      <c r="D46" s="219"/>
      <c r="E46" s="220" t="s">
        <v>187</v>
      </c>
      <c r="F46" s="221"/>
      <c r="G46" s="124"/>
      <c r="H46" s="126"/>
    </row>
    <row r="47" spans="2:8" ht="46.5" customHeight="1" thickBot="1" x14ac:dyDescent="0.3">
      <c r="B47" s="127"/>
      <c r="C47" s="222"/>
      <c r="D47" s="223"/>
      <c r="E47" s="224"/>
      <c r="F47" s="225"/>
      <c r="G47" s="124"/>
      <c r="H47" s="126"/>
    </row>
    <row r="48" spans="2:8" ht="6.75" customHeight="1" thickTop="1" x14ac:dyDescent="0.25">
      <c r="B48" s="127"/>
      <c r="C48" s="128"/>
      <c r="D48" s="128"/>
      <c r="E48" s="129"/>
      <c r="F48" s="129"/>
      <c r="G48" s="124"/>
      <c r="H48" s="126"/>
    </row>
    <row r="49" spans="2:8" x14ac:dyDescent="0.25">
      <c r="B49" s="127"/>
      <c r="C49" s="130"/>
      <c r="D49" s="130"/>
      <c r="E49" s="130"/>
      <c r="F49" s="130"/>
      <c r="G49" s="124"/>
      <c r="H49" s="126"/>
    </row>
    <row r="50" spans="2:8" ht="21" customHeight="1" x14ac:dyDescent="0.25">
      <c r="B50" s="131" t="s">
        <v>205</v>
      </c>
      <c r="C50" s="130"/>
      <c r="D50" s="130"/>
      <c r="E50" s="130"/>
      <c r="F50" s="130"/>
      <c r="G50" s="130"/>
      <c r="H50" s="132"/>
    </row>
    <row r="51" spans="2:8" ht="20.25" customHeight="1" x14ac:dyDescent="0.25">
      <c r="B51" s="131" t="s">
        <v>206</v>
      </c>
      <c r="C51" s="130"/>
      <c r="D51" s="130"/>
      <c r="E51" s="130"/>
      <c r="F51" s="130"/>
      <c r="G51" s="130"/>
      <c r="H51" s="132"/>
    </row>
    <row r="52" spans="2:8" ht="20.25" customHeight="1" x14ac:dyDescent="0.25">
      <c r="B52" s="131" t="s">
        <v>207</v>
      </c>
      <c r="C52" s="130"/>
      <c r="D52" s="130"/>
      <c r="E52" s="130"/>
      <c r="F52" s="130"/>
      <c r="G52" s="130"/>
      <c r="H52" s="132"/>
    </row>
    <row r="53" spans="2:8" ht="20.25" customHeight="1" x14ac:dyDescent="0.25">
      <c r="B53" s="131" t="s">
        <v>208</v>
      </c>
      <c r="C53" s="130"/>
      <c r="D53" s="130"/>
      <c r="E53" s="130"/>
      <c r="F53" s="130"/>
      <c r="G53" s="130"/>
      <c r="H53" s="132"/>
    </row>
    <row r="54" spans="2:8" ht="14.65" customHeight="1" x14ac:dyDescent="0.25">
      <c r="B54" s="131" t="s">
        <v>209</v>
      </c>
      <c r="C54" s="130"/>
      <c r="D54" s="130"/>
      <c r="E54" s="130"/>
      <c r="F54" s="130"/>
      <c r="G54" s="130"/>
      <c r="H54" s="132"/>
    </row>
    <row r="55" spans="2:8" ht="15.75" thickBot="1" x14ac:dyDescent="0.3">
      <c r="B55" s="133"/>
      <c r="C55" s="134"/>
      <c r="D55" s="134"/>
      <c r="E55" s="134"/>
      <c r="F55" s="134"/>
      <c r="G55" s="134"/>
      <c r="H55" s="135"/>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14</v>
      </c>
      <c r="D3" s="10" t="s">
        <v>237</v>
      </c>
    </row>
    <row r="4" spans="1:4" ht="51" x14ac:dyDescent="0.2">
      <c r="A4" s="10" t="s">
        <v>15</v>
      </c>
      <c r="D4" s="10" t="s">
        <v>238</v>
      </c>
    </row>
    <row r="5" spans="1:4" ht="51" x14ac:dyDescent="0.2">
      <c r="A5" s="10" t="s">
        <v>16</v>
      </c>
      <c r="D5" s="10" t="s">
        <v>239</v>
      </c>
    </row>
    <row r="6" spans="1:4" ht="89.25" x14ac:dyDescent="0.2">
      <c r="A6" s="10" t="s">
        <v>10</v>
      </c>
      <c r="D6" s="10" t="s">
        <v>241</v>
      </c>
    </row>
    <row r="7" spans="1:4" ht="63.75" x14ac:dyDescent="0.2">
      <c r="A7" s="10" t="s">
        <v>9</v>
      </c>
      <c r="D7" s="10" t="s">
        <v>242</v>
      </c>
    </row>
    <row r="8" spans="1:4" x14ac:dyDescent="0.2">
      <c r="A8" s="10" t="s">
        <v>19</v>
      </c>
      <c r="D8" s="10"/>
    </row>
    <row r="9" spans="1:4" x14ac:dyDescent="0.2">
      <c r="A9" s="10" t="s">
        <v>20</v>
      </c>
    </row>
    <row r="10" spans="1:4" x14ac:dyDescent="0.2">
      <c r="A10" s="10" t="s">
        <v>22</v>
      </c>
      <c r="D10" s="10" t="s">
        <v>240</v>
      </c>
    </row>
    <row r="11" spans="1:4" x14ac:dyDescent="0.2">
      <c r="A11" s="10" t="s">
        <v>23</v>
      </c>
    </row>
    <row r="12" spans="1:4" x14ac:dyDescent="0.2">
      <c r="A12" s="10" t="s">
        <v>25</v>
      </c>
      <c r="D12" s="10"/>
    </row>
    <row r="13" spans="1:4" x14ac:dyDescent="0.2">
      <c r="A13" s="10" t="s">
        <v>26</v>
      </c>
    </row>
    <row r="14" spans="1:4" x14ac:dyDescent="0.2">
      <c r="A14" s="10" t="s">
        <v>27</v>
      </c>
    </row>
    <row r="16" spans="1:4" x14ac:dyDescent="0.2">
      <c r="A16" s="10" t="s">
        <v>30</v>
      </c>
    </row>
    <row r="17" spans="1:1" x14ac:dyDescent="0.2">
      <c r="A17" s="10" t="s">
        <v>31</v>
      </c>
    </row>
    <row r="18" spans="1:1" x14ac:dyDescent="0.2">
      <c r="A18" s="10" t="s">
        <v>32</v>
      </c>
    </row>
    <row r="20" spans="1:1" x14ac:dyDescent="0.2">
      <c r="A20" s="10" t="s">
        <v>36</v>
      </c>
    </row>
    <row r="21" spans="1:1" x14ac:dyDescent="0.2">
      <c r="A21" s="10"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61"/>
  <sheetViews>
    <sheetView showGridLines="0" zoomScale="91" zoomScaleNormal="91" workbookViewId="0">
      <selection activeCell="B16" sqref="B16:C16"/>
    </sheetView>
  </sheetViews>
  <sheetFormatPr baseColWidth="10" defaultRowHeight="14.25" x14ac:dyDescent="0.2"/>
  <cols>
    <col min="1" max="1" width="7.5703125" style="146" customWidth="1"/>
    <col min="2" max="2" width="16.7109375" style="146" customWidth="1" collapsed="1"/>
    <col min="3" max="3" width="29.7109375" style="146" customWidth="1" collapsed="1"/>
    <col min="4" max="4" width="43.7109375" style="146" customWidth="1" collapsed="1"/>
    <col min="5" max="5" width="39.28515625" style="146" customWidth="1" collapsed="1"/>
    <col min="6" max="6" width="39.28515625" style="146" customWidth="1"/>
    <col min="7" max="14" width="11.42578125" style="146"/>
    <col min="15" max="15" width="37" style="146" customWidth="1"/>
    <col min="16" max="50" width="11.42578125" style="146"/>
    <col min="51" max="51" width="6.140625" style="146" customWidth="1"/>
    <col min="52" max="52" width="130.5703125" style="146" customWidth="1"/>
    <col min="53" max="16384" width="11.42578125" style="146"/>
  </cols>
  <sheetData>
    <row r="1" spans="2:52" ht="16.5" customHeight="1" thickBot="1" x14ac:dyDescent="0.25">
      <c r="AZ1" s="147" t="s">
        <v>249</v>
      </c>
    </row>
    <row r="2" spans="2:52" ht="18" customHeight="1" thickBot="1" x14ac:dyDescent="0.25">
      <c r="B2" s="271"/>
      <c r="C2" s="274" t="s">
        <v>228</v>
      </c>
      <c r="D2" s="275"/>
      <c r="E2" s="275"/>
      <c r="F2" s="136" t="s">
        <v>243</v>
      </c>
      <c r="AZ2" s="147" t="s">
        <v>211</v>
      </c>
    </row>
    <row r="3" spans="2:52" ht="18" customHeight="1" thickBot="1" x14ac:dyDescent="0.25">
      <c r="B3" s="272"/>
      <c r="C3" s="276"/>
      <c r="D3" s="277"/>
      <c r="E3" s="277"/>
      <c r="F3" s="137" t="s">
        <v>244</v>
      </c>
      <c r="AZ3" s="147" t="s">
        <v>212</v>
      </c>
    </row>
    <row r="4" spans="2:52" ht="18" customHeight="1" thickBot="1" x14ac:dyDescent="0.25">
      <c r="B4" s="272"/>
      <c r="C4" s="276"/>
      <c r="D4" s="277"/>
      <c r="E4" s="277"/>
      <c r="F4" s="145">
        <v>45723</v>
      </c>
      <c r="AZ4" s="147" t="s">
        <v>213</v>
      </c>
    </row>
    <row r="5" spans="2:52" ht="18" customHeight="1" thickBot="1" x14ac:dyDescent="0.25">
      <c r="B5" s="273"/>
      <c r="C5" s="278"/>
      <c r="D5" s="279"/>
      <c r="E5" s="279"/>
      <c r="F5" s="137" t="s">
        <v>214</v>
      </c>
      <c r="AZ5" s="148"/>
    </row>
    <row r="6" spans="2:52" ht="18" customHeight="1" thickBot="1" x14ac:dyDescent="0.25">
      <c r="B6" s="280" t="s">
        <v>236</v>
      </c>
      <c r="C6" s="281"/>
      <c r="D6" s="281"/>
      <c r="E6" s="281"/>
      <c r="F6" s="282"/>
      <c r="AZ6" s="148"/>
    </row>
    <row r="7" spans="2:52" ht="33.4" customHeight="1" x14ac:dyDescent="0.2">
      <c r="B7" s="164" t="s">
        <v>215</v>
      </c>
      <c r="C7" s="283" t="s">
        <v>354</v>
      </c>
      <c r="D7" s="284"/>
      <c r="E7" s="284"/>
      <c r="F7" s="285"/>
      <c r="AZ7" s="148"/>
    </row>
    <row r="8" spans="2:52" ht="65.25" customHeight="1" thickBot="1" x14ac:dyDescent="0.25">
      <c r="B8" s="149" t="s">
        <v>216</v>
      </c>
      <c r="C8" s="286" t="s">
        <v>353</v>
      </c>
      <c r="D8" s="287"/>
      <c r="E8" s="287"/>
      <c r="F8" s="288"/>
      <c r="AZ8" s="148"/>
    </row>
    <row r="9" spans="2:52" ht="16.5" thickBot="1" x14ac:dyDescent="0.25">
      <c r="B9" s="270"/>
      <c r="C9" s="270"/>
      <c r="D9" s="270"/>
      <c r="E9" s="270"/>
      <c r="F9" s="270"/>
    </row>
    <row r="10" spans="2:52" ht="15.6" customHeight="1" thickBot="1" x14ac:dyDescent="0.25">
      <c r="B10" s="289" t="s">
        <v>210</v>
      </c>
      <c r="C10" s="290"/>
      <c r="D10" s="290"/>
      <c r="E10" s="290"/>
      <c r="F10" s="291"/>
    </row>
    <row r="11" spans="2:52" ht="32.25" thickBot="1" x14ac:dyDescent="0.25">
      <c r="B11" s="292" t="s">
        <v>217</v>
      </c>
      <c r="C11" s="293"/>
      <c r="D11" s="155" t="s">
        <v>218</v>
      </c>
      <c r="E11" s="155" t="s">
        <v>219</v>
      </c>
      <c r="F11" s="150" t="s">
        <v>220</v>
      </c>
    </row>
    <row r="12" spans="2:52" ht="229.5" customHeight="1" x14ac:dyDescent="0.2">
      <c r="B12" s="294" t="s">
        <v>278</v>
      </c>
      <c r="C12" s="295"/>
      <c r="D12" s="296" t="s">
        <v>352</v>
      </c>
      <c r="E12" s="299" t="s">
        <v>355</v>
      </c>
      <c r="F12" s="302" t="s">
        <v>356</v>
      </c>
    </row>
    <row r="13" spans="2:52" ht="132" customHeight="1" x14ac:dyDescent="0.2">
      <c r="B13" s="305" t="s">
        <v>279</v>
      </c>
      <c r="C13" s="306"/>
      <c r="D13" s="297"/>
      <c r="E13" s="300"/>
      <c r="F13" s="303"/>
    </row>
    <row r="14" spans="2:52" ht="125.25" customHeight="1" x14ac:dyDescent="0.2">
      <c r="B14" s="305" t="s">
        <v>357</v>
      </c>
      <c r="C14" s="306"/>
      <c r="D14" s="297"/>
      <c r="E14" s="300"/>
      <c r="F14" s="303"/>
    </row>
    <row r="15" spans="2:52" ht="13.5" customHeight="1" x14ac:dyDescent="0.2">
      <c r="B15" s="307"/>
      <c r="C15" s="308"/>
      <c r="D15" s="297"/>
      <c r="E15" s="300"/>
      <c r="F15" s="303"/>
    </row>
    <row r="16" spans="2:52" ht="13.5" customHeight="1" x14ac:dyDescent="0.2">
      <c r="B16" s="307"/>
      <c r="C16" s="308"/>
      <c r="D16" s="297"/>
      <c r="E16" s="300"/>
      <c r="F16" s="303"/>
    </row>
    <row r="17" spans="2:6" ht="13.5" customHeight="1" thickBot="1" x14ac:dyDescent="0.25">
      <c r="B17" s="312"/>
      <c r="C17" s="313"/>
      <c r="D17" s="298"/>
      <c r="E17" s="301"/>
      <c r="F17" s="304"/>
    </row>
    <row r="18" spans="2:6" ht="18" x14ac:dyDescent="0.2">
      <c r="B18" s="314" t="s">
        <v>221</v>
      </c>
      <c r="C18" s="314"/>
      <c r="D18" s="314"/>
      <c r="E18" s="314"/>
      <c r="F18" s="314"/>
    </row>
    <row r="19" spans="2:6" ht="15" thickBot="1" x14ac:dyDescent="0.25">
      <c r="B19" s="165"/>
    </row>
    <row r="20" spans="2:6" customFormat="1" ht="16.5" thickBot="1" x14ac:dyDescent="0.3">
      <c r="B20" s="315" t="s">
        <v>222</v>
      </c>
      <c r="C20" s="316"/>
      <c r="D20" s="317"/>
      <c r="E20" s="315" t="s">
        <v>223</v>
      </c>
      <c r="F20" s="317"/>
    </row>
    <row r="21" spans="2:6" customFormat="1" ht="15" customHeight="1" x14ac:dyDescent="0.25">
      <c r="B21" s="318" t="s">
        <v>358</v>
      </c>
      <c r="C21" s="319"/>
      <c r="D21" s="320"/>
      <c r="E21" s="321" t="s">
        <v>359</v>
      </c>
      <c r="F21" s="322"/>
    </row>
    <row r="22" spans="2:6" customFormat="1" ht="15" customHeight="1" x14ac:dyDescent="0.25">
      <c r="B22" s="180" t="s">
        <v>360</v>
      </c>
      <c r="C22" s="181"/>
      <c r="D22" s="182"/>
      <c r="E22" s="323" t="s">
        <v>361</v>
      </c>
      <c r="F22" s="324"/>
    </row>
    <row r="23" spans="2:6" customFormat="1" ht="15" customHeight="1" x14ac:dyDescent="0.25">
      <c r="B23" s="325" t="s">
        <v>362</v>
      </c>
      <c r="C23" s="326"/>
      <c r="D23" s="327"/>
      <c r="E23" s="183" t="s">
        <v>363</v>
      </c>
      <c r="F23" s="184"/>
    </row>
    <row r="24" spans="2:6" customFormat="1" ht="15" customHeight="1" x14ac:dyDescent="0.25">
      <c r="B24" s="325" t="s">
        <v>364</v>
      </c>
      <c r="C24" s="326"/>
      <c r="D24" s="327"/>
      <c r="E24" s="185" t="s">
        <v>365</v>
      </c>
      <c r="F24" s="186"/>
    </row>
    <row r="25" spans="2:6" customFormat="1" ht="15" customHeight="1" x14ac:dyDescent="0.25">
      <c r="B25" s="309" t="s">
        <v>366</v>
      </c>
      <c r="C25" s="310"/>
      <c r="D25" s="311"/>
      <c r="E25" s="187" t="s">
        <v>367</v>
      </c>
      <c r="F25" s="188"/>
    </row>
    <row r="26" spans="2:6" customFormat="1" ht="15" customHeight="1" x14ac:dyDescent="0.25">
      <c r="B26" s="309" t="s">
        <v>368</v>
      </c>
      <c r="C26" s="310"/>
      <c r="D26" s="311"/>
      <c r="E26" s="185" t="s">
        <v>369</v>
      </c>
      <c r="F26" s="186"/>
    </row>
    <row r="27" spans="2:6" customFormat="1" ht="15" customHeight="1" x14ac:dyDescent="0.25">
      <c r="B27" s="309" t="s">
        <v>370</v>
      </c>
      <c r="C27" s="310"/>
      <c r="D27" s="311"/>
      <c r="E27" s="187" t="s">
        <v>371</v>
      </c>
      <c r="F27" s="188"/>
    </row>
    <row r="28" spans="2:6" customFormat="1" ht="15" customHeight="1" x14ac:dyDescent="0.25">
      <c r="B28" s="332" t="s">
        <v>372</v>
      </c>
      <c r="C28" s="333"/>
      <c r="D28" s="334"/>
      <c r="E28" s="189" t="s">
        <v>373</v>
      </c>
      <c r="F28" s="190"/>
    </row>
    <row r="29" spans="2:6" customFormat="1" ht="15" customHeight="1" x14ac:dyDescent="0.25">
      <c r="B29" s="335" t="s">
        <v>374</v>
      </c>
      <c r="C29" s="336"/>
      <c r="D29" s="337"/>
      <c r="E29" s="185" t="s">
        <v>375</v>
      </c>
      <c r="F29" s="186"/>
    </row>
    <row r="30" spans="2:6" customFormat="1" ht="15" customHeight="1" x14ac:dyDescent="0.25">
      <c r="B30" s="309" t="s">
        <v>376</v>
      </c>
      <c r="C30" s="310"/>
      <c r="D30" s="311"/>
      <c r="E30" s="185" t="s">
        <v>377</v>
      </c>
      <c r="F30" s="186"/>
    </row>
    <row r="31" spans="2:6" customFormat="1" ht="15.75" customHeight="1" x14ac:dyDescent="0.25">
      <c r="B31" s="309" t="s">
        <v>378</v>
      </c>
      <c r="C31" s="310"/>
      <c r="D31" s="311"/>
      <c r="E31" s="191" t="s">
        <v>379</v>
      </c>
      <c r="F31" s="192"/>
    </row>
    <row r="32" spans="2:6" customFormat="1" ht="15" x14ac:dyDescent="0.25">
      <c r="B32" s="309" t="s">
        <v>380</v>
      </c>
      <c r="C32" s="310"/>
      <c r="D32" s="311"/>
      <c r="E32" s="185" t="s">
        <v>381</v>
      </c>
      <c r="F32" s="186"/>
    </row>
    <row r="33" spans="2:6" customFormat="1" ht="15" x14ac:dyDescent="0.25">
      <c r="B33" s="191" t="s">
        <v>382</v>
      </c>
      <c r="C33" s="193"/>
      <c r="D33" s="192"/>
      <c r="E33" s="185" t="s">
        <v>280</v>
      </c>
      <c r="F33" s="186"/>
    </row>
    <row r="34" spans="2:6" customFormat="1" ht="15" x14ac:dyDescent="0.25">
      <c r="B34" s="191" t="s">
        <v>383</v>
      </c>
      <c r="C34" s="193"/>
      <c r="D34" s="192"/>
      <c r="E34" s="185" t="s">
        <v>384</v>
      </c>
      <c r="F34" s="186"/>
    </row>
    <row r="35" spans="2:6" customFormat="1" ht="15" x14ac:dyDescent="0.25">
      <c r="B35" s="191" t="s">
        <v>385</v>
      </c>
      <c r="C35" s="193"/>
      <c r="D35" s="192"/>
      <c r="E35" s="194" t="s">
        <v>386</v>
      </c>
      <c r="F35" s="195"/>
    </row>
    <row r="36" spans="2:6" customFormat="1" ht="15" customHeight="1" x14ac:dyDescent="0.25">
      <c r="B36" s="191" t="s">
        <v>387</v>
      </c>
      <c r="C36" s="193"/>
      <c r="D36" s="192"/>
      <c r="E36" s="196" t="s">
        <v>388</v>
      </c>
      <c r="F36" s="195"/>
    </row>
    <row r="37" spans="2:6" customFormat="1" ht="15" customHeight="1" x14ac:dyDescent="0.25">
      <c r="B37" s="197" t="s">
        <v>389</v>
      </c>
      <c r="C37" s="198"/>
      <c r="D37" s="199"/>
      <c r="E37" s="196" t="s">
        <v>390</v>
      </c>
      <c r="F37" s="195"/>
    </row>
    <row r="38" spans="2:6" customFormat="1" ht="15" customHeight="1" x14ac:dyDescent="0.25">
      <c r="B38" s="338"/>
      <c r="C38" s="339"/>
      <c r="D38" s="340"/>
      <c r="E38" s="341" t="s">
        <v>391</v>
      </c>
      <c r="F38" s="342"/>
    </row>
    <row r="39" spans="2:6" customFormat="1" ht="15" customHeight="1" thickBot="1" x14ac:dyDescent="0.3">
      <c r="B39" s="343"/>
      <c r="C39" s="344"/>
      <c r="D39" s="345"/>
      <c r="E39" s="341"/>
      <c r="F39" s="342"/>
    </row>
    <row r="40" spans="2:6" customFormat="1" ht="15" customHeight="1" thickBot="1" x14ac:dyDescent="0.3">
      <c r="B40" s="346" t="s">
        <v>224</v>
      </c>
      <c r="C40" s="347"/>
      <c r="D40" s="348"/>
      <c r="E40" s="346" t="s">
        <v>225</v>
      </c>
      <c r="F40" s="348"/>
    </row>
    <row r="41" spans="2:6" customFormat="1" ht="15.75" customHeight="1" x14ac:dyDescent="0.25">
      <c r="B41" s="328" t="s">
        <v>392</v>
      </c>
      <c r="C41" s="329"/>
      <c r="D41" s="329"/>
      <c r="E41" s="330" t="s">
        <v>393</v>
      </c>
      <c r="F41" s="331"/>
    </row>
    <row r="42" spans="2:6" customFormat="1" ht="15" x14ac:dyDescent="0.25">
      <c r="B42" s="325" t="s">
        <v>394</v>
      </c>
      <c r="C42" s="326"/>
      <c r="D42" s="326"/>
      <c r="E42" s="349" t="s">
        <v>395</v>
      </c>
      <c r="F42" s="350"/>
    </row>
    <row r="43" spans="2:6" customFormat="1" ht="15" x14ac:dyDescent="0.25">
      <c r="B43" s="325" t="s">
        <v>396</v>
      </c>
      <c r="C43" s="326"/>
      <c r="D43" s="326"/>
      <c r="E43" s="351" t="s">
        <v>397</v>
      </c>
      <c r="F43" s="352"/>
    </row>
    <row r="44" spans="2:6" customFormat="1" ht="15" x14ac:dyDescent="0.25">
      <c r="B44" s="325" t="s">
        <v>398</v>
      </c>
      <c r="C44" s="326"/>
      <c r="D44" s="326"/>
      <c r="E44" s="351" t="s">
        <v>399</v>
      </c>
      <c r="F44" s="352"/>
    </row>
    <row r="45" spans="2:6" customFormat="1" ht="15" x14ac:dyDescent="0.25">
      <c r="B45" s="355" t="s">
        <v>400</v>
      </c>
      <c r="C45" s="356"/>
      <c r="D45" s="356"/>
      <c r="E45" s="357" t="s">
        <v>401</v>
      </c>
      <c r="F45" s="358"/>
    </row>
    <row r="46" spans="2:6" customFormat="1" ht="15" x14ac:dyDescent="0.25">
      <c r="B46" s="325" t="s">
        <v>402</v>
      </c>
      <c r="C46" s="326"/>
      <c r="D46" s="326"/>
      <c r="E46" s="351" t="s">
        <v>403</v>
      </c>
      <c r="F46" s="352"/>
    </row>
    <row r="47" spans="2:6" customFormat="1" ht="15" customHeight="1" x14ac:dyDescent="0.25">
      <c r="B47" s="325" t="s">
        <v>404</v>
      </c>
      <c r="C47" s="326"/>
      <c r="D47" s="326"/>
      <c r="E47" s="359" t="s">
        <v>405</v>
      </c>
      <c r="F47" s="360"/>
    </row>
    <row r="48" spans="2:6" customFormat="1" ht="15" customHeight="1" x14ac:dyDescent="0.25">
      <c r="B48" s="325" t="s">
        <v>406</v>
      </c>
      <c r="C48" s="326"/>
      <c r="D48" s="326"/>
      <c r="E48" s="359" t="s">
        <v>407</v>
      </c>
      <c r="F48" s="360"/>
    </row>
    <row r="49" spans="2:6" customFormat="1" ht="15" customHeight="1" x14ac:dyDescent="0.25">
      <c r="B49" s="361" t="s">
        <v>408</v>
      </c>
      <c r="C49" s="362"/>
      <c r="D49" s="362"/>
      <c r="E49" s="200" t="s">
        <v>409</v>
      </c>
      <c r="F49" s="201"/>
    </row>
    <row r="50" spans="2:6" customFormat="1" ht="15" x14ac:dyDescent="0.25">
      <c r="B50" s="325" t="s">
        <v>410</v>
      </c>
      <c r="C50" s="326"/>
      <c r="D50" s="326"/>
      <c r="E50" s="325" t="s">
        <v>411</v>
      </c>
      <c r="F50" s="327"/>
    </row>
    <row r="51" spans="2:6" customFormat="1" ht="15" x14ac:dyDescent="0.25">
      <c r="B51" s="202" t="s">
        <v>412</v>
      </c>
      <c r="C51" s="203"/>
      <c r="D51" s="204"/>
      <c r="E51" s="205" t="s">
        <v>413</v>
      </c>
      <c r="F51" s="206"/>
    </row>
    <row r="52" spans="2:6" customFormat="1" ht="15" x14ac:dyDescent="0.25">
      <c r="B52" s="353" t="s">
        <v>414</v>
      </c>
      <c r="C52" s="354"/>
      <c r="D52" s="354"/>
      <c r="E52" s="207" t="s">
        <v>415</v>
      </c>
      <c r="F52" s="208"/>
    </row>
    <row r="53" spans="2:6" customFormat="1" ht="15" x14ac:dyDescent="0.25">
      <c r="B53" s="207" t="s">
        <v>416</v>
      </c>
      <c r="C53" s="209"/>
      <c r="D53" s="210"/>
      <c r="E53" s="207" t="s">
        <v>417</v>
      </c>
      <c r="F53" s="208"/>
    </row>
    <row r="54" spans="2:6" customFormat="1" ht="16.5" x14ac:dyDescent="0.3">
      <c r="B54" s="353" t="s">
        <v>418</v>
      </c>
      <c r="C54" s="354"/>
      <c r="D54" s="367"/>
      <c r="E54" s="368" t="s">
        <v>419</v>
      </c>
      <c r="F54" s="369"/>
    </row>
    <row r="55" spans="2:6" customFormat="1" ht="16.5" x14ac:dyDescent="0.3">
      <c r="B55" s="211" t="s">
        <v>420</v>
      </c>
      <c r="C55" s="212" t="s">
        <v>421</v>
      </c>
      <c r="D55" s="213"/>
      <c r="E55" s="370"/>
      <c r="F55" s="371"/>
    </row>
    <row r="56" spans="2:6" customFormat="1" ht="16.5" x14ac:dyDescent="0.3">
      <c r="B56" s="325" t="s">
        <v>422</v>
      </c>
      <c r="C56" s="326"/>
      <c r="D56" s="326"/>
      <c r="E56" s="368"/>
      <c r="F56" s="369"/>
    </row>
    <row r="57" spans="2:6" ht="15" thickBot="1" x14ac:dyDescent="0.25">
      <c r="B57" s="372"/>
      <c r="C57" s="373"/>
      <c r="D57" s="374"/>
      <c r="E57" s="375"/>
      <c r="F57" s="376"/>
    </row>
    <row r="58" spans="2:6" ht="15" thickBot="1" x14ac:dyDescent="0.25"/>
    <row r="59" spans="2:6" ht="16.5" thickTop="1" thickBot="1" x14ac:dyDescent="0.25">
      <c r="B59" s="363" t="s">
        <v>250</v>
      </c>
      <c r="C59" s="363"/>
      <c r="D59" s="363"/>
      <c r="E59" s="363"/>
      <c r="F59" s="363"/>
    </row>
    <row r="60" spans="2:6" ht="16.5" thickTop="1" thickBot="1" x14ac:dyDescent="0.3">
      <c r="B60" s="154" t="s">
        <v>248</v>
      </c>
      <c r="C60" s="154" t="s">
        <v>247</v>
      </c>
      <c r="D60" s="364" t="s">
        <v>245</v>
      </c>
      <c r="E60" s="364"/>
      <c r="F60" s="154" t="s">
        <v>35</v>
      </c>
    </row>
    <row r="61" spans="2:6" ht="44.25" customHeight="1" thickTop="1" x14ac:dyDescent="0.2">
      <c r="B61" s="151" t="s">
        <v>246</v>
      </c>
      <c r="C61" s="152">
        <v>45723</v>
      </c>
      <c r="D61" s="365" t="s">
        <v>251</v>
      </c>
      <c r="E61" s="366"/>
      <c r="F61" s="153" t="s">
        <v>423</v>
      </c>
    </row>
  </sheetData>
  <mergeCells count="69">
    <mergeCell ref="B59:F59"/>
    <mergeCell ref="D60:E60"/>
    <mergeCell ref="D61:E61"/>
    <mergeCell ref="B54:D54"/>
    <mergeCell ref="E54:F54"/>
    <mergeCell ref="E55:F55"/>
    <mergeCell ref="B56:D56"/>
    <mergeCell ref="E56:F56"/>
    <mergeCell ref="B57:D57"/>
    <mergeCell ref="E57:F57"/>
    <mergeCell ref="B52:D52"/>
    <mergeCell ref="B45:D45"/>
    <mergeCell ref="E45:F45"/>
    <mergeCell ref="B46:D46"/>
    <mergeCell ref="E46:F46"/>
    <mergeCell ref="B47:D47"/>
    <mergeCell ref="E47:F47"/>
    <mergeCell ref="B48:D48"/>
    <mergeCell ref="E48:F48"/>
    <mergeCell ref="B49:D49"/>
    <mergeCell ref="B50:D50"/>
    <mergeCell ref="E50:F50"/>
    <mergeCell ref="B42:D42"/>
    <mergeCell ref="E42:F42"/>
    <mergeCell ref="B43:D43"/>
    <mergeCell ref="E43:F43"/>
    <mergeCell ref="B44:D44"/>
    <mergeCell ref="E44:F44"/>
    <mergeCell ref="B41:D41"/>
    <mergeCell ref="E41:F41"/>
    <mergeCell ref="B28:D28"/>
    <mergeCell ref="B29:D29"/>
    <mergeCell ref="B30:D30"/>
    <mergeCell ref="B31:D31"/>
    <mergeCell ref="B32:D32"/>
    <mergeCell ref="B38:D38"/>
    <mergeCell ref="E38:F38"/>
    <mergeCell ref="B39:D39"/>
    <mergeCell ref="E39:F39"/>
    <mergeCell ref="B40:D40"/>
    <mergeCell ref="E40:F40"/>
    <mergeCell ref="B27:D27"/>
    <mergeCell ref="B17:C17"/>
    <mergeCell ref="B18:F18"/>
    <mergeCell ref="B20:D20"/>
    <mergeCell ref="E20:F20"/>
    <mergeCell ref="B21:D21"/>
    <mergeCell ref="E21:F21"/>
    <mergeCell ref="E22:F22"/>
    <mergeCell ref="B23:D23"/>
    <mergeCell ref="B24:D24"/>
    <mergeCell ref="B25:D25"/>
    <mergeCell ref="B26:D26"/>
    <mergeCell ref="B10:F10"/>
    <mergeCell ref="B11:C11"/>
    <mergeCell ref="B12:C12"/>
    <mergeCell ref="D12:D17"/>
    <mergeCell ref="E12:E17"/>
    <mergeCell ref="F12:F17"/>
    <mergeCell ref="B13:C13"/>
    <mergeCell ref="B14:C14"/>
    <mergeCell ref="B15:C15"/>
    <mergeCell ref="B16:C16"/>
    <mergeCell ref="B9:F9"/>
    <mergeCell ref="B2:B5"/>
    <mergeCell ref="C2:E5"/>
    <mergeCell ref="B6:F6"/>
    <mergeCell ref="C7:F7"/>
    <mergeCell ref="C8:F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'C:\Users\USUARIO\Desktop\ALCALDIA BGA\1.2025\2.MARZO\2.MAPAS DE RIESGOS\2.DESARROLLO SOCIAL\RIESGOS 2025\[MRG 2025-DESARROLLO SOCIAL validado.xlsx]Hoja1'!#REF!</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6"/>
  <sheetViews>
    <sheetView tabSelected="1" zoomScale="80" zoomScaleNormal="8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5.140625" style="2" customWidth="1"/>
    <col min="5" max="5" width="37.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4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1" style="1" customWidth="1"/>
    <col min="32" max="32" width="27.5703125" style="1" customWidth="1"/>
    <col min="33" max="33" width="23.7109375" style="1" customWidth="1"/>
    <col min="34" max="35" width="14.5703125" style="1" customWidth="1"/>
    <col min="36" max="16384" width="11.42578125" style="1"/>
  </cols>
  <sheetData>
    <row r="1" spans="1:67" ht="24.75" customHeight="1" x14ac:dyDescent="0.3">
      <c r="A1" s="424"/>
      <c r="B1" s="425"/>
      <c r="C1" s="425"/>
      <c r="D1" s="425"/>
      <c r="E1" s="452" t="s">
        <v>427</v>
      </c>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76" t="s">
        <v>243</v>
      </c>
      <c r="AI1" s="476"/>
    </row>
    <row r="2" spans="1:67" ht="15" customHeight="1" x14ac:dyDescent="0.3">
      <c r="A2" s="426"/>
      <c r="B2" s="427"/>
      <c r="C2" s="427"/>
      <c r="D2" s="428"/>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76" t="s">
        <v>244</v>
      </c>
      <c r="AI2" s="476"/>
    </row>
    <row r="3" spans="1:67" ht="15" customHeight="1" x14ac:dyDescent="0.3">
      <c r="A3" s="426"/>
      <c r="B3" s="427"/>
      <c r="C3" s="427"/>
      <c r="D3" s="428"/>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77" t="s">
        <v>254</v>
      </c>
      <c r="AI3" s="477"/>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29"/>
      <c r="B4" s="430"/>
      <c r="C4" s="430"/>
      <c r="D4" s="430"/>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76" t="s">
        <v>214</v>
      </c>
      <c r="AI4" s="47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43"/>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638" t="s">
        <v>39</v>
      </c>
      <c r="B6" s="639"/>
      <c r="C6" s="437" t="s">
        <v>351</v>
      </c>
      <c r="D6" s="438"/>
      <c r="E6" s="438"/>
      <c r="F6" s="438"/>
      <c r="G6" s="438"/>
      <c r="H6" s="438"/>
      <c r="I6" s="438"/>
      <c r="J6" s="438"/>
      <c r="K6" s="438"/>
      <c r="L6" s="438"/>
      <c r="M6" s="438"/>
      <c r="N6" s="439"/>
      <c r="O6" s="416"/>
      <c r="P6" s="416"/>
      <c r="Q6" s="41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6.5" customHeight="1" x14ac:dyDescent="0.3">
      <c r="A7" s="638" t="s">
        <v>126</v>
      </c>
      <c r="B7" s="640"/>
      <c r="C7" s="461" t="s">
        <v>352</v>
      </c>
      <c r="D7" s="462"/>
      <c r="E7" s="462"/>
      <c r="F7" s="462"/>
      <c r="G7" s="462"/>
      <c r="H7" s="462"/>
      <c r="I7" s="462"/>
      <c r="J7" s="462"/>
      <c r="K7" s="462"/>
      <c r="L7" s="462"/>
      <c r="M7" s="462"/>
      <c r="N7" s="463"/>
      <c r="O7" s="8"/>
      <c r="P7" s="14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49.5" customHeight="1" x14ac:dyDescent="0.3">
      <c r="A8" s="638" t="s">
        <v>40</v>
      </c>
      <c r="B8" s="640"/>
      <c r="C8" s="464" t="s">
        <v>353</v>
      </c>
      <c r="D8" s="465"/>
      <c r="E8" s="465"/>
      <c r="F8" s="465"/>
      <c r="G8" s="465"/>
      <c r="H8" s="465"/>
      <c r="I8" s="465"/>
      <c r="J8" s="465"/>
      <c r="K8" s="465"/>
      <c r="L8" s="465"/>
      <c r="M8" s="465"/>
      <c r="N8" s="466"/>
      <c r="O8" s="8"/>
      <c r="P8" s="143"/>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17" t="s">
        <v>135</v>
      </c>
      <c r="B9" s="418"/>
      <c r="C9" s="418"/>
      <c r="D9" s="418"/>
      <c r="E9" s="418"/>
      <c r="F9" s="418"/>
      <c r="G9" s="419"/>
      <c r="H9" s="417" t="s">
        <v>136</v>
      </c>
      <c r="I9" s="418"/>
      <c r="J9" s="418"/>
      <c r="K9" s="418"/>
      <c r="L9" s="418"/>
      <c r="M9" s="418"/>
      <c r="N9" s="419"/>
      <c r="O9" s="417" t="s">
        <v>137</v>
      </c>
      <c r="P9" s="418"/>
      <c r="Q9" s="418"/>
      <c r="R9" s="418"/>
      <c r="S9" s="418"/>
      <c r="T9" s="418"/>
      <c r="U9" s="418"/>
      <c r="V9" s="418"/>
      <c r="W9" s="419"/>
      <c r="X9" s="417" t="s">
        <v>138</v>
      </c>
      <c r="Y9" s="418"/>
      <c r="Z9" s="418"/>
      <c r="AA9" s="418"/>
      <c r="AB9" s="418"/>
      <c r="AC9" s="418"/>
      <c r="AD9" s="419"/>
      <c r="AE9" s="421" t="s">
        <v>34</v>
      </c>
      <c r="AF9" s="422"/>
      <c r="AG9" s="422"/>
      <c r="AH9" s="422"/>
      <c r="AI9" s="42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55" t="s">
        <v>0</v>
      </c>
      <c r="B10" s="458" t="s">
        <v>2</v>
      </c>
      <c r="C10" s="415" t="s">
        <v>3</v>
      </c>
      <c r="D10" s="415" t="s">
        <v>38</v>
      </c>
      <c r="E10" s="457" t="s">
        <v>1</v>
      </c>
      <c r="F10" s="414" t="s">
        <v>46</v>
      </c>
      <c r="G10" s="415" t="s">
        <v>131</v>
      </c>
      <c r="H10" s="470" t="s">
        <v>33</v>
      </c>
      <c r="I10" s="471" t="s">
        <v>5</v>
      </c>
      <c r="J10" s="414" t="s">
        <v>83</v>
      </c>
      <c r="K10" s="414" t="s">
        <v>88</v>
      </c>
      <c r="L10" s="468" t="s">
        <v>41</v>
      </c>
      <c r="M10" s="471" t="s">
        <v>5</v>
      </c>
      <c r="N10" s="415" t="s">
        <v>44</v>
      </c>
      <c r="O10" s="459" t="s">
        <v>11</v>
      </c>
      <c r="P10" s="420" t="s">
        <v>158</v>
      </c>
      <c r="Q10" s="414" t="s">
        <v>12</v>
      </c>
      <c r="R10" s="420" t="s">
        <v>8</v>
      </c>
      <c r="S10" s="420"/>
      <c r="T10" s="420"/>
      <c r="U10" s="420"/>
      <c r="V10" s="420"/>
      <c r="W10" s="420"/>
      <c r="X10" s="467" t="s">
        <v>134</v>
      </c>
      <c r="Y10" s="467" t="s">
        <v>42</v>
      </c>
      <c r="Z10" s="467" t="s">
        <v>5</v>
      </c>
      <c r="AA10" s="467" t="s">
        <v>43</v>
      </c>
      <c r="AB10" s="467" t="s">
        <v>5</v>
      </c>
      <c r="AC10" s="467" t="s">
        <v>45</v>
      </c>
      <c r="AD10" s="459" t="s">
        <v>29</v>
      </c>
      <c r="AE10" s="420" t="s">
        <v>34</v>
      </c>
      <c r="AF10" s="420" t="s">
        <v>35</v>
      </c>
      <c r="AG10" s="420" t="s">
        <v>252</v>
      </c>
      <c r="AH10" s="420" t="s">
        <v>226</v>
      </c>
      <c r="AI10" s="414" t="s">
        <v>227</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56"/>
      <c r="B11" s="458"/>
      <c r="C11" s="420"/>
      <c r="D11" s="420"/>
      <c r="E11" s="458"/>
      <c r="F11" s="415"/>
      <c r="G11" s="420"/>
      <c r="H11" s="415"/>
      <c r="I11" s="469"/>
      <c r="J11" s="415"/>
      <c r="K11" s="415"/>
      <c r="L11" s="469"/>
      <c r="M11" s="469"/>
      <c r="N11" s="420"/>
      <c r="O11" s="460"/>
      <c r="P11" s="420"/>
      <c r="Q11" s="415"/>
      <c r="R11" s="7" t="s">
        <v>13</v>
      </c>
      <c r="S11" s="7" t="s">
        <v>17</v>
      </c>
      <c r="T11" s="7" t="s">
        <v>28</v>
      </c>
      <c r="U11" s="7" t="s">
        <v>18</v>
      </c>
      <c r="V11" s="7" t="s">
        <v>21</v>
      </c>
      <c r="W11" s="7" t="s">
        <v>24</v>
      </c>
      <c r="X11" s="467"/>
      <c r="Y11" s="467"/>
      <c r="Z11" s="467"/>
      <c r="AA11" s="467"/>
      <c r="AB11" s="467"/>
      <c r="AC11" s="467"/>
      <c r="AD11" s="460"/>
      <c r="AE11" s="420"/>
      <c r="AF11" s="420"/>
      <c r="AG11" s="420"/>
      <c r="AH11" s="420"/>
      <c r="AI11" s="41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7.75" customHeight="1" x14ac:dyDescent="0.25">
      <c r="A12" s="395">
        <v>1</v>
      </c>
      <c r="B12" s="401" t="s">
        <v>130</v>
      </c>
      <c r="C12" s="401" t="s">
        <v>281</v>
      </c>
      <c r="D12" s="401" t="s">
        <v>282</v>
      </c>
      <c r="E12" s="408" t="s">
        <v>283</v>
      </c>
      <c r="F12" s="401" t="s">
        <v>119</v>
      </c>
      <c r="G12" s="399">
        <v>11</v>
      </c>
      <c r="H12" s="383" t="str">
        <f>IF(G12&lt;=0,"",IF(G12&lt;=2,"Muy Baja",IF(G12&lt;=24,"Baja",IF(G12&lt;=500,"Media",IF(G12&lt;=5000,"Alta","Muy Alta")))))</f>
        <v>Baja</v>
      </c>
      <c r="I12" s="389">
        <f>IF(H12="","",IF(H12="Muy Baja",0.2,IF(H12="Baja",0.4,IF(H12="Media",0.6,IF(H12="Alta",0.8,IF(H12="Muy Alta",1,))))))</f>
        <v>0.4</v>
      </c>
      <c r="J12" s="386" t="s">
        <v>151</v>
      </c>
      <c r="K12" s="157"/>
      <c r="L12" s="480" t="str">
        <f>IF(OR(K14='[2]Tabla Impacto'!$C$11,K14='[2]Tabla Impacto'!$D$11),"Leve",IF(OR(K14='[2]Tabla Impacto'!$C$12,K14='[2]Tabla Impacto'!$D$12),"Menor",IF(OR(K14='[2]Tabla Impacto'!$C$13,K14='[2]Tabla Impacto'!$D$13),"Moderado",IF(OR(K14='[2]Tabla Impacto'!$C$14,K14='[2]Tabla Impacto'!$D$14),"Mayor",IF(OR(K14='[2]Tabla Impacto'!$C$15,K14='[2]Tabla Impacto'!$D$15),"Catastrófico","")))))</f>
        <v>Mayor</v>
      </c>
      <c r="M12" s="482">
        <f>IF(L12="","",IF(L12="Leve",0.2,IF(L12="Menor",0.4,IF(L12="Moderado",0.6,IF(L12="Mayor",0.8,IF(L12="Catastrófico",1,))))))</f>
        <v>0.8</v>
      </c>
      <c r="N12" s="47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95">
        <v>1</v>
      </c>
      <c r="P12" s="453" t="s">
        <v>284</v>
      </c>
      <c r="Q12" s="641" t="str">
        <f>IF(OR(R12="Preventivo",R12="Detectivo"),"Probabilidad",IF(R12="Correctivo","Impacto",""))</f>
        <v>Probabilidad</v>
      </c>
      <c r="R12" s="642" t="s">
        <v>14</v>
      </c>
      <c r="S12" s="642" t="s">
        <v>9</v>
      </c>
      <c r="T12" s="643" t="str">
        <f>IF(AND(R12="Preventivo",S12="Automático"),"50%",IF(AND(R12="Preventivo",S12="Manual"),"40%",IF(AND(R12="Detectivo",S12="Automático"),"40%",IF(AND(R12="Detectivo",S12="Manual"),"30%",IF(AND(R12="Correctivo",S12="Automático"),"35%",IF(AND(R12="Correctivo",S12="Manual"),"25%",""))))))</f>
        <v>40%</v>
      </c>
      <c r="U12" s="642" t="s">
        <v>19</v>
      </c>
      <c r="V12" s="642" t="s">
        <v>22</v>
      </c>
      <c r="W12" s="642" t="s">
        <v>115</v>
      </c>
      <c r="X12" s="644"/>
      <c r="Y12" s="645" t="str">
        <f>IFERROR(IF(X14="","",IF(X14&lt;=0.2,"Muy Baja",IF(X14&lt;=0.4,"Baja",IF(X14&lt;=0.6,"Media",IF(X14&lt;=0.8,"Alta","Muy Alta"))))),"")</f>
        <v>Baja</v>
      </c>
      <c r="Z12" s="643">
        <f>+X14</f>
        <v>0.24</v>
      </c>
      <c r="AA12" s="645" t="str">
        <f>IFERROR(IF(AB12="","",IF(AB12&lt;=0.2,"Leve",IF(AB12&lt;=0.4,"Menor",IF(AB12&lt;=0.6,"Moderado",IF(AB12&lt;=0.8,"Mayor","Catastrófico"))))),"")</f>
        <v>Mayor</v>
      </c>
      <c r="AB12" s="643">
        <f>IFERROR(IF(Q12="Impacto",(M12-(+M12*T12)),IF(Q12="Probabilidad",M12,"")),"")</f>
        <v>0.8</v>
      </c>
      <c r="AC12" s="64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642" t="s">
        <v>132</v>
      </c>
      <c r="AE12" s="170" t="s">
        <v>285</v>
      </c>
      <c r="AF12" s="166" t="s">
        <v>286</v>
      </c>
      <c r="AG12" s="138" t="s">
        <v>287</v>
      </c>
      <c r="AH12" s="167">
        <v>45689</v>
      </c>
      <c r="AI12" s="167">
        <v>46006</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83.25" customHeight="1" x14ac:dyDescent="0.3">
      <c r="A13" s="396"/>
      <c r="B13" s="402"/>
      <c r="C13" s="402"/>
      <c r="D13" s="402"/>
      <c r="E13" s="409"/>
      <c r="F13" s="402"/>
      <c r="G13" s="400"/>
      <c r="H13" s="384"/>
      <c r="I13" s="390"/>
      <c r="J13" s="387"/>
      <c r="K13" s="157"/>
      <c r="L13" s="481"/>
      <c r="M13" s="483"/>
      <c r="N13" s="479"/>
      <c r="O13" s="396"/>
      <c r="P13" s="454"/>
      <c r="Q13" s="647"/>
      <c r="R13" s="648"/>
      <c r="S13" s="648"/>
      <c r="T13" s="649"/>
      <c r="U13" s="648"/>
      <c r="V13" s="648"/>
      <c r="W13" s="648"/>
      <c r="X13" s="644"/>
      <c r="Y13" s="650"/>
      <c r="Z13" s="649"/>
      <c r="AA13" s="650"/>
      <c r="AB13" s="649"/>
      <c r="AC13" s="651"/>
      <c r="AD13" s="648"/>
      <c r="AE13" s="170" t="s">
        <v>288</v>
      </c>
      <c r="AF13" s="166" t="s">
        <v>286</v>
      </c>
      <c r="AG13" s="168" t="s">
        <v>289</v>
      </c>
      <c r="AH13" s="167">
        <v>45689</v>
      </c>
      <c r="AI13" s="167">
        <v>46006</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74.25" customHeight="1" x14ac:dyDescent="0.3">
      <c r="A14" s="396"/>
      <c r="B14" s="402"/>
      <c r="C14" s="402"/>
      <c r="D14" s="402"/>
      <c r="E14" s="409"/>
      <c r="F14" s="402"/>
      <c r="G14" s="400"/>
      <c r="H14" s="384"/>
      <c r="I14" s="390"/>
      <c r="J14" s="387"/>
      <c r="K14" s="482" t="str">
        <f>IF(NOT(ISERROR(MATCH(J12,'[2]Tabla Impacto'!$B$221:$B$223,0))),'[2]Tabla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4" s="481"/>
      <c r="M14" s="483"/>
      <c r="N14" s="479"/>
      <c r="O14" s="396"/>
      <c r="P14" s="454"/>
      <c r="Q14" s="647"/>
      <c r="R14" s="648"/>
      <c r="S14" s="648"/>
      <c r="T14" s="649"/>
      <c r="U14" s="648"/>
      <c r="V14" s="648"/>
      <c r="W14" s="648"/>
      <c r="X14" s="652">
        <f>IFERROR(IF(Q12="Probabilidad",(I12-(+I12*T12)),IF(Q12="Impacto",I12,"")),"")</f>
        <v>0.24</v>
      </c>
      <c r="Y14" s="650"/>
      <c r="Z14" s="649"/>
      <c r="AA14" s="650"/>
      <c r="AB14" s="649"/>
      <c r="AC14" s="651"/>
      <c r="AD14" s="648"/>
      <c r="AE14" s="170" t="s">
        <v>290</v>
      </c>
      <c r="AF14" s="169" t="s">
        <v>286</v>
      </c>
      <c r="AG14" s="162" t="s">
        <v>291</v>
      </c>
      <c r="AH14" s="167">
        <v>45689</v>
      </c>
      <c r="AI14" s="167">
        <v>46006</v>
      </c>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96"/>
      <c r="B15" s="402"/>
      <c r="C15" s="402"/>
      <c r="D15" s="402"/>
      <c r="E15" s="409"/>
      <c r="F15" s="402"/>
      <c r="G15" s="400"/>
      <c r="H15" s="384"/>
      <c r="I15" s="390"/>
      <c r="J15" s="387"/>
      <c r="K15" s="483"/>
      <c r="L15" s="481"/>
      <c r="M15" s="483"/>
      <c r="N15" s="479"/>
      <c r="O15" s="6">
        <v>2</v>
      </c>
      <c r="P15" s="141"/>
      <c r="Q15" s="653"/>
      <c r="R15" s="654"/>
      <c r="S15" s="654"/>
      <c r="T15" s="655"/>
      <c r="U15" s="654"/>
      <c r="V15" s="654"/>
      <c r="W15" s="654"/>
      <c r="X15" s="656"/>
      <c r="Y15" s="657"/>
      <c r="Z15" s="658"/>
      <c r="AA15" s="657"/>
      <c r="AB15" s="658"/>
      <c r="AC15" s="659"/>
      <c r="AD15" s="660"/>
      <c r="AE15" s="169"/>
      <c r="AF15" s="169"/>
      <c r="AG15" s="162"/>
      <c r="AH15" s="167"/>
      <c r="AI15" s="16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96"/>
      <c r="B16" s="402"/>
      <c r="C16" s="402"/>
      <c r="D16" s="402"/>
      <c r="E16" s="409"/>
      <c r="F16" s="402"/>
      <c r="G16" s="400"/>
      <c r="H16" s="384"/>
      <c r="I16" s="390"/>
      <c r="J16" s="387"/>
      <c r="K16" s="483"/>
      <c r="L16" s="481"/>
      <c r="M16" s="483"/>
      <c r="N16" s="479"/>
      <c r="O16" s="6">
        <v>3</v>
      </c>
      <c r="P16" s="141"/>
      <c r="Q16" s="653"/>
      <c r="R16" s="654"/>
      <c r="S16" s="654"/>
      <c r="T16" s="655"/>
      <c r="U16" s="654"/>
      <c r="V16" s="654"/>
      <c r="W16" s="654"/>
      <c r="X16" s="656"/>
      <c r="Y16" s="657"/>
      <c r="Z16" s="658"/>
      <c r="AA16" s="657"/>
      <c r="AB16" s="658"/>
      <c r="AC16" s="659"/>
      <c r="AD16" s="660"/>
      <c r="AE16" s="169"/>
      <c r="AF16" s="169"/>
      <c r="AG16" s="162"/>
      <c r="AH16" s="167"/>
      <c r="AI16" s="16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96"/>
      <c r="B17" s="402"/>
      <c r="C17" s="402"/>
      <c r="D17" s="402"/>
      <c r="E17" s="409"/>
      <c r="F17" s="402"/>
      <c r="G17" s="400"/>
      <c r="H17" s="384"/>
      <c r="I17" s="390"/>
      <c r="J17" s="387"/>
      <c r="K17" s="483">
        <f>IF(NOT(ISERROR(MATCH(J17,_xlfn.ANCHORARRAY(E26),0))),I28&amp;"Por favor no seleccionar los criterios de impacto",J17)</f>
        <v>0</v>
      </c>
      <c r="L17" s="481"/>
      <c r="M17" s="483"/>
      <c r="N17" s="479"/>
      <c r="O17" s="6">
        <v>4</v>
      </c>
      <c r="P17" s="141"/>
      <c r="Q17" s="653"/>
      <c r="R17" s="654"/>
      <c r="S17" s="654"/>
      <c r="T17" s="655"/>
      <c r="U17" s="654"/>
      <c r="V17" s="654"/>
      <c r="W17" s="654"/>
      <c r="X17" s="656"/>
      <c r="Y17" s="657"/>
      <c r="Z17" s="658"/>
      <c r="AA17" s="657"/>
      <c r="AB17" s="658"/>
      <c r="AC17" s="659"/>
      <c r="AD17" s="660"/>
      <c r="AE17" s="107"/>
      <c r="AF17" s="107"/>
      <c r="AG17" s="107"/>
      <c r="AH17" s="107"/>
      <c r="AI17" s="139"/>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396"/>
      <c r="B18" s="402"/>
      <c r="C18" s="402"/>
      <c r="D18" s="402"/>
      <c r="E18" s="409"/>
      <c r="F18" s="402"/>
      <c r="G18" s="400"/>
      <c r="H18" s="384"/>
      <c r="I18" s="390"/>
      <c r="J18" s="387"/>
      <c r="K18" s="483">
        <f>IF(NOT(ISERROR(MATCH(J18,_xlfn.ANCHORARRAY(E27),0))),I31&amp;"Por favor no seleccionar los criterios de impacto",J18)</f>
        <v>0</v>
      </c>
      <c r="L18" s="481"/>
      <c r="M18" s="483"/>
      <c r="N18" s="479"/>
      <c r="O18" s="6">
        <v>5</v>
      </c>
      <c r="P18" s="141"/>
      <c r="Q18" s="653"/>
      <c r="R18" s="654"/>
      <c r="S18" s="654"/>
      <c r="T18" s="655"/>
      <c r="U18" s="654"/>
      <c r="V18" s="654"/>
      <c r="W18" s="654"/>
      <c r="X18" s="656"/>
      <c r="Y18" s="657"/>
      <c r="Z18" s="658"/>
      <c r="AA18" s="657"/>
      <c r="AB18" s="658"/>
      <c r="AC18" s="659"/>
      <c r="AD18" s="660"/>
      <c r="AE18" s="107"/>
      <c r="AF18" s="107"/>
      <c r="AG18" s="107"/>
      <c r="AH18" s="107"/>
      <c r="AI18" s="109"/>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96"/>
      <c r="B19" s="402"/>
      <c r="C19" s="402"/>
      <c r="D19" s="402"/>
      <c r="E19" s="409"/>
      <c r="F19" s="402"/>
      <c r="G19" s="400"/>
      <c r="H19" s="384"/>
      <c r="I19" s="390"/>
      <c r="J19" s="387"/>
      <c r="K19" s="483">
        <f>IF(NOT(ISERROR(MATCH(J19,_xlfn.ANCHORARRAY(E28),0))),I32&amp;"Por favor no seleccionar los criterios de impacto",J19)</f>
        <v>0</v>
      </c>
      <c r="L19" s="481"/>
      <c r="M19" s="483"/>
      <c r="N19" s="479"/>
      <c r="O19" s="6">
        <v>6</v>
      </c>
      <c r="P19" s="141"/>
      <c r="Q19" s="653"/>
      <c r="R19" s="654"/>
      <c r="S19" s="654"/>
      <c r="T19" s="655"/>
      <c r="U19" s="654"/>
      <c r="V19" s="654"/>
      <c r="W19" s="654"/>
      <c r="X19" s="656"/>
      <c r="Y19" s="657"/>
      <c r="Z19" s="658"/>
      <c r="AA19" s="657"/>
      <c r="AB19" s="658"/>
      <c r="AC19" s="659"/>
      <c r="AD19" s="660"/>
      <c r="AE19" s="107"/>
      <c r="AF19" s="108"/>
      <c r="AG19" s="109"/>
      <c r="AH19" s="109"/>
      <c r="AI19" s="109"/>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72.75" customHeight="1" x14ac:dyDescent="0.3">
      <c r="A20" s="395">
        <v>2</v>
      </c>
      <c r="B20" s="401" t="s">
        <v>130</v>
      </c>
      <c r="C20" s="401" t="s">
        <v>292</v>
      </c>
      <c r="D20" s="441" t="s">
        <v>428</v>
      </c>
      <c r="E20" s="441" t="s">
        <v>293</v>
      </c>
      <c r="F20" s="401" t="s">
        <v>119</v>
      </c>
      <c r="G20" s="446">
        <v>243</v>
      </c>
      <c r="H20" s="383" t="str">
        <f>IF(G20&lt;=0,"",IF(G20&lt;=2,"Muy Baja",IF(G20&lt;=24,"Baja",IF(G20&lt;=500,"Media",IF(G20&lt;=5000,"Alta","Muy Alta")))))</f>
        <v>Media</v>
      </c>
      <c r="I20" s="389">
        <f>IF(H20="","",IF(H20="Muy Baja",0.2,IF(H20="Baja",0.4,IF(H20="Media",0.6,IF(H20="Alta",0.8,IF(H20="Muy Alta",1,))))))</f>
        <v>0.6</v>
      </c>
      <c r="J20" s="386" t="s">
        <v>151</v>
      </c>
      <c r="K20" s="389" t="str">
        <f>IF(NOT(ISERROR(MATCH(J20,'[2]Tabla Impacto'!$B$221:$B$223,0))),'[2]Tabla Impacto'!$F$223&amp;"Por favor no seleccionar los criterios de impacto(Afectación Económica o presupuestal y Pérdida Reputacional)",J20)</f>
        <v xml:space="preserve">     El riesgo afecta la imagen de de la entidad con efecto publicitario sostenido a nivel de sector administrativo, nivel departamental o municipal</v>
      </c>
      <c r="L20" s="383" t="str">
        <f>IF(OR(K20='[2]Tabla Impacto'!$C$11,K20='[2]Tabla Impacto'!$D$11),"Leve",IF(OR(K20='[2]Tabla Impacto'!$C$12,K20='[2]Tabla Impacto'!$D$12),"Menor",IF(OR(K20='[2]Tabla Impacto'!$C$13,K20='[2]Tabla Impacto'!$D$13),"Moderado",IF(OR(K20='[2]Tabla Impacto'!$C$14,K20='[2]Tabla Impacto'!$D$14),"Mayor",IF(OR(K20='[2]Tabla Impacto'!$C$15,K20='[2]Tabla Impacto'!$D$15),"Catastrófico","")))))</f>
        <v>Mayor</v>
      </c>
      <c r="M20" s="389">
        <f>IF(L20="","",IF(L20="Leve",0.2,IF(L20="Menor",0.4,IF(L20="Moderado",0.6,IF(L20="Mayor",0.8,IF(L20="Catastrófico",1,))))))</f>
        <v>0.8</v>
      </c>
      <c r="N20" s="392"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Alto</v>
      </c>
      <c r="O20" s="6">
        <v>1</v>
      </c>
      <c r="P20" s="141" t="s">
        <v>294</v>
      </c>
      <c r="Q20" s="661" t="str">
        <f>IF(OR(R20="Preventivo",R20="Detectivo"),"Probabilidad",IF(R20="Correctivo","Impacto",""))</f>
        <v>Probabilidad</v>
      </c>
      <c r="R20" s="662" t="s">
        <v>14</v>
      </c>
      <c r="S20" s="662" t="s">
        <v>9</v>
      </c>
      <c r="T20" s="663" t="str">
        <f>IF(AND(R20="Preventivo",S20="Automático"),"50%",IF(AND(R20="Preventivo",S20="Manual"),"40%",IF(AND(R20="Detectivo",S20="Automático"),"40%",IF(AND(R20="Detectivo",S20="Manual"),"30%",IF(AND(R20="Correctivo",S20="Automático"),"35%",IF(AND(R20="Correctivo",S20="Manual"),"25%",""))))))</f>
        <v>40%</v>
      </c>
      <c r="U20" s="662" t="s">
        <v>19</v>
      </c>
      <c r="V20" s="662" t="s">
        <v>22</v>
      </c>
      <c r="W20" s="662" t="s">
        <v>115</v>
      </c>
      <c r="X20" s="652">
        <f>IFERROR(IF(Q20="Probabilidad",(I20-(+I20*T20)),IF(Q20="Impacto",I20,"")),"")</f>
        <v>0.36</v>
      </c>
      <c r="Y20" s="664" t="str">
        <f>IFERROR(IF(X20="","",IF(X20&lt;=0.2,"Muy Baja",IF(X20&lt;=0.4,"Baja",IF(X20&lt;=0.6,"Media",IF(X20&lt;=0.8,"Alta","Muy Alta"))))),"")</f>
        <v>Baja</v>
      </c>
      <c r="Z20" s="665">
        <f>+X20</f>
        <v>0.36</v>
      </c>
      <c r="AA20" s="664" t="str">
        <f>IFERROR(IF(AB20="","",IF(AB20&lt;=0.2,"Leve",IF(AB20&lt;=0.4,"Menor",IF(AB20&lt;=0.6,"Moderado",IF(AB20&lt;=0.8,"Mayor","Catastrófico"))))),"")</f>
        <v>Mayor</v>
      </c>
      <c r="AB20" s="665">
        <f>IFERROR(IF(Q20="Impacto",(M20-(+M20*T20)),IF(Q20="Probabilidad",M20,"")),"")</f>
        <v>0.8</v>
      </c>
      <c r="AC20" s="666"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667" t="s">
        <v>132</v>
      </c>
      <c r="AE20" s="170" t="s">
        <v>295</v>
      </c>
      <c r="AF20" s="169" t="s">
        <v>296</v>
      </c>
      <c r="AG20" s="139" t="s">
        <v>297</v>
      </c>
      <c r="AH20" s="167">
        <v>45689</v>
      </c>
      <c r="AI20" s="167">
        <v>45807</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64.5" customHeight="1" x14ac:dyDescent="0.3">
      <c r="A21" s="396"/>
      <c r="B21" s="402"/>
      <c r="C21" s="402"/>
      <c r="D21" s="442"/>
      <c r="E21" s="442"/>
      <c r="F21" s="402"/>
      <c r="G21" s="447"/>
      <c r="H21" s="384"/>
      <c r="I21" s="390"/>
      <c r="J21" s="387"/>
      <c r="K21" s="390">
        <f>IF(NOT(ISERROR(MATCH(J21,_xlfn.ANCHORARRAY(E34),0))),I37&amp;"Por favor no seleccionar los criterios de impacto",J21)</f>
        <v>0</v>
      </c>
      <c r="L21" s="384"/>
      <c r="M21" s="390"/>
      <c r="N21" s="393"/>
      <c r="O21" s="6">
        <v>2</v>
      </c>
      <c r="P21" s="170" t="s">
        <v>298</v>
      </c>
      <c r="Q21" s="661" t="str">
        <f>IF(OR(R21="Preventivo",R21="Detectivo"),"Probabilidad",IF(R21="Correctivo","Impacto",""))</f>
        <v>Probabilidad</v>
      </c>
      <c r="R21" s="662" t="s">
        <v>14</v>
      </c>
      <c r="S21" s="662" t="s">
        <v>9</v>
      </c>
      <c r="T21" s="663" t="str">
        <f t="shared" ref="T21:T25" si="0">IF(AND(R21="Preventivo",S21="Automático"),"50%",IF(AND(R21="Preventivo",S21="Manual"),"40%",IF(AND(R21="Detectivo",S21="Automático"),"40%",IF(AND(R21="Detectivo",S21="Manual"),"30%",IF(AND(R21="Correctivo",S21="Automático"),"35%",IF(AND(R21="Correctivo",S21="Manual"),"25%",""))))))</f>
        <v>40%</v>
      </c>
      <c r="U21" s="662" t="s">
        <v>19</v>
      </c>
      <c r="V21" s="662" t="s">
        <v>22</v>
      </c>
      <c r="W21" s="662" t="s">
        <v>115</v>
      </c>
      <c r="X21" s="652">
        <f>IFERROR(IF(AND(Q20="Probabilidad",Q21="Probabilidad"),(Z20-(+Z20*T21)),IF(Q21="Probabilidad",(I20-(+I20*T21)),IF(Q21="Impacto",Z20,""))),"")</f>
        <v>0.216</v>
      </c>
      <c r="Y21" s="664" t="str">
        <f t="shared" ref="Y21:Y71" si="1">IFERROR(IF(X21="","",IF(X21&lt;=0.2,"Muy Baja",IF(X21&lt;=0.4,"Baja",IF(X21&lt;=0.6,"Media",IF(X21&lt;=0.8,"Alta","Muy Alta"))))),"")</f>
        <v>Baja</v>
      </c>
      <c r="Z21" s="665">
        <f t="shared" ref="Z21:Z25" si="2">+X21</f>
        <v>0.216</v>
      </c>
      <c r="AA21" s="664" t="str">
        <f t="shared" ref="AA21:AA71" si="3">IFERROR(IF(AB21="","",IF(AB21&lt;=0.2,"Leve",IF(AB21&lt;=0.4,"Menor",IF(AB21&lt;=0.6,"Moderado",IF(AB21&lt;=0.8,"Mayor","Catastrófico"))))),"")</f>
        <v>Mayor</v>
      </c>
      <c r="AB21" s="665">
        <f>IFERROR(IF(AND(Q20="Impacto",Q21="Impacto"),(AB20-(+AB20*T21)),IF(Q21="Impacto",(M20-(+M20*T21)),IF(Q21="Probabilidad",AB20,""))),"")</f>
        <v>0.8</v>
      </c>
      <c r="AC21" s="666" t="str">
        <f t="shared" ref="AC21:AC22" si="4">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667" t="s">
        <v>132</v>
      </c>
      <c r="AE21" s="170" t="s">
        <v>299</v>
      </c>
      <c r="AF21" s="169" t="s">
        <v>300</v>
      </c>
      <c r="AG21" s="168" t="s">
        <v>291</v>
      </c>
      <c r="AH21" s="167">
        <v>45689</v>
      </c>
      <c r="AI21" s="167">
        <v>46006</v>
      </c>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65.25" customHeight="1" x14ac:dyDescent="0.3">
      <c r="A22" s="396"/>
      <c r="B22" s="402"/>
      <c r="C22" s="402"/>
      <c r="D22" s="442"/>
      <c r="E22" s="442"/>
      <c r="F22" s="402"/>
      <c r="G22" s="447"/>
      <c r="H22" s="384"/>
      <c r="I22" s="390"/>
      <c r="J22" s="387"/>
      <c r="K22" s="390">
        <f>IF(NOT(ISERROR(MATCH(J22,_xlfn.ANCHORARRAY(E36),0))),I39&amp;"Por favor no seleccionar los criterios de impacto",J22)</f>
        <v>0</v>
      </c>
      <c r="L22" s="384"/>
      <c r="M22" s="390"/>
      <c r="N22" s="393"/>
      <c r="O22" s="6">
        <v>3</v>
      </c>
      <c r="P22" s="171" t="s">
        <v>301</v>
      </c>
      <c r="Q22" s="661" t="str">
        <f>IF(OR(R22="Preventivo",R22="Detectivo"),"Probabilidad",IF(R22="Correctivo","Impacto",""))</f>
        <v>Probabilidad</v>
      </c>
      <c r="R22" s="662" t="s">
        <v>14</v>
      </c>
      <c r="S22" s="662" t="s">
        <v>9</v>
      </c>
      <c r="T22" s="663" t="str">
        <f t="shared" si="0"/>
        <v>40%</v>
      </c>
      <c r="U22" s="662" t="s">
        <v>19</v>
      </c>
      <c r="V22" s="662" t="s">
        <v>22</v>
      </c>
      <c r="W22" s="662" t="s">
        <v>115</v>
      </c>
      <c r="X22" s="652">
        <f>IFERROR(IF(AND(Q21="Probabilidad",Q22="Probabilidad"),(Z21-(+Z21*T22)),IF(AND(Q21="Impacto",Q22="Probabilidad"),(Z20-(+Z20*T22)),IF(Q22="Impacto",Z21,""))),"")</f>
        <v>0.12959999999999999</v>
      </c>
      <c r="Y22" s="664" t="str">
        <f t="shared" si="1"/>
        <v>Muy Baja</v>
      </c>
      <c r="Z22" s="665">
        <f t="shared" si="2"/>
        <v>0.12959999999999999</v>
      </c>
      <c r="AA22" s="664" t="str">
        <f t="shared" si="3"/>
        <v>Mayor</v>
      </c>
      <c r="AB22" s="665">
        <f>IFERROR(IF(AND(Q21="Impacto",Q22="Impacto"),(AB21-(+AB21*T22)),IF(AND(Q21="Probabilidad",Q22="Impacto"),(AB20-(+AB20*T22)),IF(Q22="Probabilidad",AB21,""))),"")</f>
        <v>0.8</v>
      </c>
      <c r="AC22" s="666" t="str">
        <f t="shared" si="4"/>
        <v>Alto</v>
      </c>
      <c r="AD22" s="667" t="s">
        <v>132</v>
      </c>
      <c r="AE22" s="170" t="s">
        <v>302</v>
      </c>
      <c r="AF22" s="172" t="s">
        <v>303</v>
      </c>
      <c r="AG22" s="159" t="s">
        <v>260</v>
      </c>
      <c r="AH22" s="167">
        <v>45717</v>
      </c>
      <c r="AI22" s="167">
        <v>45868</v>
      </c>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96"/>
      <c r="B23" s="402"/>
      <c r="C23" s="402"/>
      <c r="D23" s="442"/>
      <c r="E23" s="442"/>
      <c r="F23" s="402"/>
      <c r="G23" s="447"/>
      <c r="H23" s="384"/>
      <c r="I23" s="390"/>
      <c r="J23" s="387"/>
      <c r="K23" s="390">
        <f>IF(NOT(ISERROR(MATCH(J23,_xlfn.ANCHORARRAY(E37),0))),I40&amp;"Por favor no seleccionar los criterios de impacto",J23)</f>
        <v>0</v>
      </c>
      <c r="L23" s="384"/>
      <c r="M23" s="390"/>
      <c r="N23" s="393"/>
      <c r="O23" s="106">
        <v>4</v>
      </c>
      <c r="P23" s="141"/>
      <c r="Q23" s="653" t="str">
        <f t="shared" ref="Q23:Q25" si="5">IF(OR(R23="Preventivo",R23="Detectivo"),"Probabilidad",IF(R23="Correctivo","Impacto",""))</f>
        <v/>
      </c>
      <c r="R23" s="654"/>
      <c r="S23" s="654"/>
      <c r="T23" s="655" t="str">
        <f t="shared" si="0"/>
        <v/>
      </c>
      <c r="U23" s="654"/>
      <c r="V23" s="654"/>
      <c r="W23" s="654"/>
      <c r="X23" s="656" t="str">
        <f t="shared" ref="X23:X25" si="6">IFERROR(IF(AND(Q22="Probabilidad",Q23="Probabilidad"),(Z22-(+Z22*T23)),IF(AND(Q22="Impacto",Q23="Probabilidad"),(Z21-(+Z21*T23)),IF(Q23="Impacto",Z22,""))),"")</f>
        <v/>
      </c>
      <c r="Y23" s="657" t="str">
        <f t="shared" si="1"/>
        <v/>
      </c>
      <c r="Z23" s="658" t="str">
        <f t="shared" si="2"/>
        <v/>
      </c>
      <c r="AA23" s="657" t="str">
        <f t="shared" si="3"/>
        <v/>
      </c>
      <c r="AB23" s="658" t="str">
        <f t="shared" ref="AB23:AB25" si="7">IFERROR(IF(AND(Q22="Impacto",Q23="Impacto"),(AB22-(+AB22*T23)),IF(AND(Q22="Probabilidad",Q23="Impacto"),(AB21-(+AB21*T23)),IF(Q23="Probabilidad",AB22,""))),"")</f>
        <v/>
      </c>
      <c r="AC23" s="659"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660"/>
      <c r="AE23" s="107"/>
      <c r="AF23" s="108"/>
      <c r="AG23" s="109"/>
      <c r="AH23" s="109"/>
      <c r="AI23" s="109"/>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96"/>
      <c r="B24" s="402"/>
      <c r="C24" s="402"/>
      <c r="D24" s="442"/>
      <c r="E24" s="442"/>
      <c r="F24" s="402"/>
      <c r="G24" s="447"/>
      <c r="H24" s="384"/>
      <c r="I24" s="390"/>
      <c r="J24" s="387"/>
      <c r="K24" s="390">
        <f>IF(NOT(ISERROR(MATCH(J24,_xlfn.ANCHORARRAY(E39),0))),#REF!&amp;"Por favor no seleccionar los criterios de impacto",J24)</f>
        <v>0</v>
      </c>
      <c r="L24" s="384"/>
      <c r="M24" s="390"/>
      <c r="N24" s="393"/>
      <c r="O24" s="106">
        <v>5</v>
      </c>
      <c r="P24" s="141"/>
      <c r="Q24" s="653" t="str">
        <f t="shared" si="5"/>
        <v/>
      </c>
      <c r="R24" s="654"/>
      <c r="S24" s="654"/>
      <c r="T24" s="655" t="str">
        <f t="shared" si="0"/>
        <v/>
      </c>
      <c r="U24" s="654"/>
      <c r="V24" s="654"/>
      <c r="W24" s="654"/>
      <c r="X24" s="656" t="str">
        <f t="shared" si="6"/>
        <v/>
      </c>
      <c r="Y24" s="657" t="str">
        <f t="shared" si="1"/>
        <v/>
      </c>
      <c r="Z24" s="658" t="str">
        <f t="shared" si="2"/>
        <v/>
      </c>
      <c r="AA24" s="657" t="str">
        <f t="shared" si="3"/>
        <v/>
      </c>
      <c r="AB24" s="658" t="str">
        <f t="shared" si="7"/>
        <v/>
      </c>
      <c r="AC24" s="659" t="str">
        <f t="shared" ref="AC24:AC25" si="8">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660"/>
      <c r="AE24" s="107"/>
      <c r="AF24" s="108"/>
      <c r="AG24" s="109"/>
      <c r="AH24" s="109"/>
      <c r="AI24" s="109"/>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403"/>
      <c r="B25" s="407"/>
      <c r="C25" s="407"/>
      <c r="D25" s="443"/>
      <c r="E25" s="443"/>
      <c r="F25" s="407"/>
      <c r="G25" s="448"/>
      <c r="H25" s="385"/>
      <c r="I25" s="391"/>
      <c r="J25" s="388"/>
      <c r="K25" s="391">
        <f>IF(NOT(ISERROR(MATCH(J25,_xlfn.ANCHORARRAY(E40),0))),I41&amp;"Por favor no seleccionar los criterios de impacto",J25)</f>
        <v>0</v>
      </c>
      <c r="L25" s="385"/>
      <c r="M25" s="391"/>
      <c r="N25" s="394"/>
      <c r="O25" s="106">
        <v>6</v>
      </c>
      <c r="P25" s="141"/>
      <c r="Q25" s="653" t="str">
        <f t="shared" si="5"/>
        <v/>
      </c>
      <c r="R25" s="654"/>
      <c r="S25" s="654"/>
      <c r="T25" s="655" t="str">
        <f t="shared" si="0"/>
        <v/>
      </c>
      <c r="U25" s="654"/>
      <c r="V25" s="654"/>
      <c r="W25" s="654"/>
      <c r="X25" s="656" t="str">
        <f t="shared" si="6"/>
        <v/>
      </c>
      <c r="Y25" s="657" t="str">
        <f t="shared" si="1"/>
        <v/>
      </c>
      <c r="Z25" s="658" t="str">
        <f t="shared" si="2"/>
        <v/>
      </c>
      <c r="AA25" s="657" t="str">
        <f t="shared" si="3"/>
        <v/>
      </c>
      <c r="AB25" s="658" t="str">
        <f t="shared" si="7"/>
        <v/>
      </c>
      <c r="AC25" s="659" t="str">
        <f t="shared" si="8"/>
        <v/>
      </c>
      <c r="AD25" s="660"/>
      <c r="AE25" s="107"/>
      <c r="AF25" s="108"/>
      <c r="AG25" s="109"/>
      <c r="AH25" s="109"/>
      <c r="AI25" s="109"/>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74.25" customHeight="1" x14ac:dyDescent="0.3">
      <c r="A26" s="395">
        <v>3</v>
      </c>
      <c r="B26" s="401" t="s">
        <v>130</v>
      </c>
      <c r="C26" s="401" t="s">
        <v>304</v>
      </c>
      <c r="D26" s="401" t="s">
        <v>305</v>
      </c>
      <c r="E26" s="408" t="s">
        <v>306</v>
      </c>
      <c r="F26" s="401" t="s">
        <v>119</v>
      </c>
      <c r="G26" s="399">
        <v>360</v>
      </c>
      <c r="H26" s="383" t="str">
        <f>IF(G26&lt;=0,"",IF(G26&lt;=2,"Muy Baja",IF(G26&lt;=24,"Baja",IF(G26&lt;=500,"Media",IF(G26&lt;=5000,"Alta","Muy Alta")))))</f>
        <v>Media</v>
      </c>
      <c r="I26" s="389">
        <f>IF(H26="","",IF(H26="Muy Baja",0.2,IF(H26="Baja",0.4,IF(H26="Media",0.6,IF(H26="Alta",0.8,IF(H26="Muy Alta",1,))))))</f>
        <v>0.6</v>
      </c>
      <c r="J26" s="386" t="s">
        <v>150</v>
      </c>
      <c r="K26" s="389" t="str">
        <f>IF(NOT(ISERROR(MATCH(J26,'[2]Tabla Impacto'!$B$221:$B$223,0))),'[2]Tabla Impacto'!$F$223&amp;"Por favor no seleccionar los criterios de impacto(Afectación Económica o presupuestal y Pérdida Reputacional)",J26)</f>
        <v xml:space="preserve">     El riesgo afecta la imagen de la entidad con algunos usuarios de relevancia frente al logro de los objetivos</v>
      </c>
      <c r="L26" s="383" t="str">
        <f>IF(OR(K26='[2]Tabla Impacto'!$C$11,K26='[2]Tabla Impacto'!$D$11),"Leve",IF(OR(K26='[2]Tabla Impacto'!$C$12,K26='[2]Tabla Impacto'!$D$12),"Menor",IF(OR(K26='[2]Tabla Impacto'!$C$13,K26='[2]Tabla Impacto'!$D$13),"Moderado",IF(OR(K26='[2]Tabla Impacto'!$C$14,K26='[2]Tabla Impacto'!$D$14),"Mayor",IF(OR(K26='[2]Tabla Impacto'!$C$15,K26='[2]Tabla Impacto'!$D$15),"Catastrófico","")))))</f>
        <v>Moderado</v>
      </c>
      <c r="M26" s="389">
        <f>IF(L26="","",IF(L26="Leve",0.2,IF(L26="Menor",0.4,IF(L26="Moderado",0.6,IF(L26="Mayor",0.8,IF(L26="Catastrófico",1,))))))</f>
        <v>0.6</v>
      </c>
      <c r="N26" s="392"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377">
        <v>1</v>
      </c>
      <c r="P26" s="380" t="s">
        <v>307</v>
      </c>
      <c r="Q26" s="641" t="str">
        <f>IF(OR(R26="Preventivo",R26="Detectivo"),"Probabilidad",IF(R26="Correctivo","Impacto",""))</f>
        <v>Probabilidad</v>
      </c>
      <c r="R26" s="642" t="s">
        <v>14</v>
      </c>
      <c r="S26" s="642" t="s">
        <v>9</v>
      </c>
      <c r="T26" s="643" t="str">
        <f>IF(AND(R26="Preventivo",S26="Automático"),"50%",IF(AND(R26="Preventivo",S26="Manual"),"40%",IF(AND(R26="Detectivo",S26="Automático"),"40%",IF(AND(R26="Detectivo",S26="Manual"),"30%",IF(AND(R26="Correctivo",S26="Automático"),"35%",IF(AND(R26="Correctivo",S26="Manual"),"25%",""))))))</f>
        <v>40%</v>
      </c>
      <c r="U26" s="642" t="s">
        <v>19</v>
      </c>
      <c r="V26" s="642" t="s">
        <v>22</v>
      </c>
      <c r="W26" s="642" t="s">
        <v>115</v>
      </c>
      <c r="X26" s="652">
        <f>IFERROR(IF(Q26="Probabilidad",(I26-(+I26*T26)),IF(Q26="Impacto",I26,"")),"")</f>
        <v>0.36</v>
      </c>
      <c r="Y26" s="645" t="str">
        <f>IFERROR(IF(X26="","",IF(X26&lt;=0.2,"Muy Baja",IF(X26&lt;=0.4,"Baja",IF(X26&lt;=0.6,"Media",IF(X26&lt;=0.8,"Alta","Muy Alta"))))),"")</f>
        <v>Baja</v>
      </c>
      <c r="Z26" s="643">
        <f>+X26</f>
        <v>0.36</v>
      </c>
      <c r="AA26" s="645" t="str">
        <f>IFERROR(IF(AB26="","",IF(AB26&lt;=0.2,"Leve",IF(AB26&lt;=0.4,"Menor",IF(AB26&lt;=0.6,"Moderado",IF(AB26&lt;=0.8,"Mayor","Catastrófico"))))),"")</f>
        <v>Moderado</v>
      </c>
      <c r="AB26" s="643">
        <f>IFERROR(IF(Q26="Impacto",(M26-(+M26*T26)),IF(Q26="Probabilidad",M26,"")),"")</f>
        <v>0.6</v>
      </c>
      <c r="AC26" s="646"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667" t="s">
        <v>132</v>
      </c>
      <c r="AE26" s="173" t="s">
        <v>308</v>
      </c>
      <c r="AF26" s="174" t="s">
        <v>261</v>
      </c>
      <c r="AG26" s="174" t="s">
        <v>262</v>
      </c>
      <c r="AH26" s="167">
        <v>45658</v>
      </c>
      <c r="AI26" s="167">
        <v>46021</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60.75" customHeight="1" x14ac:dyDescent="0.3">
      <c r="A27" s="396"/>
      <c r="B27" s="402"/>
      <c r="C27" s="402"/>
      <c r="D27" s="402"/>
      <c r="E27" s="409"/>
      <c r="F27" s="402"/>
      <c r="G27" s="400"/>
      <c r="H27" s="384"/>
      <c r="I27" s="390"/>
      <c r="J27" s="387"/>
      <c r="K27" s="390">
        <f>IF(NOT(ISERROR(MATCH(J27,_xlfn.ANCHORARRAY(E41),0))),I44&amp;"Por favor no seleccionar los criterios de impacto",J27)</f>
        <v>0</v>
      </c>
      <c r="L27" s="384"/>
      <c r="M27" s="390"/>
      <c r="N27" s="393"/>
      <c r="O27" s="378"/>
      <c r="P27" s="381"/>
      <c r="Q27" s="647"/>
      <c r="R27" s="648"/>
      <c r="S27" s="648"/>
      <c r="T27" s="649"/>
      <c r="U27" s="648"/>
      <c r="V27" s="648"/>
      <c r="W27" s="648"/>
      <c r="X27" s="652" t="str">
        <f>IFERROR(IF(AND(Q26="Probabilidad",Q27="Probabilidad"),(Z26-(+Z26*T27)),IF(Q27="Probabilidad",(I26-(+I26*T27)),IF(Q27="Impacto",Z26,""))),"")</f>
        <v/>
      </c>
      <c r="Y27" s="650"/>
      <c r="Z27" s="649"/>
      <c r="AA27" s="650"/>
      <c r="AB27" s="649"/>
      <c r="AC27" s="651"/>
      <c r="AD27" s="667" t="s">
        <v>132</v>
      </c>
      <c r="AE27" s="173" t="s">
        <v>309</v>
      </c>
      <c r="AF27" s="174" t="s">
        <v>261</v>
      </c>
      <c r="AG27" s="174" t="s">
        <v>263</v>
      </c>
      <c r="AH27" s="167">
        <v>45658</v>
      </c>
      <c r="AI27" s="167">
        <v>46021</v>
      </c>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47.25" customHeight="1" x14ac:dyDescent="0.3">
      <c r="A28" s="396"/>
      <c r="B28" s="402"/>
      <c r="C28" s="402"/>
      <c r="D28" s="402"/>
      <c r="E28" s="409"/>
      <c r="F28" s="402"/>
      <c r="G28" s="400"/>
      <c r="H28" s="384"/>
      <c r="I28" s="390"/>
      <c r="J28" s="387"/>
      <c r="K28" s="390">
        <f>IF(NOT(ISERROR(MATCH(J28,_xlfn.ANCHORARRAY(E43),0))),I45&amp;"Por favor no seleccionar los criterios de impacto",J28)</f>
        <v>0</v>
      </c>
      <c r="L28" s="384"/>
      <c r="M28" s="390"/>
      <c r="N28" s="393"/>
      <c r="O28" s="379"/>
      <c r="P28" s="382"/>
      <c r="Q28" s="668"/>
      <c r="R28" s="669"/>
      <c r="S28" s="669"/>
      <c r="T28" s="670"/>
      <c r="U28" s="669"/>
      <c r="V28" s="669"/>
      <c r="W28" s="669"/>
      <c r="X28" s="656" t="str">
        <f>IFERROR(IF(AND(Q27="Probabilidad",Q28="Probabilidad"),(Z27-(+Z27*T28)),IF(AND(Q27="Impacto",Q28="Probabilidad"),(Z26-(+Z26*T28)),IF(Q28="Impacto",Z27,""))),"")</f>
        <v/>
      </c>
      <c r="Y28" s="671"/>
      <c r="Z28" s="670"/>
      <c r="AA28" s="671"/>
      <c r="AB28" s="670"/>
      <c r="AC28" s="672"/>
      <c r="AD28" s="667" t="s">
        <v>132</v>
      </c>
      <c r="AE28" s="173" t="s">
        <v>310</v>
      </c>
      <c r="AF28" s="174" t="s">
        <v>261</v>
      </c>
      <c r="AG28" s="174" t="s">
        <v>311</v>
      </c>
      <c r="AH28" s="167">
        <v>45658</v>
      </c>
      <c r="AI28" s="167">
        <v>46021</v>
      </c>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7.25" customHeight="1" x14ac:dyDescent="0.3">
      <c r="A29" s="396"/>
      <c r="B29" s="402"/>
      <c r="C29" s="402"/>
      <c r="D29" s="402"/>
      <c r="E29" s="409"/>
      <c r="F29" s="402"/>
      <c r="G29" s="400"/>
      <c r="H29" s="384"/>
      <c r="I29" s="390"/>
      <c r="J29" s="387"/>
      <c r="K29" s="390"/>
      <c r="L29" s="384"/>
      <c r="M29" s="390"/>
      <c r="N29" s="393"/>
      <c r="O29" s="214">
        <v>2</v>
      </c>
      <c r="P29" s="141"/>
      <c r="Q29" s="653" t="str">
        <f t="shared" ref="Q29:Q32" si="9">IF(OR(R29="Preventivo",R29="Detectivo"),"Probabilidad",IF(R29="Correctivo","Impacto",""))</f>
        <v/>
      </c>
      <c r="R29" s="654"/>
      <c r="S29" s="654"/>
      <c r="T29" s="655" t="str">
        <f t="shared" ref="T29:T32" si="10">IF(AND(R29="Preventivo",S29="Automático"),"50%",IF(AND(R29="Preventivo",S29="Manual"),"40%",IF(AND(R29="Detectivo",S29="Automático"),"40%",IF(AND(R29="Detectivo",S29="Manual"),"30%",IF(AND(R29="Correctivo",S29="Automático"),"35%",IF(AND(R29="Correctivo",S29="Manual"),"25%",""))))))</f>
        <v/>
      </c>
      <c r="U29" s="654"/>
      <c r="V29" s="654"/>
      <c r="W29" s="654"/>
      <c r="X29" s="656" t="str">
        <f t="shared" ref="X29:X32" si="11">IFERROR(IF(AND(Q28="Probabilidad",Q29="Probabilidad"),(Z28-(+Z28*T29)),IF(AND(Q28="Impacto",Q29="Probabilidad"),(Z27-(+Z27*T29)),IF(Q29="Impacto",Z28,""))),"")</f>
        <v/>
      </c>
      <c r="Y29" s="657" t="str">
        <f t="shared" ref="Y29:Y32" si="12">IFERROR(IF(X29="","",IF(X29&lt;=0.2,"Muy Baja",IF(X29&lt;=0.4,"Baja",IF(X29&lt;=0.6,"Media",IF(X29&lt;=0.8,"Alta","Muy Alta"))))),"")</f>
        <v/>
      </c>
      <c r="Z29" s="658" t="str">
        <f t="shared" ref="Z29:Z32" si="13">+X29</f>
        <v/>
      </c>
      <c r="AA29" s="657" t="str">
        <f t="shared" ref="AA29:AA32" si="14">IFERROR(IF(AB29="","",IF(AB29&lt;=0.2,"Leve",IF(AB29&lt;=0.4,"Menor",IF(AB29&lt;=0.6,"Moderado",IF(AB29&lt;=0.8,"Mayor","Catastrófico"))))),"")</f>
        <v/>
      </c>
      <c r="AB29" s="658" t="str">
        <f t="shared" ref="AB29:AB32" si="15">IFERROR(IF(AND(Q28="Impacto",Q29="Impacto"),(AB28-(+AB28*T29)),IF(AND(Q28="Probabilidad",Q29="Impacto"),(AB27-(+AB27*T29)),IF(Q29="Probabilidad",AB28,""))),"")</f>
        <v/>
      </c>
      <c r="AC29" s="659" t="str">
        <f t="shared" ref="AC29:AC32" si="1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660"/>
      <c r="AE29" s="173"/>
      <c r="AF29" s="174"/>
      <c r="AG29" s="174"/>
      <c r="AH29" s="167"/>
      <c r="AI29" s="16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7.25" customHeight="1" x14ac:dyDescent="0.3">
      <c r="A30" s="396"/>
      <c r="B30" s="402"/>
      <c r="C30" s="402"/>
      <c r="D30" s="402"/>
      <c r="E30" s="409"/>
      <c r="F30" s="402"/>
      <c r="G30" s="400"/>
      <c r="H30" s="384"/>
      <c r="I30" s="390"/>
      <c r="J30" s="387"/>
      <c r="K30" s="390"/>
      <c r="L30" s="384"/>
      <c r="M30" s="390"/>
      <c r="N30" s="393"/>
      <c r="O30" s="214">
        <v>3</v>
      </c>
      <c r="P30" s="141"/>
      <c r="Q30" s="653" t="str">
        <f t="shared" si="9"/>
        <v/>
      </c>
      <c r="R30" s="654"/>
      <c r="S30" s="654"/>
      <c r="T30" s="655" t="str">
        <f t="shared" si="10"/>
        <v/>
      </c>
      <c r="U30" s="654"/>
      <c r="V30" s="654"/>
      <c r="W30" s="654"/>
      <c r="X30" s="656" t="str">
        <f t="shared" si="11"/>
        <v/>
      </c>
      <c r="Y30" s="657" t="str">
        <f t="shared" si="12"/>
        <v/>
      </c>
      <c r="Z30" s="658" t="str">
        <f t="shared" si="13"/>
        <v/>
      </c>
      <c r="AA30" s="657" t="str">
        <f t="shared" si="14"/>
        <v/>
      </c>
      <c r="AB30" s="658" t="str">
        <f t="shared" si="15"/>
        <v/>
      </c>
      <c r="AC30" s="659" t="str">
        <f t="shared" si="16"/>
        <v/>
      </c>
      <c r="AD30" s="660"/>
      <c r="AE30" s="173"/>
      <c r="AF30" s="174"/>
      <c r="AG30" s="174"/>
      <c r="AH30" s="167"/>
      <c r="AI30" s="16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96"/>
      <c r="B31" s="402"/>
      <c r="C31" s="402"/>
      <c r="D31" s="402"/>
      <c r="E31" s="409"/>
      <c r="F31" s="402"/>
      <c r="G31" s="400"/>
      <c r="H31" s="384"/>
      <c r="I31" s="390"/>
      <c r="J31" s="387"/>
      <c r="K31" s="390">
        <f>IF(NOT(ISERROR(MATCH(J31,_xlfn.ANCHORARRAY(E44),0))),I47&amp;"Por favor no seleccionar los criterios de impacto",J31)</f>
        <v>0</v>
      </c>
      <c r="L31" s="384"/>
      <c r="M31" s="390"/>
      <c r="N31" s="393"/>
      <c r="O31" s="106">
        <v>4</v>
      </c>
      <c r="P31" s="141"/>
      <c r="Q31" s="653" t="str">
        <f t="shared" si="9"/>
        <v/>
      </c>
      <c r="R31" s="654"/>
      <c r="S31" s="654"/>
      <c r="T31" s="655" t="str">
        <f t="shared" si="10"/>
        <v/>
      </c>
      <c r="U31" s="654"/>
      <c r="V31" s="654"/>
      <c r="W31" s="654"/>
      <c r="X31" s="656" t="str">
        <f t="shared" si="11"/>
        <v/>
      </c>
      <c r="Y31" s="657" t="str">
        <f t="shared" si="12"/>
        <v/>
      </c>
      <c r="Z31" s="658" t="str">
        <f t="shared" si="13"/>
        <v/>
      </c>
      <c r="AA31" s="657" t="str">
        <f t="shared" si="14"/>
        <v/>
      </c>
      <c r="AB31" s="658" t="str">
        <f t="shared" si="15"/>
        <v/>
      </c>
      <c r="AC31" s="659" t="str">
        <f t="shared" si="16"/>
        <v/>
      </c>
      <c r="AD31" s="660"/>
      <c r="AE31" s="107"/>
      <c r="AF31" s="108"/>
      <c r="AG31" s="109"/>
      <c r="AH31" s="109"/>
      <c r="AI31" s="109"/>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396"/>
      <c r="B32" s="402"/>
      <c r="C32" s="402"/>
      <c r="D32" s="402"/>
      <c r="E32" s="409"/>
      <c r="F32" s="402"/>
      <c r="G32" s="400"/>
      <c r="H32" s="384"/>
      <c r="I32" s="390"/>
      <c r="J32" s="387"/>
      <c r="K32" s="390">
        <f>IF(NOT(ISERROR(MATCH(J32,_xlfn.ANCHORARRAY(E45),0))),#REF!&amp;"Por favor no seleccionar los criterios de impacto",J32)</f>
        <v>0</v>
      </c>
      <c r="L32" s="384"/>
      <c r="M32" s="390"/>
      <c r="N32" s="393"/>
      <c r="O32" s="106">
        <v>5</v>
      </c>
      <c r="P32" s="141"/>
      <c r="Q32" s="653" t="str">
        <f t="shared" si="9"/>
        <v/>
      </c>
      <c r="R32" s="654"/>
      <c r="S32" s="654"/>
      <c r="T32" s="655" t="str">
        <f t="shared" si="10"/>
        <v/>
      </c>
      <c r="U32" s="654"/>
      <c r="V32" s="654"/>
      <c r="W32" s="654"/>
      <c r="X32" s="656" t="str">
        <f t="shared" si="11"/>
        <v/>
      </c>
      <c r="Y32" s="657" t="str">
        <f t="shared" si="12"/>
        <v/>
      </c>
      <c r="Z32" s="658" t="str">
        <f t="shared" si="13"/>
        <v/>
      </c>
      <c r="AA32" s="657" t="str">
        <f t="shared" si="14"/>
        <v/>
      </c>
      <c r="AB32" s="658" t="str">
        <f t="shared" si="15"/>
        <v/>
      </c>
      <c r="AC32" s="659" t="str">
        <f t="shared" si="16"/>
        <v/>
      </c>
      <c r="AD32" s="660"/>
      <c r="AE32" s="107"/>
      <c r="AF32" s="108"/>
      <c r="AG32" s="109"/>
      <c r="AH32" s="109"/>
      <c r="AI32" s="109"/>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403"/>
      <c r="B33" s="407"/>
      <c r="C33" s="407"/>
      <c r="D33" s="407"/>
      <c r="E33" s="410"/>
      <c r="F33" s="407"/>
      <c r="G33" s="440"/>
      <c r="H33" s="385"/>
      <c r="I33" s="391"/>
      <c r="J33" s="388"/>
      <c r="K33" s="391">
        <f>IF(NOT(ISERROR(MATCH(J33,_xlfn.ANCHORARRAY(E47),0))),I48&amp;"Por favor no seleccionar los criterios de impacto",J33)</f>
        <v>0</v>
      </c>
      <c r="L33" s="385"/>
      <c r="M33" s="391"/>
      <c r="N33" s="394"/>
      <c r="O33" s="106">
        <v>6</v>
      </c>
      <c r="P33" s="141"/>
      <c r="Q33" s="653" t="str">
        <f t="shared" ref="Q33" si="17">IF(OR(R33="Preventivo",R33="Detectivo"),"Probabilidad",IF(R33="Correctivo","Impacto",""))</f>
        <v/>
      </c>
      <c r="R33" s="654"/>
      <c r="S33" s="654"/>
      <c r="T33" s="655" t="str">
        <f t="shared" ref="T33" si="18">IF(AND(R33="Preventivo",S33="Automático"),"50%",IF(AND(R33="Preventivo",S33="Manual"),"40%",IF(AND(R33="Detectivo",S33="Automático"),"40%",IF(AND(R33="Detectivo",S33="Manual"),"30%",IF(AND(R33="Correctivo",S33="Automático"),"35%",IF(AND(R33="Correctivo",S33="Manual"),"25%",""))))))</f>
        <v/>
      </c>
      <c r="U33" s="654"/>
      <c r="V33" s="654"/>
      <c r="W33" s="654"/>
      <c r="X33" s="656" t="str">
        <f t="shared" ref="X33" si="19">IFERROR(IF(AND(Q32="Probabilidad",Q33="Probabilidad"),(Z32-(+Z32*T33)),IF(AND(Q32="Impacto",Q33="Probabilidad"),(Z31-(+Z31*T33)),IF(Q33="Impacto",Z32,""))),"")</f>
        <v/>
      </c>
      <c r="Y33" s="657" t="str">
        <f t="shared" si="1"/>
        <v/>
      </c>
      <c r="Z33" s="658" t="str">
        <f t="shared" ref="Z33" si="20">+X33</f>
        <v/>
      </c>
      <c r="AA33" s="657" t="str">
        <f t="shared" si="3"/>
        <v/>
      </c>
      <c r="AB33" s="658" t="str">
        <f t="shared" ref="AB33" si="21">IFERROR(IF(AND(Q32="Impacto",Q33="Impacto"),(AB32-(+AB32*T33)),IF(AND(Q32="Probabilidad",Q33="Impacto"),(AB31-(+AB31*T33)),IF(Q33="Probabilidad",AB32,""))),"")</f>
        <v/>
      </c>
      <c r="AC33" s="659" t="str">
        <f t="shared" ref="AC33" si="22">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660"/>
      <c r="AE33" s="107"/>
      <c r="AF33" s="108"/>
      <c r="AG33" s="109"/>
      <c r="AH33" s="109"/>
      <c r="AI33" s="109"/>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81" customHeight="1" x14ac:dyDescent="0.3">
      <c r="A34" s="395">
        <v>4</v>
      </c>
      <c r="B34" s="401" t="s">
        <v>130</v>
      </c>
      <c r="C34" s="401" t="s">
        <v>312</v>
      </c>
      <c r="D34" s="401" t="s">
        <v>429</v>
      </c>
      <c r="E34" s="408" t="s">
        <v>313</v>
      </c>
      <c r="F34" s="401" t="s">
        <v>119</v>
      </c>
      <c r="G34" s="399">
        <v>10</v>
      </c>
      <c r="H34" s="383" t="str">
        <f>IF(G34&lt;=0,"",IF(G34&lt;=2,"Muy Baja",IF(G34&lt;=24,"Baja",IF(G34&lt;=500,"Media",IF(G34&lt;=5000,"Alta","Muy Alta")))))</f>
        <v>Baja</v>
      </c>
      <c r="I34" s="389">
        <f>IF(H34="","",IF(H34="Muy Baja",0.2,IF(H34="Baja",0.4,IF(H34="Media",0.6,IF(H34="Alta",0.8,IF(H34="Muy Alta",1,))))))</f>
        <v>0.4</v>
      </c>
      <c r="J34" s="386" t="s">
        <v>151</v>
      </c>
      <c r="K34" s="158"/>
      <c r="L34" s="383" t="str">
        <f>IF(OR(K35='[2]Tabla Impacto'!$C$11,K35='[2]Tabla Impacto'!$D$11),"Leve",IF(OR(K35='[2]Tabla Impacto'!$C$12,K35='[2]Tabla Impacto'!$D$12),"Menor",IF(OR(K35='[2]Tabla Impacto'!$C$13,K35='[2]Tabla Impacto'!$D$13),"Moderado",IF(OR(K35='[2]Tabla Impacto'!$C$14,K35='[2]Tabla Impacto'!$D$14),"Mayor",IF(OR(K35='[2]Tabla Impacto'!$C$15,K35='[2]Tabla Impacto'!$D$15),"Catastrófico","")))))</f>
        <v>Mayor</v>
      </c>
      <c r="M34" s="389">
        <f>IF(L34="","",IF(L34="Leve",0.2,IF(L34="Menor",0.4,IF(L34="Moderado",0.6,IF(L34="Mayor",0.8,IF(L34="Catastrófico",1,))))))</f>
        <v>0.8</v>
      </c>
      <c r="N34" s="39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Alto</v>
      </c>
      <c r="O34" s="395">
        <v>1</v>
      </c>
      <c r="P34" s="397" t="s">
        <v>314</v>
      </c>
      <c r="Q34" s="641" t="str">
        <f>IF(OR(R34="Preventivo",R34="Detectivo"),"Probabilidad",IF(R34="Correctivo","Impacto",""))</f>
        <v>Probabilidad</v>
      </c>
      <c r="R34" s="642" t="s">
        <v>14</v>
      </c>
      <c r="S34" s="642" t="s">
        <v>9</v>
      </c>
      <c r="T34" s="643" t="str">
        <f>IF(AND(R34="Preventivo",S34="Automático"),"50%",IF(AND(R34="Preventivo",S34="Manual"),"40%",IF(AND(R34="Detectivo",S34="Automático"),"40%",IF(AND(R34="Detectivo",S34="Manual"),"30%",IF(AND(R34="Correctivo",S34="Automático"),"35%",IF(AND(R34="Correctivo",S34="Manual"),"25%",""))))))</f>
        <v>40%</v>
      </c>
      <c r="U34" s="642" t="s">
        <v>19</v>
      </c>
      <c r="V34" s="642" t="s">
        <v>22</v>
      </c>
      <c r="W34" s="642" t="s">
        <v>115</v>
      </c>
      <c r="X34" s="656"/>
      <c r="Y34" s="645" t="str">
        <f>IFERROR(IF(X35="","",IF(X35&lt;=0.2,"Muy Baja",IF(X35&lt;=0.4,"Baja",IF(X35&lt;=0.6,"Media",IF(X35&lt;=0.8,"Alta","Muy Alta"))))),"")</f>
        <v>Baja</v>
      </c>
      <c r="Z34" s="643">
        <f>+X35</f>
        <v>0.24</v>
      </c>
      <c r="AA34" s="645" t="str">
        <f>IFERROR(IF(AB34="","",IF(AB34&lt;=0.2,"Leve",IF(AB34&lt;=0.4,"Menor",IF(AB34&lt;=0.6,"Moderado",IF(AB34&lt;=0.8,"Mayor","Catastrófico"))))),"")</f>
        <v>Mayor</v>
      </c>
      <c r="AB34" s="643">
        <f>IFERROR(IF(Q34="Impacto",(M34-(+M34*T34)),IF(Q34="Probabilidad",M34,"")),"")</f>
        <v>0.8</v>
      </c>
      <c r="AC34" s="64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Alto</v>
      </c>
      <c r="AD34" s="642" t="s">
        <v>132</v>
      </c>
      <c r="AE34" s="173" t="s">
        <v>315</v>
      </c>
      <c r="AF34" s="166" t="s">
        <v>316</v>
      </c>
      <c r="AG34" s="168" t="s">
        <v>317</v>
      </c>
      <c r="AH34" s="174" t="s">
        <v>318</v>
      </c>
      <c r="AI34" s="174" t="s">
        <v>319</v>
      </c>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92.25" customHeight="1" x14ac:dyDescent="0.3">
      <c r="A35" s="396"/>
      <c r="B35" s="402"/>
      <c r="C35" s="402"/>
      <c r="D35" s="402"/>
      <c r="E35" s="409"/>
      <c r="F35" s="402"/>
      <c r="G35" s="400"/>
      <c r="H35" s="384"/>
      <c r="I35" s="390"/>
      <c r="J35" s="387"/>
      <c r="K35" s="389" t="str">
        <f>IF(NOT(ISERROR(MATCH(J34,'[2]Tabla Impacto'!$B$221:$B$223,0))),'[2]Tabla Impacto'!$F$223&amp;"Por favor no seleccionar los criterios de impacto(Afectación Económica o presupuestal y Pérdida Reputacional)",J34)</f>
        <v xml:space="preserve">     El riesgo afecta la imagen de de la entidad con efecto publicitario sostenido a nivel de sector administrativo, nivel departamental o municipal</v>
      </c>
      <c r="L35" s="384"/>
      <c r="M35" s="390"/>
      <c r="N35" s="393"/>
      <c r="O35" s="403"/>
      <c r="P35" s="398"/>
      <c r="Q35" s="647"/>
      <c r="R35" s="648"/>
      <c r="S35" s="648"/>
      <c r="T35" s="649"/>
      <c r="U35" s="648"/>
      <c r="V35" s="648"/>
      <c r="W35" s="648"/>
      <c r="X35" s="652">
        <f>IFERROR(IF(Q34="Probabilidad",(I34-(+I34*T34)),IF(Q34="Impacto",I34,"")),"")</f>
        <v>0.24</v>
      </c>
      <c r="Y35" s="650"/>
      <c r="Z35" s="649"/>
      <c r="AA35" s="650"/>
      <c r="AB35" s="649"/>
      <c r="AC35" s="651"/>
      <c r="AD35" s="648"/>
      <c r="AE35" s="173" t="s">
        <v>320</v>
      </c>
      <c r="AF35" s="166" t="s">
        <v>316</v>
      </c>
      <c r="AG35" s="166" t="s">
        <v>321</v>
      </c>
      <c r="AH35" s="167">
        <v>45689</v>
      </c>
      <c r="AI35" s="167">
        <v>46006</v>
      </c>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96"/>
      <c r="B36" s="402"/>
      <c r="C36" s="402"/>
      <c r="D36" s="402"/>
      <c r="E36" s="409"/>
      <c r="F36" s="402"/>
      <c r="G36" s="400"/>
      <c r="H36" s="384"/>
      <c r="I36" s="390"/>
      <c r="J36" s="387"/>
      <c r="K36" s="390">
        <f>IF(NOT(ISERROR(MATCH(J36,_xlfn.ANCHORARRAY(E48),0))),I50&amp;"Por favor no seleccionar los criterios de impacto",J36)</f>
        <v>0</v>
      </c>
      <c r="L36" s="384"/>
      <c r="M36" s="390"/>
      <c r="N36" s="393"/>
      <c r="O36" s="106">
        <v>2</v>
      </c>
      <c r="P36" s="142"/>
      <c r="Q36" s="673"/>
      <c r="R36" s="673"/>
      <c r="S36" s="673"/>
      <c r="T36" s="673"/>
      <c r="U36" s="673"/>
      <c r="V36" s="673"/>
      <c r="W36" s="673"/>
      <c r="X36" s="673" t="str">
        <f>IFERROR(IF(AND(Q34="Probabilidad",Q36="Probabilidad"),(Z34-(+Z34*T36)),IF(Q36="Probabilidad",(I34-(+I34*T36)),IF(Q36="Impacto",Z34,""))),"")</f>
        <v/>
      </c>
      <c r="Y36" s="673"/>
      <c r="Z36" s="673"/>
      <c r="AA36" s="673"/>
      <c r="AB36" s="673"/>
      <c r="AC36" s="673"/>
      <c r="AD36" s="673"/>
      <c r="AE36" s="107"/>
      <c r="AF36" s="166"/>
      <c r="AG36" s="140"/>
      <c r="AH36" s="140"/>
      <c r="AI36" s="109"/>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96"/>
      <c r="B37" s="402"/>
      <c r="C37" s="402"/>
      <c r="D37" s="402"/>
      <c r="E37" s="409"/>
      <c r="F37" s="402"/>
      <c r="G37" s="400"/>
      <c r="H37" s="384"/>
      <c r="I37" s="390"/>
      <c r="J37" s="387"/>
      <c r="K37" s="390">
        <f>IF(NOT(ISERROR(MATCH(J37,_xlfn.ANCHORARRAY(E49),0))),I51&amp;"Por favor no seleccionar los criterios de impacto",J37)</f>
        <v>0</v>
      </c>
      <c r="L37" s="384"/>
      <c r="M37" s="390"/>
      <c r="N37" s="393"/>
      <c r="O37" s="106">
        <v>3</v>
      </c>
      <c r="P37" s="142"/>
      <c r="Q37" s="653" t="str">
        <f>IF(OR(R37="Preventivo",R37="Detectivo"),"Probabilidad",IF(R37="Correctivo","Impacto",""))</f>
        <v/>
      </c>
      <c r="R37" s="654"/>
      <c r="S37" s="654"/>
      <c r="T37" s="655" t="str">
        <f t="shared" ref="T37:T40" si="23">IF(AND(R37="Preventivo",S37="Automático"),"50%",IF(AND(R37="Preventivo",S37="Manual"),"40%",IF(AND(R37="Detectivo",S37="Automático"),"40%",IF(AND(R37="Detectivo",S37="Manual"),"30%",IF(AND(R37="Correctivo",S37="Automático"),"35%",IF(AND(R37="Correctivo",S37="Manual"),"25%",""))))))</f>
        <v/>
      </c>
      <c r="U37" s="654"/>
      <c r="V37" s="654"/>
      <c r="W37" s="654"/>
      <c r="X37" s="656" t="str">
        <f>IFERROR(IF(AND(Q36="Probabilidad",Q37="Probabilidad"),(Z36-(+Z36*T37)),IF(AND(Q36="Impacto",Q37="Probabilidad"),(Z34-(+Z34*T37)),IF(Q37="Impacto",Z36,""))),"")</f>
        <v/>
      </c>
      <c r="Y37" s="657" t="str">
        <f t="shared" si="1"/>
        <v/>
      </c>
      <c r="Z37" s="658" t="str">
        <f t="shared" ref="Z37:Z40" si="24">+X37</f>
        <v/>
      </c>
      <c r="AA37" s="657" t="str">
        <f t="shared" si="3"/>
        <v/>
      </c>
      <c r="AB37" s="658" t="str">
        <f>IFERROR(IF(AND(Q36="Impacto",Q37="Impacto"),(AB36-(+AB36*T37)),IF(AND(Q36="Probabilidad",Q37="Impacto"),(AB34-(+AB34*T37)),IF(Q37="Probabilidad",AB36,""))),"")</f>
        <v/>
      </c>
      <c r="AC37" s="659" t="str">
        <f t="shared" ref="AC37" si="2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660"/>
      <c r="AE37" s="107"/>
      <c r="AF37" s="108"/>
      <c r="AG37" s="109"/>
      <c r="AH37" s="109"/>
      <c r="AI37" s="109"/>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96"/>
      <c r="B38" s="402"/>
      <c r="C38" s="402"/>
      <c r="D38" s="402"/>
      <c r="E38" s="409"/>
      <c r="F38" s="402"/>
      <c r="G38" s="400"/>
      <c r="H38" s="384"/>
      <c r="I38" s="390"/>
      <c r="J38" s="387"/>
      <c r="K38" s="390"/>
      <c r="L38" s="384"/>
      <c r="M38" s="390"/>
      <c r="N38" s="393"/>
      <c r="O38" s="106">
        <v>4</v>
      </c>
      <c r="P38" s="142"/>
      <c r="Q38" s="653"/>
      <c r="R38" s="654"/>
      <c r="S38" s="654"/>
      <c r="T38" s="655"/>
      <c r="U38" s="654"/>
      <c r="V38" s="654"/>
      <c r="W38" s="654"/>
      <c r="X38" s="656"/>
      <c r="Y38" s="657"/>
      <c r="Z38" s="658"/>
      <c r="AA38" s="657"/>
      <c r="AB38" s="658"/>
      <c r="AC38" s="659"/>
      <c r="AD38" s="660"/>
      <c r="AE38" s="107"/>
      <c r="AF38" s="108"/>
      <c r="AG38" s="109"/>
      <c r="AH38" s="109"/>
      <c r="AI38" s="109"/>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96"/>
      <c r="B39" s="402"/>
      <c r="C39" s="402"/>
      <c r="D39" s="402"/>
      <c r="E39" s="409"/>
      <c r="F39" s="402"/>
      <c r="G39" s="400"/>
      <c r="H39" s="384"/>
      <c r="I39" s="390"/>
      <c r="J39" s="387"/>
      <c r="K39" s="390">
        <f>IF(NOT(ISERROR(MATCH(J39,_xlfn.ANCHORARRAY(E50),0))),I52&amp;"Por favor no seleccionar los criterios de impacto",J39)</f>
        <v>0</v>
      </c>
      <c r="L39" s="384"/>
      <c r="M39" s="390"/>
      <c r="N39" s="393"/>
      <c r="O39" s="106">
        <v>5</v>
      </c>
      <c r="P39" s="141"/>
      <c r="Q39" s="653" t="str">
        <f t="shared" ref="Q39:Q40" si="26">IF(OR(R39="Preventivo",R39="Detectivo"),"Probabilidad",IF(R39="Correctivo","Impacto",""))</f>
        <v/>
      </c>
      <c r="R39" s="654"/>
      <c r="S39" s="654"/>
      <c r="T39" s="655" t="str">
        <f t="shared" si="23"/>
        <v/>
      </c>
      <c r="U39" s="654"/>
      <c r="V39" s="654"/>
      <c r="W39" s="654"/>
      <c r="X39" s="656" t="str">
        <f>IFERROR(IF(AND(Q37="Probabilidad",Q39="Probabilidad"),(Z37-(+Z37*T39)),IF(AND(Q37="Impacto",Q39="Probabilidad"),(Z36-(+Z36*T39)),IF(Q39="Impacto",Z37,""))),"")</f>
        <v/>
      </c>
      <c r="Y39" s="657" t="str">
        <f t="shared" si="1"/>
        <v/>
      </c>
      <c r="Z39" s="658" t="str">
        <f t="shared" si="24"/>
        <v/>
      </c>
      <c r="AA39" s="657" t="str">
        <f t="shared" si="3"/>
        <v/>
      </c>
      <c r="AB39" s="658" t="str">
        <f>IFERROR(IF(AND(Q37="Impacto",Q39="Impacto"),(AB37-(+AB37*T39)),IF(AND(Q37="Probabilidad",Q39="Impacto"),(AB36-(+AB36*T39)),IF(Q39="Probabilidad",AB37,""))),"")</f>
        <v/>
      </c>
      <c r="AC39" s="65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660"/>
      <c r="AE39" s="107"/>
      <c r="AF39" s="108"/>
      <c r="AG39" s="109"/>
      <c r="AH39" s="109"/>
      <c r="AI39" s="109"/>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396"/>
      <c r="B40" s="402"/>
      <c r="C40" s="402"/>
      <c r="D40" s="402"/>
      <c r="E40" s="409"/>
      <c r="F40" s="402"/>
      <c r="G40" s="400"/>
      <c r="H40" s="384"/>
      <c r="I40" s="390"/>
      <c r="J40" s="387"/>
      <c r="K40" s="390">
        <f>IF(NOT(ISERROR(MATCH(J40,_xlfn.ANCHORARRAY(E51),0))),I53&amp;"Por favor no seleccionar los criterios de impacto",J40)</f>
        <v>0</v>
      </c>
      <c r="L40" s="384"/>
      <c r="M40" s="390"/>
      <c r="N40" s="393"/>
      <c r="O40" s="106">
        <v>6</v>
      </c>
      <c r="P40" s="141"/>
      <c r="Q40" s="653" t="str">
        <f t="shared" si="26"/>
        <v/>
      </c>
      <c r="R40" s="654"/>
      <c r="S40" s="654"/>
      <c r="T40" s="655" t="str">
        <f t="shared" si="23"/>
        <v/>
      </c>
      <c r="U40" s="654"/>
      <c r="V40" s="654"/>
      <c r="W40" s="654"/>
      <c r="X40" s="656" t="str">
        <f>IFERROR(IF(AND(Q39="Probabilidad",Q40="Probabilidad"),(Z39-(+Z39*T40)),IF(AND(Q39="Impacto",Q40="Probabilidad"),(Z37-(+Z37*T40)),IF(Q40="Impacto",Z39,""))),"")</f>
        <v/>
      </c>
      <c r="Y40" s="657" t="str">
        <f>IFERROR(IF(X40="","",IF(X40&lt;=0.2,"Muy Baja",IF(X40&lt;=0.4,"Baja",IF(X40&lt;=0.6,"Media",IF(X40&lt;=0.8,"Alta","Muy Alta"))))),"")</f>
        <v/>
      </c>
      <c r="Z40" s="658" t="str">
        <f t="shared" si="24"/>
        <v/>
      </c>
      <c r="AA40" s="657" t="str">
        <f t="shared" si="3"/>
        <v/>
      </c>
      <c r="AB40" s="658" t="str">
        <f>IFERROR(IF(AND(Q39="Impacto",Q40="Impacto"),(AB39-(+AB39*T40)),IF(AND(Q39="Probabilidad",Q40="Impacto"),(AB37-(+AB37*T40)),IF(Q40="Probabilidad",AB39,""))),"")</f>
        <v/>
      </c>
      <c r="AC40" s="659" t="str">
        <f t="shared" ref="AC40" si="27">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660"/>
      <c r="AE40" s="107"/>
      <c r="AF40" s="108"/>
      <c r="AG40" s="109"/>
      <c r="AH40" s="109"/>
      <c r="AI40" s="109"/>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66.75" customHeight="1" x14ac:dyDescent="0.3">
      <c r="A41" s="395">
        <v>5</v>
      </c>
      <c r="B41" s="401" t="s">
        <v>130</v>
      </c>
      <c r="C41" s="401" t="s">
        <v>322</v>
      </c>
      <c r="D41" s="401" t="s">
        <v>323</v>
      </c>
      <c r="E41" s="408" t="s">
        <v>324</v>
      </c>
      <c r="F41" s="401" t="s">
        <v>119</v>
      </c>
      <c r="G41" s="399">
        <v>360</v>
      </c>
      <c r="H41" s="383" t="str">
        <f>IF(G41&lt;=0,"",IF(G41&lt;=2,"Muy Baja",IF(G41&lt;=24,"Baja",IF(G41&lt;=500,"Media",IF(G41&lt;=5000,"Alta","Muy Alta")))))</f>
        <v>Media</v>
      </c>
      <c r="I41" s="389">
        <f>IF(H41="","",IF(H41="Muy Baja",0.2,IF(H41="Baja",0.4,IF(H41="Media",0.6,IF(H41="Alta",0.8,IF(H41="Muy Alta",1,))))))</f>
        <v>0.6</v>
      </c>
      <c r="J41" s="386" t="s">
        <v>150</v>
      </c>
      <c r="K41" s="158"/>
      <c r="L41" s="383" t="str">
        <f>IF(OR(K42='[2]Tabla Impacto'!$C$11,K42='[2]Tabla Impacto'!$D$11),"Leve",IF(OR(K42='[2]Tabla Impacto'!$C$12,K42='[2]Tabla Impacto'!$D$12),"Menor",IF(OR(K42='[2]Tabla Impacto'!$C$13,K42='[2]Tabla Impacto'!$D$13),"Moderado",IF(OR(K42='[2]Tabla Impacto'!$C$14,K42='[2]Tabla Impacto'!$D$14),"Mayor",IF(OR(K42='[2]Tabla Impacto'!$C$15,K42='[2]Tabla Impacto'!$D$15),"Catastrófico","")))))</f>
        <v>Moderado</v>
      </c>
      <c r="M41" s="389">
        <f>IF(L41="","",IF(L41="Leve",0.2,IF(L41="Menor",0.4,IF(L41="Moderado",0.6,IF(L41="Mayor",0.8,IF(L41="Catastrófico",1,))))))</f>
        <v>0.6</v>
      </c>
      <c r="N41" s="392"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395">
        <v>1</v>
      </c>
      <c r="P41" s="397" t="s">
        <v>325</v>
      </c>
      <c r="Q41" s="641" t="str">
        <f>IF(OR(R41="Preventivo",R41="Detectivo"),"Probabilidad",IF(R41="Correctivo","Impacto",""))</f>
        <v>Probabilidad</v>
      </c>
      <c r="R41" s="642" t="s">
        <v>14</v>
      </c>
      <c r="S41" s="642" t="s">
        <v>9</v>
      </c>
      <c r="T41" s="643" t="str">
        <f>IF(AND(R41="Preventivo",S41="Automático"),"50%",IF(AND(R41="Preventivo",S41="Manual"),"40%",IF(AND(R41="Detectivo",S41="Automático"),"40%",IF(AND(R41="Detectivo",S41="Manual"),"30%",IF(AND(R41="Correctivo",S41="Automático"),"35%",IF(AND(R41="Correctivo",S41="Manual"),"25%",""))))))</f>
        <v>40%</v>
      </c>
      <c r="U41" s="642" t="s">
        <v>19</v>
      </c>
      <c r="V41" s="642" t="s">
        <v>22</v>
      </c>
      <c r="W41" s="642" t="s">
        <v>115</v>
      </c>
      <c r="X41" s="656"/>
      <c r="Y41" s="645" t="str">
        <f>IFERROR(IF(X42="","",IF(X42&lt;=0.2,"Muy Baja",IF(X42&lt;=0.4,"Baja",IF(X42&lt;=0.6,"Media",IF(X42&lt;=0.8,"Alta","Muy Alta"))))),"")</f>
        <v>Baja</v>
      </c>
      <c r="Z41" s="643">
        <f>+X42</f>
        <v>0.36</v>
      </c>
      <c r="AA41" s="645" t="str">
        <f>IFERROR(IF(AB41="","",IF(AB41&lt;=0.2,"Leve",IF(AB41&lt;=0.4,"Menor",IF(AB41&lt;=0.6,"Moderado",IF(AB41&lt;=0.8,"Mayor","Catastrófico"))))),"")</f>
        <v>Moderado</v>
      </c>
      <c r="AB41" s="643">
        <f>IFERROR(IF(Q41="Impacto",(M41-(+M41*T41)),IF(Q41="Probabilidad",M41,"")),"")</f>
        <v>0.6</v>
      </c>
      <c r="AC41" s="646"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642" t="s">
        <v>132</v>
      </c>
      <c r="AE41" s="173" t="s">
        <v>326</v>
      </c>
      <c r="AF41" s="166" t="s">
        <v>327</v>
      </c>
      <c r="AG41" s="175" t="s">
        <v>328</v>
      </c>
      <c r="AH41" s="167">
        <v>45689</v>
      </c>
      <c r="AI41" s="167">
        <v>45930</v>
      </c>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41.25" customHeight="1" x14ac:dyDescent="0.3">
      <c r="A42" s="396"/>
      <c r="B42" s="402"/>
      <c r="C42" s="402"/>
      <c r="D42" s="402"/>
      <c r="E42" s="409"/>
      <c r="F42" s="402"/>
      <c r="G42" s="400"/>
      <c r="H42" s="384"/>
      <c r="I42" s="390"/>
      <c r="J42" s="387"/>
      <c r="K42" s="389" t="str">
        <f>IF(NOT(ISERROR(MATCH(J41,'[2]Tabla Impacto'!$B$221:$B$223,0))),'[2]Tabla Impacto'!$F$223&amp;"Por favor no seleccionar los criterios de impacto(Afectación Económica o presupuestal y Pérdida Reputacional)",J41)</f>
        <v xml:space="preserve">     El riesgo afecta la imagen de la entidad con algunos usuarios de relevancia frente al logro de los objetivos</v>
      </c>
      <c r="L42" s="384"/>
      <c r="M42" s="390"/>
      <c r="N42" s="393"/>
      <c r="O42" s="396"/>
      <c r="P42" s="398"/>
      <c r="Q42" s="647"/>
      <c r="R42" s="648"/>
      <c r="S42" s="648"/>
      <c r="T42" s="649"/>
      <c r="U42" s="648"/>
      <c r="V42" s="648"/>
      <c r="W42" s="648"/>
      <c r="X42" s="652">
        <f>IFERROR(IF(Q41="Probabilidad",(I41-(+I41*T41)),IF(Q41="Impacto",I41,"")),"")</f>
        <v>0.36</v>
      </c>
      <c r="Y42" s="650"/>
      <c r="Z42" s="649"/>
      <c r="AA42" s="650"/>
      <c r="AB42" s="649"/>
      <c r="AC42" s="651"/>
      <c r="AD42" s="648"/>
      <c r="AE42" s="173" t="s">
        <v>329</v>
      </c>
      <c r="AF42" s="166" t="s">
        <v>327</v>
      </c>
      <c r="AG42" s="168" t="s">
        <v>330</v>
      </c>
      <c r="AH42" s="167">
        <v>45809</v>
      </c>
      <c r="AI42" s="167">
        <v>45960</v>
      </c>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96"/>
      <c r="B43" s="402"/>
      <c r="C43" s="402"/>
      <c r="D43" s="402"/>
      <c r="E43" s="409"/>
      <c r="F43" s="402"/>
      <c r="G43" s="400"/>
      <c r="H43" s="384"/>
      <c r="I43" s="390"/>
      <c r="J43" s="387"/>
      <c r="K43" s="390">
        <f>IF(NOT(ISERROR(MATCH(J43,_xlfn.ANCHORARRAY(E54),0))),I56&amp;"Por favor no seleccionar los criterios de impacto",J43)</f>
        <v>0</v>
      </c>
      <c r="L43" s="384"/>
      <c r="M43" s="390"/>
      <c r="N43" s="393"/>
      <c r="O43" s="160">
        <v>2</v>
      </c>
      <c r="P43" s="142"/>
      <c r="Q43" s="673"/>
      <c r="R43" s="673"/>
      <c r="S43" s="673"/>
      <c r="T43" s="673"/>
      <c r="U43" s="673"/>
      <c r="V43" s="673"/>
      <c r="W43" s="673"/>
      <c r="X43" s="673" t="str">
        <f>IFERROR(IF(AND(Q41="Probabilidad",Q43="Probabilidad"),(Z41-(+Z41*T43)),IF(Q43="Probabilidad",(I41-(+I41*T43)),IF(Q43="Impacto",Z41,""))),"")</f>
        <v/>
      </c>
      <c r="Y43" s="673"/>
      <c r="Z43" s="673"/>
      <c r="AA43" s="673"/>
      <c r="AB43" s="673"/>
      <c r="AC43" s="673"/>
      <c r="AD43" s="673"/>
      <c r="AE43" s="166"/>
      <c r="AG43" s="109"/>
      <c r="AH43" s="109"/>
      <c r="AI43" s="109"/>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96"/>
      <c r="B44" s="402"/>
      <c r="C44" s="402"/>
      <c r="D44" s="402"/>
      <c r="E44" s="409"/>
      <c r="F44" s="402"/>
      <c r="G44" s="400"/>
      <c r="H44" s="384"/>
      <c r="I44" s="390"/>
      <c r="J44" s="387"/>
      <c r="K44" s="390">
        <f>IF(NOT(ISERROR(MATCH(J44,_xlfn.ANCHORARRAY(E55),0))),I57&amp;"Por favor no seleccionar los criterios de impacto",J44)</f>
        <v>0</v>
      </c>
      <c r="L44" s="384"/>
      <c r="M44" s="390"/>
      <c r="N44" s="393"/>
      <c r="O44" s="106">
        <v>3</v>
      </c>
      <c r="P44" s="142"/>
      <c r="Q44" s="653" t="str">
        <f>IF(OR(R44="Preventivo",R44="Detectivo"),"Probabilidad",IF(R44="Correctivo","Impacto",""))</f>
        <v/>
      </c>
      <c r="R44" s="654"/>
      <c r="S44" s="654"/>
      <c r="T44" s="655" t="str">
        <f t="shared" ref="T44:T53" si="28">IF(AND(R44="Preventivo",S44="Automático"),"50%",IF(AND(R44="Preventivo",S44="Manual"),"40%",IF(AND(R44="Detectivo",S44="Automático"),"40%",IF(AND(R44="Detectivo",S44="Manual"),"30%",IF(AND(R44="Correctivo",S44="Automático"),"35%",IF(AND(R44="Correctivo",S44="Manual"),"25%",""))))))</f>
        <v/>
      </c>
      <c r="U44" s="654"/>
      <c r="V44" s="654"/>
      <c r="W44" s="654"/>
      <c r="X44" s="656" t="str">
        <f>IFERROR(IF(AND(Q43="Probabilidad",Q44="Probabilidad"),(Z43-(+Z43*T44)),IF(AND(Q43="Impacto",Q44="Probabilidad"),(Z41-(+Z41*T44)),IF(Q44="Impacto",Z43,""))),"")</f>
        <v/>
      </c>
      <c r="Y44" s="657" t="str">
        <f t="shared" si="1"/>
        <v/>
      </c>
      <c r="Z44" s="658" t="str">
        <f t="shared" ref="Z44:Z47" si="29">+X44</f>
        <v/>
      </c>
      <c r="AA44" s="657" t="str">
        <f t="shared" si="3"/>
        <v/>
      </c>
      <c r="AB44" s="658" t="str">
        <f>IFERROR(IF(AND(Q43="Impacto",Q44="Impacto"),(AB43-(+AB43*T44)),IF(AND(Q43="Probabilidad",Q44="Impacto"),(AB41-(+AB41*T44)),IF(Q44="Probabilidad",AB43,""))),"")</f>
        <v/>
      </c>
      <c r="AC44" s="659" t="str">
        <f t="shared" ref="AC44" si="3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660"/>
      <c r="AE44" s="107"/>
      <c r="AF44" s="108"/>
      <c r="AG44" s="109"/>
      <c r="AH44" s="109"/>
      <c r="AI44" s="109"/>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96"/>
      <c r="B45" s="402"/>
      <c r="C45" s="402"/>
      <c r="D45" s="402"/>
      <c r="E45" s="409"/>
      <c r="F45" s="402"/>
      <c r="G45" s="400"/>
      <c r="H45" s="384"/>
      <c r="I45" s="390"/>
      <c r="J45" s="387"/>
      <c r="K45" s="390">
        <f>IF(NOT(ISERROR(MATCH(J45,_xlfn.ANCHORARRAY(E56),0))),I58&amp;"Por favor no seleccionar los criterios de impacto",J45)</f>
        <v>0</v>
      </c>
      <c r="L45" s="384"/>
      <c r="M45" s="390"/>
      <c r="N45" s="393"/>
      <c r="O45" s="106">
        <v>4</v>
      </c>
      <c r="P45" s="141"/>
      <c r="Q45" s="653" t="str">
        <f t="shared" ref="Q45:Q48" si="31">IF(OR(R45="Preventivo",R45="Detectivo"),"Probabilidad",IF(R45="Correctivo","Impacto",""))</f>
        <v/>
      </c>
      <c r="R45" s="654"/>
      <c r="S45" s="654"/>
      <c r="T45" s="655" t="str">
        <f t="shared" si="28"/>
        <v/>
      </c>
      <c r="U45" s="654"/>
      <c r="V45" s="654"/>
      <c r="W45" s="654"/>
      <c r="X45" s="656" t="str">
        <f t="shared" ref="X45" si="32">IFERROR(IF(AND(Q44="Probabilidad",Q45="Probabilidad"),(Z44-(+Z44*T45)),IF(AND(Q44="Impacto",Q45="Probabilidad"),(Z43-(+Z43*T45)),IF(Q45="Impacto",Z44,""))),"")</f>
        <v/>
      </c>
      <c r="Y45" s="657" t="str">
        <f t="shared" si="1"/>
        <v/>
      </c>
      <c r="Z45" s="658" t="str">
        <f t="shared" si="29"/>
        <v/>
      </c>
      <c r="AA45" s="657" t="str">
        <f t="shared" si="3"/>
        <v/>
      </c>
      <c r="AB45" s="658" t="str">
        <f t="shared" ref="AB45" si="33">IFERROR(IF(AND(Q44="Impacto",Q45="Impacto"),(AB44-(+AB44*T45)),IF(AND(Q44="Probabilidad",Q45="Impacto"),(AB43-(+AB43*T45)),IF(Q45="Probabilidad",AB44,""))),"")</f>
        <v/>
      </c>
      <c r="AC45" s="65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660"/>
      <c r="AE45" s="107"/>
      <c r="AF45" s="108"/>
      <c r="AG45" s="109"/>
      <c r="AH45" s="109"/>
      <c r="AI45" s="109"/>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96"/>
      <c r="B46" s="402"/>
      <c r="C46" s="402"/>
      <c r="D46" s="402"/>
      <c r="E46" s="409"/>
      <c r="F46" s="402"/>
      <c r="G46" s="400"/>
      <c r="H46" s="384"/>
      <c r="I46" s="390"/>
      <c r="J46" s="387"/>
      <c r="K46" s="390"/>
      <c r="L46" s="384"/>
      <c r="M46" s="390"/>
      <c r="N46" s="393"/>
      <c r="O46" s="106">
        <v>5</v>
      </c>
      <c r="P46" s="141"/>
      <c r="Q46" s="653"/>
      <c r="R46" s="654"/>
      <c r="S46" s="654"/>
      <c r="T46" s="655"/>
      <c r="U46" s="654"/>
      <c r="V46" s="654"/>
      <c r="W46" s="654"/>
      <c r="X46" s="656"/>
      <c r="Y46" s="657"/>
      <c r="Z46" s="658"/>
      <c r="AA46" s="657"/>
      <c r="AB46" s="658"/>
      <c r="AC46" s="659"/>
      <c r="AD46" s="660"/>
      <c r="AE46" s="107"/>
      <c r="AF46" s="108"/>
      <c r="AG46" s="109"/>
      <c r="AH46" s="109"/>
      <c r="AI46" s="109"/>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96"/>
      <c r="B47" s="402"/>
      <c r="C47" s="402"/>
      <c r="D47" s="402"/>
      <c r="E47" s="409"/>
      <c r="F47" s="402"/>
      <c r="G47" s="400"/>
      <c r="H47" s="384"/>
      <c r="I47" s="390"/>
      <c r="J47" s="387"/>
      <c r="K47" s="390">
        <f>IF(NOT(ISERROR(MATCH(J47,_xlfn.ANCHORARRAY(E57),0))),I59&amp;"Por favor no seleccionar los criterios de impacto",J47)</f>
        <v>0</v>
      </c>
      <c r="L47" s="384"/>
      <c r="M47" s="390"/>
      <c r="N47" s="393"/>
      <c r="O47" s="106">
        <v>6</v>
      </c>
      <c r="P47" s="141"/>
      <c r="Q47" s="653" t="str">
        <f t="shared" si="31"/>
        <v/>
      </c>
      <c r="R47" s="654"/>
      <c r="S47" s="654"/>
      <c r="T47" s="655" t="str">
        <f t="shared" si="28"/>
        <v/>
      </c>
      <c r="U47" s="654"/>
      <c r="V47" s="654"/>
      <c r="W47" s="654"/>
      <c r="X47" s="656" t="str">
        <f>IFERROR(IF(AND(Q45="Probabilidad",Q47="Probabilidad"),(Z45-(+Z45*T47)),IF(AND(Q45="Impacto",Q47="Probabilidad"),(Z44-(+Z44*T47)),IF(Q47="Impacto",Z45,""))),"")</f>
        <v/>
      </c>
      <c r="Y47" s="657" t="str">
        <f t="shared" si="1"/>
        <v/>
      </c>
      <c r="Z47" s="658" t="str">
        <f t="shared" si="29"/>
        <v/>
      </c>
      <c r="AA47" s="657" t="str">
        <f t="shared" si="3"/>
        <v/>
      </c>
      <c r="AB47" s="658" t="str">
        <f>IFERROR(IF(AND(Q45="Impacto",Q47="Impacto"),(AB45-(+AB45*T47)),IF(AND(Q45="Probabilidad",Q47="Impacto"),(AB44-(+AB44*T47)),IF(Q47="Probabilidad",AB45,""))),"")</f>
        <v/>
      </c>
      <c r="AC47" s="659" t="str">
        <f t="shared" ref="AC47" si="3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660"/>
      <c r="AE47" s="107"/>
      <c r="AF47" s="108"/>
      <c r="AG47" s="109"/>
      <c r="AH47" s="109"/>
      <c r="AI47" s="109"/>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69.75" customHeight="1" x14ac:dyDescent="0.3">
      <c r="A48" s="395">
        <v>6</v>
      </c>
      <c r="B48" s="401" t="s">
        <v>130</v>
      </c>
      <c r="C48" s="401" t="s">
        <v>331</v>
      </c>
      <c r="D48" s="401" t="s">
        <v>332</v>
      </c>
      <c r="E48" s="408" t="s">
        <v>333</v>
      </c>
      <c r="F48" s="401" t="s">
        <v>119</v>
      </c>
      <c r="G48" s="399">
        <v>360</v>
      </c>
      <c r="H48" s="383" t="str">
        <f>IF(G48&lt;=0,"",IF(G48&lt;=2,"Muy Baja",IF(G48&lt;=24,"Baja",IF(G48&lt;=500,"Media",IF(G48&lt;=5000,"Alta","Muy Alta")))))</f>
        <v>Media</v>
      </c>
      <c r="I48" s="389">
        <f>IF(H48="","",IF(H48="Muy Baja",0.2,IF(H48="Baja",0.4,IF(H48="Media",0.6,IF(H48="Alta",0.8,IF(H48="Muy Alta",1,))))))</f>
        <v>0.6</v>
      </c>
      <c r="J48" s="386" t="s">
        <v>150</v>
      </c>
      <c r="K48" s="389" t="str">
        <f>IF(NOT(ISERROR(MATCH(J48,'[2]Tabla Impacto'!$B$221:$B$223,0))),'[2]Tabla Impacto'!$F$223&amp;"Por favor no seleccionar los criterios de impacto(Afectación Económica o presupuestal y Pérdida Reputacional)",J48)</f>
        <v xml:space="preserve">     El riesgo afecta la imagen de la entidad con algunos usuarios de relevancia frente al logro de los objetivos</v>
      </c>
      <c r="L48" s="383" t="str">
        <f>IF(OR(K48='[2]Tabla Impacto'!$C$11,K48='[2]Tabla Impacto'!$D$11),"Leve",IF(OR(K48='[2]Tabla Impacto'!$C$12,K48='[2]Tabla Impacto'!$D$12),"Menor",IF(OR(K48='[2]Tabla Impacto'!$C$13,K48='[2]Tabla Impacto'!$D$13),"Moderado",IF(OR(K48='[2]Tabla Impacto'!$C$14,K48='[2]Tabla Impacto'!$D$14),"Mayor",IF(OR(K48='[2]Tabla Impacto'!$C$15,K48='[2]Tabla Impacto'!$D$15),"Catastrófico","")))))</f>
        <v>Moderado</v>
      </c>
      <c r="M48" s="389">
        <f>IF(L48="","",IF(L48="Leve",0.2,IF(L48="Menor",0.4,IF(L48="Moderado",0.6,IF(L48="Mayor",0.8,IF(L48="Catastrófico",1,))))))</f>
        <v>0.6</v>
      </c>
      <c r="N48" s="39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Moderado</v>
      </c>
      <c r="O48" s="161">
        <v>1</v>
      </c>
      <c r="P48" s="141" t="s">
        <v>334</v>
      </c>
      <c r="Q48" s="661" t="str">
        <f t="shared" si="31"/>
        <v>Probabilidad</v>
      </c>
      <c r="R48" s="662" t="s">
        <v>14</v>
      </c>
      <c r="S48" s="662" t="s">
        <v>9</v>
      </c>
      <c r="T48" s="663" t="str">
        <f t="shared" si="28"/>
        <v>40%</v>
      </c>
      <c r="U48" s="662" t="s">
        <v>19</v>
      </c>
      <c r="V48" s="662" t="s">
        <v>22</v>
      </c>
      <c r="W48" s="662" t="s">
        <v>115</v>
      </c>
      <c r="X48" s="652">
        <f>IFERROR(IF(Q48="Probabilidad",(I48-(+I48*T48)),IF(Q48="Impacto",I48,"")),"")</f>
        <v>0.36</v>
      </c>
      <c r="Y48" s="664" t="str">
        <f>IFERROR(IF(X48="","",IF(X48&lt;=0.2,"Muy Baja",IF(X48&lt;=0.4,"Baja",IF(X48&lt;=0.6,"Media",IF(X48&lt;=0.8,"Alta","Muy Alta"))))),"")</f>
        <v>Baja</v>
      </c>
      <c r="Z48" s="665">
        <f>+X48</f>
        <v>0.36</v>
      </c>
      <c r="AA48" s="664" t="str">
        <f>IFERROR(IF(AB48="","",IF(AB48&lt;=0.2,"Leve",IF(AB48&lt;=0.4,"Menor",IF(AB48&lt;=0.6,"Moderado",IF(AB48&lt;=0.8,"Mayor","Catastrófico"))))),"")</f>
        <v>Moderado</v>
      </c>
      <c r="AB48" s="665">
        <f>IFERROR(IF(Q48="Impacto",(M48-(+M48*T48)),IF(Q48="Probabilidad",M48,"")),"")</f>
        <v>0.6</v>
      </c>
      <c r="AC48" s="666"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Moderado</v>
      </c>
      <c r="AD48" s="667" t="s">
        <v>132</v>
      </c>
      <c r="AE48" s="173" t="s">
        <v>335</v>
      </c>
      <c r="AF48" s="166" t="s">
        <v>327</v>
      </c>
      <c r="AG48" s="162" t="s">
        <v>336</v>
      </c>
      <c r="AH48" s="167">
        <v>45658</v>
      </c>
      <c r="AI48" s="167">
        <v>46011</v>
      </c>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51.75" customHeight="1" x14ac:dyDescent="0.3">
      <c r="A49" s="396"/>
      <c r="B49" s="402"/>
      <c r="C49" s="402"/>
      <c r="D49" s="402"/>
      <c r="E49" s="409"/>
      <c r="F49" s="402"/>
      <c r="G49" s="400"/>
      <c r="H49" s="384"/>
      <c r="I49" s="390"/>
      <c r="J49" s="387"/>
      <c r="K49" s="390">
        <f>IF(NOT(ISERROR(MATCH(J49,_xlfn.ANCHORARRAY(E60),0))),I62&amp;"Por favor no seleccionar los criterios de impacto",J49)</f>
        <v>0</v>
      </c>
      <c r="L49" s="384"/>
      <c r="M49" s="390"/>
      <c r="N49" s="393"/>
      <c r="O49" s="161">
        <v>2</v>
      </c>
      <c r="P49" s="141" t="s">
        <v>337</v>
      </c>
      <c r="Q49" s="661" t="str">
        <f>IF(OR(R49="Preventivo",R49="Detectivo"),"Probabilidad",IF(R49="Correctivo","Impacto",""))</f>
        <v>Probabilidad</v>
      </c>
      <c r="R49" s="662" t="s">
        <v>14</v>
      </c>
      <c r="S49" s="662" t="s">
        <v>9</v>
      </c>
      <c r="T49" s="663" t="str">
        <f t="shared" si="28"/>
        <v>40%</v>
      </c>
      <c r="U49" s="662" t="s">
        <v>19</v>
      </c>
      <c r="V49" s="662" t="s">
        <v>22</v>
      </c>
      <c r="W49" s="662" t="s">
        <v>115</v>
      </c>
      <c r="X49" s="652">
        <f>IFERROR(IF(AND(Q48="Probabilidad",Q49="Probabilidad"),(Z48-(+Z48*T49)),IF(Q49="Probabilidad",(I48-(+I48*T49)),IF(Q49="Impacto",Z48,""))),"")</f>
        <v>0.216</v>
      </c>
      <c r="Y49" s="664" t="str">
        <f t="shared" si="1"/>
        <v>Baja</v>
      </c>
      <c r="Z49" s="665">
        <f t="shared" ref="Z49:Z53" si="35">+X49</f>
        <v>0.216</v>
      </c>
      <c r="AA49" s="664" t="str">
        <f t="shared" si="3"/>
        <v>Moderado</v>
      </c>
      <c r="AB49" s="665">
        <f>IFERROR(IF(AND(Q48="Impacto",Q49="Impacto"),(AB48-(+AB48*T49)),IF(Q49="Impacto",(M48-(+M48*T49)),IF(Q49="Probabilidad",AB48,""))),"")</f>
        <v>0.6</v>
      </c>
      <c r="AC49" s="666" t="str">
        <f t="shared" ref="AC49:AC50" si="3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667" t="s">
        <v>132</v>
      </c>
      <c r="AE49" s="173" t="s">
        <v>338</v>
      </c>
      <c r="AF49" s="166" t="s">
        <v>327</v>
      </c>
      <c r="AG49" s="140" t="s">
        <v>339</v>
      </c>
      <c r="AH49" s="167">
        <v>45809</v>
      </c>
      <c r="AI49" s="167">
        <v>45960</v>
      </c>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96"/>
      <c r="B50" s="402"/>
      <c r="C50" s="402"/>
      <c r="D50" s="402"/>
      <c r="E50" s="409"/>
      <c r="F50" s="402"/>
      <c r="G50" s="400"/>
      <c r="H50" s="384"/>
      <c r="I50" s="390"/>
      <c r="J50" s="387"/>
      <c r="K50" s="390">
        <f>IF(NOT(ISERROR(MATCH(J50,_xlfn.ANCHORARRAY(E61),0))),I63&amp;"Por favor no seleccionar los criterios de impacto",J50)</f>
        <v>0</v>
      </c>
      <c r="L50" s="384"/>
      <c r="M50" s="390"/>
      <c r="N50" s="393"/>
      <c r="O50" s="6">
        <v>3</v>
      </c>
      <c r="P50" s="142"/>
      <c r="Q50" s="653" t="str">
        <f>IF(OR(R50="Preventivo",R50="Detectivo"),"Probabilidad",IF(R50="Correctivo","Impacto",""))</f>
        <v/>
      </c>
      <c r="R50" s="654"/>
      <c r="S50" s="654"/>
      <c r="T50" s="655" t="str">
        <f t="shared" si="28"/>
        <v/>
      </c>
      <c r="U50" s="654"/>
      <c r="V50" s="654"/>
      <c r="W50" s="654"/>
      <c r="X50" s="656" t="str">
        <f>IFERROR(IF(AND(Q49="Probabilidad",Q50="Probabilidad"),(Z49-(+Z49*T50)),IF(AND(Q49="Impacto",Q50="Probabilidad"),(Z48-(+Z48*T50)),IF(Q50="Impacto",Z49,""))),"")</f>
        <v/>
      </c>
      <c r="Y50" s="657" t="str">
        <f t="shared" si="1"/>
        <v/>
      </c>
      <c r="Z50" s="658" t="str">
        <f t="shared" si="35"/>
        <v/>
      </c>
      <c r="AA50" s="657" t="str">
        <f t="shared" si="3"/>
        <v/>
      </c>
      <c r="AB50" s="658" t="str">
        <f>IFERROR(IF(AND(Q49="Impacto",Q50="Impacto"),(AB49-(+AB49*T50)),IF(AND(Q49="Probabilidad",Q50="Impacto"),(AB48-(+AB48*T50)),IF(Q50="Probabilidad",AB49,""))),"")</f>
        <v/>
      </c>
      <c r="AC50" s="659" t="str">
        <f t="shared" si="36"/>
        <v/>
      </c>
      <c r="AD50" s="660"/>
      <c r="AE50" s="107"/>
      <c r="AF50" s="108"/>
      <c r="AG50" s="109"/>
      <c r="AH50" s="109"/>
      <c r="AI50" s="109"/>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96"/>
      <c r="B51" s="402"/>
      <c r="C51" s="402"/>
      <c r="D51" s="402"/>
      <c r="E51" s="409"/>
      <c r="F51" s="402"/>
      <c r="G51" s="400"/>
      <c r="H51" s="384"/>
      <c r="I51" s="390"/>
      <c r="J51" s="387"/>
      <c r="K51" s="390">
        <f>IF(NOT(ISERROR(MATCH(J51,_xlfn.ANCHORARRAY(E62),0))),I64&amp;"Por favor no seleccionar los criterios de impacto",J51)</f>
        <v>0</v>
      </c>
      <c r="L51" s="384"/>
      <c r="M51" s="390"/>
      <c r="N51" s="393"/>
      <c r="O51" s="106">
        <v>4</v>
      </c>
      <c r="P51" s="141"/>
      <c r="Q51" s="653" t="str">
        <f t="shared" ref="Q51:Q54" si="37">IF(OR(R51="Preventivo",R51="Detectivo"),"Probabilidad",IF(R51="Correctivo","Impacto",""))</f>
        <v/>
      </c>
      <c r="R51" s="654"/>
      <c r="S51" s="654"/>
      <c r="T51" s="655" t="str">
        <f t="shared" si="28"/>
        <v/>
      </c>
      <c r="U51" s="654"/>
      <c r="V51" s="654"/>
      <c r="W51" s="654"/>
      <c r="X51" s="656" t="str">
        <f t="shared" ref="X51:X53" si="38">IFERROR(IF(AND(Q50="Probabilidad",Q51="Probabilidad"),(Z50-(+Z50*T51)),IF(AND(Q50="Impacto",Q51="Probabilidad"),(Z49-(+Z49*T51)),IF(Q51="Impacto",Z50,""))),"")</f>
        <v/>
      </c>
      <c r="Y51" s="657" t="str">
        <f t="shared" si="1"/>
        <v/>
      </c>
      <c r="Z51" s="658" t="str">
        <f t="shared" si="35"/>
        <v/>
      </c>
      <c r="AA51" s="657" t="str">
        <f t="shared" si="3"/>
        <v/>
      </c>
      <c r="AB51" s="658" t="str">
        <f t="shared" ref="AB51:AB53" si="39">IFERROR(IF(AND(Q50="Impacto",Q51="Impacto"),(AB50-(+AB50*T51)),IF(AND(Q50="Probabilidad",Q51="Impacto"),(AB49-(+AB49*T51)),IF(Q51="Probabilidad",AB50,""))),"")</f>
        <v/>
      </c>
      <c r="AC51" s="65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660"/>
      <c r="AE51" s="107"/>
      <c r="AF51" s="108"/>
      <c r="AG51" s="109"/>
      <c r="AH51" s="109"/>
      <c r="AI51" s="109"/>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396"/>
      <c r="B52" s="402"/>
      <c r="C52" s="402"/>
      <c r="D52" s="402"/>
      <c r="E52" s="409"/>
      <c r="F52" s="402"/>
      <c r="G52" s="400"/>
      <c r="H52" s="384"/>
      <c r="I52" s="390"/>
      <c r="J52" s="387"/>
      <c r="K52" s="390">
        <f>IF(NOT(ISERROR(MATCH(J52,_xlfn.ANCHORARRAY(E63),0))),I65&amp;"Por favor no seleccionar los criterios de impacto",J52)</f>
        <v>0</v>
      </c>
      <c r="L52" s="384"/>
      <c r="M52" s="390"/>
      <c r="N52" s="393"/>
      <c r="O52" s="106">
        <v>5</v>
      </c>
      <c r="P52" s="141"/>
      <c r="Q52" s="653" t="str">
        <f t="shared" si="37"/>
        <v/>
      </c>
      <c r="R52" s="654"/>
      <c r="S52" s="654"/>
      <c r="T52" s="655" t="str">
        <f t="shared" si="28"/>
        <v/>
      </c>
      <c r="U52" s="654"/>
      <c r="V52" s="654"/>
      <c r="W52" s="654"/>
      <c r="X52" s="656" t="str">
        <f t="shared" si="38"/>
        <v/>
      </c>
      <c r="Y52" s="657" t="str">
        <f t="shared" si="1"/>
        <v/>
      </c>
      <c r="Z52" s="658" t="str">
        <f t="shared" si="35"/>
        <v/>
      </c>
      <c r="AA52" s="657" t="str">
        <f t="shared" si="3"/>
        <v/>
      </c>
      <c r="AB52" s="658" t="str">
        <f t="shared" si="39"/>
        <v/>
      </c>
      <c r="AC52" s="659" t="str">
        <f t="shared" ref="AC52" si="4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660"/>
      <c r="AE52" s="107"/>
      <c r="AF52" s="108"/>
      <c r="AG52" s="109"/>
      <c r="AH52" s="109"/>
      <c r="AI52" s="109"/>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403"/>
      <c r="B53" s="407"/>
      <c r="C53" s="407"/>
      <c r="D53" s="407"/>
      <c r="E53" s="410"/>
      <c r="F53" s="407"/>
      <c r="G53" s="440"/>
      <c r="H53" s="385"/>
      <c r="I53" s="391"/>
      <c r="J53" s="388"/>
      <c r="K53" s="391">
        <f>IF(NOT(ISERROR(MATCH(J53,_xlfn.ANCHORARRAY(E64),0))),I66&amp;"Por favor no seleccionar los criterios de impacto",J53)</f>
        <v>0</v>
      </c>
      <c r="L53" s="385"/>
      <c r="M53" s="391"/>
      <c r="N53" s="394"/>
      <c r="O53" s="106">
        <v>6</v>
      </c>
      <c r="P53" s="141"/>
      <c r="Q53" s="653" t="str">
        <f t="shared" si="37"/>
        <v/>
      </c>
      <c r="R53" s="654"/>
      <c r="S53" s="654"/>
      <c r="T53" s="655" t="str">
        <f t="shared" si="28"/>
        <v/>
      </c>
      <c r="U53" s="654"/>
      <c r="V53" s="654"/>
      <c r="W53" s="654"/>
      <c r="X53" s="656" t="str">
        <f t="shared" si="38"/>
        <v/>
      </c>
      <c r="Y53" s="657" t="str">
        <f t="shared" si="1"/>
        <v/>
      </c>
      <c r="Z53" s="658" t="str">
        <f t="shared" si="35"/>
        <v/>
      </c>
      <c r="AA53" s="657" t="str">
        <f>IFERROR(IF(AB53="","",IF(AB53&lt;=0.2,"Leve",IF(AB53&lt;=0.4,"Menor",IF(AB53&lt;=0.6,"Moderado",IF(AB53&lt;=0.8,"Mayor","Catastrófico"))))),"")</f>
        <v/>
      </c>
      <c r="AB53" s="658" t="str">
        <f t="shared" si="39"/>
        <v/>
      </c>
      <c r="AC53" s="659"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660"/>
      <c r="AE53" s="107"/>
      <c r="AF53" s="108"/>
      <c r="AG53" s="109"/>
      <c r="AH53" s="109"/>
      <c r="AI53" s="109"/>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80.25" customHeight="1" x14ac:dyDescent="0.3">
      <c r="A54" s="404">
        <v>7</v>
      </c>
      <c r="B54" s="401" t="s">
        <v>128</v>
      </c>
      <c r="C54" s="401" t="s">
        <v>269</v>
      </c>
      <c r="D54" s="401" t="s">
        <v>270</v>
      </c>
      <c r="E54" s="441" t="s">
        <v>271</v>
      </c>
      <c r="F54" s="401" t="s">
        <v>119</v>
      </c>
      <c r="G54" s="399">
        <v>360</v>
      </c>
      <c r="H54" s="383" t="str">
        <f>IF(G54&lt;=0,"",IF(G54&lt;=2,"Muy Baja",IF(G54&lt;=24,"Baja",IF(G54&lt;=500,"Media",IF(G54&lt;=5000,"Alta","Muy Alta")))))</f>
        <v>Media</v>
      </c>
      <c r="I54" s="389">
        <f>IF(H54="","",IF(H54="Muy Baja",0.2,IF(H54="Baja",0.4,IF(H54="Media",0.6,IF(H54="Alta",0.8,IF(H54="Muy Alta",1,))))))</f>
        <v>0.6</v>
      </c>
      <c r="J54" s="386" t="s">
        <v>150</v>
      </c>
      <c r="K54" s="389" t="str">
        <f>IF(NOT(ISERROR(MATCH(J54,'[3]Tabla Impacto'!$B$221:$B$223,0))),'[3]Tabla Impacto'!$F$223&amp;"Por favor no seleccionar los criterios de impacto(Afectación Económica o presupuestal y Pérdida Reputacional)",J54)</f>
        <v xml:space="preserve">     El riesgo afecta la imagen de la entidad con algunos usuarios de relevancia frente al logro de los objetivos</v>
      </c>
      <c r="L54" s="383" t="str">
        <f>IF(OR(K54='[3]Tabla Impacto'!$C$11,K54='[3]Tabla Impacto'!$D$11),"Leve",IF(OR(K54='[3]Tabla Impacto'!$C$12,K54='[3]Tabla Impacto'!$D$12),"Menor",IF(OR(K54='[3]Tabla Impacto'!$C$13,K54='[3]Tabla Impacto'!$D$13),"Moderado",IF(OR(K54='[3]Tabla Impacto'!$C$14,K54='[3]Tabla Impacto'!$D$14),"Mayor",IF(OR(K54='[3]Tabla Impacto'!$C$15,K54='[3]Tabla Impacto'!$D$15),"Catastrófico","")))))</f>
        <v>Moderado</v>
      </c>
      <c r="M54" s="389">
        <f>IF(L54="","",IF(L54="Leve",0.2,IF(L54="Menor",0.4,IF(L54="Moderado",0.6,IF(L54="Mayor",0.8,IF(L54="Catastrófico",1,))))))</f>
        <v>0.6</v>
      </c>
      <c r="N54" s="39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Moderado</v>
      </c>
      <c r="O54" s="6">
        <v>1</v>
      </c>
      <c r="P54" s="141" t="s">
        <v>272</v>
      </c>
      <c r="Q54" s="661" t="str">
        <f t="shared" si="37"/>
        <v>Probabilidad</v>
      </c>
      <c r="R54" s="662" t="s">
        <v>14</v>
      </c>
      <c r="S54" s="662" t="s">
        <v>9</v>
      </c>
      <c r="T54" s="663" t="str">
        <f>IF(AND(R54="Preventivo",S54="Automático"),"50%",IF(AND(R54="Preventivo",S54="Manual"),"40%",IF(AND(R54="Detectivo",S54="Automático"),"40%",IF(AND(R54="Detectivo",S54="Manual"),"30%",IF(AND(R54="Correctivo",S54="Automático"),"35%",IF(AND(R54="Correctivo",S54="Manual"),"25%",""))))))</f>
        <v>40%</v>
      </c>
      <c r="U54" s="662" t="s">
        <v>19</v>
      </c>
      <c r="V54" s="662" t="s">
        <v>22</v>
      </c>
      <c r="W54" s="662" t="s">
        <v>115</v>
      </c>
      <c r="X54" s="652">
        <f>IFERROR(IF(Q54="Probabilidad",(I54-(+I54*T54)),IF(Q54="Impacto",I54,"")),"")</f>
        <v>0.36</v>
      </c>
      <c r="Y54" s="664" t="str">
        <f>IFERROR(IF(X54="","",IF(X54&lt;=0.2,"Muy Baja",IF(X54&lt;=0.4,"Baja",IF(X54&lt;=0.6,"Media",IF(X54&lt;=0.8,"Alta","Muy Alta"))))),"")</f>
        <v>Baja</v>
      </c>
      <c r="Z54" s="665">
        <f>+X54</f>
        <v>0.36</v>
      </c>
      <c r="AA54" s="664" t="str">
        <f>IFERROR(IF(AB54="","",IF(AB54&lt;=0.2,"Leve",IF(AB54&lt;=0.4,"Menor",IF(AB54&lt;=0.6,"Moderado",IF(AB54&lt;=0.8,"Mayor","Catastrófico"))))),"")</f>
        <v>Moderado</v>
      </c>
      <c r="AB54" s="665">
        <f>IFERROR(IF(Q54="Impacto",(M54-(+M54*T54)),IF(Q54="Probabilidad",M54,"")),"")</f>
        <v>0.6</v>
      </c>
      <c r="AC54" s="66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Moderado</v>
      </c>
      <c r="AD54" s="667" t="s">
        <v>132</v>
      </c>
      <c r="AE54" s="173" t="s">
        <v>340</v>
      </c>
      <c r="AF54" s="138" t="s">
        <v>341</v>
      </c>
      <c r="AG54" s="162" t="s">
        <v>342</v>
      </c>
      <c r="AH54" s="140">
        <v>45658</v>
      </c>
      <c r="AI54" s="140">
        <v>46021</v>
      </c>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405"/>
      <c r="B55" s="402"/>
      <c r="C55" s="402"/>
      <c r="D55" s="402"/>
      <c r="E55" s="442"/>
      <c r="F55" s="402"/>
      <c r="G55" s="400"/>
      <c r="H55" s="384"/>
      <c r="I55" s="390"/>
      <c r="J55" s="387"/>
      <c r="K55" s="390">
        <f>IF(NOT(ISERROR(MATCH(J55,_xlfn.ANCHORARRAY(E78),0))),I80&amp;"Por favor no seleccionar los criterios de impacto",J55)</f>
        <v>0</v>
      </c>
      <c r="L55" s="384"/>
      <c r="M55" s="390"/>
      <c r="N55" s="393"/>
      <c r="O55" s="106">
        <v>2</v>
      </c>
      <c r="P55" s="141"/>
      <c r="Q55" s="661" t="str">
        <f>IF(OR(R55="Preventivo",R55="Detectivo"),"Probabilidad",IF(R55="Correctivo","Impacto",""))</f>
        <v/>
      </c>
      <c r="R55" s="662"/>
      <c r="S55" s="662"/>
      <c r="T55" s="663" t="str">
        <f t="shared" ref="T55:T59" si="41">IF(AND(R55="Preventivo",S55="Automático"),"50%",IF(AND(R55="Preventivo",S55="Manual"),"40%",IF(AND(R55="Detectivo",S55="Automático"),"40%",IF(AND(R55="Detectivo",S55="Manual"),"30%",IF(AND(R55="Correctivo",S55="Automático"),"35%",IF(AND(R55="Correctivo",S55="Manual"),"25%",""))))))</f>
        <v/>
      </c>
      <c r="U55" s="662"/>
      <c r="V55" s="662"/>
      <c r="W55" s="662"/>
      <c r="X55" s="652" t="str">
        <f>IFERROR(IF(AND(Q54="Probabilidad",Q55="Probabilidad"),(Z54-(+Z54*T55)),IF(Q55="Probabilidad",(I54-(+I54*T55)),IF(Q55="Impacto",Z54,""))),"")</f>
        <v/>
      </c>
      <c r="Y55" s="664" t="str">
        <f t="shared" si="1"/>
        <v/>
      </c>
      <c r="Z55" s="665" t="str">
        <f t="shared" ref="Z55:Z65" si="42">+X55</f>
        <v/>
      </c>
      <c r="AA55" s="664" t="str">
        <f t="shared" si="3"/>
        <v/>
      </c>
      <c r="AB55" s="665" t="str">
        <f>IFERROR(IF(AND(Q54="Impacto",Q55="Impacto"),(AB54-(+AB54*T55)),IF(Q55="Impacto",(M54-(+M54*T55)),IF(Q55="Probabilidad",AB54,""))),"")</f>
        <v/>
      </c>
      <c r="AC55" s="666" t="str">
        <f t="shared" ref="AC55:AC56" si="4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667"/>
      <c r="AE55" s="107"/>
      <c r="AF55" s="108"/>
      <c r="AG55" s="109"/>
      <c r="AH55" s="109"/>
      <c r="AI55" s="109"/>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405"/>
      <c r="B56" s="402"/>
      <c r="C56" s="402"/>
      <c r="D56" s="402"/>
      <c r="E56" s="442"/>
      <c r="F56" s="402"/>
      <c r="G56" s="400"/>
      <c r="H56" s="384"/>
      <c r="I56" s="390"/>
      <c r="J56" s="387"/>
      <c r="K56" s="390">
        <f>IF(NOT(ISERROR(MATCH(J56,_xlfn.ANCHORARRAY(E79),0))),I81&amp;"Por favor no seleccionar los criterios de impacto",J56)</f>
        <v>0</v>
      </c>
      <c r="L56" s="384"/>
      <c r="M56" s="390"/>
      <c r="N56" s="393"/>
      <c r="O56" s="106">
        <v>3</v>
      </c>
      <c r="P56" s="142"/>
      <c r="Q56" s="653" t="str">
        <f>IF(OR(R56="Preventivo",R56="Detectivo"),"Probabilidad",IF(R56="Correctivo","Impacto",""))</f>
        <v/>
      </c>
      <c r="R56" s="654"/>
      <c r="S56" s="654"/>
      <c r="T56" s="655" t="str">
        <f t="shared" si="41"/>
        <v/>
      </c>
      <c r="U56" s="654"/>
      <c r="V56" s="654"/>
      <c r="W56" s="654"/>
      <c r="X56" s="656" t="str">
        <f>IFERROR(IF(AND(Q55="Probabilidad",Q56="Probabilidad"),(Z55-(+Z55*T56)),IF(AND(Q55="Impacto",Q56="Probabilidad"),(Z54-(+Z54*T56)),IF(Q56="Impacto",Z55,""))),"")</f>
        <v/>
      </c>
      <c r="Y56" s="657" t="str">
        <f t="shared" si="1"/>
        <v/>
      </c>
      <c r="Z56" s="658" t="str">
        <f t="shared" si="42"/>
        <v/>
      </c>
      <c r="AA56" s="657" t="str">
        <f t="shared" si="3"/>
        <v/>
      </c>
      <c r="AB56" s="658" t="str">
        <f>IFERROR(IF(AND(Q55="Impacto",Q56="Impacto"),(AB55-(+AB55*T56)),IF(AND(Q55="Probabilidad",Q56="Impacto"),(AB54-(+AB54*T56)),IF(Q56="Probabilidad",AB55,""))),"")</f>
        <v/>
      </c>
      <c r="AC56" s="659" t="str">
        <f t="shared" si="43"/>
        <v/>
      </c>
      <c r="AD56" s="660"/>
      <c r="AE56" s="107"/>
      <c r="AF56" s="108"/>
      <c r="AG56" s="109"/>
      <c r="AH56" s="109"/>
      <c r="AI56" s="109"/>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405"/>
      <c r="B57" s="402"/>
      <c r="C57" s="402"/>
      <c r="D57" s="402"/>
      <c r="E57" s="442"/>
      <c r="F57" s="402"/>
      <c r="G57" s="400"/>
      <c r="H57" s="384"/>
      <c r="I57" s="390"/>
      <c r="J57" s="387"/>
      <c r="K57" s="390">
        <f>IF(NOT(ISERROR(MATCH(J57,_xlfn.ANCHORARRAY(E80),0))),I82&amp;"Por favor no seleccionar los criterios de impacto",J57)</f>
        <v>0</v>
      </c>
      <c r="L57" s="384"/>
      <c r="M57" s="390"/>
      <c r="N57" s="393"/>
      <c r="O57" s="106">
        <v>4</v>
      </c>
      <c r="P57" s="141"/>
      <c r="Q57" s="653" t="str">
        <f t="shared" ref="Q57:Q60" si="44">IF(OR(R57="Preventivo",R57="Detectivo"),"Probabilidad",IF(R57="Correctivo","Impacto",""))</f>
        <v/>
      </c>
      <c r="R57" s="654"/>
      <c r="S57" s="654"/>
      <c r="T57" s="655" t="str">
        <f t="shared" si="41"/>
        <v/>
      </c>
      <c r="U57" s="654"/>
      <c r="V57" s="654"/>
      <c r="W57" s="654"/>
      <c r="X57" s="656" t="str">
        <f t="shared" ref="X57:X59" si="45">IFERROR(IF(AND(Q56="Probabilidad",Q57="Probabilidad"),(Z56-(+Z56*T57)),IF(AND(Q56="Impacto",Q57="Probabilidad"),(Z55-(+Z55*T57)),IF(Q57="Impacto",Z56,""))),"")</f>
        <v/>
      </c>
      <c r="Y57" s="657" t="str">
        <f t="shared" si="1"/>
        <v/>
      </c>
      <c r="Z57" s="658" t="str">
        <f t="shared" si="42"/>
        <v/>
      </c>
      <c r="AA57" s="657" t="str">
        <f t="shared" si="3"/>
        <v/>
      </c>
      <c r="AB57" s="658" t="str">
        <f t="shared" ref="AB57:AB59" si="46">IFERROR(IF(AND(Q56="Impacto",Q57="Impacto"),(AB56-(+AB56*T57)),IF(AND(Q56="Probabilidad",Q57="Impacto"),(AB55-(+AB55*T57)),IF(Q57="Probabilidad",AB56,""))),"")</f>
        <v/>
      </c>
      <c r="AC57" s="65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660"/>
      <c r="AE57" s="107"/>
      <c r="AF57" s="108"/>
      <c r="AG57" s="109"/>
      <c r="AH57" s="109"/>
      <c r="AI57" s="109"/>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405"/>
      <c r="B58" s="402"/>
      <c r="C58" s="402"/>
      <c r="D58" s="402"/>
      <c r="E58" s="442"/>
      <c r="F58" s="402"/>
      <c r="G58" s="400"/>
      <c r="H58" s="384"/>
      <c r="I58" s="390"/>
      <c r="J58" s="387"/>
      <c r="K58" s="390">
        <f>IF(NOT(ISERROR(MATCH(J58,_xlfn.ANCHORARRAY(E81),0))),I83&amp;"Por favor no seleccionar los criterios de impacto",J58)</f>
        <v>0</v>
      </c>
      <c r="L58" s="384"/>
      <c r="M58" s="390"/>
      <c r="N58" s="393"/>
      <c r="O58" s="106">
        <v>5</v>
      </c>
      <c r="P58" s="141"/>
      <c r="Q58" s="653" t="str">
        <f t="shared" si="44"/>
        <v/>
      </c>
      <c r="R58" s="654"/>
      <c r="S58" s="654"/>
      <c r="T58" s="655" t="str">
        <f t="shared" si="41"/>
        <v/>
      </c>
      <c r="U58" s="654"/>
      <c r="V58" s="654"/>
      <c r="W58" s="654"/>
      <c r="X58" s="656" t="str">
        <f t="shared" si="45"/>
        <v/>
      </c>
      <c r="Y58" s="657" t="str">
        <f t="shared" si="1"/>
        <v/>
      </c>
      <c r="Z58" s="658" t="str">
        <f t="shared" si="42"/>
        <v/>
      </c>
      <c r="AA58" s="657" t="str">
        <f t="shared" si="3"/>
        <v/>
      </c>
      <c r="AB58" s="658" t="str">
        <f t="shared" si="46"/>
        <v/>
      </c>
      <c r="AC58" s="659" t="str">
        <f t="shared" ref="AC58:AC59" si="4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660"/>
      <c r="AE58" s="107"/>
      <c r="AF58" s="108"/>
      <c r="AG58" s="109"/>
      <c r="AH58" s="109"/>
      <c r="AI58" s="109"/>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406"/>
      <c r="B59" s="407"/>
      <c r="C59" s="407"/>
      <c r="D59" s="407"/>
      <c r="E59" s="443"/>
      <c r="F59" s="407"/>
      <c r="G59" s="440"/>
      <c r="H59" s="385"/>
      <c r="I59" s="391"/>
      <c r="J59" s="388"/>
      <c r="K59" s="391">
        <f>IF(NOT(ISERROR(MATCH(J59,_xlfn.ANCHORARRAY(E82),0))),I84&amp;"Por favor no seleccionar los criterios de impacto",J59)</f>
        <v>0</v>
      </c>
      <c r="L59" s="385"/>
      <c r="M59" s="391"/>
      <c r="N59" s="394"/>
      <c r="O59" s="106">
        <v>6</v>
      </c>
      <c r="P59" s="141"/>
      <c r="Q59" s="653" t="str">
        <f t="shared" si="44"/>
        <v/>
      </c>
      <c r="R59" s="654"/>
      <c r="S59" s="654"/>
      <c r="T59" s="655" t="str">
        <f t="shared" si="41"/>
        <v/>
      </c>
      <c r="U59" s="654"/>
      <c r="V59" s="654"/>
      <c r="W59" s="654"/>
      <c r="X59" s="656" t="str">
        <f t="shared" si="45"/>
        <v/>
      </c>
      <c r="Y59" s="657" t="str">
        <f t="shared" si="1"/>
        <v/>
      </c>
      <c r="Z59" s="658" t="str">
        <f t="shared" si="42"/>
        <v/>
      </c>
      <c r="AA59" s="657" t="str">
        <f t="shared" si="3"/>
        <v/>
      </c>
      <c r="AB59" s="658" t="str">
        <f t="shared" si="46"/>
        <v/>
      </c>
      <c r="AC59" s="659" t="str">
        <f t="shared" si="47"/>
        <v/>
      </c>
      <c r="AD59" s="660"/>
      <c r="AE59" s="107"/>
      <c r="AF59" s="108"/>
      <c r="AG59" s="109"/>
      <c r="AH59" s="109"/>
      <c r="AI59" s="109"/>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73.5" customHeight="1" x14ac:dyDescent="0.3">
      <c r="A60" s="404">
        <v>8</v>
      </c>
      <c r="B60" s="401" t="s">
        <v>128</v>
      </c>
      <c r="C60" s="386" t="s">
        <v>274</v>
      </c>
      <c r="D60" s="386" t="s">
        <v>425</v>
      </c>
      <c r="E60" s="441" t="s">
        <v>424</v>
      </c>
      <c r="F60" s="401" t="s">
        <v>119</v>
      </c>
      <c r="G60" s="446">
        <v>1</v>
      </c>
      <c r="H60" s="383" t="str">
        <f>IF(G60&lt;=0,"",IF(G60&lt;=2,"Muy Baja",IF(G60&lt;=24,"Baja",IF(G60&lt;=500,"Media",IF(G60&lt;=5000,"Alta","Muy Alta")))))</f>
        <v>Muy Baja</v>
      </c>
      <c r="I60" s="389">
        <f>IF(H60="","",IF(H60="Muy Baja",0.2,IF(H60="Baja",0.4,IF(H60="Media",0.6,IF(H60="Alta",0.8,IF(H60="Muy Alta",1,))))))</f>
        <v>0.2</v>
      </c>
      <c r="J60" s="449" t="s">
        <v>150</v>
      </c>
      <c r="K60" s="389" t="str">
        <f>IF(NOT(ISERROR(MATCH(J60,'[3]Tabla Impacto'!$B$221:$B$223,0))),'[3]Tabla Impacto'!$F$223&amp;"Por favor no seleccionar los criterios de impacto(Afectación Económica o presupuestal y Pérdida Reputacional)",J60)</f>
        <v xml:space="preserve">     El riesgo afecta la imagen de la entidad con algunos usuarios de relevancia frente al logro de los objetivos</v>
      </c>
      <c r="L60" s="383" t="str">
        <f>IF(OR(K60='[3]Tabla Impacto'!$C$11,K60='[3]Tabla Impacto'!$D$11),"Leve",IF(OR(K60='[3]Tabla Impacto'!$C$12,K60='[3]Tabla Impacto'!$D$12),"Menor",IF(OR(K60='[3]Tabla Impacto'!$C$13,K60='[3]Tabla Impacto'!$D$13),"Moderado",IF(OR(K60='[3]Tabla Impacto'!$C$14,K60='[3]Tabla Impacto'!$D$14),"Mayor",IF(OR(K60='[3]Tabla Impacto'!$C$15,K60='[3]Tabla Impacto'!$D$15),"Catastrófico","")))))</f>
        <v>Moderado</v>
      </c>
      <c r="M60" s="389">
        <f>IF(L60="","",IF(L60="Leve",0.2,IF(L60="Menor",0.4,IF(L60="Moderado",0.6,IF(L60="Mayor",0.8,IF(L60="Catastrófico",1,))))))</f>
        <v>0.6</v>
      </c>
      <c r="N60" s="39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Moderado</v>
      </c>
      <c r="O60" s="6">
        <v>1</v>
      </c>
      <c r="P60" s="141" t="s">
        <v>343</v>
      </c>
      <c r="Q60" s="661" t="str">
        <f t="shared" si="44"/>
        <v>Probabilidad</v>
      </c>
      <c r="R60" s="662" t="s">
        <v>14</v>
      </c>
      <c r="S60" s="662" t="s">
        <v>9</v>
      </c>
      <c r="T60" s="663" t="str">
        <f>IF(AND(R60="Preventivo",S60="Automático"),"50%",IF(AND(R60="Preventivo",S60="Manual"),"40%",IF(AND(R60="Detectivo",S60="Automático"),"40%",IF(AND(R60="Detectivo",S60="Manual"),"30%",IF(AND(R60="Correctivo",S60="Automático"),"35%",IF(AND(R60="Correctivo",S60="Manual"),"25%",""))))))</f>
        <v>40%</v>
      </c>
      <c r="U60" s="662" t="s">
        <v>19</v>
      </c>
      <c r="V60" s="662" t="s">
        <v>22</v>
      </c>
      <c r="W60" s="662" t="s">
        <v>115</v>
      </c>
      <c r="X60" s="652">
        <f>IFERROR(IF(Q60="Probabilidad",(I60-(+I60*T60)),IF(Q60="Impacto",I60,"")),"")</f>
        <v>0.12</v>
      </c>
      <c r="Y60" s="664" t="str">
        <f>IFERROR(IF(X60="","",IF(X60&lt;=0.2,"Muy Baja",IF(X60&lt;=0.4,"Baja",IF(X60&lt;=0.6,"Media",IF(X60&lt;=0.8,"Alta","Muy Alta"))))),"")</f>
        <v>Muy Baja</v>
      </c>
      <c r="Z60" s="665">
        <f t="shared" si="42"/>
        <v>0.12</v>
      </c>
      <c r="AA60" s="664" t="str">
        <f>IFERROR(IF(AB60="","",IF(AB60&lt;=0.2,"Leve",IF(AB60&lt;=0.4,"Menor",IF(AB60&lt;=0.6,"Moderado",IF(AB60&lt;=0.8,"Mayor","Catastrófico"))))),"")</f>
        <v>Moderado</v>
      </c>
      <c r="AB60" s="665">
        <f>IFERROR(IF(Q60="Impacto",(M60-(+M60*T60)),IF(Q60="Probabilidad",M60,"")),"")</f>
        <v>0.6</v>
      </c>
      <c r="AC60" s="66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Moderado</v>
      </c>
      <c r="AD60" s="667" t="s">
        <v>132</v>
      </c>
      <c r="AE60" s="163" t="s">
        <v>275</v>
      </c>
      <c r="AF60" s="176" t="s">
        <v>276</v>
      </c>
      <c r="AG60" s="176" t="s">
        <v>277</v>
      </c>
      <c r="AH60" s="215">
        <v>45839</v>
      </c>
      <c r="AI60" s="216">
        <v>46010</v>
      </c>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405"/>
      <c r="B61" s="402"/>
      <c r="C61" s="387"/>
      <c r="D61" s="387"/>
      <c r="E61" s="442"/>
      <c r="F61" s="402"/>
      <c r="G61" s="447"/>
      <c r="H61" s="384"/>
      <c r="I61" s="390"/>
      <c r="J61" s="450"/>
      <c r="K61" s="390">
        <f>IF(NOT(ISERROR(MATCH(J61,_xlfn.ANCHORARRAY(E84),0))),I86&amp;"Por favor no seleccionar los criterios de impacto",J61)</f>
        <v>0</v>
      </c>
      <c r="L61" s="384"/>
      <c r="M61" s="390"/>
      <c r="N61" s="393"/>
      <c r="O61" s="106">
        <v>2</v>
      </c>
      <c r="P61" s="141"/>
      <c r="Q61" s="653" t="str">
        <f>IF(OR(R61="Preventivo",R61="Detectivo"),"Probabilidad",IF(R61="Correctivo","Impacto",""))</f>
        <v/>
      </c>
      <c r="R61" s="654"/>
      <c r="S61" s="654"/>
      <c r="T61" s="655" t="str">
        <f t="shared" ref="T61:T65" si="48">IF(AND(R61="Preventivo",S61="Automático"),"50%",IF(AND(R61="Preventivo",S61="Manual"),"40%",IF(AND(R61="Detectivo",S61="Automático"),"40%",IF(AND(R61="Detectivo",S61="Manual"),"30%",IF(AND(R61="Correctivo",S61="Automático"),"35%",IF(AND(R61="Correctivo",S61="Manual"),"25%",""))))))</f>
        <v/>
      </c>
      <c r="U61" s="654"/>
      <c r="V61" s="654"/>
      <c r="W61" s="654"/>
      <c r="X61" s="656" t="str">
        <f>IFERROR(IF(AND(Q60="Probabilidad",Q61="Probabilidad"),(Z60-(+Z60*T61)),IF(Q61="Probabilidad",(I60-(+I60*T61)),IF(Q61="Impacto",Z60,""))),"")</f>
        <v/>
      </c>
      <c r="Y61" s="657" t="str">
        <f t="shared" si="1"/>
        <v/>
      </c>
      <c r="Z61" s="658" t="str">
        <f t="shared" si="42"/>
        <v/>
      </c>
      <c r="AA61" s="657" t="str">
        <f t="shared" si="3"/>
        <v/>
      </c>
      <c r="AB61" s="658" t="str">
        <f>IFERROR(IF(AND(Q60="Impacto",Q61="Impacto"),(AB60-(+AB60*T61)),IF(Q61="Impacto",(M60-(+M60*T61)),IF(Q61="Probabilidad",AB60,""))),"")</f>
        <v/>
      </c>
      <c r="AC61" s="659" t="str">
        <f t="shared" ref="AC61:AC62" si="4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660"/>
      <c r="AE61" s="107"/>
      <c r="AF61" s="108"/>
      <c r="AG61" s="109"/>
      <c r="AH61" s="109"/>
      <c r="AI61" s="109"/>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405"/>
      <c r="B62" s="402"/>
      <c r="C62" s="387"/>
      <c r="D62" s="387"/>
      <c r="E62" s="442"/>
      <c r="F62" s="402"/>
      <c r="G62" s="447"/>
      <c r="H62" s="384"/>
      <c r="I62" s="390"/>
      <c r="J62" s="450"/>
      <c r="K62" s="390">
        <f>IF(NOT(ISERROR(MATCH(J62,_xlfn.ANCHORARRAY(E85),0))),I87&amp;"Por favor no seleccionar los criterios de impacto",J62)</f>
        <v>0</v>
      </c>
      <c r="L62" s="384"/>
      <c r="M62" s="390"/>
      <c r="N62" s="393"/>
      <c r="O62" s="106">
        <v>3</v>
      </c>
      <c r="P62" s="142"/>
      <c r="Q62" s="653" t="str">
        <f>IF(OR(R62="Preventivo",R62="Detectivo"),"Probabilidad",IF(R62="Correctivo","Impacto",""))</f>
        <v/>
      </c>
      <c r="R62" s="654"/>
      <c r="S62" s="654"/>
      <c r="T62" s="655" t="str">
        <f t="shared" si="48"/>
        <v/>
      </c>
      <c r="U62" s="654"/>
      <c r="V62" s="654"/>
      <c r="W62" s="654"/>
      <c r="X62" s="656" t="str">
        <f>IFERROR(IF(AND(Q61="Probabilidad",Q62="Probabilidad"),(Z61-(+Z61*T62)),IF(AND(Q61="Impacto",Q62="Probabilidad"),(Z60-(+Z60*T62)),IF(Q62="Impacto",Z61,""))),"")</f>
        <v/>
      </c>
      <c r="Y62" s="657" t="str">
        <f t="shared" si="1"/>
        <v/>
      </c>
      <c r="Z62" s="658" t="str">
        <f t="shared" si="42"/>
        <v/>
      </c>
      <c r="AA62" s="657" t="str">
        <f t="shared" si="3"/>
        <v/>
      </c>
      <c r="AB62" s="658" t="str">
        <f>IFERROR(IF(AND(Q61="Impacto",Q62="Impacto"),(AB61-(+AB61*T62)),IF(AND(Q61="Probabilidad",Q62="Impacto"),(AB60-(+AB60*T62)),IF(Q62="Probabilidad",AB61,""))),"")</f>
        <v/>
      </c>
      <c r="AC62" s="659" t="str">
        <f t="shared" si="49"/>
        <v/>
      </c>
      <c r="AD62" s="660"/>
      <c r="AE62" s="107"/>
      <c r="AF62" s="108"/>
      <c r="AG62" s="109"/>
      <c r="AH62" s="109"/>
      <c r="AI62" s="109"/>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405"/>
      <c r="B63" s="402"/>
      <c r="C63" s="387"/>
      <c r="D63" s="387"/>
      <c r="E63" s="442"/>
      <c r="F63" s="402"/>
      <c r="G63" s="447"/>
      <c r="H63" s="384"/>
      <c r="I63" s="390"/>
      <c r="J63" s="450"/>
      <c r="K63" s="390">
        <f>IF(NOT(ISERROR(MATCH(J63,_xlfn.ANCHORARRAY(E86),0))),I91&amp;"Por favor no seleccionar los criterios de impacto",J63)</f>
        <v>0</v>
      </c>
      <c r="L63" s="384"/>
      <c r="M63" s="390"/>
      <c r="N63" s="393"/>
      <c r="O63" s="106">
        <v>4</v>
      </c>
      <c r="P63" s="141"/>
      <c r="Q63" s="653" t="str">
        <f t="shared" ref="Q63:Q65" si="50">IF(OR(R63="Preventivo",R63="Detectivo"),"Probabilidad",IF(R63="Correctivo","Impacto",""))</f>
        <v/>
      </c>
      <c r="R63" s="654"/>
      <c r="S63" s="654"/>
      <c r="T63" s="655" t="str">
        <f t="shared" si="48"/>
        <v/>
      </c>
      <c r="U63" s="654"/>
      <c r="V63" s="654"/>
      <c r="W63" s="654"/>
      <c r="X63" s="656" t="str">
        <f t="shared" ref="X63:X65" si="51">IFERROR(IF(AND(Q62="Probabilidad",Q63="Probabilidad"),(Z62-(+Z62*T63)),IF(AND(Q62="Impacto",Q63="Probabilidad"),(Z61-(+Z61*T63)),IF(Q63="Impacto",Z62,""))),"")</f>
        <v/>
      </c>
      <c r="Y63" s="657" t="str">
        <f t="shared" si="1"/>
        <v/>
      </c>
      <c r="Z63" s="658" t="str">
        <f t="shared" si="42"/>
        <v/>
      </c>
      <c r="AA63" s="657" t="str">
        <f t="shared" si="3"/>
        <v/>
      </c>
      <c r="AB63" s="658" t="str">
        <f t="shared" ref="AB63:AB65" si="52">IFERROR(IF(AND(Q62="Impacto",Q63="Impacto"),(AB62-(+AB62*T63)),IF(AND(Q62="Probabilidad",Q63="Impacto"),(AB61-(+AB61*T63)),IF(Q63="Probabilidad",AB62,""))),"")</f>
        <v/>
      </c>
      <c r="AC63" s="65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660"/>
      <c r="AE63" s="107"/>
      <c r="AF63" s="108"/>
      <c r="AG63" s="109"/>
      <c r="AH63" s="109"/>
      <c r="AI63" s="109"/>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405"/>
      <c r="B64" s="402"/>
      <c r="C64" s="387"/>
      <c r="D64" s="387"/>
      <c r="E64" s="442"/>
      <c r="F64" s="402"/>
      <c r="G64" s="447"/>
      <c r="H64" s="384"/>
      <c r="I64" s="390"/>
      <c r="J64" s="450"/>
      <c r="K64" s="390">
        <f>IF(NOT(ISERROR(MATCH(J64,_xlfn.ANCHORARRAY(E87),0))),I92&amp;"Por favor no seleccionar los criterios de impacto",J64)</f>
        <v>0</v>
      </c>
      <c r="L64" s="384"/>
      <c r="M64" s="390"/>
      <c r="N64" s="393"/>
      <c r="O64" s="106">
        <v>5</v>
      </c>
      <c r="P64" s="141"/>
      <c r="Q64" s="653" t="str">
        <f t="shared" si="50"/>
        <v/>
      </c>
      <c r="R64" s="654"/>
      <c r="S64" s="654"/>
      <c r="T64" s="655" t="str">
        <f t="shared" si="48"/>
        <v/>
      </c>
      <c r="U64" s="654"/>
      <c r="V64" s="654"/>
      <c r="W64" s="654"/>
      <c r="X64" s="656" t="str">
        <f t="shared" si="51"/>
        <v/>
      </c>
      <c r="Y64" s="657" t="str">
        <f t="shared" si="1"/>
        <v/>
      </c>
      <c r="Z64" s="658" t="str">
        <f t="shared" si="42"/>
        <v/>
      </c>
      <c r="AA64" s="657" t="str">
        <f t="shared" si="3"/>
        <v/>
      </c>
      <c r="AB64" s="658" t="str">
        <f t="shared" si="52"/>
        <v/>
      </c>
      <c r="AC64" s="659" t="str">
        <f t="shared" ref="AC64:AC65" si="5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660"/>
      <c r="AE64" s="107"/>
      <c r="AF64" s="108"/>
      <c r="AG64" s="109"/>
      <c r="AH64" s="109"/>
      <c r="AI64" s="109"/>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406"/>
      <c r="B65" s="407"/>
      <c r="C65" s="388"/>
      <c r="D65" s="388"/>
      <c r="E65" s="443"/>
      <c r="F65" s="407"/>
      <c r="G65" s="448"/>
      <c r="H65" s="385"/>
      <c r="I65" s="391"/>
      <c r="J65" s="451"/>
      <c r="K65" s="391">
        <f>IF(NOT(ISERROR(MATCH(J65,_xlfn.ANCHORARRAY(E91),0))),I93&amp;"Por favor no seleccionar los criterios de impacto",J65)</f>
        <v>0</v>
      </c>
      <c r="L65" s="385"/>
      <c r="M65" s="391"/>
      <c r="N65" s="394"/>
      <c r="O65" s="106">
        <v>6</v>
      </c>
      <c r="P65" s="141"/>
      <c r="Q65" s="653" t="str">
        <f t="shared" si="50"/>
        <v/>
      </c>
      <c r="R65" s="654"/>
      <c r="S65" s="654"/>
      <c r="T65" s="655" t="str">
        <f t="shared" si="48"/>
        <v/>
      </c>
      <c r="U65" s="654"/>
      <c r="V65" s="654"/>
      <c r="W65" s="654"/>
      <c r="X65" s="656" t="str">
        <f t="shared" si="51"/>
        <v/>
      </c>
      <c r="Y65" s="657" t="str">
        <f t="shared" si="1"/>
        <v/>
      </c>
      <c r="Z65" s="658" t="str">
        <f t="shared" si="42"/>
        <v/>
      </c>
      <c r="AA65" s="657" t="str">
        <f t="shared" si="3"/>
        <v/>
      </c>
      <c r="AB65" s="658" t="str">
        <f t="shared" si="52"/>
        <v/>
      </c>
      <c r="AC65" s="659" t="str">
        <f t="shared" si="53"/>
        <v/>
      </c>
      <c r="AD65" s="660"/>
      <c r="AE65" s="107"/>
      <c r="AF65" s="108"/>
      <c r="AG65" s="109"/>
      <c r="AH65" s="109"/>
      <c r="AI65" s="109"/>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95.25" customHeight="1" x14ac:dyDescent="0.3">
      <c r="A66" s="404">
        <v>9</v>
      </c>
      <c r="B66" s="401" t="s">
        <v>128</v>
      </c>
      <c r="C66" s="401" t="s">
        <v>426</v>
      </c>
      <c r="D66" s="401" t="s">
        <v>264</v>
      </c>
      <c r="E66" s="408" t="s">
        <v>265</v>
      </c>
      <c r="F66" s="401" t="s">
        <v>119</v>
      </c>
      <c r="G66" s="411">
        <v>44</v>
      </c>
      <c r="H66" s="383" t="str">
        <f>IF(G66&lt;=0,"",IF(G66&lt;=2,"Muy Baja",IF(G66&lt;=24,"Baja",IF(G66&lt;=500,"Media",IF(G66&lt;=5000,"Alta","Muy Alta")))))</f>
        <v>Media</v>
      </c>
      <c r="I66" s="389">
        <f>IF(H66="","",IF(H66="Muy Baja",0.2,IF(H66="Baja",0.4,IF(H66="Media",0.6,IF(H66="Alta",0.8,IF(H66="Muy Alta",1,))))))</f>
        <v>0.6</v>
      </c>
      <c r="J66" s="386" t="s">
        <v>150</v>
      </c>
      <c r="K66" s="389" t="str">
        <f>IF(NOT(ISERROR(MATCH(J66,'[4]Tabla Impacto'!$B$221:$B$223,0))),'[4]Tabla Impacto'!$F$223&amp;"Por favor no seleccionar los criterios de impacto(Afectación Económica o presupuestal y Pérdida Reputacional)",J66)</f>
        <v xml:space="preserve">     El riesgo afecta la imagen de la entidad con algunos usuarios de relevancia frente al logro de los objetivos</v>
      </c>
      <c r="L66" s="383" t="str">
        <f>IF(OR(K66='[4]Tabla Impacto'!$C$11,K66='[4]Tabla Impacto'!$D$11),"Leve",IF(OR(K66='[4]Tabla Impacto'!$C$12,K66='[4]Tabla Impacto'!$D$12),"Menor",IF(OR(K66='[4]Tabla Impacto'!$C$13,K66='[4]Tabla Impacto'!$D$13),"Moderado",IF(OR(K66='[4]Tabla Impacto'!$C$14,K66='[4]Tabla Impacto'!$D$14),"Mayor",IF(OR(K66='[4]Tabla Impacto'!$C$15,K66='[4]Tabla Impacto'!$D$15),"Catastrófico","")))))</f>
        <v>Moderado</v>
      </c>
      <c r="M66" s="389">
        <f>IF(L66="","",IF(L66="Leve",0.2,IF(L66="Menor",0.4,IF(L66="Moderado",0.6,IF(L66="Mayor",0.8,IF(L66="Catastrófico",1,))))))</f>
        <v>0.6</v>
      </c>
      <c r="N66" s="39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6">
        <v>1</v>
      </c>
      <c r="P66" s="141" t="s">
        <v>344</v>
      </c>
      <c r="Q66" s="661" t="str">
        <f>IF(OR(R66="Preventivo",R66="Detectivo"),"Probabilidad",IF(R66="Correctivo","Impacto",""))</f>
        <v>Probabilidad</v>
      </c>
      <c r="R66" s="662" t="s">
        <v>14</v>
      </c>
      <c r="S66" s="662" t="s">
        <v>9</v>
      </c>
      <c r="T66" s="663" t="str">
        <f>IF(AND(R66="Preventivo",S66="Automático"),"50%",IF(AND(R66="Preventivo",S66="Manual"),"40%",IF(AND(R66="Detectivo",S66="Automático"),"40%",IF(AND(R66="Detectivo",S66="Manual"),"30%",IF(AND(R66="Correctivo",S66="Automático"),"35%",IF(AND(R66="Correctivo",S66="Manual"),"25%",""))))))</f>
        <v>40%</v>
      </c>
      <c r="U66" s="662" t="s">
        <v>19</v>
      </c>
      <c r="V66" s="662" t="s">
        <v>22</v>
      </c>
      <c r="W66" s="662" t="s">
        <v>115</v>
      </c>
      <c r="X66" s="652">
        <f>IFERROR(IF(Q66="Probabilidad",(I66-(+I66*T66)),IF(Q66="Impacto",I66,"")),"")</f>
        <v>0.36</v>
      </c>
      <c r="Y66" s="664" t="str">
        <f>IFERROR(IF(X66="","",IF(X66&lt;=0.2,"Muy Baja",IF(X66&lt;=0.4,"Baja",IF(X66&lt;=0.6,"Media",IF(X66&lt;=0.8,"Alta","Muy Alta"))))),"")</f>
        <v>Baja</v>
      </c>
      <c r="Z66" s="665">
        <f>+X66</f>
        <v>0.36</v>
      </c>
      <c r="AA66" s="664" t="str">
        <f>IFERROR(IF(AB66="","",IF(AB66&lt;=0.2,"Leve",IF(AB66&lt;=0.4,"Menor",IF(AB66&lt;=0.6,"Moderado",IF(AB66&lt;=0.8,"Mayor","Catastrófico"))))),"")</f>
        <v>Moderado</v>
      </c>
      <c r="AB66" s="665">
        <f>IFERROR(IF(Q66="Impacto",(M66-(+M66*T66)),IF(Q66="Probabilidad",M66,"")),"")</f>
        <v>0.6</v>
      </c>
      <c r="AC66" s="666"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Moderado</v>
      </c>
      <c r="AD66" s="667" t="s">
        <v>132</v>
      </c>
      <c r="AE66" s="163" t="s">
        <v>266</v>
      </c>
      <c r="AF66" s="169" t="s">
        <v>267</v>
      </c>
      <c r="AG66" s="177" t="s">
        <v>268</v>
      </c>
      <c r="AH66" s="140">
        <v>45658</v>
      </c>
      <c r="AI66" s="140">
        <v>46010</v>
      </c>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405"/>
      <c r="B67" s="402"/>
      <c r="C67" s="402"/>
      <c r="D67" s="402"/>
      <c r="E67" s="409"/>
      <c r="F67" s="402"/>
      <c r="G67" s="412"/>
      <c r="H67" s="384"/>
      <c r="I67" s="390"/>
      <c r="J67" s="387"/>
      <c r="K67" s="390">
        <f>IF(NOT(ISERROR(MATCH(J67,_xlfn.ANCHORARRAY(E84),0))),I86&amp;"Por favor no seleccionar los criterios de impacto",J67)</f>
        <v>0</v>
      </c>
      <c r="L67" s="384"/>
      <c r="M67" s="390"/>
      <c r="N67" s="393"/>
      <c r="O67" s="106">
        <v>2</v>
      </c>
      <c r="P67" s="141"/>
      <c r="Q67" s="653" t="str">
        <f>IF(OR(R67="Preventivo",R67="Detectivo"),"Probabilidad",IF(R67="Correctivo","Impacto",""))</f>
        <v/>
      </c>
      <c r="R67" s="654"/>
      <c r="S67" s="654"/>
      <c r="T67" s="655" t="str">
        <f t="shared" ref="T67:T71" si="54">IF(AND(R67="Preventivo",S67="Automático"),"50%",IF(AND(R67="Preventivo",S67="Manual"),"40%",IF(AND(R67="Detectivo",S67="Automático"),"40%",IF(AND(R67="Detectivo",S67="Manual"),"30%",IF(AND(R67="Correctivo",S67="Automático"),"35%",IF(AND(R67="Correctivo",S67="Manual"),"25%",""))))))</f>
        <v/>
      </c>
      <c r="U67" s="654"/>
      <c r="V67" s="654"/>
      <c r="W67" s="654"/>
      <c r="X67" s="656" t="str">
        <f>IFERROR(IF(AND(Q66="Probabilidad",Q67="Probabilidad"),(Z66-(+Z66*T67)),IF(Q67="Probabilidad",(I66-(+I66*T67)),IF(Q67="Impacto",Z66,""))),"")</f>
        <v/>
      </c>
      <c r="Y67" s="657" t="str">
        <f t="shared" si="1"/>
        <v/>
      </c>
      <c r="Z67" s="658" t="str">
        <f t="shared" ref="Z67:Z71" si="55">+X67</f>
        <v/>
      </c>
      <c r="AA67" s="657" t="str">
        <f t="shared" si="3"/>
        <v/>
      </c>
      <c r="AB67" s="658" t="str">
        <f>IFERROR(IF(AND(Q66="Impacto",Q67="Impacto"),(AB66-(+AB66*T67)),IF(Q67="Impacto",(M66-(+M66*T67)),IF(Q67="Probabilidad",AB66,""))),"")</f>
        <v/>
      </c>
      <c r="AC67" s="659" t="str">
        <f t="shared" ref="AC67:AC68" si="5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660"/>
      <c r="AE67" s="107"/>
      <c r="AF67" s="108"/>
      <c r="AG67" s="109"/>
      <c r="AH67" s="109"/>
      <c r="AI67" s="109"/>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405"/>
      <c r="B68" s="402"/>
      <c r="C68" s="402"/>
      <c r="D68" s="402"/>
      <c r="E68" s="409"/>
      <c r="F68" s="402"/>
      <c r="G68" s="412"/>
      <c r="H68" s="384"/>
      <c r="I68" s="390"/>
      <c r="J68" s="387"/>
      <c r="K68" s="390">
        <f>IF(NOT(ISERROR(MATCH(J68,_xlfn.ANCHORARRAY(E85),0))),I87&amp;"Por favor no seleccionar los criterios de impacto",J68)</f>
        <v>0</v>
      </c>
      <c r="L68" s="384"/>
      <c r="M68" s="390"/>
      <c r="N68" s="393"/>
      <c r="O68" s="106">
        <v>3</v>
      </c>
      <c r="P68" s="142"/>
      <c r="Q68" s="653" t="str">
        <f>IF(OR(R68="Preventivo",R68="Detectivo"),"Probabilidad",IF(R68="Correctivo","Impacto",""))</f>
        <v/>
      </c>
      <c r="R68" s="654"/>
      <c r="S68" s="654"/>
      <c r="T68" s="655" t="str">
        <f t="shared" si="54"/>
        <v/>
      </c>
      <c r="U68" s="654"/>
      <c r="V68" s="654"/>
      <c r="W68" s="654"/>
      <c r="X68" s="656" t="str">
        <f>IFERROR(IF(AND(Q67="Probabilidad",Q68="Probabilidad"),(Z67-(+Z67*T68)),IF(AND(Q67="Impacto",Q68="Probabilidad"),(Z66-(+Z66*T68)),IF(Q68="Impacto",Z67,""))),"")</f>
        <v/>
      </c>
      <c r="Y68" s="657" t="str">
        <f t="shared" si="1"/>
        <v/>
      </c>
      <c r="Z68" s="658" t="str">
        <f t="shared" si="55"/>
        <v/>
      </c>
      <c r="AA68" s="657" t="str">
        <f t="shared" si="3"/>
        <v/>
      </c>
      <c r="AB68" s="658" t="str">
        <f>IFERROR(IF(AND(Q67="Impacto",Q68="Impacto"),(AB67-(+AB67*T68)),IF(AND(Q67="Probabilidad",Q68="Impacto"),(AB66-(+AB66*T68)),IF(Q68="Probabilidad",AB67,""))),"")</f>
        <v/>
      </c>
      <c r="AC68" s="659" t="str">
        <f t="shared" si="56"/>
        <v/>
      </c>
      <c r="AD68" s="660"/>
      <c r="AE68" s="107"/>
      <c r="AF68" s="108"/>
      <c r="AG68" s="109"/>
      <c r="AH68" s="109"/>
      <c r="AI68" s="109"/>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customHeight="1" x14ac:dyDescent="0.3">
      <c r="A69" s="405"/>
      <c r="B69" s="402"/>
      <c r="C69" s="402"/>
      <c r="D69" s="402"/>
      <c r="E69" s="409"/>
      <c r="F69" s="402"/>
      <c r="G69" s="412"/>
      <c r="H69" s="384"/>
      <c r="I69" s="390"/>
      <c r="J69" s="387"/>
      <c r="K69" s="390">
        <f>IF(NOT(ISERROR(MATCH(J69,_xlfn.ANCHORARRAY(E86),0))),I91&amp;"Por favor no seleccionar los criterios de impacto",J69)</f>
        <v>0</v>
      </c>
      <c r="L69" s="384"/>
      <c r="M69" s="390"/>
      <c r="N69" s="393"/>
      <c r="O69" s="106">
        <v>4</v>
      </c>
      <c r="P69" s="141"/>
      <c r="Q69" s="653" t="str">
        <f t="shared" ref="Q69:Q71" si="57">IF(OR(R69="Preventivo",R69="Detectivo"),"Probabilidad",IF(R69="Correctivo","Impacto",""))</f>
        <v/>
      </c>
      <c r="R69" s="654"/>
      <c r="S69" s="654"/>
      <c r="T69" s="655" t="str">
        <f t="shared" si="54"/>
        <v/>
      </c>
      <c r="U69" s="654"/>
      <c r="V69" s="654"/>
      <c r="W69" s="654"/>
      <c r="X69" s="656" t="str">
        <f t="shared" ref="X69:X70" si="58">IFERROR(IF(AND(Q68="Probabilidad",Q69="Probabilidad"),(Z68-(+Z68*T69)),IF(AND(Q68="Impacto",Q69="Probabilidad"),(Z67-(+Z67*T69)),IF(Q69="Impacto",Z68,""))),"")</f>
        <v/>
      </c>
      <c r="Y69" s="657" t="str">
        <f t="shared" si="1"/>
        <v/>
      </c>
      <c r="Z69" s="658" t="str">
        <f t="shared" si="55"/>
        <v/>
      </c>
      <c r="AA69" s="657" t="str">
        <f t="shared" si="3"/>
        <v/>
      </c>
      <c r="AB69" s="658" t="str">
        <f t="shared" ref="AB69:AB70" si="59">IFERROR(IF(AND(Q68="Impacto",Q69="Impacto"),(AB68-(+AB68*T69)),IF(AND(Q68="Probabilidad",Q69="Impacto"),(AB67-(+AB67*T69)),IF(Q69="Probabilidad",AB68,""))),"")</f>
        <v/>
      </c>
      <c r="AC69" s="65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660"/>
      <c r="AE69" s="107"/>
      <c r="AF69" s="108"/>
      <c r="AG69" s="109"/>
      <c r="AH69" s="109"/>
      <c r="AI69" s="109"/>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customHeight="1" x14ac:dyDescent="0.3">
      <c r="A70" s="405"/>
      <c r="B70" s="402"/>
      <c r="C70" s="402"/>
      <c r="D70" s="402"/>
      <c r="E70" s="409"/>
      <c r="F70" s="402"/>
      <c r="G70" s="412"/>
      <c r="H70" s="384"/>
      <c r="I70" s="390"/>
      <c r="J70" s="387"/>
      <c r="K70" s="390">
        <f>IF(NOT(ISERROR(MATCH(J70,_xlfn.ANCHORARRAY(E87),0))),I92&amp;"Por favor no seleccionar los criterios de impacto",J70)</f>
        <v>0</v>
      </c>
      <c r="L70" s="384"/>
      <c r="M70" s="390"/>
      <c r="N70" s="393"/>
      <c r="O70" s="106">
        <v>5</v>
      </c>
      <c r="P70" s="141"/>
      <c r="Q70" s="653" t="str">
        <f t="shared" si="57"/>
        <v/>
      </c>
      <c r="R70" s="654"/>
      <c r="S70" s="654"/>
      <c r="T70" s="655" t="str">
        <f t="shared" si="54"/>
        <v/>
      </c>
      <c r="U70" s="654"/>
      <c r="V70" s="654"/>
      <c r="W70" s="654"/>
      <c r="X70" s="656" t="str">
        <f t="shared" si="58"/>
        <v/>
      </c>
      <c r="Y70" s="657" t="str">
        <f t="shared" si="1"/>
        <v/>
      </c>
      <c r="Z70" s="658" t="str">
        <f t="shared" si="55"/>
        <v/>
      </c>
      <c r="AA70" s="657" t="str">
        <f t="shared" si="3"/>
        <v/>
      </c>
      <c r="AB70" s="658" t="str">
        <f t="shared" si="59"/>
        <v/>
      </c>
      <c r="AC70" s="659" t="str">
        <f t="shared" ref="AC70:AC71" si="6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660"/>
      <c r="AE70" s="107"/>
      <c r="AF70" s="108"/>
      <c r="AG70" s="109"/>
      <c r="AH70" s="109"/>
      <c r="AI70" s="109"/>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customHeight="1" x14ac:dyDescent="0.3">
      <c r="A71" s="406"/>
      <c r="B71" s="407"/>
      <c r="C71" s="407"/>
      <c r="D71" s="407"/>
      <c r="E71" s="410"/>
      <c r="F71" s="407"/>
      <c r="G71" s="413"/>
      <c r="H71" s="385"/>
      <c r="I71" s="391"/>
      <c r="J71" s="388"/>
      <c r="K71" s="391">
        <f>IF(NOT(ISERROR(MATCH(J71,_xlfn.ANCHORARRAY(E91),0))),I93&amp;"Por favor no seleccionar los criterios de impacto",J71)</f>
        <v>0</v>
      </c>
      <c r="L71" s="385"/>
      <c r="M71" s="391"/>
      <c r="N71" s="394"/>
      <c r="O71" s="106">
        <v>6</v>
      </c>
      <c r="P71" s="141"/>
      <c r="Q71" s="653" t="str">
        <f t="shared" si="57"/>
        <v/>
      </c>
      <c r="R71" s="654"/>
      <c r="S71" s="654"/>
      <c r="T71" s="655" t="str">
        <f t="shared" si="54"/>
        <v/>
      </c>
      <c r="U71" s="654"/>
      <c r="V71" s="654"/>
      <c r="W71" s="654"/>
      <c r="X71" s="656" t="str">
        <f>IFERROR(IF(AND(Q70="Probabilidad",Q71="Probabilidad"),(Z70-(+Z70*T71)),IF(AND(Q70="Impacto",Q71="Probabilidad"),(Z69-(+Z69*T71)),IF(Q71="Impacto",Z70,""))),"")</f>
        <v/>
      </c>
      <c r="Y71" s="657" t="str">
        <f t="shared" si="1"/>
        <v/>
      </c>
      <c r="Z71" s="658" t="str">
        <f t="shared" si="55"/>
        <v/>
      </c>
      <c r="AA71" s="657" t="str">
        <f t="shared" si="3"/>
        <v/>
      </c>
      <c r="AB71" s="658" t="str">
        <f>IFERROR(IF(AND(Q70="Impacto",Q71="Impacto"),(AB70-(+AB70*T71)),IF(AND(Q70="Probabilidad",Q71="Impacto"),(AB69-(+AB69*T71)),IF(Q71="Probabilidad",AB70,""))),"")</f>
        <v/>
      </c>
      <c r="AC71" s="659" t="str">
        <f t="shared" si="60"/>
        <v/>
      </c>
      <c r="AD71" s="660"/>
      <c r="AE71" s="107"/>
      <c r="AF71" s="108"/>
      <c r="AG71" s="109"/>
      <c r="AH71" s="109"/>
      <c r="AI71" s="109"/>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spans="1:67" ht="66" customHeight="1" x14ac:dyDescent="0.3">
      <c r="A72" s="395">
        <v>10</v>
      </c>
      <c r="B72" s="401" t="s">
        <v>128</v>
      </c>
      <c r="C72" s="401" t="s">
        <v>345</v>
      </c>
      <c r="D72" s="377" t="s">
        <v>346</v>
      </c>
      <c r="E72" s="431" t="s">
        <v>347</v>
      </c>
      <c r="F72" s="401" t="s">
        <v>119</v>
      </c>
      <c r="G72" s="434">
        <v>130</v>
      </c>
      <c r="H72" s="383" t="str">
        <f>IF(G72&lt;=0,"",IF(G72&lt;=2,"Muy Baja",IF(G72&lt;=24,"Baja",IF(G72&lt;=500,"Media",IF(G72&lt;=5000,"Alta","Muy Alta")))))</f>
        <v>Media</v>
      </c>
      <c r="I72" s="389">
        <f>IF(H72="","",IF(H72="Muy Baja",0.2,IF(H72="Baja",0.4,IF(H72="Media",0.6,IF(H72="Alta",0.8,IF(H72="Muy Alta",1,))))))</f>
        <v>0.6</v>
      </c>
      <c r="J72" s="386" t="s">
        <v>150</v>
      </c>
      <c r="K72" s="389" t="str">
        <f>IF(NOT(ISERROR(MATCH(J72,'[5]Tabla Impacto'!$B$221:$B$223,0))),'[5]Tabla Impacto'!$F$223&amp;"Por favor no seleccionar los criterios de impacto(Afectación Económica o presupuestal y Pérdida Reputacional)",J72)</f>
        <v xml:space="preserve">     El riesgo afecta la imagen de la entidad con algunos usuarios de relevancia frente al logro de los objetivos</v>
      </c>
      <c r="L72" s="383" t="str">
        <f>IF(OR(K72='[5]Tabla Impacto'!$C$11,K72='[5]Tabla Impacto'!$D$11),"Leve",IF(OR(K72='[5]Tabla Impacto'!$C$12,K72='[5]Tabla Impacto'!$D$12),"Menor",IF(OR(K72='[5]Tabla Impacto'!$C$13,K72='[5]Tabla Impacto'!$D$13),"Moderado",IF(OR(K72='[5]Tabla Impacto'!$C$14,K72='[5]Tabla Impacto'!$D$14),"Mayor",IF(OR(K72='[5]Tabla Impacto'!$C$15,K72='[5]Tabla Impacto'!$D$15),"Catastrófico","")))))</f>
        <v>Moderado</v>
      </c>
      <c r="M72" s="389">
        <f>IF(L72="","",IF(L72="Leve",0.2,IF(L72="Menor",0.4,IF(L72="Moderado",0.6,IF(L72="Mayor",0.8,IF(L72="Catastrófico",1,))))))</f>
        <v>0.6</v>
      </c>
      <c r="N72" s="392" t="str">
        <f>IF(OR(AND(H72="Muy Baja",L72="Leve"),AND(H72="Muy Baja",L72="Menor"),AND(H72="Baja",L72="Leve")),"Bajo",IF(OR(AND(H72="Muy baja",L72="Moderado"),AND(H72="Baja",L72="Menor"),AND(H72="Baja",L72="Moderado"),AND(H72="Media",L72="Leve"),AND(H72="Media",L72="Menor"),AND(H72="Media",L72="Moderado"),AND(H72="Alta",L72="Leve"),AND(H72="Alta",L72="Menor")),"Moderado",IF(OR(AND(H72="Muy Baja",L72="Mayor"),AND(H72="Baja",L72="Mayor"),AND(H72="Media",L72="Mayor"),AND(H72="Alta",L72="Moderado"),AND(H72="Alta",L72="Mayor"),AND(H72="Muy Alta",L72="Leve"),AND(H72="Muy Alta",L72="Menor"),AND(H72="Muy Alta",L72="Moderado"),AND(H72="Muy Alta",L72="Mayor")),"Alto",IF(OR(AND(H72="Muy Baja",L72="Catastrófico"),AND(H72="Baja",L72="Catastrófico"),AND(H72="Media",L72="Catastrófico"),AND(H72="Alta",L72="Catastrófico"),AND(H72="Muy Alta",L72="Catastrófico")),"Extremo",""))))</f>
        <v>Moderado</v>
      </c>
      <c r="O72" s="156">
        <v>1</v>
      </c>
      <c r="P72" s="173" t="s">
        <v>348</v>
      </c>
      <c r="Q72" s="674" t="str">
        <f>IF(OR(R72="Preventivo",R72="Detectivo"),"Probabilidad",IF(R72="Correctivo","Impacto",""))</f>
        <v>Probabilidad</v>
      </c>
      <c r="R72" s="667" t="s">
        <v>14</v>
      </c>
      <c r="S72" s="667" t="s">
        <v>9</v>
      </c>
      <c r="T72" s="665" t="str">
        <f>IF(AND(R72="Preventivo",S72="Automático"),"50%",IF(AND(R72="Preventivo",S72="Manual"),"40%",IF(AND(R72="Detectivo",S72="Automático"),"40%",IF(AND(R72="Detectivo",S72="Manual"),"30%",IF(AND(R72="Correctivo",S72="Automático"),"35%",IF(AND(R72="Correctivo",S72="Manual"),"25%",""))))))</f>
        <v>40%</v>
      </c>
      <c r="U72" s="667" t="s">
        <v>19</v>
      </c>
      <c r="V72" s="667" t="s">
        <v>22</v>
      </c>
      <c r="W72" s="667" t="s">
        <v>115</v>
      </c>
      <c r="X72" s="652">
        <f>IFERROR(IF(Q72="Probabilidad",(I72-(+I72*T72)),IF(Q72="Impacto",I72,"")),"")</f>
        <v>0.36</v>
      </c>
      <c r="Y72" s="675" t="str">
        <f>IFERROR(IF(X72="","",IF(X72&lt;=0.2,"Muy Baja",IF(X72&lt;=0.4,"Baja",IF(X72&lt;=0.6,"Media",IF(X72&lt;=0.8,"Alta","Muy Alta"))))),"")</f>
        <v>Baja</v>
      </c>
      <c r="Z72" s="665">
        <f>+X72</f>
        <v>0.36</v>
      </c>
      <c r="AA72" s="675" t="str">
        <f>IFERROR(IF(AB72="","",IF(AB72&lt;=0.2,"Leve",IF(AB72&lt;=0.4,"Menor",IF(AB72&lt;=0.6,"Moderado",IF(AB72&lt;=0.8,"Mayor","Catastrófico"))))),"")</f>
        <v>Moderado</v>
      </c>
      <c r="AB72" s="665">
        <f>IFERROR(IF(Q72="Impacto",(M72-(+M72*T72)),IF(Q72="Probabilidad",M72,"")),"")</f>
        <v>0.6</v>
      </c>
      <c r="AC72" s="676"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Moderado</v>
      </c>
      <c r="AD72" s="667" t="s">
        <v>132</v>
      </c>
      <c r="AE72" s="163" t="s">
        <v>349</v>
      </c>
      <c r="AF72" s="178" t="s">
        <v>273</v>
      </c>
      <c r="AG72" s="179" t="s">
        <v>350</v>
      </c>
      <c r="AH72" s="217">
        <v>45748</v>
      </c>
      <c r="AI72" s="174">
        <v>46010</v>
      </c>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row>
    <row r="73" spans="1:67" ht="18" customHeight="1" x14ac:dyDescent="0.3">
      <c r="A73" s="396"/>
      <c r="B73" s="402"/>
      <c r="C73" s="402"/>
      <c r="D73" s="378"/>
      <c r="E73" s="432"/>
      <c r="F73" s="402"/>
      <c r="G73" s="435"/>
      <c r="H73" s="384"/>
      <c r="I73" s="390"/>
      <c r="J73" s="387"/>
      <c r="K73" s="390">
        <f>IF(NOT(ISERROR(MATCH(J73,_xlfn.ANCHORARRAY(E84),0))),I86&amp;"Por favor no seleccionar los criterios de impacto",J73)</f>
        <v>0</v>
      </c>
      <c r="L73" s="384"/>
      <c r="M73" s="390"/>
      <c r="N73" s="393"/>
      <c r="O73" s="6">
        <v>2</v>
      </c>
      <c r="P73" s="141"/>
      <c r="Q73" s="661" t="str">
        <f>IF(OR(R73="Preventivo",R73="Detectivo"),"Probabilidad",IF(R73="Correctivo","Impacto",""))</f>
        <v/>
      </c>
      <c r="R73" s="662"/>
      <c r="S73" s="662"/>
      <c r="T73" s="663" t="str">
        <f t="shared" ref="T73:T77" si="61">IF(AND(R73="Preventivo",S73="Automático"),"50%",IF(AND(R73="Preventivo",S73="Manual"),"40%",IF(AND(R73="Detectivo",S73="Automático"),"40%",IF(AND(R73="Detectivo",S73="Manual"),"30%",IF(AND(R73="Correctivo",S73="Automático"),"35%",IF(AND(R73="Correctivo",S73="Manual"),"25%",""))))))</f>
        <v/>
      </c>
      <c r="U73" s="662"/>
      <c r="V73" s="662"/>
      <c r="W73" s="662"/>
      <c r="X73" s="652" t="str">
        <f>IFERROR(IF(AND(Q72="Probabilidad",Q73="Probabilidad"),(Z72-(+Z72*T73)),IF(Q73="Probabilidad",(I72-(+I72*T73)),IF(Q73="Impacto",Z72,""))),"")</f>
        <v/>
      </c>
      <c r="Y73" s="664" t="str">
        <f t="shared" ref="Y73:Y77" si="62">IFERROR(IF(X73="","",IF(X73&lt;=0.2,"Muy Baja",IF(X73&lt;=0.4,"Baja",IF(X73&lt;=0.6,"Media",IF(X73&lt;=0.8,"Alta","Muy Alta"))))),"")</f>
        <v/>
      </c>
      <c r="Z73" s="665" t="str">
        <f t="shared" ref="Z73:Z77" si="63">+X73</f>
        <v/>
      </c>
      <c r="AA73" s="664" t="str">
        <f t="shared" ref="AA73:AA77" si="64">IFERROR(IF(AB73="","",IF(AB73&lt;=0.2,"Leve",IF(AB73&lt;=0.4,"Menor",IF(AB73&lt;=0.6,"Moderado",IF(AB73&lt;=0.8,"Mayor","Catastrófico"))))),"")</f>
        <v/>
      </c>
      <c r="AB73" s="665" t="str">
        <f>IFERROR(IF(AND(Q72="Impacto",Q73="Impacto"),(AB72-(+AB72*T73)),IF(Q73="Impacto",(M72-(+M72*T73)),IF(Q73="Probabilidad",AB72,""))),"")</f>
        <v/>
      </c>
      <c r="AC73" s="666" t="str">
        <f t="shared" ref="AC73:AC77" si="65">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667"/>
      <c r="AE73" s="169"/>
      <c r="AF73" s="169"/>
      <c r="AG73" s="162"/>
      <c r="AH73" s="162"/>
      <c r="AI73" s="140"/>
    </row>
    <row r="74" spans="1:67" ht="18" customHeight="1" x14ac:dyDescent="0.3">
      <c r="A74" s="396"/>
      <c r="B74" s="402"/>
      <c r="C74" s="402"/>
      <c r="D74" s="378"/>
      <c r="E74" s="432"/>
      <c r="F74" s="402"/>
      <c r="G74" s="435"/>
      <c r="H74" s="384"/>
      <c r="I74" s="390"/>
      <c r="J74" s="387"/>
      <c r="K74" s="390">
        <f>IF(NOT(ISERROR(MATCH(J74,_xlfn.ANCHORARRAY(E85),0))),I87&amp;"Por favor no seleccionar los criterios de impacto",J74)</f>
        <v>0</v>
      </c>
      <c r="L74" s="384"/>
      <c r="M74" s="390"/>
      <c r="N74" s="393"/>
      <c r="O74" s="6">
        <v>3</v>
      </c>
      <c r="P74" s="142"/>
      <c r="Q74" s="653"/>
      <c r="R74" s="654"/>
      <c r="S74" s="654"/>
      <c r="T74" s="655"/>
      <c r="U74" s="654"/>
      <c r="V74" s="654"/>
      <c r="W74" s="654"/>
      <c r="X74" s="656"/>
      <c r="Y74" s="657"/>
      <c r="Z74" s="658"/>
      <c r="AA74" s="657"/>
      <c r="AB74" s="658"/>
      <c r="AC74" s="659"/>
      <c r="AD74" s="660"/>
      <c r="AE74" s="107"/>
      <c r="AF74" s="108"/>
      <c r="AG74" s="109"/>
      <c r="AH74" s="109"/>
      <c r="AI74" s="109"/>
    </row>
    <row r="75" spans="1:67" ht="18" customHeight="1" x14ac:dyDescent="0.3">
      <c r="A75" s="396"/>
      <c r="B75" s="402"/>
      <c r="C75" s="402"/>
      <c r="D75" s="378"/>
      <c r="E75" s="432"/>
      <c r="F75" s="402"/>
      <c r="G75" s="435"/>
      <c r="H75" s="384"/>
      <c r="I75" s="390"/>
      <c r="J75" s="387"/>
      <c r="K75" s="390">
        <f>IF(NOT(ISERROR(MATCH(J75,_xlfn.ANCHORARRAY(E86),0))),I88&amp;"Por favor no seleccionar los criterios de impacto",J75)</f>
        <v>0</v>
      </c>
      <c r="L75" s="384"/>
      <c r="M75" s="390"/>
      <c r="N75" s="393"/>
      <c r="O75" s="6">
        <v>4</v>
      </c>
      <c r="P75" s="141"/>
      <c r="Q75" s="653"/>
      <c r="R75" s="654"/>
      <c r="S75" s="654"/>
      <c r="T75" s="655"/>
      <c r="U75" s="654"/>
      <c r="V75" s="654"/>
      <c r="W75" s="654"/>
      <c r="X75" s="656"/>
      <c r="Y75" s="657"/>
      <c r="Z75" s="658"/>
      <c r="AA75" s="657"/>
      <c r="AB75" s="658"/>
      <c r="AC75" s="659"/>
      <c r="AD75" s="660"/>
      <c r="AE75" s="107"/>
      <c r="AF75" s="108"/>
      <c r="AG75" s="109"/>
      <c r="AH75" s="109"/>
      <c r="AI75" s="109"/>
    </row>
    <row r="76" spans="1:67" ht="18" customHeight="1" x14ac:dyDescent="0.3">
      <c r="A76" s="396"/>
      <c r="B76" s="402"/>
      <c r="C76" s="402"/>
      <c r="D76" s="378"/>
      <c r="E76" s="432"/>
      <c r="F76" s="402"/>
      <c r="G76" s="435"/>
      <c r="H76" s="384"/>
      <c r="I76" s="390"/>
      <c r="J76" s="387"/>
      <c r="K76" s="390">
        <f>IF(NOT(ISERROR(MATCH(J76,_xlfn.ANCHORARRAY(E87),0))),I89&amp;"Por favor no seleccionar los criterios de impacto",J76)</f>
        <v>0</v>
      </c>
      <c r="L76" s="384"/>
      <c r="M76" s="390"/>
      <c r="N76" s="393"/>
      <c r="O76" s="6">
        <v>5</v>
      </c>
      <c r="P76" s="141"/>
      <c r="Q76" s="653" t="str">
        <f t="shared" ref="Q76:Q77" si="66">IF(OR(R76="Preventivo",R76="Detectivo"),"Probabilidad",IF(R76="Correctivo","Impacto",""))</f>
        <v/>
      </c>
      <c r="R76" s="654"/>
      <c r="S76" s="654"/>
      <c r="T76" s="655" t="str">
        <f t="shared" si="61"/>
        <v/>
      </c>
      <c r="U76" s="654"/>
      <c r="V76" s="654"/>
      <c r="W76" s="654"/>
      <c r="X76" s="656" t="str">
        <f t="shared" ref="X76:X77" si="67">IFERROR(IF(AND(Q75="Probabilidad",Q76="Probabilidad"),(Z75-(+Z75*T76)),IF(AND(Q75="Impacto",Q76="Probabilidad"),(Z74-(+Z74*T76)),IF(Q76="Impacto",Z75,""))),"")</f>
        <v/>
      </c>
      <c r="Y76" s="657" t="str">
        <f t="shared" si="62"/>
        <v/>
      </c>
      <c r="Z76" s="658" t="str">
        <f t="shared" si="63"/>
        <v/>
      </c>
      <c r="AA76" s="657" t="str">
        <f t="shared" si="64"/>
        <v/>
      </c>
      <c r="AB76" s="658" t="str">
        <f t="shared" ref="AB76:AB77" si="68">IFERROR(IF(AND(Q75="Impacto",Q76="Impacto"),(AB75-(+AB75*T76)),IF(AND(Q75="Probabilidad",Q76="Impacto"),(AB74-(+AB74*T76)),IF(Q76="Probabilidad",AB75,""))),"")</f>
        <v/>
      </c>
      <c r="AC76" s="659" t="str">
        <f t="shared" si="65"/>
        <v/>
      </c>
      <c r="AD76" s="660"/>
      <c r="AE76" s="107"/>
      <c r="AF76" s="108"/>
      <c r="AG76" s="109"/>
      <c r="AH76" s="109"/>
      <c r="AI76" s="109"/>
    </row>
    <row r="77" spans="1:67" ht="18" customHeight="1" x14ac:dyDescent="0.3">
      <c r="A77" s="403"/>
      <c r="B77" s="407"/>
      <c r="C77" s="407"/>
      <c r="D77" s="379"/>
      <c r="E77" s="433"/>
      <c r="F77" s="407"/>
      <c r="G77" s="436"/>
      <c r="H77" s="385"/>
      <c r="I77" s="391"/>
      <c r="J77" s="388"/>
      <c r="K77" s="391">
        <f>IF(NOT(ISERROR(MATCH(J77,_xlfn.ANCHORARRAY(E88),0))),I90&amp;"Por favor no seleccionar los criterios de impacto",J77)</f>
        <v>0</v>
      </c>
      <c r="L77" s="385"/>
      <c r="M77" s="391"/>
      <c r="N77" s="394"/>
      <c r="O77" s="6">
        <v>6</v>
      </c>
      <c r="P77" s="141"/>
      <c r="Q77" s="653" t="str">
        <f t="shared" si="66"/>
        <v/>
      </c>
      <c r="R77" s="654"/>
      <c r="S77" s="654"/>
      <c r="T77" s="655" t="str">
        <f t="shared" si="61"/>
        <v/>
      </c>
      <c r="U77" s="654"/>
      <c r="V77" s="654"/>
      <c r="W77" s="654"/>
      <c r="X77" s="656" t="str">
        <f t="shared" si="67"/>
        <v/>
      </c>
      <c r="Y77" s="657" t="str">
        <f t="shared" si="62"/>
        <v/>
      </c>
      <c r="Z77" s="658" t="str">
        <f t="shared" si="63"/>
        <v/>
      </c>
      <c r="AA77" s="657" t="str">
        <f t="shared" si="64"/>
        <v/>
      </c>
      <c r="AB77" s="658" t="str">
        <f t="shared" si="68"/>
        <v/>
      </c>
      <c r="AC77" s="659" t="str">
        <f t="shared" si="65"/>
        <v/>
      </c>
      <c r="AD77" s="660"/>
      <c r="AE77" s="107"/>
      <c r="AF77" s="108"/>
      <c r="AG77" s="109"/>
      <c r="AH77" s="109"/>
      <c r="AI77" s="109"/>
    </row>
    <row r="78" spans="1:67" ht="34.5" customHeight="1" x14ac:dyDescent="0.3">
      <c r="A78" s="6"/>
      <c r="B78" s="444" t="s">
        <v>127</v>
      </c>
      <c r="C78" s="445"/>
      <c r="D78" s="445"/>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row>
    <row r="80" spans="1:67" x14ac:dyDescent="0.3">
      <c r="A80" s="1"/>
      <c r="B80" s="24" t="s">
        <v>139</v>
      </c>
      <c r="C80" s="1"/>
      <c r="D80" s="1"/>
      <c r="F80" s="1"/>
    </row>
    <row r="83" spans="1:35" ht="17.25" thickBot="1" x14ac:dyDescent="0.35"/>
    <row r="84" spans="1:35" ht="18" thickTop="1" thickBot="1" x14ac:dyDescent="0.35">
      <c r="A84" s="484" t="s">
        <v>250</v>
      </c>
      <c r="B84" s="485"/>
      <c r="C84" s="486"/>
      <c r="D84" s="486"/>
      <c r="E84" s="486"/>
      <c r="F84" s="486"/>
      <c r="G84" s="486"/>
      <c r="H84" s="486"/>
      <c r="I84" s="486"/>
      <c r="J84" s="486"/>
      <c r="K84" s="486"/>
      <c r="L84" s="486"/>
      <c r="M84" s="486"/>
      <c r="N84" s="486"/>
      <c r="O84" s="486"/>
      <c r="P84" s="486"/>
      <c r="Q84" s="486"/>
      <c r="R84" s="486"/>
      <c r="S84" s="486"/>
      <c r="T84" s="486"/>
      <c r="U84" s="486"/>
      <c r="V84" s="486"/>
      <c r="W84" s="486"/>
      <c r="X84" s="486"/>
      <c r="Y84" s="486"/>
      <c r="Z84" s="486"/>
      <c r="AA84" s="486"/>
      <c r="AB84" s="486"/>
      <c r="AC84" s="486"/>
      <c r="AD84" s="486"/>
      <c r="AE84" s="486"/>
      <c r="AF84" s="486"/>
      <c r="AG84" s="486"/>
      <c r="AH84" s="486"/>
      <c r="AI84" s="487"/>
    </row>
    <row r="85" spans="1:35" ht="18" thickTop="1" thickBot="1" x14ac:dyDescent="0.35">
      <c r="A85" s="488" t="s">
        <v>255</v>
      </c>
      <c r="B85" s="487"/>
      <c r="C85" s="486" t="s">
        <v>256</v>
      </c>
      <c r="D85" s="487"/>
      <c r="E85" s="488" t="s">
        <v>245</v>
      </c>
      <c r="F85" s="486"/>
      <c r="G85" s="486"/>
      <c r="H85" s="486"/>
      <c r="I85" s="486"/>
      <c r="J85" s="486"/>
      <c r="K85" s="486"/>
      <c r="L85" s="486"/>
      <c r="M85" s="486"/>
      <c r="N85" s="486"/>
      <c r="O85" s="486"/>
      <c r="P85" s="486"/>
      <c r="Q85" s="486"/>
      <c r="R85" s="486"/>
      <c r="S85" s="486"/>
      <c r="T85" s="486"/>
      <c r="U85" s="486"/>
      <c r="V85" s="486"/>
      <c r="W85" s="486"/>
      <c r="X85" s="486"/>
      <c r="Y85" s="486"/>
      <c r="Z85" s="486"/>
      <c r="AA85" s="486"/>
      <c r="AB85" s="486"/>
      <c r="AC85" s="486"/>
      <c r="AD85" s="486"/>
      <c r="AE85" s="486"/>
      <c r="AF85" s="487"/>
      <c r="AG85" s="488" t="s">
        <v>35</v>
      </c>
      <c r="AH85" s="486"/>
      <c r="AI85" s="487"/>
    </row>
    <row r="86" spans="1:35" ht="42" customHeight="1" thickTop="1" x14ac:dyDescent="0.3">
      <c r="A86" s="472" t="s">
        <v>257</v>
      </c>
      <c r="B86" s="472"/>
      <c r="C86" s="473">
        <v>45723</v>
      </c>
      <c r="D86" s="474"/>
      <c r="E86" s="475" t="s">
        <v>259</v>
      </c>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t="s">
        <v>258</v>
      </c>
      <c r="AH86" s="475"/>
      <c r="AI86" s="475"/>
    </row>
  </sheetData>
  <dataConsolidate/>
  <mergeCells count="257">
    <mergeCell ref="Y41:Y42"/>
    <mergeCell ref="Z41:Z42"/>
    <mergeCell ref="AA41:AA42"/>
    <mergeCell ref="AB41:AB42"/>
    <mergeCell ref="AC41:AC42"/>
    <mergeCell ref="AD41:AD42"/>
    <mergeCell ref="K42:K47"/>
    <mergeCell ref="W12:W14"/>
    <mergeCell ref="Y12:Y14"/>
    <mergeCell ref="Z12:Z14"/>
    <mergeCell ref="AA12:AA14"/>
    <mergeCell ref="AB12:AB14"/>
    <mergeCell ref="AC12:AC14"/>
    <mergeCell ref="AD12:AD14"/>
    <mergeCell ref="K14:K19"/>
    <mergeCell ref="O34:O35"/>
    <mergeCell ref="P34:P35"/>
    <mergeCell ref="Q34:Q35"/>
    <mergeCell ref="R34:R35"/>
    <mergeCell ref="S34:S35"/>
    <mergeCell ref="T34:T35"/>
    <mergeCell ref="U34:U35"/>
    <mergeCell ref="V34:V35"/>
    <mergeCell ref="W34:W35"/>
    <mergeCell ref="Y34:Y35"/>
    <mergeCell ref="Z34:Z35"/>
    <mergeCell ref="AA34:AA35"/>
    <mergeCell ref="AB34:AB35"/>
    <mergeCell ref="AC34:AC35"/>
    <mergeCell ref="AD34:AD35"/>
    <mergeCell ref="K35:K40"/>
    <mergeCell ref="A84:AI84"/>
    <mergeCell ref="A85:B85"/>
    <mergeCell ref="C85:D85"/>
    <mergeCell ref="E85:AF85"/>
    <mergeCell ref="AG85:AI85"/>
    <mergeCell ref="G34:G40"/>
    <mergeCell ref="H34:H40"/>
    <mergeCell ref="I34:I40"/>
    <mergeCell ref="A34:A40"/>
    <mergeCell ref="B34:B40"/>
    <mergeCell ref="C34:C40"/>
    <mergeCell ref="D34:D40"/>
    <mergeCell ref="E34:E40"/>
    <mergeCell ref="F34:F40"/>
    <mergeCell ref="C54:C59"/>
    <mergeCell ref="B48:B53"/>
    <mergeCell ref="E54:E59"/>
    <mergeCell ref="A86:B86"/>
    <mergeCell ref="C86:D86"/>
    <mergeCell ref="E86:AF86"/>
    <mergeCell ref="AG86:AI86"/>
    <mergeCell ref="AH1:AI1"/>
    <mergeCell ref="AH4:AI4"/>
    <mergeCell ref="AH3:AI3"/>
    <mergeCell ref="AH2:AI2"/>
    <mergeCell ref="F12:F19"/>
    <mergeCell ref="G12:G19"/>
    <mergeCell ref="H12:H19"/>
    <mergeCell ref="A12:A19"/>
    <mergeCell ref="B12:B19"/>
    <mergeCell ref="C12:C19"/>
    <mergeCell ref="D12:D19"/>
    <mergeCell ref="E12:E19"/>
    <mergeCell ref="N12:N19"/>
    <mergeCell ref="I12:I19"/>
    <mergeCell ref="J12:J19"/>
    <mergeCell ref="L12:L19"/>
    <mergeCell ref="M12:M19"/>
    <mergeCell ref="Y10:Y11"/>
    <mergeCell ref="Z10:Z11"/>
    <mergeCell ref="G10:G11"/>
    <mergeCell ref="H10:H11"/>
    <mergeCell ref="I10:I11"/>
    <mergeCell ref="J10:J11"/>
    <mergeCell ref="Q10:Q11"/>
    <mergeCell ref="R10:W10"/>
    <mergeCell ref="B20:B25"/>
    <mergeCell ref="C20:C25"/>
    <mergeCell ref="D20:D25"/>
    <mergeCell ref="E20:E25"/>
    <mergeCell ref="M10:M11"/>
    <mergeCell ref="B10:B11"/>
    <mergeCell ref="N10:N11"/>
    <mergeCell ref="K10:K11"/>
    <mergeCell ref="L20:L25"/>
    <mergeCell ref="M20:M25"/>
    <mergeCell ref="N20:N25"/>
    <mergeCell ref="E1:AG4"/>
    <mergeCell ref="AE10:AE11"/>
    <mergeCell ref="O12:O14"/>
    <mergeCell ref="P12:P14"/>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J26:J33"/>
    <mergeCell ref="K26:K33"/>
    <mergeCell ref="L26:L33"/>
    <mergeCell ref="F20:F25"/>
    <mergeCell ref="G20:G25"/>
    <mergeCell ref="H20:H25"/>
    <mergeCell ref="I20:I25"/>
    <mergeCell ref="J20:J25"/>
    <mergeCell ref="A20:A25"/>
    <mergeCell ref="A26:A33"/>
    <mergeCell ref="B26:B33"/>
    <mergeCell ref="C26:C33"/>
    <mergeCell ref="D26:D33"/>
    <mergeCell ref="E26:E33"/>
    <mergeCell ref="F26:F33"/>
    <mergeCell ref="G26:G33"/>
    <mergeCell ref="H26:H33"/>
    <mergeCell ref="I26:I33"/>
    <mergeCell ref="B78:AI78"/>
    <mergeCell ref="M66:M71"/>
    <mergeCell ref="N66:N71"/>
    <mergeCell ref="J66:J71"/>
    <mergeCell ref="K66:K71"/>
    <mergeCell ref="L66:L71"/>
    <mergeCell ref="M54:M59"/>
    <mergeCell ref="N54:N59"/>
    <mergeCell ref="F60:F65"/>
    <mergeCell ref="G60:G65"/>
    <mergeCell ref="H60:H65"/>
    <mergeCell ref="I60:I65"/>
    <mergeCell ref="J60:J65"/>
    <mergeCell ref="F54:F59"/>
    <mergeCell ref="G54:G59"/>
    <mergeCell ref="H54:H59"/>
    <mergeCell ref="I54:I59"/>
    <mergeCell ref="K60:K65"/>
    <mergeCell ref="L60:L65"/>
    <mergeCell ref="M60:M65"/>
    <mergeCell ref="N60:N65"/>
    <mergeCell ref="B60:B65"/>
    <mergeCell ref="C60:C65"/>
    <mergeCell ref="J72:J77"/>
    <mergeCell ref="A1:D4"/>
    <mergeCell ref="A72:A77"/>
    <mergeCell ref="B72:B77"/>
    <mergeCell ref="C72:C77"/>
    <mergeCell ref="D72:D77"/>
    <mergeCell ref="E72:E77"/>
    <mergeCell ref="F72:F77"/>
    <mergeCell ref="G72:G77"/>
    <mergeCell ref="H72:H77"/>
    <mergeCell ref="C6:N6"/>
    <mergeCell ref="A9:G9"/>
    <mergeCell ref="H9:N9"/>
    <mergeCell ref="I41:I47"/>
    <mergeCell ref="J41:J47"/>
    <mergeCell ref="G48:G53"/>
    <mergeCell ref="H48:H53"/>
    <mergeCell ref="I48:I53"/>
    <mergeCell ref="L41:L47"/>
    <mergeCell ref="A60:A65"/>
    <mergeCell ref="E60:E65"/>
    <mergeCell ref="A54:A59"/>
    <mergeCell ref="B54:B59"/>
    <mergeCell ref="D60:D65"/>
    <mergeCell ref="I66:I71"/>
    <mergeCell ref="K72:K77"/>
    <mergeCell ref="L72:L77"/>
    <mergeCell ref="M72:M77"/>
    <mergeCell ref="N72:N77"/>
    <mergeCell ref="I72:I77"/>
    <mergeCell ref="AI10:AI11"/>
    <mergeCell ref="O6:Q6"/>
    <mergeCell ref="O9:W9"/>
    <mergeCell ref="X9:AD9"/>
    <mergeCell ref="M26:M33"/>
    <mergeCell ref="N26:N33"/>
    <mergeCell ref="J34:J40"/>
    <mergeCell ref="L34:L40"/>
    <mergeCell ref="M34:M40"/>
    <mergeCell ref="N34:N40"/>
    <mergeCell ref="K20:K25"/>
    <mergeCell ref="M41:M47"/>
    <mergeCell ref="N41:N47"/>
    <mergeCell ref="M48:M53"/>
    <mergeCell ref="AG10:AG11"/>
    <mergeCell ref="AE9:AI9"/>
    <mergeCell ref="J54:J59"/>
    <mergeCell ref="R26:R28"/>
    <mergeCell ref="A48:A53"/>
    <mergeCell ref="A66:A71"/>
    <mergeCell ref="B66:B71"/>
    <mergeCell ref="C66:C71"/>
    <mergeCell ref="D66:D71"/>
    <mergeCell ref="E66:E71"/>
    <mergeCell ref="F66:F71"/>
    <mergeCell ref="G66:G71"/>
    <mergeCell ref="H66:H71"/>
    <mergeCell ref="C48:C53"/>
    <mergeCell ref="D48:D53"/>
    <mergeCell ref="E48:E53"/>
    <mergeCell ref="F48:F53"/>
    <mergeCell ref="D54:D59"/>
    <mergeCell ref="R41:R42"/>
    <mergeCell ref="S41:S42"/>
    <mergeCell ref="T41:T42"/>
    <mergeCell ref="U41:U42"/>
    <mergeCell ref="V41:V42"/>
    <mergeCell ref="W41:W42"/>
    <mergeCell ref="G41:G47"/>
    <mergeCell ref="H41:H47"/>
    <mergeCell ref="A41:A47"/>
    <mergeCell ref="B41:B47"/>
    <mergeCell ref="C41:C47"/>
    <mergeCell ref="D41:D47"/>
    <mergeCell ref="E41:E47"/>
    <mergeCell ref="F41:F47"/>
    <mergeCell ref="L54:L59"/>
    <mergeCell ref="J48:J53"/>
    <mergeCell ref="K48:K53"/>
    <mergeCell ref="L48:L53"/>
    <mergeCell ref="K54:K59"/>
    <mergeCell ref="N48:N53"/>
    <mergeCell ref="O41:O42"/>
    <mergeCell ref="P41:P42"/>
    <mergeCell ref="Q41:Q42"/>
    <mergeCell ref="Z26:Z28"/>
    <mergeCell ref="AA26:AA28"/>
    <mergeCell ref="AB26:AB28"/>
    <mergeCell ref="AC26:AC28"/>
    <mergeCell ref="O26:O28"/>
    <mergeCell ref="Y26:Y28"/>
    <mergeCell ref="P26:P28"/>
    <mergeCell ref="Q26:Q28"/>
    <mergeCell ref="Q12:Q14"/>
    <mergeCell ref="R12:R14"/>
    <mergeCell ref="S12:S14"/>
    <mergeCell ref="T12:T14"/>
    <mergeCell ref="U12:U14"/>
    <mergeCell ref="V12:V14"/>
    <mergeCell ref="S26:S28"/>
    <mergeCell ref="T26:T28"/>
    <mergeCell ref="U26:U28"/>
    <mergeCell ref="V26:V28"/>
    <mergeCell ref="W26:W28"/>
  </mergeCells>
  <conditionalFormatting sqref="AA54">
    <cfRule type="cellIs" dxfId="216" priority="120" operator="equal">
      <formula>"Catastrófico"</formula>
    </cfRule>
    <cfRule type="cellIs" dxfId="215" priority="121" operator="equal">
      <formula>"Mayor"</formula>
    </cfRule>
    <cfRule type="cellIs" dxfId="214" priority="122" operator="equal">
      <formula>"Moderado"</formula>
    </cfRule>
    <cfRule type="cellIs" dxfId="213" priority="123" operator="equal">
      <formula>"Menor"</formula>
    </cfRule>
    <cfRule type="cellIs" dxfId="212" priority="124" operator="equal">
      <formula>"Leve"</formula>
    </cfRule>
  </conditionalFormatting>
  <conditionalFormatting sqref="AA60">
    <cfRule type="cellIs" dxfId="211" priority="91" operator="equal">
      <formula>"Catastrófico"</formula>
    </cfRule>
    <cfRule type="cellIs" dxfId="210" priority="92" operator="equal">
      <formula>"Mayor"</formula>
    </cfRule>
    <cfRule type="cellIs" dxfId="209" priority="93" operator="equal">
      <formula>"Moderado"</formula>
    </cfRule>
    <cfRule type="cellIs" dxfId="208" priority="94" operator="equal">
      <formula>"Menor"</formula>
    </cfRule>
    <cfRule type="cellIs" dxfId="207" priority="95" operator="equal">
      <formula>"Leve"</formula>
    </cfRule>
  </conditionalFormatting>
  <conditionalFormatting sqref="AC66">
    <cfRule type="cellIs" dxfId="206" priority="58" operator="equal">
      <formula>"Extremo"</formula>
    </cfRule>
    <cfRule type="cellIs" dxfId="205" priority="59" operator="equal">
      <formula>"Alto"</formula>
    </cfRule>
    <cfRule type="cellIs" dxfId="204" priority="60" operator="equal">
      <formula>"Moderado"</formula>
    </cfRule>
    <cfRule type="cellIs" dxfId="203" priority="61" operator="equal">
      <formula>"Bajo"</formula>
    </cfRule>
  </conditionalFormatting>
  <conditionalFormatting sqref="H72">
    <cfRule type="cellIs" dxfId="202" priority="53" operator="equal">
      <formula>"Muy Alta"</formula>
    </cfRule>
    <cfRule type="cellIs" dxfId="201" priority="54" operator="equal">
      <formula>"Alta"</formula>
    </cfRule>
    <cfRule type="cellIs" dxfId="200" priority="55" operator="equal">
      <formula>"Media"</formula>
    </cfRule>
    <cfRule type="cellIs" dxfId="199" priority="56" operator="equal">
      <formula>"Baja"</formula>
    </cfRule>
    <cfRule type="cellIs" dxfId="198" priority="57" operator="equal">
      <formula>"Muy Baja"</formula>
    </cfRule>
  </conditionalFormatting>
  <conditionalFormatting sqref="L72">
    <cfRule type="cellIs" dxfId="197" priority="48" operator="equal">
      <formula>"Catastrófico"</formula>
    </cfRule>
    <cfRule type="cellIs" dxfId="196" priority="49" operator="equal">
      <formula>"Mayor"</formula>
    </cfRule>
    <cfRule type="cellIs" dxfId="195" priority="50" operator="equal">
      <formula>"Moderado"</formula>
    </cfRule>
    <cfRule type="cellIs" dxfId="194" priority="51" operator="equal">
      <formula>"Menor"</formula>
    </cfRule>
    <cfRule type="cellIs" dxfId="193" priority="52" operator="equal">
      <formula>"Leve"</formula>
    </cfRule>
  </conditionalFormatting>
  <conditionalFormatting sqref="N72">
    <cfRule type="cellIs" dxfId="192" priority="44" operator="equal">
      <formula>"Extremo"</formula>
    </cfRule>
    <cfRule type="cellIs" dxfId="191" priority="45" operator="equal">
      <formula>"Alto"</formula>
    </cfRule>
    <cfRule type="cellIs" dxfId="190" priority="46" operator="equal">
      <formula>"Moderado"</formula>
    </cfRule>
    <cfRule type="cellIs" dxfId="189" priority="47" operator="equal">
      <formula>"Bajo"</formula>
    </cfRule>
  </conditionalFormatting>
  <conditionalFormatting sqref="H12 H20 Y19:Y26 Y37:Y41 Y44:Y53">
    <cfRule type="cellIs" dxfId="188" priority="209" operator="equal">
      <formula>"Muy Alta"</formula>
    </cfRule>
    <cfRule type="cellIs" dxfId="187" priority="210" operator="equal">
      <formula>"Alta"</formula>
    </cfRule>
    <cfRule type="cellIs" dxfId="186" priority="211" operator="equal">
      <formula>"Media"</formula>
    </cfRule>
    <cfRule type="cellIs" dxfId="185" priority="212" operator="equal">
      <formula>"Baja"</formula>
    </cfRule>
    <cfRule type="cellIs" dxfId="184" priority="213" operator="equal">
      <formula>"Muy Baja"</formula>
    </cfRule>
  </conditionalFormatting>
  <conditionalFormatting sqref="H26">
    <cfRule type="cellIs" dxfId="183" priority="191" operator="equal">
      <formula>"Muy Alta"</formula>
    </cfRule>
    <cfRule type="cellIs" dxfId="182" priority="192" operator="equal">
      <formula>"Alta"</formula>
    </cfRule>
    <cfRule type="cellIs" dxfId="181" priority="193" operator="equal">
      <formula>"Media"</formula>
    </cfRule>
    <cfRule type="cellIs" dxfId="180" priority="194" operator="equal">
      <formula>"Baja"</formula>
    </cfRule>
    <cfRule type="cellIs" dxfId="179" priority="195" operator="equal">
      <formula>"Muy Baja"</formula>
    </cfRule>
  </conditionalFormatting>
  <conditionalFormatting sqref="H34">
    <cfRule type="cellIs" dxfId="178" priority="182" operator="equal">
      <formula>"Muy Alta"</formula>
    </cfRule>
    <cfRule type="cellIs" dxfId="177" priority="183" operator="equal">
      <formula>"Alta"</formula>
    </cfRule>
    <cfRule type="cellIs" dxfId="176" priority="184" operator="equal">
      <formula>"Media"</formula>
    </cfRule>
    <cfRule type="cellIs" dxfId="175" priority="185" operator="equal">
      <formula>"Baja"</formula>
    </cfRule>
    <cfRule type="cellIs" dxfId="174" priority="186" operator="equal">
      <formula>"Muy Baja"</formula>
    </cfRule>
  </conditionalFormatting>
  <conditionalFormatting sqref="H41">
    <cfRule type="cellIs" dxfId="173" priority="145" operator="equal">
      <formula>"Muy Alta"</formula>
    </cfRule>
    <cfRule type="cellIs" dxfId="172" priority="146" operator="equal">
      <formula>"Alta"</formula>
    </cfRule>
    <cfRule type="cellIs" dxfId="171" priority="147" operator="equal">
      <formula>"Media"</formula>
    </cfRule>
    <cfRule type="cellIs" dxfId="170" priority="148" operator="equal">
      <formula>"Baja"</formula>
    </cfRule>
    <cfRule type="cellIs" dxfId="169" priority="149" operator="equal">
      <formula>"Muy Baja"</formula>
    </cfRule>
  </conditionalFormatting>
  <conditionalFormatting sqref="H48">
    <cfRule type="cellIs" dxfId="168" priority="169" operator="equal">
      <formula>"Muy Alta"</formula>
    </cfRule>
    <cfRule type="cellIs" dxfId="167" priority="170" operator="equal">
      <formula>"Alta"</formula>
    </cfRule>
    <cfRule type="cellIs" dxfId="166" priority="171" operator="equal">
      <formula>"Media"</formula>
    </cfRule>
    <cfRule type="cellIs" dxfId="165" priority="172" operator="equal">
      <formula>"Baja"</formula>
    </cfRule>
    <cfRule type="cellIs" dxfId="164" priority="173" operator="equal">
      <formula>"Muy Baja"</formula>
    </cfRule>
  </conditionalFormatting>
  <conditionalFormatting sqref="K14:K53">
    <cfRule type="containsText" dxfId="163" priority="150" operator="containsText" text="❌">
      <formula>NOT(ISERROR(SEARCH("❌",K14)))</formula>
    </cfRule>
  </conditionalFormatting>
  <conditionalFormatting sqref="L12 L20 L26 L34 L41 L48 AA19:AA26 AA37:AA41 AA44:AA53">
    <cfRule type="cellIs" dxfId="162" priority="204" operator="equal">
      <formula>"Catastrófico"</formula>
    </cfRule>
    <cfRule type="cellIs" dxfId="161" priority="205" operator="equal">
      <formula>"Mayor"</formula>
    </cfRule>
    <cfRule type="cellIs" dxfId="160" priority="206" operator="equal">
      <formula>"Moderado"</formula>
    </cfRule>
    <cfRule type="cellIs" dxfId="159" priority="207" operator="equal">
      <formula>"Menor"</formula>
    </cfRule>
    <cfRule type="cellIs" dxfId="158" priority="208" operator="equal">
      <formula>"Leve"</formula>
    </cfRule>
  </conditionalFormatting>
  <conditionalFormatting sqref="N12 AC19:AC26 AC37:AC41 AC44:AC53">
    <cfRule type="cellIs" dxfId="157" priority="200" operator="equal">
      <formula>"Extremo"</formula>
    </cfRule>
    <cfRule type="cellIs" dxfId="156" priority="201" operator="equal">
      <formula>"Alto"</formula>
    </cfRule>
    <cfRule type="cellIs" dxfId="155" priority="202" operator="equal">
      <formula>"Moderado"</formula>
    </cfRule>
    <cfRule type="cellIs" dxfId="154" priority="203" operator="equal">
      <formula>"Bajo"</formula>
    </cfRule>
  </conditionalFormatting>
  <conditionalFormatting sqref="N20">
    <cfRule type="cellIs" dxfId="153" priority="196" operator="equal">
      <formula>"Extremo"</formula>
    </cfRule>
    <cfRule type="cellIs" dxfId="152" priority="197" operator="equal">
      <formula>"Alto"</formula>
    </cfRule>
    <cfRule type="cellIs" dxfId="151" priority="198" operator="equal">
      <formula>"Moderado"</formula>
    </cfRule>
    <cfRule type="cellIs" dxfId="150" priority="199" operator="equal">
      <formula>"Bajo"</formula>
    </cfRule>
  </conditionalFormatting>
  <conditionalFormatting sqref="N26">
    <cfRule type="cellIs" dxfId="149" priority="187" operator="equal">
      <formula>"Extremo"</formula>
    </cfRule>
    <cfRule type="cellIs" dxfId="148" priority="188" operator="equal">
      <formula>"Alto"</formula>
    </cfRule>
    <cfRule type="cellIs" dxfId="147" priority="189" operator="equal">
      <formula>"Moderado"</formula>
    </cfRule>
    <cfRule type="cellIs" dxfId="146" priority="190" operator="equal">
      <formula>"Bajo"</formula>
    </cfRule>
  </conditionalFormatting>
  <conditionalFormatting sqref="N34">
    <cfRule type="cellIs" dxfId="145" priority="178" operator="equal">
      <formula>"Extremo"</formula>
    </cfRule>
    <cfRule type="cellIs" dxfId="144" priority="179" operator="equal">
      <formula>"Alto"</formula>
    </cfRule>
    <cfRule type="cellIs" dxfId="143" priority="180" operator="equal">
      <formula>"Moderado"</formula>
    </cfRule>
    <cfRule type="cellIs" dxfId="142" priority="181" operator="equal">
      <formula>"Bajo"</formula>
    </cfRule>
  </conditionalFormatting>
  <conditionalFormatting sqref="N41">
    <cfRule type="cellIs" dxfId="141" priority="174" operator="equal">
      <formula>"Extremo"</formula>
    </cfRule>
    <cfRule type="cellIs" dxfId="140" priority="175" operator="equal">
      <formula>"Alto"</formula>
    </cfRule>
    <cfRule type="cellIs" dxfId="139" priority="176" operator="equal">
      <formula>"Moderado"</formula>
    </cfRule>
    <cfRule type="cellIs" dxfId="138" priority="177" operator="equal">
      <formula>"Bajo"</formula>
    </cfRule>
  </conditionalFormatting>
  <conditionalFormatting sqref="N48">
    <cfRule type="cellIs" dxfId="137" priority="165" operator="equal">
      <formula>"Extremo"</formula>
    </cfRule>
    <cfRule type="cellIs" dxfId="136" priority="166" operator="equal">
      <formula>"Alto"</formula>
    </cfRule>
    <cfRule type="cellIs" dxfId="135" priority="167" operator="equal">
      <formula>"Moderado"</formula>
    </cfRule>
    <cfRule type="cellIs" dxfId="134" priority="168" operator="equal">
      <formula>"Bajo"</formula>
    </cfRule>
  </conditionalFormatting>
  <conditionalFormatting sqref="Y12 Y55:Y59 Y61:Y65 Y67:Y71 Y33:Y34">
    <cfRule type="cellIs" dxfId="133" priority="160" operator="equal">
      <formula>"Muy Alta"</formula>
    </cfRule>
    <cfRule type="cellIs" dxfId="132" priority="161" operator="equal">
      <formula>"Alta"</formula>
    </cfRule>
    <cfRule type="cellIs" dxfId="131" priority="162" operator="equal">
      <formula>"Media"</formula>
    </cfRule>
    <cfRule type="cellIs" dxfId="130" priority="163" operator="equal">
      <formula>"Baja"</formula>
    </cfRule>
    <cfRule type="cellIs" dxfId="129" priority="164" operator="equal">
      <formula>"Muy Baja"</formula>
    </cfRule>
  </conditionalFormatting>
  <conditionalFormatting sqref="AA12 AA55:AA59 AA61:AA65 AA67:AA71 AA33:AA34">
    <cfRule type="cellIs" dxfId="128" priority="155" operator="equal">
      <formula>"Catastrófico"</formula>
    </cfRule>
    <cfRule type="cellIs" dxfId="127" priority="156" operator="equal">
      <formula>"Mayor"</formula>
    </cfRule>
    <cfRule type="cellIs" dxfId="126" priority="157" operator="equal">
      <formula>"Moderado"</formula>
    </cfRule>
    <cfRule type="cellIs" dxfId="125" priority="158" operator="equal">
      <formula>"Menor"</formula>
    </cfRule>
    <cfRule type="cellIs" dxfId="124" priority="159" operator="equal">
      <formula>"Leve"</formula>
    </cfRule>
  </conditionalFormatting>
  <conditionalFormatting sqref="AC12 AC55:AC59 AC61:AC65 AC67:AC71 AC33:AC34">
    <cfRule type="cellIs" dxfId="123" priority="151" operator="equal">
      <formula>"Extremo"</formula>
    </cfRule>
    <cfRule type="cellIs" dxfId="122" priority="152" operator="equal">
      <formula>"Alto"</formula>
    </cfRule>
    <cfRule type="cellIs" dxfId="121" priority="153" operator="equal">
      <formula>"Moderado"</formula>
    </cfRule>
    <cfRule type="cellIs" dxfId="120" priority="154" operator="equal">
      <formula>"Bajo"</formula>
    </cfRule>
  </conditionalFormatting>
  <conditionalFormatting sqref="H54">
    <cfRule type="cellIs" dxfId="119" priority="135" operator="equal">
      <formula>"Muy Alta"</formula>
    </cfRule>
    <cfRule type="cellIs" dxfId="118" priority="136" operator="equal">
      <formula>"Alta"</formula>
    </cfRule>
    <cfRule type="cellIs" dxfId="117" priority="137" operator="equal">
      <formula>"Media"</formula>
    </cfRule>
    <cfRule type="cellIs" dxfId="116" priority="138" operator="equal">
      <formula>"Baja"</formula>
    </cfRule>
    <cfRule type="cellIs" dxfId="115" priority="139" operator="equal">
      <formula>"Muy Baja"</formula>
    </cfRule>
  </conditionalFormatting>
  <conditionalFormatting sqref="K54:K59">
    <cfRule type="containsText" dxfId="114" priority="130" operator="containsText" text="❌">
      <formula>NOT(ISERROR(SEARCH("❌",K54)))</formula>
    </cfRule>
  </conditionalFormatting>
  <conditionalFormatting sqref="L54">
    <cfRule type="cellIs" dxfId="113" priority="140" operator="equal">
      <formula>"Catastrófico"</formula>
    </cfRule>
    <cfRule type="cellIs" dxfId="112" priority="141" operator="equal">
      <formula>"Mayor"</formula>
    </cfRule>
    <cfRule type="cellIs" dxfId="111" priority="142" operator="equal">
      <formula>"Moderado"</formula>
    </cfRule>
    <cfRule type="cellIs" dxfId="110" priority="143" operator="equal">
      <formula>"Menor"</formula>
    </cfRule>
    <cfRule type="cellIs" dxfId="109" priority="144" operator="equal">
      <formula>"Leve"</formula>
    </cfRule>
  </conditionalFormatting>
  <conditionalFormatting sqref="N54">
    <cfRule type="cellIs" dxfId="108" priority="131" operator="equal">
      <formula>"Extremo"</formula>
    </cfRule>
    <cfRule type="cellIs" dxfId="107" priority="132" operator="equal">
      <formula>"Alto"</formula>
    </cfRule>
    <cfRule type="cellIs" dxfId="106" priority="133" operator="equal">
      <formula>"Moderado"</formula>
    </cfRule>
    <cfRule type="cellIs" dxfId="105" priority="134" operator="equal">
      <formula>"Bajo"</formula>
    </cfRule>
  </conditionalFormatting>
  <conditionalFormatting sqref="Y54">
    <cfRule type="cellIs" dxfId="104" priority="125" operator="equal">
      <formula>"Muy Alta"</formula>
    </cfRule>
    <cfRule type="cellIs" dxfId="103" priority="126" operator="equal">
      <formula>"Alta"</formula>
    </cfRule>
    <cfRule type="cellIs" dxfId="102" priority="127" operator="equal">
      <formula>"Media"</formula>
    </cfRule>
    <cfRule type="cellIs" dxfId="101" priority="128" operator="equal">
      <formula>"Baja"</formula>
    </cfRule>
    <cfRule type="cellIs" dxfId="100" priority="129" operator="equal">
      <formula>"Muy Baja"</formula>
    </cfRule>
  </conditionalFormatting>
  <conditionalFormatting sqref="AC54">
    <cfRule type="cellIs" dxfId="99" priority="116" operator="equal">
      <formula>"Extremo"</formula>
    </cfRule>
    <cfRule type="cellIs" dxfId="98" priority="117" operator="equal">
      <formula>"Alto"</formula>
    </cfRule>
    <cfRule type="cellIs" dxfId="97" priority="118" operator="equal">
      <formula>"Moderado"</formula>
    </cfRule>
    <cfRule type="cellIs" dxfId="96" priority="119" operator="equal">
      <formula>"Bajo"</formula>
    </cfRule>
  </conditionalFormatting>
  <conditionalFormatting sqref="H60">
    <cfRule type="cellIs" dxfId="95" priority="106" operator="equal">
      <formula>"Muy Alta"</formula>
    </cfRule>
    <cfRule type="cellIs" dxfId="94" priority="107" operator="equal">
      <formula>"Alta"</formula>
    </cfRule>
    <cfRule type="cellIs" dxfId="93" priority="108" operator="equal">
      <formula>"Media"</formula>
    </cfRule>
    <cfRule type="cellIs" dxfId="92" priority="109" operator="equal">
      <formula>"Baja"</formula>
    </cfRule>
    <cfRule type="cellIs" dxfId="91" priority="110" operator="equal">
      <formula>"Muy Baja"</formula>
    </cfRule>
  </conditionalFormatting>
  <conditionalFormatting sqref="L60">
    <cfRule type="cellIs" dxfId="90" priority="111" operator="equal">
      <formula>"Catastrófico"</formula>
    </cfRule>
    <cfRule type="cellIs" dxfId="89" priority="112" operator="equal">
      <formula>"Mayor"</formula>
    </cfRule>
    <cfRule type="cellIs" dxfId="88" priority="113" operator="equal">
      <formula>"Moderado"</formula>
    </cfRule>
    <cfRule type="cellIs" dxfId="87" priority="114" operator="equal">
      <formula>"Menor"</formula>
    </cfRule>
    <cfRule type="cellIs" dxfId="86" priority="115" operator="equal">
      <formula>"Leve"</formula>
    </cfRule>
  </conditionalFormatting>
  <conditionalFormatting sqref="N60">
    <cfRule type="cellIs" dxfId="85" priority="102" operator="equal">
      <formula>"Extremo"</formula>
    </cfRule>
    <cfRule type="cellIs" dxfId="84" priority="103" operator="equal">
      <formula>"Alto"</formula>
    </cfRule>
    <cfRule type="cellIs" dxfId="83" priority="104" operator="equal">
      <formula>"Moderado"</formula>
    </cfRule>
    <cfRule type="cellIs" dxfId="82" priority="105" operator="equal">
      <formula>"Bajo"</formula>
    </cfRule>
  </conditionalFormatting>
  <conditionalFormatting sqref="K60:K65">
    <cfRule type="containsText" dxfId="81" priority="101" operator="containsText" text="❌">
      <formula>NOT(ISERROR(SEARCH("❌",K60)))</formula>
    </cfRule>
  </conditionalFormatting>
  <conditionalFormatting sqref="Y60">
    <cfRule type="cellIs" dxfId="80" priority="96" operator="equal">
      <formula>"Muy Alta"</formula>
    </cfRule>
    <cfRule type="cellIs" dxfId="79" priority="97" operator="equal">
      <formula>"Alta"</formula>
    </cfRule>
    <cfRule type="cellIs" dxfId="78" priority="98" operator="equal">
      <formula>"Media"</formula>
    </cfRule>
    <cfRule type="cellIs" dxfId="77" priority="99" operator="equal">
      <formula>"Baja"</formula>
    </cfRule>
    <cfRule type="cellIs" dxfId="76" priority="100" operator="equal">
      <formula>"Muy Baja"</formula>
    </cfRule>
  </conditionalFormatting>
  <conditionalFormatting sqref="AC60">
    <cfRule type="cellIs" dxfId="75" priority="87" operator="equal">
      <formula>"Extremo"</formula>
    </cfRule>
    <cfRule type="cellIs" dxfId="74" priority="88" operator="equal">
      <formula>"Alto"</formula>
    </cfRule>
    <cfRule type="cellIs" dxfId="73" priority="89" operator="equal">
      <formula>"Moderado"</formula>
    </cfRule>
    <cfRule type="cellIs" dxfId="72" priority="90" operator="equal">
      <formula>"Bajo"</formula>
    </cfRule>
  </conditionalFormatting>
  <conditionalFormatting sqref="H66">
    <cfRule type="cellIs" dxfId="71" priority="82" operator="equal">
      <formula>"Muy Alta"</formula>
    </cfRule>
    <cfRule type="cellIs" dxfId="70" priority="83" operator="equal">
      <formula>"Alta"</formula>
    </cfRule>
    <cfRule type="cellIs" dxfId="69" priority="84" operator="equal">
      <formula>"Media"</formula>
    </cfRule>
    <cfRule type="cellIs" dxfId="68" priority="85" operator="equal">
      <formula>"Baja"</formula>
    </cfRule>
    <cfRule type="cellIs" dxfId="67" priority="86" operator="equal">
      <formula>"Muy Baja"</formula>
    </cfRule>
  </conditionalFormatting>
  <conditionalFormatting sqref="K66:K71">
    <cfRule type="containsText" dxfId="66" priority="72" operator="containsText" text="❌">
      <formula>NOT(ISERROR(SEARCH("❌",K66)))</formula>
    </cfRule>
  </conditionalFormatting>
  <conditionalFormatting sqref="L66">
    <cfRule type="cellIs" dxfId="65" priority="77" operator="equal">
      <formula>"Catastrófico"</formula>
    </cfRule>
    <cfRule type="cellIs" dxfId="64" priority="78" operator="equal">
      <formula>"Mayor"</formula>
    </cfRule>
    <cfRule type="cellIs" dxfId="63" priority="79" operator="equal">
      <formula>"Moderado"</formula>
    </cfRule>
    <cfRule type="cellIs" dxfId="62" priority="80" operator="equal">
      <formula>"Menor"</formula>
    </cfRule>
    <cfRule type="cellIs" dxfId="61" priority="81" operator="equal">
      <formula>"Leve"</formula>
    </cfRule>
  </conditionalFormatting>
  <conditionalFormatting sqref="N66">
    <cfRule type="cellIs" dxfId="60" priority="73" operator="equal">
      <formula>"Extremo"</formula>
    </cfRule>
    <cfRule type="cellIs" dxfId="59" priority="74" operator="equal">
      <formula>"Alto"</formula>
    </cfRule>
    <cfRule type="cellIs" dxfId="58" priority="75" operator="equal">
      <formula>"Moderado"</formula>
    </cfRule>
    <cfRule type="cellIs" dxfId="57" priority="76" operator="equal">
      <formula>"Bajo"</formula>
    </cfRule>
  </conditionalFormatting>
  <conditionalFormatting sqref="Y66">
    <cfRule type="cellIs" dxfId="56" priority="67" operator="equal">
      <formula>"Muy Alta"</formula>
    </cfRule>
    <cfRule type="cellIs" dxfId="55" priority="68" operator="equal">
      <formula>"Alta"</formula>
    </cfRule>
    <cfRule type="cellIs" dxfId="54" priority="69" operator="equal">
      <formula>"Media"</formula>
    </cfRule>
    <cfRule type="cellIs" dxfId="53" priority="70" operator="equal">
      <formula>"Baja"</formula>
    </cfRule>
    <cfRule type="cellIs" dxfId="52" priority="71" operator="equal">
      <formula>"Muy Baja"</formula>
    </cfRule>
  </conditionalFormatting>
  <conditionalFormatting sqref="AA66">
    <cfRule type="cellIs" dxfId="51" priority="62" operator="equal">
      <formula>"Catastrófico"</formula>
    </cfRule>
    <cfRule type="cellIs" dxfId="50" priority="63" operator="equal">
      <formula>"Mayor"</formula>
    </cfRule>
    <cfRule type="cellIs" dxfId="49" priority="64" operator="equal">
      <formula>"Moderado"</formula>
    </cfRule>
    <cfRule type="cellIs" dxfId="48" priority="65" operator="equal">
      <formula>"Menor"</formula>
    </cfRule>
    <cfRule type="cellIs" dxfId="47" priority="66" operator="equal">
      <formula>"Leve"</formula>
    </cfRule>
  </conditionalFormatting>
  <conditionalFormatting sqref="K72:K77">
    <cfRule type="containsText" dxfId="46" priority="29" operator="containsText" text="❌">
      <formula>NOT(ISERROR(SEARCH("❌",K72)))</formula>
    </cfRule>
  </conditionalFormatting>
  <conditionalFormatting sqref="Y72:Y77">
    <cfRule type="cellIs" dxfId="45" priority="39" operator="equal">
      <formula>"Muy Alta"</formula>
    </cfRule>
    <cfRule type="cellIs" dxfId="44" priority="40" operator="equal">
      <formula>"Alta"</formula>
    </cfRule>
    <cfRule type="cellIs" dxfId="43" priority="41" operator="equal">
      <formula>"Media"</formula>
    </cfRule>
    <cfRule type="cellIs" dxfId="42" priority="42" operator="equal">
      <formula>"Baja"</formula>
    </cfRule>
    <cfRule type="cellIs" dxfId="41" priority="43" operator="equal">
      <formula>"Muy Baja"</formula>
    </cfRule>
  </conditionalFormatting>
  <conditionalFormatting sqref="AA72:AA77">
    <cfRule type="cellIs" dxfId="40" priority="34" operator="equal">
      <formula>"Catastrófico"</formula>
    </cfRule>
    <cfRule type="cellIs" dxfId="39" priority="35" operator="equal">
      <formula>"Mayor"</formula>
    </cfRule>
    <cfRule type="cellIs" dxfId="38" priority="36" operator="equal">
      <formula>"Moderado"</formula>
    </cfRule>
    <cfRule type="cellIs" dxfId="37" priority="37" operator="equal">
      <formula>"Menor"</formula>
    </cfRule>
    <cfRule type="cellIs" dxfId="36" priority="38" operator="equal">
      <formula>"Leve"</formula>
    </cfRule>
  </conditionalFormatting>
  <conditionalFormatting sqref="AC72:AC77">
    <cfRule type="cellIs" dxfId="35" priority="30" operator="equal">
      <formula>"Extremo"</formula>
    </cfRule>
    <cfRule type="cellIs" dxfId="34" priority="31" operator="equal">
      <formula>"Alto"</formula>
    </cfRule>
    <cfRule type="cellIs" dxfId="33" priority="32" operator="equal">
      <formula>"Moderado"</formula>
    </cfRule>
    <cfRule type="cellIs" dxfId="32" priority="33" operator="equal">
      <formula>"Bajo"</formula>
    </cfRule>
  </conditionalFormatting>
  <conditionalFormatting sqref="Y15:Y18">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5:AA18">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5:AC18">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9:Y32">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9:AA32">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9:AC3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8">
        <x14:dataValidation type="custom" allowBlank="1" showInputMessage="1" showErrorMessage="1" error="Recuerde que las acciones se generan bajo la medida de mitigar el riesgo" xr:uid="{00000000-0002-0000-0200-000000000000}">
          <x14:formula1>
            <xm:f>IF(OR(#REF!='C:\Users\USUARIO\Desktop\ALCALDIA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Tratamiento'!#REF!),ISBLANK(#REF!),ISTEXT(#REF!))</xm:f>
          </x14:formula1>
          <xm:sqref>AF50:AF53</xm:sqref>
        </x14:dataValidation>
        <x14:dataValidation type="custom" allowBlank="1" showInputMessage="1" showErrorMessage="1" error="Recuerde que las acciones se generan bajo la medida de mitigar el riesgo" xr:uid="{00000000-0002-0000-0200-000001000000}">
          <x14:formula1>
            <xm:f>IF(OR(#REF!='C:\Users\USUARIO\Desktop\ALCALDIA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Tratamiento'!#REF!),ISBLANK(#REF!),ISTEXT(#REF!))</xm:f>
          </x14:formula1>
          <xm:sqref>AH50:AH53</xm:sqref>
        </x14:dataValidation>
        <x14:dataValidation type="custom" allowBlank="1" showInputMessage="1" showErrorMessage="1" error="Recuerde que las acciones se generan bajo la medida de mitigar el riesgo" xr:uid="{00000000-0002-0000-0200-000002000000}">
          <x14:formula1>
            <xm:f>IF(OR(#REF!='C:\Users\USUARIO\Desktop\ALCALDIA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Tratamiento'!#REF!),ISBLANK(#REF!),ISTEXT(#REF!))</xm:f>
          </x14:formula1>
          <xm:sqref>AE41:AE43</xm:sqref>
        </x14:dataValidation>
        <x14:dataValidation type="custom" allowBlank="1" showInputMessage="1" showErrorMessage="1" error="Recuerde que las acciones se generan bajo la medida de mitigar el riesgo" xr:uid="{00000000-0002-0000-0200-000003000000}">
          <x14:formula1>
            <xm:f>IF(OR(#REF!='C:\Users\USUARIO\Desktop\ALCALDIA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Tratamiento'!#REF!,#REF!='C:\Users\USUARIO\Desktop\ALCALDIA BGA\1.2025\2.MARZO\MAPAS DE RIESGOS\2.DESARROLLO SOCIAL\[MRG 2024 - DESARROLLO SOCIAL ajustado 1 (nov 19 de 2024) (1).xlsx]Opciones Tratamiento'!#REF!),ISBLANK(#REF!),ISTEXT(#REF!))</xm:f>
          </x14:formula1>
          <xm:sqref>AF41:AF42 AF48:AF49</xm:sqref>
        </x14:dataValidation>
        <x14:dataValidation type="custom" allowBlank="1" showInputMessage="1" showErrorMessage="1" error="Recuerde que las acciones se generan bajo la medida de mitigar el riesgo" xr:uid="{00000000-0002-0000-0200-000004000000}">
          <x14:formula1>
            <xm:f>IF(OR(AD40='C:\Users\USUARIO\Desktop\ALCALDIA BGA\1.2025\2.MARZO\MAPAS DE RIESGOS\2.DESARROLLO SOCIAL\[MRG 2024 - DESARROLLO SOCIAL ajustado 1 (nov 19 de 2024) (1).xlsx]Opciones Tratamiento'!#REF!,AD40='C:\Users\USUARIO\Desktop\ALCALDIA BGA\1.2025\2.MARZO\MAPAS DE RIESGOS\2.DESARROLLO SOCIAL\[MRG 2024 - DESARROLLO SOCIAL ajustado 1 (nov 19 de 2024) (1).xlsx]Opciones Tratamiento'!#REF!,AD40='C:\Users\USUARIO\Desktop\ALCALDIA BGA\1.2025\2.MARZO\MAPAS DE RIESGOS\2.DESARROLLO SOCIAL\[MRG 2024 - DESARROLLO SOCIAL ajustado 1 (nov 19 de 2024) (1).xlsx]Opciones Tratamiento'!#REF!),ISBLANK(AD40),ISTEXT(AD40))</xm:f>
          </x14:formula1>
          <xm:sqref>AI50:AI53 AI43:AI46</xm:sqref>
        </x14:dataValidation>
        <x14:dataValidation type="list" allowBlank="1" showInputMessage="1" showErrorMessage="1" xr:uid="{00000000-0002-0000-0200-000005000000}">
          <x14:formula1>
            <xm:f>'C:\Users\USUARIO\Desktop\ALCALDIA BGA\1.2025\2.MARZO\MAPAS DE RIESGOS\ULTIMOS INSUMOS\[RIESGO DE GESTION PARA TODAS LAS QUE TENGAN METAS EN EL PDM.xlsx]Tabla Valoración controles'!#REF!</xm:f>
          </x14:formula1>
          <xm:sqref>R66:S66 U66:W66</xm:sqref>
        </x14:dataValidation>
        <x14:dataValidation type="custom" allowBlank="1" showInputMessage="1" showErrorMessage="1" error="Recuerde que las acciones se generan bajo la medida de mitigar el riesgo" xr:uid="{00000000-0002-0000-0200-000006000000}">
          <x14:formula1>
            <xm:f>IF(OR(AD66='C:\Users\USUARIO\Desktop\ALCALDIA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Tratamiento'!#REF!),ISBLANK(AD66),ISTEXT(AD66))</xm:f>
          </x14:formula1>
          <xm:sqref>AE66</xm:sqref>
        </x14:dataValidation>
        <x14:dataValidation type="custom" allowBlank="1" showInputMessage="1" showErrorMessage="1" error="Recuerde que las acciones se generan bajo la medida de mitigar el riesgo" xr:uid="{00000000-0002-0000-0200-000007000000}">
          <x14:formula1>
            <xm:f>IF(OR(AD66='C:\Users\USUARIO\Desktop\ALCALDIA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Tratamiento'!#REF!),ISBLANK(AD66),ISTEXT(AD66))</xm:f>
          </x14:formula1>
          <xm:sqref>AF66:AG66</xm:sqref>
        </x14:dataValidation>
        <x14:dataValidation type="custom" allowBlank="1" showInputMessage="1" showErrorMessage="1" error="Recuerde que las acciones se generan bajo la medida de mitigar el riesgo" xr:uid="{00000000-0002-0000-0200-000008000000}">
          <x14:formula1>
            <xm:f>IF(OR(AD66='C:\Users\USUARIO\Desktop\ALCALDIA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Tratamiento'!#REF!,AD66='C:\Users\USUARIO\Desktop\ALCALDIA BGA\1.2025\2.MARZO\MAPAS DE RIESGOS\ULTIMOS INSUMOS\[RIESGO DE GESTION PARA TODAS LAS QUE TENGAN METAS EN EL PDM.xlsx]Opciones Tratamiento'!#REF!),ISBLANK(AD66),ISTEXT(AD66))</xm:f>
          </x14:formula1>
          <xm:sqref>AH66:AI66</xm:sqref>
        </x14:dataValidation>
        <x14:dataValidation type="list" allowBlank="1" showInputMessage="1" showErrorMessage="1" xr:uid="{00000000-0002-0000-0200-000009000000}">
          <x14:formula1>
            <xm:f>'C:\Users\USUARIO\Desktop\ALCALDIA BGA\1.2025\2.MARZO\MAPAS DE RIESGOS\ULTIMOS INSUMOS\[RIESGO DE GESTION PARA TODAS LAS QUE TENGAN METAS EN EL PDM.xlsx]Opciones Tratamiento'!#REF!</xm:f>
          </x14:formula1>
          <xm:sqref>F66:F71 AD66 B66:B71</xm:sqref>
        </x14:dataValidation>
        <x14:dataValidation type="list" allowBlank="1" showInputMessage="1" showErrorMessage="1" xr:uid="{00000000-0002-0000-0200-00000A000000}">
          <x14:formula1>
            <xm:f>'C:\Users\USUARIO\Desktop\ALCALDIA BGA\1.2025\2.MARZO\MAPAS DE RIESGOS\ULTIMOS INSUMOS\[RIESGO DE GESTION PARA TODAS LAS QUE TENGAN METAS EN EL PDM.xlsx]Tabla Impacto'!#REF!</xm:f>
          </x14:formula1>
          <xm:sqref>J66:J71</xm:sqref>
        </x14:dataValidation>
        <x14:dataValidation type="list" allowBlank="1" showInputMessage="1" showErrorMessage="1" xr:uid="{00000000-0002-0000-0200-00000B000000}">
          <x14:formula1>
            <xm:f>'C:\Users\USUARIO\Desktop\ALCALDIA BGA\1.2025\2.MARZO\MAPAS DE RIESGOS\ULTIMOS INSUMOS\[F-DPM-10100-238,37-013 Matriz Mapa Riesgos de Gestión 2025 - PLANEACION Ok.xlsx]Tabla Valoración controles'!#REF!</xm:f>
          </x14:formula1>
          <xm:sqref>R54:S54 R60:S60 U54:W54 U60:W60</xm:sqref>
        </x14:dataValidation>
        <x14:dataValidation type="list" allowBlank="1" showInputMessage="1" showErrorMessage="1" xr:uid="{00000000-0002-0000-0200-00000C000000}">
          <x14:formula1>
            <xm:f>'C:\Users\USUARIO\Desktop\ALCALDIA BGA\1.2025\2.MARZO\MAPAS DE RIESGOS\ULTIMOS INSUMOS\[F-DPM-10100-238,37-013 Matriz Mapa Riesgos de Gestión 2025 - PLANEACION Ok.xlsx]Opciones Tratamiento'!#REF!</xm:f>
          </x14:formula1>
          <xm:sqref>B54:B60 AD54 AD60 F54:F60</xm:sqref>
        </x14:dataValidation>
        <x14:dataValidation type="list" allowBlank="1" showInputMessage="1" showErrorMessage="1" xr:uid="{00000000-0002-0000-0200-00000D000000}">
          <x14:formula1>
            <xm:f>'C:\Users\USUARIO\Desktop\ALCALDIA BGA\1.2025\2.MARZO\MAPAS DE RIESGOS\ULTIMOS INSUMOS\[F-DPM-10100-238,37-013 Matriz Mapa Riesgos de Gestión 2025 - PLANEACION Ok.xlsx]Tabla Impacto'!#REF!</xm:f>
          </x14:formula1>
          <xm:sqref>J54:J60</xm:sqref>
        </x14:dataValidation>
        <x14:dataValidation type="list" allowBlank="1" showInputMessage="1" showErrorMessage="1" xr:uid="{00000000-0002-0000-0200-00000E000000}">
          <x14:formula1>
            <xm:f>'C:\Users\USUARIO\Desktop\ALCALDIA BGA\1.2025\2.MARZO\MAPAS DE RIESGOS\2.DESARROLLO SOCIAL\[MRG 2024 - DESARROLLO SOCIAL ajustado 1 (nov 19 de 2024) (1).xlsx]Tabla Valoración controles'!#REF!</xm:f>
          </x14:formula1>
          <xm:sqref>R12:S12 R55:S59 R61:S65 U12:W12 U55:W59 U61:W65 R15:S26 R67:S71 U67:W71 U37:W41 R37:S41 U44:W53 R44:S53 U15:W26 U29:W34 R29:S34</xm:sqref>
        </x14:dataValidation>
        <x14:dataValidation type="custom" allowBlank="1" showInputMessage="1" showErrorMessage="1" error="Recuerde que las acciones se generan bajo la medida de mitigar el riesgo" xr:uid="{00000000-0002-0000-0200-00000F000000}">
          <x14:formula1>
            <xm:f>IF(OR(AD12='C:\Users\USUARIO\Desktop\ALCALDIA BGA\1.2025\2.MARZO\MAPAS DE RIESGOS\2.DESARROLLO SOCIAL\[MRG 2024 - DESARROLLO SOCIAL ajustado 1 (nov 19 de 2024) (1).xlsx]Opciones Tratamiento'!#REF!,AD12='C:\Users\USUARIO\Desktop\ALCALDIA BGA\1.2025\2.MARZO\MAPAS DE RIESGOS\2.DESARROLLO SOCIAL\[MRG 2024 - DESARROLLO SOCIAL ajustado 1 (nov 19 de 2024) (1).xlsx]Opciones Tratamiento'!#REF!,AD12='C:\Users\USUARIO\Desktop\ALCALDIA BGA\1.2025\2.MARZO\MAPAS DE RIESGOS\2.DESARROLLO SOCIAL\[MRG 2024 - DESARROLLO SOCIAL ajustado 1 (nov 19 de 2024) (1).xlsx]Opciones Tratamiento'!#REF!),ISBLANK(AD12),ISTEXT(AD12))</xm:f>
          </x14:formula1>
          <xm:sqref>AE12:AE16 AE23:AE25 AE31:AE34 AG35 AE19:AE20</xm:sqref>
        </x14:dataValidation>
        <x14:dataValidation type="custom" allowBlank="1" showInputMessage="1" showErrorMessage="1" error="Recuerde que las acciones se generan bajo la medida de mitigar el riesgo" xr:uid="{00000000-0002-0000-0200-000010000000}">
          <x14:formula1>
            <xm:f>IF(OR(AD12='C:\Users\USUARIO\Desktop\ALCALDIA BGA\1.2025\2.MARZO\MAPAS DE RIESGOS\2.DESARROLLO SOCIAL\[MRG 2024 - DESARROLLO SOCIAL ajustado 1 (nov 19 de 2024) (1).xlsx]Opciones Tratamiento'!#REF!,AD12='C:\Users\USUARIO\Desktop\ALCALDIA BGA\1.2025\2.MARZO\MAPAS DE RIESGOS\2.DESARROLLO SOCIAL\[MRG 2024 - DESARROLLO SOCIAL ajustado 1 (nov 19 de 2024) (1).xlsx]Opciones Tratamiento'!#REF!,AD12='C:\Users\USUARIO\Desktop\ALCALDIA BGA\1.2025\2.MARZO\MAPAS DE RIESGOS\2.DESARROLLO SOCIAL\[MRG 2024 - DESARROLLO SOCIAL ajustado 1 (nov 19 de 2024) (1).xlsx]Opciones Tratamiento'!#REF!),ISBLANK(AD12),ISTEXT(AD12))</xm:f>
          </x14:formula1>
          <xm:sqref>AF12:AF16 AF23:AF25 AF31:AF34 AF19:AF21</xm:sqref>
        </x14:dataValidation>
        <x14:dataValidation type="custom" allowBlank="1" showInputMessage="1" showErrorMessage="1" error="Recuerde que las acciones se generan bajo la medida de mitigar el riesgo" xr:uid="{00000000-0002-0000-0200-000011000000}">
          <x14:formula1>
            <xm:f>IF(OR(AD14='C:\Users\USUARIO\Desktop\ALCALDIA BGA\1.2025\2.MARZO\MAPAS DE RIESGOS\2.DESARROLLO SOCIAL\[MRG 2024 - DESARROLLO SOCIAL ajustado 1 (nov 19 de 2024) (1).xlsx]Opciones Tratamiento'!#REF!,AD14='C:\Users\USUARIO\Desktop\ALCALDIA BGA\1.2025\2.MARZO\MAPAS DE RIESGOS\2.DESARROLLO SOCIAL\[MRG 2024 - DESARROLLO SOCIAL ajustado 1 (nov 19 de 2024) (1).xlsx]Opciones Tratamiento'!#REF!,AD14='C:\Users\USUARIO\Desktop\ALCALDIA BGA\1.2025\2.MARZO\MAPAS DE RIESGOS\2.DESARROLLO SOCIAL\[MRG 2024 - DESARROLLO SOCIAL ajustado 1 (nov 19 de 2024) (1).xlsx]Opciones Tratamiento'!#REF!),ISBLANK(AD14),ISTEXT(AD14))</xm:f>
          </x14:formula1>
          <xm:sqref>AG14:AG16 AG23:AH25 AG31:AH33 AG19:AH19</xm:sqref>
        </x14:dataValidation>
        <x14:dataValidation type="list" allowBlank="1" showInputMessage="1" showErrorMessage="1" xr:uid="{00000000-0002-0000-0200-000012000000}">
          <x14:formula1>
            <xm:f>'C:\Users\USUARIO\Desktop\ALCALDIA BGA\1.2025\2.MARZO\MAPAS DE RIESGOS\2.DESARROLLO SOCIAL\[MRG 2024 - DESARROLLO SOCIAL ajustado 1 (nov 19 de 2024) (1).xlsx]Tabla Impacto'!#REF!</xm:f>
          </x14:formula1>
          <xm:sqref>J12 J20:J34 J41 J48:J53</xm:sqref>
        </x14:dataValidation>
        <x14:dataValidation type="list" allowBlank="1" showInputMessage="1" showErrorMessage="1" xr:uid="{00000000-0002-0000-0200-000013000000}">
          <x14:formula1>
            <xm:f>'C:\Users\USUARIO\Desktop\ALCALDIA BGA\1.2025\2.MARZO\MAPAS DE RIESGOS\2.DESARROLLO SOCIAL\[MRG 2024 - DESARROLLO SOCIAL ajustado 1 (nov 19 de 2024) (1).xlsx]Opciones Tratamiento'!#REF!</xm:f>
          </x14:formula1>
          <xm:sqref>B12 B20:B34 B41 B48:B53 AD12 AD55:AD59 AD61:AD65 F12 F20:F34 F41 F48:F53 AD67:AD71 AD37:AD41 AD44:AD53 AD15:AD34</xm:sqref>
        </x14:dataValidation>
        <x14:dataValidation type="custom" allowBlank="1" showInputMessage="1" showErrorMessage="1" error="Recuerde que las acciones se generan bajo la medida de mitigar el riesgo" xr:uid="{00000000-0002-0000-0200-000014000000}">
          <x14:formula1>
            <xm:f>IF(OR(AD21='C:\Users\USUARIO\Desktop\ALCALDIA BGA\1.2025\2.MARZO\MAPAS DE RIESGOS\2.DESARROLLO SOCIAL\[MRG 2024 - DESARROLLO SOCIAL ajustado 1 (nov 19 de 2024) (1).xlsx]Opciones Tratamiento'!#REF!,AD21='C:\Users\USUARIO\Desktop\ALCALDIA BGA\1.2025\2.MARZO\MAPAS DE RIESGOS\2.DESARROLLO SOCIAL\[MRG 2024 - DESARROLLO SOCIAL ajustado 1 (nov 19 de 2024) (1).xlsx]Opciones Tratamiento'!#REF!,AD21='C:\Users\USUARIO\Desktop\ALCALDIA BGA\1.2025\2.MARZO\MAPAS DE RIESGOS\2.DESARROLLO SOCIAL\[MRG 2024 - DESARROLLO SOCIAL ajustado 1 (nov 19 de 2024) (1).xlsx]Opciones Tratamiento'!#REF!),ISBLANK(AD21),ISTEXT(AD21))</xm:f>
          </x14:formula1>
          <xm:sqref>AI23:AI25</xm:sqref>
        </x14:dataValidation>
        <x14:dataValidation type="custom" allowBlank="1" showInputMessage="1" showErrorMessage="1" error="Recuerde que las acciones se generan bajo la medida de mitigar el riesgo" xr:uid="{00000000-0002-0000-0200-000015000000}">
          <x14:formula1>
            <xm:f>IF(OR(AE41='C:\Users\USUARIO\Desktop\ALCALDIA BGA\1.2025\2.MARZO\MAPAS DE RIESGOS\2.DESARROLLO SOCIAL\[MRG 2024 - DESARROLLO SOCIAL ajustado 1 (nov 19 de 2024) (1).xlsx]Opciones Tratamiento'!#REF!,AE41='C:\Users\USUARIO\Desktop\ALCALDIA BGA\1.2025\2.MARZO\MAPAS DE RIESGOS\2.DESARROLLO SOCIAL\[MRG 2024 - DESARROLLO SOCIAL ajustado 1 (nov 19 de 2024) (1).xlsx]Opciones Tratamiento'!#REF!,AE41='C:\Users\USUARIO\Desktop\ALCALDIA BGA\1.2025\2.MARZO\MAPAS DE RIESGOS\2.DESARROLLO SOCIAL\[MRG 2024 - DESARROLLO SOCIAL ajustado 1 (nov 19 de 2024) (1).xlsx]Opciones Tratamiento'!#REF!),ISBLANK(AE41),ISTEXT(AE41))</xm:f>
          </x14:formula1>
          <xm:sqref>AH43</xm:sqref>
        </x14:dataValidation>
        <x14:dataValidation type="custom" allowBlank="1" showInputMessage="1" showErrorMessage="1" error="Recuerde que las acciones se generan bajo la medida de mitigar el riesgo" xr:uid="{00000000-0002-0000-0200-000016000000}">
          <x14:formula1>
            <xm:f>IF(OR(AD43='C:\Users\USUARIO\Desktop\ALCALDIA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Tratamiento'!#REF!),ISBLANK(AD43),ISTEXT(AD43))</xm:f>
          </x14:formula1>
          <xm:sqref>AI55:AI59 AI61:AI65 AI67:AI71 AI47</xm:sqref>
        </x14:dataValidation>
        <x14:dataValidation type="custom" allowBlank="1" showInputMessage="1" showErrorMessage="1" error="Recuerde que las acciones se generan bajo la medida de mitigar el riesgo" xr:uid="{00000000-0002-0000-0200-000017000000}">
          <x14:formula1>
            <xm:f>IF(OR(AD41='C:\Users\USUARIO\Desktop\ALCALDIA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Tratamiento'!#REF!),ISBLANK(AD41),ISTEXT(AD41))</xm:f>
          </x14:formula1>
          <xm:sqref>AE55:AE59 AE61:AE65 AE67:AE71 AE44:AE46 AE48:AE53</xm:sqref>
        </x14:dataValidation>
        <x14:dataValidation type="custom" allowBlank="1" showInputMessage="1" showErrorMessage="1" error="Recuerde que las acciones se generan bajo la medida de mitigar el riesgo" xr:uid="{00000000-0002-0000-0200-000018000000}">
          <x14:formula1>
            <xm:f>IF(OR(AD41='C:\Users\USUARIO\Desktop\ALCALDIA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Tratamiento'!#REF!),ISBLANK(AD41),ISTEXT(AD41))</xm:f>
          </x14:formula1>
          <xm:sqref>AF55:AF59 AF61:AF65 AF67:AF71 AF44:AF46</xm:sqref>
        </x14:dataValidation>
        <x14:dataValidation type="custom" allowBlank="1" showInputMessage="1" showErrorMessage="1" error="Recuerde que las acciones se generan bajo la medida de mitigar el riesgo" xr:uid="{00000000-0002-0000-0200-000019000000}">
          <x14:formula1>
            <xm:f>IF(OR(AD41='C:\Users\USUARIO\Desktop\ALCALDIA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Tratamiento'!#REF!,AD41='C:\Users\USUARIO\Desktop\ALCALDIA BGA\1.2025\2.MARZO\MAPAS DE RIESGOS\2.DESARROLLO SOCIAL\[MRG 2024 - DESARROLLO SOCIAL ajustado 1 (nov 19 de 2024) (1).xlsx]Opciones Tratamiento'!#REF!),ISBLANK(AD41),ISTEXT(AD41))</xm:f>
          </x14:formula1>
          <xm:sqref>AG55:AH59 AG61:AH65 AG67:AH71 AG44:AH46 AG48:AG53</xm:sqref>
        </x14:dataValidation>
        <x14:dataValidation type="custom" allowBlank="1" showInputMessage="1" showErrorMessage="1" error="Recuerde que las acciones se generan bajo la medida de mitigar el riesgo" xr:uid="{00000000-0002-0000-0200-00001A000000}">
          <x14:formula1>
            <xm:f>IF(OR(AD13='C:\Users\USUARIO\Desktop\ALCALDIA BGA\1.2025\2.MARZO\MAPAS DE RIESGOS\2.DESARROLLO SOCIAL\[MRG 2024 - DESARROLLO SOCIAL ajustado 1 (nov 19 de 2024) (1).xlsx]Opciones Tratamiento'!#REF!,AD13='C:\Users\USUARIO\Desktop\ALCALDIA BGA\1.2025\2.MARZO\MAPAS DE RIESGOS\2.DESARROLLO SOCIAL\[MRG 2024 - DESARROLLO SOCIAL ajustado 1 (nov 19 de 2024) (1).xlsx]Opciones Tratamiento'!#REF!,AD13='C:\Users\USUARIO\Desktop\ALCALDIA BGA\1.2025\2.MARZO\MAPAS DE RIESGOS\2.DESARROLLO SOCIAL\[MRG 2024 - DESARROLLO SOCIAL ajustado 1 (nov 19 de 2024) (1).xlsx]Opciones Tratamiento'!#REF!),ISBLANK(AD13),ISTEXT(AD13))</xm:f>
          </x14:formula1>
          <xm:sqref>AI17:AI19 AI31:AI33</xm:sqref>
        </x14:dataValidation>
        <x14:dataValidation type="custom" allowBlank="1" showInputMessage="1" showErrorMessage="1" error="Recuerde que las acciones se generan bajo la medida de mitigar el riesgo" xr:uid="{00000000-0002-0000-0200-00001B000000}">
          <x14:formula1>
            <xm:f>IF(OR(AD34='C:\Users\USUARIO\Desktop\ALCALDIA BGA\1.2025\2.MARZO\MAPAS DE RIESGOS\2.DESARROLLO SOCIAL\[MRG 2024 - DESARROLLO SOCIAL ajustado 1 (nov 19 de 2024) (1).xlsx]Opciones Tratamiento'!#REF!,AD34='C:\Users\USUARIO\Desktop\ALCALDIA BGA\1.2025\2.MARZO\MAPAS DE RIESGOS\2.DESARROLLO SOCIAL\[MRG 2024 - DESARROLLO SOCIAL ajustado 1 (nov 19 de 2024) (1).xlsx]Opciones Tratamiento'!#REF!,AD34='C:\Users\USUARIO\Desktop\ALCALDIA BGA\1.2025\2.MARZO\MAPAS DE RIESGOS\2.DESARROLLO SOCIAL\[MRG 2024 - DESARROLLO SOCIAL ajustado 1 (nov 19 de 2024) (1).xlsx]Opciones Tratamiento'!#REF!),ISBLANK(AD34),ISTEXT(AD34))</xm:f>
          </x14:formula1>
          <xm:sqref>AE35:AE38</xm:sqref>
        </x14:dataValidation>
        <x14:dataValidation type="custom" allowBlank="1" showInputMessage="1" showErrorMessage="1" error="Recuerde que las acciones se generan bajo la medida de mitigar el riesgo" xr:uid="{00000000-0002-0000-0200-00001C000000}">
          <x14:formula1>
            <xm:f>IF(OR(AD37='C:\Users\USUARIO\Desktop\ALCALDIA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Tratamiento'!#REF!),ISBLANK(AD37),ISTEXT(AD37))</xm:f>
          </x14:formula1>
          <xm:sqref>AE39:AE40</xm:sqref>
        </x14:dataValidation>
        <x14:dataValidation type="custom" allowBlank="1" showInputMessage="1" showErrorMessage="1" error="Recuerde que las acciones se generan bajo la medida de mitigar el riesgo" xr:uid="{00000000-0002-0000-0200-00001D000000}">
          <x14:formula1>
            <xm:f>IF(OR(AD35='C:\Users\USUARIO\Desktop\ALCALDIA BGA\1.2025\2.MARZO\MAPAS DE RIESGOS\2.DESARROLLO SOCIAL\[MRG 2024 - DESARROLLO SOCIAL ajustado 1 (nov 19 de 2024) (1).xlsx]Opciones Tratamiento'!#REF!,AD35='C:\Users\USUARIO\Desktop\ALCALDIA BGA\1.2025\2.MARZO\MAPAS DE RIESGOS\2.DESARROLLO SOCIAL\[MRG 2024 - DESARROLLO SOCIAL ajustado 1 (nov 19 de 2024) (1).xlsx]Opciones Tratamiento'!#REF!,AD35='C:\Users\USUARIO\Desktop\ALCALDIA BGA\1.2025\2.MARZO\MAPAS DE RIESGOS\2.DESARROLLO SOCIAL\[MRG 2024 - DESARROLLO SOCIAL ajustado 1 (nov 19 de 2024) (1).xlsx]Opciones Tratamiento'!#REF!),ISBLANK(AD35),ISTEXT(AD35))</xm:f>
          </x14:formula1>
          <xm:sqref>AG36:AH38</xm:sqref>
        </x14:dataValidation>
        <x14:dataValidation type="custom" allowBlank="1" showInputMessage="1" showErrorMessage="1" error="Recuerde que las acciones se generan bajo la medida de mitigar el riesgo" xr:uid="{00000000-0002-0000-0200-00001E000000}">
          <x14:formula1>
            <xm:f>IF(OR(AD37='C:\Users\USUARIO\Desktop\ALCALDIA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Tratamiento'!#REF!),ISBLANK(AD37),ISTEXT(AD37))</xm:f>
          </x14:formula1>
          <xm:sqref>AG39:AH40</xm:sqref>
        </x14:dataValidation>
        <x14:dataValidation type="custom" allowBlank="1" showInputMessage="1" showErrorMessage="1" error="Recuerde que las acciones se generan bajo la medida de mitigar el riesgo" xr:uid="{00000000-0002-0000-0200-00001F000000}">
          <x14:formula1>
            <xm:f>IF(OR(AD33='C:\Users\USUARIO\Desktop\ALCALDIA BGA\1.2025\2.MARZO\MAPAS DE RIESGOS\2.DESARROLLO SOCIAL\[MRG 2024 - DESARROLLO SOCIAL ajustado 1 (nov 19 de 2024) (1).xlsx]Opciones Tratamiento'!#REF!,AD33='C:\Users\USUARIO\Desktop\ALCALDIA BGA\1.2025\2.MARZO\MAPAS DE RIESGOS\2.DESARROLLO SOCIAL\[MRG 2024 - DESARROLLO SOCIAL ajustado 1 (nov 19 de 2024) (1).xlsx]Opciones Tratamiento'!#REF!,AD33='C:\Users\USUARIO\Desktop\ALCALDIA BGA\1.2025\2.MARZO\MAPAS DE RIESGOS\2.DESARROLLO SOCIAL\[MRG 2024 - DESARROLLO SOCIAL ajustado 1 (nov 19 de 2024) (1).xlsx]Opciones Tratamiento'!#REF!),ISBLANK(AD33),ISTEXT(AD33))</xm:f>
          </x14:formula1>
          <xm:sqref>AI36:AI38</xm:sqref>
        </x14:dataValidation>
        <x14:dataValidation type="custom" allowBlank="1" showInputMessage="1" showErrorMessage="1" error="Recuerde que las acciones se generan bajo la medida de mitigar el riesgo" xr:uid="{00000000-0002-0000-0200-000020000000}">
          <x14:formula1>
            <xm:f>IF(OR(AD35='C:\Users\USUARIO\Desktop\ALCALDIA BGA\1.2025\2.MARZO\MAPAS DE RIESGOS\2.DESARROLLO SOCIAL\[MRG 2024 - DESARROLLO SOCIAL ajustado 1 (nov 19 de 2024) (1).xlsx]Opciones Tratamiento'!#REF!,AD35='C:\Users\USUARIO\Desktop\ALCALDIA BGA\1.2025\2.MARZO\MAPAS DE RIESGOS\2.DESARROLLO SOCIAL\[MRG 2024 - DESARROLLO SOCIAL ajustado 1 (nov 19 de 2024) (1).xlsx]Opciones Tratamiento'!#REF!,AD35='C:\Users\USUARIO\Desktop\ALCALDIA BGA\1.2025\2.MARZO\MAPAS DE RIESGOS\2.DESARROLLO SOCIAL\[MRG 2024 - DESARROLLO SOCIAL ajustado 1 (nov 19 de 2024) (1).xlsx]Opciones Tratamiento'!#REF!),ISBLANK(AD35),ISTEXT(AD35))</xm:f>
          </x14:formula1>
          <xm:sqref>AI39:AI40</xm:sqref>
        </x14:dataValidation>
        <x14:dataValidation type="custom" allowBlank="1" showInputMessage="1" showErrorMessage="1" error="Recuerde que las acciones se generan bajo la medida de mitigar el riesgo" xr:uid="{00000000-0002-0000-0200-000021000000}">
          <x14:formula1>
            <xm:f>IF(OR(AD34='C:\Users\USUARIO\Desktop\ALCALDIA BGA\1.2025\2.MARZO\MAPAS DE RIESGOS\2.DESARROLLO SOCIAL\[MRG 2024 - DESARROLLO SOCIAL ajustado 1 (nov 19 de 2024) (1).xlsx]Opciones Tratamiento'!#REF!,AD34='C:\Users\USUARIO\Desktop\ALCALDIA BGA\1.2025\2.MARZO\MAPAS DE RIESGOS\2.DESARROLLO SOCIAL\[MRG 2024 - DESARROLLO SOCIAL ajustado 1 (nov 19 de 2024) (1).xlsx]Opciones Tratamiento'!#REF!,AD34='C:\Users\USUARIO\Desktop\ALCALDIA BGA\1.2025\2.MARZO\MAPAS DE RIESGOS\2.DESARROLLO SOCIAL\[MRG 2024 - DESARROLLO SOCIAL ajustado 1 (nov 19 de 2024) (1).xlsx]Opciones Tratamiento'!#REF!),ISBLANK(AD34),ISTEXT(AD34))</xm:f>
          </x14:formula1>
          <xm:sqref>AF35:AF38</xm:sqref>
        </x14:dataValidation>
        <x14:dataValidation type="custom" allowBlank="1" showInputMessage="1" showErrorMessage="1" error="Recuerde que las acciones se generan bajo la medida de mitigar el riesgo" xr:uid="{00000000-0002-0000-0200-000022000000}">
          <x14:formula1>
            <xm:f>IF(OR(AD37='C:\Users\USUARIO\Desktop\ALCALDIA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Tratamiento'!#REF!,AD37='C:\Users\USUARIO\Desktop\ALCALDIA BGA\1.2025\2.MARZO\MAPAS DE RIESGOS\2.DESARROLLO SOCIAL\[MRG 2024 - DESARROLLO SOCIAL ajustado 1 (nov 19 de 2024) (1).xlsx]Opciones Tratamiento'!#REF!),ISBLANK(AD37),ISTEXT(AD37))</xm:f>
          </x14:formula1>
          <xm:sqref>AF39:AF40</xm:sqref>
        </x14:dataValidation>
        <x14:dataValidation type="custom" allowBlank="1" showInputMessage="1" showErrorMessage="1" error="Recuerde que las acciones se generan bajo la medida de mitigar el riesgo" xr:uid="{00000000-0002-0000-0200-000023000000}">
          <x14:formula1>
            <xm:f>IF(OR(AD43='C:\Users\USUARIO\Desktop\ALCALDIA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Tratamiento'!#REF!),ISBLANK(AD43),ISTEXT(AD43))</xm:f>
          </x14:formula1>
          <xm:sqref>AE47</xm:sqref>
        </x14:dataValidation>
        <x14:dataValidation type="custom" allowBlank="1" showInputMessage="1" showErrorMessage="1" error="Recuerde que las acciones se generan bajo la medida de mitigar el riesgo" xr:uid="{00000000-0002-0000-0200-000024000000}">
          <x14:formula1>
            <xm:f>IF(OR(AD43='C:\Users\USUARIO\Desktop\ALCALDIA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Tratamiento'!#REF!),ISBLANK(AD43),ISTEXT(AD43))</xm:f>
          </x14:formula1>
          <xm:sqref>AF47</xm:sqref>
        </x14:dataValidation>
        <x14:dataValidation type="custom" allowBlank="1" showInputMessage="1" showErrorMessage="1" error="Recuerde que las acciones se generan bajo la medida de mitigar el riesgo" xr:uid="{00000000-0002-0000-0200-000025000000}">
          <x14:formula1>
            <xm:f>IF(OR(AD43='C:\Users\USUARIO\Desktop\ALCALDIA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Tratamiento'!#REF!,AD43='C:\Users\USUARIO\Desktop\ALCALDIA BGA\1.2025\2.MARZO\MAPAS DE RIESGOS\2.DESARROLLO SOCIAL\[MRG 2024 - DESARROLLO SOCIAL ajustado 1 (nov 19 de 2024) (1).xlsx]Opciones Tratamiento'!#REF!),ISBLANK(AD43),ISTEXT(AD43))</xm:f>
          </x14:formula1>
          <xm:sqref>AG47:AH47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74" t="s">
        <v>156</v>
      </c>
      <c r="C2" s="574"/>
      <c r="D2" s="574"/>
      <c r="E2" s="574"/>
      <c r="F2" s="574"/>
      <c r="G2" s="574"/>
      <c r="H2" s="574"/>
      <c r="I2" s="574"/>
      <c r="J2" s="542" t="s">
        <v>2</v>
      </c>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74"/>
      <c r="C3" s="574"/>
      <c r="D3" s="574"/>
      <c r="E3" s="574"/>
      <c r="F3" s="574"/>
      <c r="G3" s="574"/>
      <c r="H3" s="574"/>
      <c r="I3" s="574"/>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74"/>
      <c r="C4" s="574"/>
      <c r="D4" s="574"/>
      <c r="E4" s="574"/>
      <c r="F4" s="574"/>
      <c r="G4" s="574"/>
      <c r="H4" s="574"/>
      <c r="I4" s="574"/>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9" t="s">
        <v>4</v>
      </c>
      <c r="C6" s="489"/>
      <c r="D6" s="490"/>
      <c r="E6" s="527" t="s">
        <v>112</v>
      </c>
      <c r="F6" s="528"/>
      <c r="G6" s="528"/>
      <c r="H6" s="528"/>
      <c r="I6" s="529"/>
      <c r="J6" s="538" t="str">
        <f>IF(AND('Mapa de Riesgos'!$H$12="Muy Alta",'Mapa de Riesgos'!$L$12="Leve"),CONCATENATE("R",'Mapa de Riesgos'!$A$12),"")</f>
        <v/>
      </c>
      <c r="K6" s="539"/>
      <c r="L6" s="539" t="str">
        <f>IF(AND('Mapa de Riesgos'!$H$20="Muy Alta",'Mapa de Riesgos'!$L$20="Leve"),CONCATENATE("R",'Mapa de Riesgos'!$A$20),"")</f>
        <v/>
      </c>
      <c r="M6" s="539"/>
      <c r="N6" s="539" t="str">
        <f>IF(AND('Mapa de Riesgos'!$H$26="Muy Alta",'Mapa de Riesgos'!$L$26="Leve"),CONCATENATE("R",'Mapa de Riesgos'!$A$26),"")</f>
        <v/>
      </c>
      <c r="O6" s="541"/>
      <c r="P6" s="538" t="str">
        <f>IF(AND('Mapa de Riesgos'!$H$12="Muy Alta",'Mapa de Riesgos'!$L$12="Menor"),CONCATENATE("R",'Mapa de Riesgos'!$A$12),"")</f>
        <v/>
      </c>
      <c r="Q6" s="539"/>
      <c r="R6" s="539" t="str">
        <f>IF(AND('Mapa de Riesgos'!$H$20="Muy Alta",'Mapa de Riesgos'!$L$20="Menor"),CONCATENATE("R",'Mapa de Riesgos'!$A$20),"")</f>
        <v/>
      </c>
      <c r="S6" s="539"/>
      <c r="T6" s="539" t="str">
        <f>IF(AND('Mapa de Riesgos'!$H$26="Muy Alta",'Mapa de Riesgos'!$L$26="Menor"),CONCATENATE("R",'Mapa de Riesgos'!$A$26),"")</f>
        <v/>
      </c>
      <c r="U6" s="541"/>
      <c r="V6" s="538" t="str">
        <f>IF(AND('Mapa de Riesgos'!$H$12="Muy Alta",'Mapa de Riesgos'!$L$12="Moderado"),CONCATENATE("R",'Mapa de Riesgos'!$A$12),"")</f>
        <v/>
      </c>
      <c r="W6" s="539"/>
      <c r="X6" s="539" t="str">
        <f>IF(AND('Mapa de Riesgos'!$H$20="Muy Alta",'Mapa de Riesgos'!$L$20="Moderado"),CONCATENATE("R",'Mapa de Riesgos'!$A$20),"")</f>
        <v/>
      </c>
      <c r="Y6" s="539"/>
      <c r="Z6" s="539" t="str">
        <f>IF(AND('Mapa de Riesgos'!$H$26="Muy Alta",'Mapa de Riesgos'!$L$26="Moderado"),CONCATENATE("R",'Mapa de Riesgos'!$A$26),"")</f>
        <v/>
      </c>
      <c r="AA6" s="541"/>
      <c r="AB6" s="538" t="str">
        <f>IF(AND('Mapa de Riesgos'!$H$12="Muy Alta",'Mapa de Riesgos'!$L$12="Mayor"),CONCATENATE("R",'Mapa de Riesgos'!$A$12),"")</f>
        <v/>
      </c>
      <c r="AC6" s="539"/>
      <c r="AD6" s="539" t="str">
        <f>IF(AND('Mapa de Riesgos'!$H$20="Muy Alta",'Mapa de Riesgos'!$L$20="Mayor"),CONCATENATE("R",'Mapa de Riesgos'!$A$20),"")</f>
        <v/>
      </c>
      <c r="AE6" s="539"/>
      <c r="AF6" s="539" t="str">
        <f>IF(AND('Mapa de Riesgos'!$H$26="Muy Alta",'Mapa de Riesgos'!$L$26="Mayor"),CONCATENATE("R",'Mapa de Riesgos'!$A$26),"")</f>
        <v/>
      </c>
      <c r="AG6" s="541"/>
      <c r="AH6" s="553" t="str">
        <f>IF(AND('Mapa de Riesgos'!$H$12="Muy Alta",'Mapa de Riesgos'!$L$12="Catastrófico"),CONCATENATE("R",'Mapa de Riesgos'!$A$12),"")</f>
        <v/>
      </c>
      <c r="AI6" s="554"/>
      <c r="AJ6" s="554" t="str">
        <f>IF(AND('Mapa de Riesgos'!$H$20="Muy Alta",'Mapa de Riesgos'!$L$20="Catastrófico"),CONCATENATE("R",'Mapa de Riesgos'!$A$20),"")</f>
        <v/>
      </c>
      <c r="AK6" s="554"/>
      <c r="AL6" s="554" t="str">
        <f>IF(AND('Mapa de Riesgos'!$H$26="Muy Alta",'Mapa de Riesgos'!$L$26="Catastrófico"),CONCATENATE("R",'Mapa de Riesgos'!$A$26),"")</f>
        <v/>
      </c>
      <c r="AM6" s="555"/>
      <c r="AO6" s="491" t="s">
        <v>75</v>
      </c>
      <c r="AP6" s="492"/>
      <c r="AQ6" s="492"/>
      <c r="AR6" s="492"/>
      <c r="AS6" s="492"/>
      <c r="AT6" s="4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9"/>
      <c r="C7" s="489"/>
      <c r="D7" s="490"/>
      <c r="E7" s="530"/>
      <c r="F7" s="531"/>
      <c r="G7" s="531"/>
      <c r="H7" s="531"/>
      <c r="I7" s="532"/>
      <c r="J7" s="540"/>
      <c r="K7" s="536"/>
      <c r="L7" s="536"/>
      <c r="M7" s="536"/>
      <c r="N7" s="536"/>
      <c r="O7" s="537"/>
      <c r="P7" s="540"/>
      <c r="Q7" s="536"/>
      <c r="R7" s="536"/>
      <c r="S7" s="536"/>
      <c r="T7" s="536"/>
      <c r="U7" s="537"/>
      <c r="V7" s="540"/>
      <c r="W7" s="536"/>
      <c r="X7" s="536"/>
      <c r="Y7" s="536"/>
      <c r="Z7" s="536"/>
      <c r="AA7" s="537"/>
      <c r="AB7" s="540"/>
      <c r="AC7" s="536"/>
      <c r="AD7" s="536"/>
      <c r="AE7" s="536"/>
      <c r="AF7" s="536"/>
      <c r="AG7" s="537"/>
      <c r="AH7" s="547"/>
      <c r="AI7" s="548"/>
      <c r="AJ7" s="548"/>
      <c r="AK7" s="548"/>
      <c r="AL7" s="548"/>
      <c r="AM7" s="549"/>
      <c r="AN7" s="83"/>
      <c r="AO7" s="494"/>
      <c r="AP7" s="495"/>
      <c r="AQ7" s="495"/>
      <c r="AR7" s="495"/>
      <c r="AS7" s="495"/>
      <c r="AT7" s="4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9"/>
      <c r="C8" s="489"/>
      <c r="D8" s="490"/>
      <c r="E8" s="530"/>
      <c r="F8" s="531"/>
      <c r="G8" s="531"/>
      <c r="H8" s="531"/>
      <c r="I8" s="532"/>
      <c r="J8" s="540" t="str">
        <f>IF(AND('Mapa de Riesgos'!$H$34="Muy Alta",'Mapa de Riesgos'!$L$34="Leve"),CONCATENATE("R",'Mapa de Riesgos'!$A$34),"")</f>
        <v/>
      </c>
      <c r="K8" s="536"/>
      <c r="L8" s="536" t="str">
        <f>IF(AND('Mapa de Riesgos'!$H$41="Muy Alta",'Mapa de Riesgos'!$L$41="Leve"),CONCATENATE("R",'Mapa de Riesgos'!$A$41),"")</f>
        <v/>
      </c>
      <c r="M8" s="536"/>
      <c r="N8" s="536" t="str">
        <f>IF(AND('Mapa de Riesgos'!$H$48="Muy Alta",'Mapa de Riesgos'!$L$48="Leve"),CONCATENATE("R",'Mapa de Riesgos'!$A$48),"")</f>
        <v/>
      </c>
      <c r="O8" s="537"/>
      <c r="P8" s="540" t="str">
        <f>IF(AND('Mapa de Riesgos'!$H$34="Muy Alta",'Mapa de Riesgos'!$L$34="Menor"),CONCATENATE("R",'Mapa de Riesgos'!$A$34),"")</f>
        <v/>
      </c>
      <c r="Q8" s="536"/>
      <c r="R8" s="536" t="str">
        <f>IF(AND('Mapa de Riesgos'!$H$41="Muy Alta",'Mapa de Riesgos'!$L$41="Menor"),CONCATENATE("R",'Mapa de Riesgos'!$A$41),"")</f>
        <v/>
      </c>
      <c r="S8" s="536"/>
      <c r="T8" s="536" t="str">
        <f>IF(AND('Mapa de Riesgos'!$H$48="Muy Alta",'Mapa de Riesgos'!$L$48="Menor"),CONCATENATE("R",'Mapa de Riesgos'!$A$48),"")</f>
        <v/>
      </c>
      <c r="U8" s="537"/>
      <c r="V8" s="540" t="str">
        <f>IF(AND('Mapa de Riesgos'!$H$34="Muy Alta",'Mapa de Riesgos'!$L$34="Moderado"),CONCATENATE("R",'Mapa de Riesgos'!$A$34),"")</f>
        <v/>
      </c>
      <c r="W8" s="536"/>
      <c r="X8" s="536" t="str">
        <f>IF(AND('Mapa de Riesgos'!$H$41="Muy Alta",'Mapa de Riesgos'!$L$41="Moderado"),CONCATENATE("R",'Mapa de Riesgos'!$A$41),"")</f>
        <v/>
      </c>
      <c r="Y8" s="536"/>
      <c r="Z8" s="536" t="str">
        <f>IF(AND('Mapa de Riesgos'!$H$48="Muy Alta",'Mapa de Riesgos'!$L$48="Moderado"),CONCATENATE("R",'Mapa de Riesgos'!$A$48),"")</f>
        <v/>
      </c>
      <c r="AA8" s="537"/>
      <c r="AB8" s="540" t="str">
        <f>IF(AND('Mapa de Riesgos'!$H$34="Muy Alta",'Mapa de Riesgos'!$L$34="Mayor"),CONCATENATE("R",'Mapa de Riesgos'!$A$34),"")</f>
        <v/>
      </c>
      <c r="AC8" s="536"/>
      <c r="AD8" s="536" t="str">
        <f>IF(AND('Mapa de Riesgos'!$H$41="Muy Alta",'Mapa de Riesgos'!$L$41="Mayor"),CONCATENATE("R",'Mapa de Riesgos'!$A$41),"")</f>
        <v/>
      </c>
      <c r="AE8" s="536"/>
      <c r="AF8" s="536" t="str">
        <f>IF(AND('Mapa de Riesgos'!$H$48="Muy Alta",'Mapa de Riesgos'!$L$48="Mayor"),CONCATENATE("R",'Mapa de Riesgos'!$A$48),"")</f>
        <v/>
      </c>
      <c r="AG8" s="537"/>
      <c r="AH8" s="547" t="str">
        <f>IF(AND('Mapa de Riesgos'!$H$34="Muy Alta",'Mapa de Riesgos'!$L$34="Catastrófico"),CONCATENATE("R",'Mapa de Riesgos'!$A$34),"")</f>
        <v/>
      </c>
      <c r="AI8" s="548"/>
      <c r="AJ8" s="548" t="str">
        <f>IF(AND('Mapa de Riesgos'!$H$41="Muy Alta",'Mapa de Riesgos'!$L$41="Catastrófico"),CONCATENATE("R",'Mapa de Riesgos'!$A$41),"")</f>
        <v/>
      </c>
      <c r="AK8" s="548"/>
      <c r="AL8" s="548" t="str">
        <f>IF(AND('Mapa de Riesgos'!$H$48="Muy Alta",'Mapa de Riesgos'!$L$48="Catastrófico"),CONCATENATE("R",'Mapa de Riesgos'!$A$48),"")</f>
        <v/>
      </c>
      <c r="AM8" s="549"/>
      <c r="AN8" s="83"/>
      <c r="AO8" s="494"/>
      <c r="AP8" s="495"/>
      <c r="AQ8" s="495"/>
      <c r="AR8" s="495"/>
      <c r="AS8" s="495"/>
      <c r="AT8" s="4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9"/>
      <c r="C9" s="489"/>
      <c r="D9" s="490"/>
      <c r="E9" s="530"/>
      <c r="F9" s="531"/>
      <c r="G9" s="531"/>
      <c r="H9" s="531"/>
      <c r="I9" s="532"/>
      <c r="J9" s="540"/>
      <c r="K9" s="536"/>
      <c r="L9" s="536"/>
      <c r="M9" s="536"/>
      <c r="N9" s="536"/>
      <c r="O9" s="537"/>
      <c r="P9" s="540"/>
      <c r="Q9" s="536"/>
      <c r="R9" s="536"/>
      <c r="S9" s="536"/>
      <c r="T9" s="536"/>
      <c r="U9" s="537"/>
      <c r="V9" s="540"/>
      <c r="W9" s="536"/>
      <c r="X9" s="536"/>
      <c r="Y9" s="536"/>
      <c r="Z9" s="536"/>
      <c r="AA9" s="537"/>
      <c r="AB9" s="540"/>
      <c r="AC9" s="536"/>
      <c r="AD9" s="536"/>
      <c r="AE9" s="536"/>
      <c r="AF9" s="536"/>
      <c r="AG9" s="537"/>
      <c r="AH9" s="547"/>
      <c r="AI9" s="548"/>
      <c r="AJ9" s="548"/>
      <c r="AK9" s="548"/>
      <c r="AL9" s="548"/>
      <c r="AM9" s="549"/>
      <c r="AN9" s="83"/>
      <c r="AO9" s="494"/>
      <c r="AP9" s="495"/>
      <c r="AQ9" s="495"/>
      <c r="AR9" s="495"/>
      <c r="AS9" s="495"/>
      <c r="AT9" s="4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9"/>
      <c r="C10" s="489"/>
      <c r="D10" s="490"/>
      <c r="E10" s="530"/>
      <c r="F10" s="531"/>
      <c r="G10" s="531"/>
      <c r="H10" s="531"/>
      <c r="I10" s="532"/>
      <c r="J10" s="540" t="str">
        <f>IF(AND('Mapa de Riesgos'!$H$54="Muy Alta",'Mapa de Riesgos'!$L$54="Leve"),CONCATENATE("R",'Mapa de Riesgos'!$A$54),"")</f>
        <v/>
      </c>
      <c r="K10" s="536"/>
      <c r="L10" s="536" t="str">
        <f>IF(AND('Mapa de Riesgos'!$H$60="Muy Alta",'Mapa de Riesgos'!$L$60="Leve"),CONCATENATE("R",'Mapa de Riesgos'!$A$60),"")</f>
        <v/>
      </c>
      <c r="M10" s="536"/>
      <c r="N10" s="536" t="str">
        <f>IF(AND('Mapa de Riesgos'!$H$66="Muy Alta",'Mapa de Riesgos'!$L$66="Leve"),CONCATENATE("R",'Mapa de Riesgos'!$A$66),"")</f>
        <v/>
      </c>
      <c r="O10" s="537"/>
      <c r="P10" s="540" t="str">
        <f>IF(AND('Mapa de Riesgos'!$H$54="Muy Alta",'Mapa de Riesgos'!$L$54="Menor"),CONCATENATE("R",'Mapa de Riesgos'!$A$54),"")</f>
        <v/>
      </c>
      <c r="Q10" s="536"/>
      <c r="R10" s="536" t="str">
        <f>IF(AND('Mapa de Riesgos'!$H$60="Muy Alta",'Mapa de Riesgos'!$L$60="Menor"),CONCATENATE("R",'Mapa de Riesgos'!$A$60),"")</f>
        <v/>
      </c>
      <c r="S10" s="536"/>
      <c r="T10" s="536" t="str">
        <f>IF(AND('Mapa de Riesgos'!$H$66="Muy Alta",'Mapa de Riesgos'!$L$66="Menor"),CONCATENATE("R",'Mapa de Riesgos'!$A$66),"")</f>
        <v/>
      </c>
      <c r="U10" s="537"/>
      <c r="V10" s="540" t="str">
        <f>IF(AND('Mapa de Riesgos'!$H$54="Muy Alta",'Mapa de Riesgos'!$L$54="Moderado"),CONCATENATE("R",'Mapa de Riesgos'!$A$54),"")</f>
        <v/>
      </c>
      <c r="W10" s="536"/>
      <c r="X10" s="536" t="str">
        <f>IF(AND('Mapa de Riesgos'!$H$60="Muy Alta",'Mapa de Riesgos'!$L$60="Moderado"),CONCATENATE("R",'Mapa de Riesgos'!$A$60),"")</f>
        <v/>
      </c>
      <c r="Y10" s="536"/>
      <c r="Z10" s="536" t="str">
        <f>IF(AND('Mapa de Riesgos'!$H$66="Muy Alta",'Mapa de Riesgos'!$L$66="Moderado"),CONCATENATE("R",'Mapa de Riesgos'!$A$66),"")</f>
        <v/>
      </c>
      <c r="AA10" s="537"/>
      <c r="AB10" s="540" t="str">
        <f>IF(AND('Mapa de Riesgos'!$H$54="Muy Alta",'Mapa de Riesgos'!$L$54="Mayor"),CONCATENATE("R",'Mapa de Riesgos'!$A$54),"")</f>
        <v/>
      </c>
      <c r="AC10" s="536"/>
      <c r="AD10" s="536" t="str">
        <f>IF(AND('Mapa de Riesgos'!$H$60="Muy Alta",'Mapa de Riesgos'!$L$60="Mayor"),CONCATENATE("R",'Mapa de Riesgos'!$A$60),"")</f>
        <v/>
      </c>
      <c r="AE10" s="536"/>
      <c r="AF10" s="536" t="str">
        <f>IF(AND('Mapa de Riesgos'!$H$66="Muy Alta",'Mapa de Riesgos'!$L$66="Mayor"),CONCATENATE("R",'Mapa de Riesgos'!$A$66),"")</f>
        <v/>
      </c>
      <c r="AG10" s="537"/>
      <c r="AH10" s="547" t="str">
        <f>IF(AND('Mapa de Riesgos'!$H$54="Muy Alta",'Mapa de Riesgos'!$L$54="Catastrófico"),CONCATENATE("R",'Mapa de Riesgos'!$A$54),"")</f>
        <v/>
      </c>
      <c r="AI10" s="548"/>
      <c r="AJ10" s="548" t="str">
        <f>IF(AND('Mapa de Riesgos'!$H$60="Muy Alta",'Mapa de Riesgos'!$L$60="Catastrófico"),CONCATENATE("R",'Mapa de Riesgos'!$A$60),"")</f>
        <v/>
      </c>
      <c r="AK10" s="548"/>
      <c r="AL10" s="548" t="str">
        <f>IF(AND('Mapa de Riesgos'!$H$66="Muy Alta",'Mapa de Riesgos'!$L$66="Catastrófico"),CONCATENATE("R",'Mapa de Riesgos'!$A$66),"")</f>
        <v/>
      </c>
      <c r="AM10" s="549"/>
      <c r="AN10" s="83"/>
      <c r="AO10" s="494"/>
      <c r="AP10" s="495"/>
      <c r="AQ10" s="495"/>
      <c r="AR10" s="495"/>
      <c r="AS10" s="495"/>
      <c r="AT10" s="4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9"/>
      <c r="C11" s="489"/>
      <c r="D11" s="490"/>
      <c r="E11" s="530"/>
      <c r="F11" s="531"/>
      <c r="G11" s="531"/>
      <c r="H11" s="531"/>
      <c r="I11" s="532"/>
      <c r="J11" s="540"/>
      <c r="K11" s="536"/>
      <c r="L11" s="536"/>
      <c r="M11" s="536"/>
      <c r="N11" s="536"/>
      <c r="O11" s="537"/>
      <c r="P11" s="540"/>
      <c r="Q11" s="536"/>
      <c r="R11" s="536"/>
      <c r="S11" s="536"/>
      <c r="T11" s="536"/>
      <c r="U11" s="537"/>
      <c r="V11" s="540"/>
      <c r="W11" s="536"/>
      <c r="X11" s="536"/>
      <c r="Y11" s="536"/>
      <c r="Z11" s="536"/>
      <c r="AA11" s="537"/>
      <c r="AB11" s="540"/>
      <c r="AC11" s="536"/>
      <c r="AD11" s="536"/>
      <c r="AE11" s="536"/>
      <c r="AF11" s="536"/>
      <c r="AG11" s="537"/>
      <c r="AH11" s="547"/>
      <c r="AI11" s="548"/>
      <c r="AJ11" s="548"/>
      <c r="AK11" s="548"/>
      <c r="AL11" s="548"/>
      <c r="AM11" s="549"/>
      <c r="AN11" s="83"/>
      <c r="AO11" s="494"/>
      <c r="AP11" s="495"/>
      <c r="AQ11" s="495"/>
      <c r="AR11" s="495"/>
      <c r="AS11" s="495"/>
      <c r="AT11" s="4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9"/>
      <c r="C12" s="489"/>
      <c r="D12" s="490"/>
      <c r="E12" s="530"/>
      <c r="F12" s="531"/>
      <c r="G12" s="531"/>
      <c r="H12" s="531"/>
      <c r="I12" s="532"/>
      <c r="J12" s="540" t="str">
        <f>IF(AND('Mapa de Riesgos'!$H$72="Muy Alta",'Mapa de Riesgos'!$L$72="Leve"),CONCATENATE("R",'Mapa de Riesgos'!$A$72),"")</f>
        <v/>
      </c>
      <c r="K12" s="536"/>
      <c r="L12" s="536" t="str">
        <f>IF(AND('Mapa de Riesgos'!$H$78="Muy Alta",'Mapa de Riesgos'!$L$78="Leve"),CONCATENATE("R",'Mapa de Riesgos'!$A$78),"")</f>
        <v/>
      </c>
      <c r="M12" s="536"/>
      <c r="N12" s="536" t="str">
        <f>IF(AND('Mapa de Riesgos'!$H$84="Muy Alta",'Mapa de Riesgos'!$L$84="Leve"),CONCATENATE("R",'Mapa de Riesgos'!$A$84),"")</f>
        <v/>
      </c>
      <c r="O12" s="537"/>
      <c r="P12" s="540" t="str">
        <f>IF(AND('Mapa de Riesgos'!$H$72="Muy Alta",'Mapa de Riesgos'!$L$72="Menor"),CONCATENATE("R",'Mapa de Riesgos'!$A$72),"")</f>
        <v/>
      </c>
      <c r="Q12" s="536"/>
      <c r="R12" s="536" t="str">
        <f>IF(AND('Mapa de Riesgos'!$H$78="Muy Alta",'Mapa de Riesgos'!$L$78="Menor"),CONCATENATE("R",'Mapa de Riesgos'!$A$78),"")</f>
        <v/>
      </c>
      <c r="S12" s="536"/>
      <c r="T12" s="536" t="str">
        <f>IF(AND('Mapa de Riesgos'!$H$84="Muy Alta",'Mapa de Riesgos'!$L$84="Menor"),CONCATENATE("R",'Mapa de Riesgos'!$A$84),"")</f>
        <v/>
      </c>
      <c r="U12" s="537"/>
      <c r="V12" s="540" t="str">
        <f>IF(AND('Mapa de Riesgos'!$H$72="Muy Alta",'Mapa de Riesgos'!$L$72="Moderado"),CONCATENATE("R",'Mapa de Riesgos'!$A$72),"")</f>
        <v/>
      </c>
      <c r="W12" s="536"/>
      <c r="X12" s="536" t="str">
        <f>IF(AND('Mapa de Riesgos'!$H$78="Muy Alta",'Mapa de Riesgos'!$L$78="Moderado"),CONCATENATE("R",'Mapa de Riesgos'!$A$78),"")</f>
        <v/>
      </c>
      <c r="Y12" s="536"/>
      <c r="Z12" s="536" t="str">
        <f>IF(AND('Mapa de Riesgos'!$H$84="Muy Alta",'Mapa de Riesgos'!$L$84="Moderado"),CONCATENATE("R",'Mapa de Riesgos'!$A$84),"")</f>
        <v/>
      </c>
      <c r="AA12" s="537"/>
      <c r="AB12" s="540" t="str">
        <f>IF(AND('Mapa de Riesgos'!$H$72="Muy Alta",'Mapa de Riesgos'!$L$72="Mayor"),CONCATENATE("R",'Mapa de Riesgos'!$A$72),"")</f>
        <v/>
      </c>
      <c r="AC12" s="536"/>
      <c r="AD12" s="536" t="str">
        <f>IF(AND('Mapa de Riesgos'!$H$78="Muy Alta",'Mapa de Riesgos'!$L$78="Mayor"),CONCATENATE("R",'Mapa de Riesgos'!$A$78),"")</f>
        <v/>
      </c>
      <c r="AE12" s="536"/>
      <c r="AF12" s="536" t="str">
        <f>IF(AND('Mapa de Riesgos'!$H$84="Muy Alta",'Mapa de Riesgos'!$L$84="Mayor"),CONCATENATE("R",'Mapa de Riesgos'!$A$84),"")</f>
        <v/>
      </c>
      <c r="AG12" s="537"/>
      <c r="AH12" s="547" t="str">
        <f>IF(AND('Mapa de Riesgos'!$H$72="Muy Alta",'Mapa de Riesgos'!$L$72="Catastrófico"),CONCATENATE("R",'Mapa de Riesgos'!$A$72),"")</f>
        <v/>
      </c>
      <c r="AI12" s="548"/>
      <c r="AJ12" s="548" t="str">
        <f>IF(AND('Mapa de Riesgos'!$H$78="Muy Alta",'Mapa de Riesgos'!$L$78="Catastrófico"),CONCATENATE("R",'Mapa de Riesgos'!$A$78),"")</f>
        <v/>
      </c>
      <c r="AK12" s="548"/>
      <c r="AL12" s="548" t="str">
        <f>IF(AND('Mapa de Riesgos'!$H$84="Muy Alta",'Mapa de Riesgos'!$L$84="Catastrófico"),CONCATENATE("R",'Mapa de Riesgos'!$A$84),"")</f>
        <v/>
      </c>
      <c r="AM12" s="549"/>
      <c r="AN12" s="83"/>
      <c r="AO12" s="494"/>
      <c r="AP12" s="495"/>
      <c r="AQ12" s="495"/>
      <c r="AR12" s="495"/>
      <c r="AS12" s="495"/>
      <c r="AT12" s="4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9"/>
      <c r="C13" s="489"/>
      <c r="D13" s="490"/>
      <c r="E13" s="533"/>
      <c r="F13" s="534"/>
      <c r="G13" s="534"/>
      <c r="H13" s="534"/>
      <c r="I13" s="535"/>
      <c r="J13" s="540"/>
      <c r="K13" s="536"/>
      <c r="L13" s="536"/>
      <c r="M13" s="536"/>
      <c r="N13" s="536"/>
      <c r="O13" s="537"/>
      <c r="P13" s="540"/>
      <c r="Q13" s="536"/>
      <c r="R13" s="536"/>
      <c r="S13" s="536"/>
      <c r="T13" s="536"/>
      <c r="U13" s="537"/>
      <c r="V13" s="540"/>
      <c r="W13" s="536"/>
      <c r="X13" s="536"/>
      <c r="Y13" s="536"/>
      <c r="Z13" s="536"/>
      <c r="AA13" s="537"/>
      <c r="AB13" s="540"/>
      <c r="AC13" s="536"/>
      <c r="AD13" s="536"/>
      <c r="AE13" s="536"/>
      <c r="AF13" s="536"/>
      <c r="AG13" s="537"/>
      <c r="AH13" s="550"/>
      <c r="AI13" s="551"/>
      <c r="AJ13" s="551"/>
      <c r="AK13" s="551"/>
      <c r="AL13" s="551"/>
      <c r="AM13" s="552"/>
      <c r="AN13" s="83"/>
      <c r="AO13" s="497"/>
      <c r="AP13" s="498"/>
      <c r="AQ13" s="498"/>
      <c r="AR13" s="498"/>
      <c r="AS13" s="498"/>
      <c r="AT13" s="49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9"/>
      <c r="C14" s="489"/>
      <c r="D14" s="490"/>
      <c r="E14" s="527" t="s">
        <v>111</v>
      </c>
      <c r="F14" s="528"/>
      <c r="G14" s="528"/>
      <c r="H14" s="528"/>
      <c r="I14" s="528"/>
      <c r="J14" s="562" t="str">
        <f>IF(AND('Mapa de Riesgos'!$H$12="Alta",'Mapa de Riesgos'!$L$12="Leve"),CONCATENATE("R",'Mapa de Riesgos'!$A$12),"")</f>
        <v/>
      </c>
      <c r="K14" s="563"/>
      <c r="L14" s="563" t="str">
        <f>IF(AND('Mapa de Riesgos'!$H$20="Alta",'Mapa de Riesgos'!$L$20="Leve"),CONCATENATE("R",'Mapa de Riesgos'!$A$20),"")</f>
        <v/>
      </c>
      <c r="M14" s="563"/>
      <c r="N14" s="563" t="str">
        <f>IF(AND('Mapa de Riesgos'!$H$26="Alta",'Mapa de Riesgos'!$L$26="Leve"),CONCATENATE("R",'Mapa de Riesgos'!$A$26),"")</f>
        <v/>
      </c>
      <c r="O14" s="564"/>
      <c r="P14" s="562" t="str">
        <f>IF(AND('Mapa de Riesgos'!$H$12="Alta",'Mapa de Riesgos'!$L$12="Menor"),CONCATENATE("R",'Mapa de Riesgos'!$A$12),"")</f>
        <v/>
      </c>
      <c r="Q14" s="563"/>
      <c r="R14" s="563" t="str">
        <f>IF(AND('Mapa de Riesgos'!$H$20="Alta",'Mapa de Riesgos'!$L$20="Menor"),CONCATENATE("R",'Mapa de Riesgos'!$A$20),"")</f>
        <v/>
      </c>
      <c r="S14" s="563"/>
      <c r="T14" s="563" t="str">
        <f>IF(AND('Mapa de Riesgos'!$H$26="Alta",'Mapa de Riesgos'!$L$26="Menor"),CONCATENATE("R",'Mapa de Riesgos'!$A$26),"")</f>
        <v/>
      </c>
      <c r="U14" s="564"/>
      <c r="V14" s="538" t="str">
        <f>IF(AND('Mapa de Riesgos'!$H$12="Alta",'Mapa de Riesgos'!$L$12="Moderado"),CONCATENATE("R",'Mapa de Riesgos'!$A$12),"")</f>
        <v/>
      </c>
      <c r="W14" s="539"/>
      <c r="X14" s="539" t="str">
        <f>IF(AND('Mapa de Riesgos'!$H$20="Alta",'Mapa de Riesgos'!$L$20="Moderado"),CONCATENATE("R",'Mapa de Riesgos'!$A$20),"")</f>
        <v/>
      </c>
      <c r="Y14" s="539"/>
      <c r="Z14" s="539" t="str">
        <f>IF(AND('Mapa de Riesgos'!$H$26="Alta",'Mapa de Riesgos'!$L$26="Moderado"),CONCATENATE("R",'Mapa de Riesgos'!$A$26),"")</f>
        <v/>
      </c>
      <c r="AA14" s="541"/>
      <c r="AB14" s="538" t="str">
        <f>IF(AND('Mapa de Riesgos'!$H$12="Alta",'Mapa de Riesgos'!$L$12="Mayor"),CONCATENATE("R",'Mapa de Riesgos'!$A$12),"")</f>
        <v/>
      </c>
      <c r="AC14" s="539"/>
      <c r="AD14" s="539" t="str">
        <f>IF(AND('Mapa de Riesgos'!$H$20="Alta",'Mapa de Riesgos'!$L$20="Mayor"),CONCATENATE("R",'Mapa de Riesgos'!$A$20),"")</f>
        <v/>
      </c>
      <c r="AE14" s="539"/>
      <c r="AF14" s="539" t="str">
        <f>IF(AND('Mapa de Riesgos'!$H$26="Alta",'Mapa de Riesgos'!$L$26="Mayor"),CONCATENATE("R",'Mapa de Riesgos'!$A$26),"")</f>
        <v/>
      </c>
      <c r="AG14" s="541"/>
      <c r="AH14" s="553" t="str">
        <f>IF(AND('Mapa de Riesgos'!$H$12="Alta",'Mapa de Riesgos'!$L$12="Catastrófico"),CONCATENATE("R",'Mapa de Riesgos'!$A$12),"")</f>
        <v/>
      </c>
      <c r="AI14" s="554"/>
      <c r="AJ14" s="554" t="str">
        <f>IF(AND('Mapa de Riesgos'!$H$20="Alta",'Mapa de Riesgos'!$L$20="Catastrófico"),CONCATENATE("R",'Mapa de Riesgos'!$A$20),"")</f>
        <v/>
      </c>
      <c r="AK14" s="554"/>
      <c r="AL14" s="554" t="str">
        <f>IF(AND('Mapa de Riesgos'!$H$26="Alta",'Mapa de Riesgos'!$L$26="Catastrófico"),CONCATENATE("R",'Mapa de Riesgos'!$A$26),"")</f>
        <v/>
      </c>
      <c r="AM14" s="555"/>
      <c r="AN14" s="83"/>
      <c r="AO14" s="500" t="s">
        <v>76</v>
      </c>
      <c r="AP14" s="501"/>
      <c r="AQ14" s="501"/>
      <c r="AR14" s="501"/>
      <c r="AS14" s="501"/>
      <c r="AT14" s="50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9"/>
      <c r="C15" s="489"/>
      <c r="D15" s="490"/>
      <c r="E15" s="530"/>
      <c r="F15" s="531"/>
      <c r="G15" s="531"/>
      <c r="H15" s="531"/>
      <c r="I15" s="531"/>
      <c r="J15" s="556"/>
      <c r="K15" s="557"/>
      <c r="L15" s="557"/>
      <c r="M15" s="557"/>
      <c r="N15" s="557"/>
      <c r="O15" s="558"/>
      <c r="P15" s="556"/>
      <c r="Q15" s="557"/>
      <c r="R15" s="557"/>
      <c r="S15" s="557"/>
      <c r="T15" s="557"/>
      <c r="U15" s="558"/>
      <c r="V15" s="540"/>
      <c r="W15" s="536"/>
      <c r="X15" s="536"/>
      <c r="Y15" s="536"/>
      <c r="Z15" s="536"/>
      <c r="AA15" s="537"/>
      <c r="AB15" s="540"/>
      <c r="AC15" s="536"/>
      <c r="AD15" s="536"/>
      <c r="AE15" s="536"/>
      <c r="AF15" s="536"/>
      <c r="AG15" s="537"/>
      <c r="AH15" s="547"/>
      <c r="AI15" s="548"/>
      <c r="AJ15" s="548"/>
      <c r="AK15" s="548"/>
      <c r="AL15" s="548"/>
      <c r="AM15" s="549"/>
      <c r="AN15" s="83"/>
      <c r="AO15" s="503"/>
      <c r="AP15" s="504"/>
      <c r="AQ15" s="504"/>
      <c r="AR15" s="504"/>
      <c r="AS15" s="504"/>
      <c r="AT15" s="50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9"/>
      <c r="C16" s="489"/>
      <c r="D16" s="490"/>
      <c r="E16" s="530"/>
      <c r="F16" s="531"/>
      <c r="G16" s="531"/>
      <c r="H16" s="531"/>
      <c r="I16" s="531"/>
      <c r="J16" s="556" t="str">
        <f>IF(AND('Mapa de Riesgos'!$H$34="Alta",'Mapa de Riesgos'!$L$34="Leve"),CONCATENATE("R",'Mapa de Riesgos'!$A$34),"")</f>
        <v/>
      </c>
      <c r="K16" s="557"/>
      <c r="L16" s="557" t="str">
        <f>IF(AND('Mapa de Riesgos'!$H$41="Alta",'Mapa de Riesgos'!$L$41="Leve"),CONCATENATE("R",'Mapa de Riesgos'!$A$41),"")</f>
        <v/>
      </c>
      <c r="M16" s="557"/>
      <c r="N16" s="557" t="str">
        <f>IF(AND('Mapa de Riesgos'!$H$48="Alta",'Mapa de Riesgos'!$L$48="Leve"),CONCATENATE("R",'Mapa de Riesgos'!$A$48),"")</f>
        <v/>
      </c>
      <c r="O16" s="558"/>
      <c r="P16" s="556" t="str">
        <f>IF(AND('Mapa de Riesgos'!$H$34="Alta",'Mapa de Riesgos'!$L$34="Menor"),CONCATENATE("R",'Mapa de Riesgos'!$A$34),"")</f>
        <v/>
      </c>
      <c r="Q16" s="557"/>
      <c r="R16" s="557" t="str">
        <f>IF(AND('Mapa de Riesgos'!$H$41="Alta",'Mapa de Riesgos'!$L$41="Menor"),CONCATENATE("R",'Mapa de Riesgos'!$A$41),"")</f>
        <v/>
      </c>
      <c r="S16" s="557"/>
      <c r="T16" s="557" t="str">
        <f>IF(AND('Mapa de Riesgos'!$H$48="Alta",'Mapa de Riesgos'!$L$48="Menor"),CONCATENATE("R",'Mapa de Riesgos'!$A$48),"")</f>
        <v/>
      </c>
      <c r="U16" s="558"/>
      <c r="V16" s="540" t="str">
        <f>IF(AND('Mapa de Riesgos'!$H$34="Alta",'Mapa de Riesgos'!$L$34="Moderado"),CONCATENATE("R",'Mapa de Riesgos'!$A$34),"")</f>
        <v/>
      </c>
      <c r="W16" s="536"/>
      <c r="X16" s="536" t="str">
        <f>IF(AND('Mapa de Riesgos'!$H$41="Alta",'Mapa de Riesgos'!$L$41="Moderado"),CONCATENATE("R",'Mapa de Riesgos'!$A$41),"")</f>
        <v/>
      </c>
      <c r="Y16" s="536"/>
      <c r="Z16" s="536" t="str">
        <f>IF(AND('Mapa de Riesgos'!$H$48="Alta",'Mapa de Riesgos'!$L$48="Moderado"),CONCATENATE("R",'Mapa de Riesgos'!$A$48),"")</f>
        <v/>
      </c>
      <c r="AA16" s="537"/>
      <c r="AB16" s="540" t="str">
        <f>IF(AND('Mapa de Riesgos'!$H$34="Alta",'Mapa de Riesgos'!$L$34="Mayor"),CONCATENATE("R",'Mapa de Riesgos'!$A$34),"")</f>
        <v/>
      </c>
      <c r="AC16" s="536"/>
      <c r="AD16" s="536" t="str">
        <f>IF(AND('Mapa de Riesgos'!$H$41="Alta",'Mapa de Riesgos'!$L$41="Mayor"),CONCATENATE("R",'Mapa de Riesgos'!$A$41),"")</f>
        <v/>
      </c>
      <c r="AE16" s="536"/>
      <c r="AF16" s="536" t="str">
        <f>IF(AND('Mapa de Riesgos'!$H$48="Alta",'Mapa de Riesgos'!$L$48="Mayor"),CONCATENATE("R",'Mapa de Riesgos'!$A$48),"")</f>
        <v/>
      </c>
      <c r="AG16" s="537"/>
      <c r="AH16" s="547" t="str">
        <f>IF(AND('Mapa de Riesgos'!$H$34="Alta",'Mapa de Riesgos'!$L$34="Catastrófico"),CONCATENATE("R",'Mapa de Riesgos'!$A$34),"")</f>
        <v/>
      </c>
      <c r="AI16" s="548"/>
      <c r="AJ16" s="548" t="str">
        <f>IF(AND('Mapa de Riesgos'!$H$41="Alta",'Mapa de Riesgos'!$L$41="Catastrófico"),CONCATENATE("R",'Mapa de Riesgos'!$A$41),"")</f>
        <v/>
      </c>
      <c r="AK16" s="548"/>
      <c r="AL16" s="548" t="str">
        <f>IF(AND('Mapa de Riesgos'!$H$48="Alta",'Mapa de Riesgos'!$L$48="Catastrófico"),CONCATENATE("R",'Mapa de Riesgos'!$A$48),"")</f>
        <v/>
      </c>
      <c r="AM16" s="549"/>
      <c r="AN16" s="83"/>
      <c r="AO16" s="503"/>
      <c r="AP16" s="504"/>
      <c r="AQ16" s="504"/>
      <c r="AR16" s="504"/>
      <c r="AS16" s="504"/>
      <c r="AT16" s="50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9"/>
      <c r="C17" s="489"/>
      <c r="D17" s="490"/>
      <c r="E17" s="530"/>
      <c r="F17" s="531"/>
      <c r="G17" s="531"/>
      <c r="H17" s="531"/>
      <c r="I17" s="531"/>
      <c r="J17" s="556"/>
      <c r="K17" s="557"/>
      <c r="L17" s="557"/>
      <c r="M17" s="557"/>
      <c r="N17" s="557"/>
      <c r="O17" s="558"/>
      <c r="P17" s="556"/>
      <c r="Q17" s="557"/>
      <c r="R17" s="557"/>
      <c r="S17" s="557"/>
      <c r="T17" s="557"/>
      <c r="U17" s="558"/>
      <c r="V17" s="540"/>
      <c r="W17" s="536"/>
      <c r="X17" s="536"/>
      <c r="Y17" s="536"/>
      <c r="Z17" s="536"/>
      <c r="AA17" s="537"/>
      <c r="AB17" s="540"/>
      <c r="AC17" s="536"/>
      <c r="AD17" s="536"/>
      <c r="AE17" s="536"/>
      <c r="AF17" s="536"/>
      <c r="AG17" s="537"/>
      <c r="AH17" s="547"/>
      <c r="AI17" s="548"/>
      <c r="AJ17" s="548"/>
      <c r="AK17" s="548"/>
      <c r="AL17" s="548"/>
      <c r="AM17" s="549"/>
      <c r="AN17" s="83"/>
      <c r="AO17" s="503"/>
      <c r="AP17" s="504"/>
      <c r="AQ17" s="504"/>
      <c r="AR17" s="504"/>
      <c r="AS17" s="504"/>
      <c r="AT17" s="50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9"/>
      <c r="C18" s="489"/>
      <c r="D18" s="490"/>
      <c r="E18" s="530"/>
      <c r="F18" s="531"/>
      <c r="G18" s="531"/>
      <c r="H18" s="531"/>
      <c r="I18" s="531"/>
      <c r="J18" s="556" t="str">
        <f>IF(AND('Mapa de Riesgos'!$H$54="Alta",'Mapa de Riesgos'!$L$54="Leve"),CONCATENATE("R",'Mapa de Riesgos'!$A$54),"")</f>
        <v/>
      </c>
      <c r="K18" s="557"/>
      <c r="L18" s="557" t="str">
        <f>IF(AND('Mapa de Riesgos'!$H$60="Alta",'Mapa de Riesgos'!$L$60="Leve"),CONCATENATE("R",'Mapa de Riesgos'!$A$60),"")</f>
        <v/>
      </c>
      <c r="M18" s="557"/>
      <c r="N18" s="557" t="str">
        <f>IF(AND('Mapa de Riesgos'!$H$66="Alta",'Mapa de Riesgos'!$L$66="Leve"),CONCATENATE("R",'Mapa de Riesgos'!$A$66),"")</f>
        <v/>
      </c>
      <c r="O18" s="558"/>
      <c r="P18" s="556" t="str">
        <f>IF(AND('Mapa de Riesgos'!$H$54="Alta",'Mapa de Riesgos'!$L$54="Menor"),CONCATENATE("R",'Mapa de Riesgos'!$A$54),"")</f>
        <v/>
      </c>
      <c r="Q18" s="557"/>
      <c r="R18" s="557" t="str">
        <f>IF(AND('Mapa de Riesgos'!$H$60="Alta",'Mapa de Riesgos'!$L$60="Menor"),CONCATENATE("R",'Mapa de Riesgos'!$A$60),"")</f>
        <v/>
      </c>
      <c r="S18" s="557"/>
      <c r="T18" s="557" t="str">
        <f>IF(AND('Mapa de Riesgos'!$H$66="Alta",'Mapa de Riesgos'!$L$66="Menor"),CONCATENATE("R",'Mapa de Riesgos'!$A$66),"")</f>
        <v/>
      </c>
      <c r="U18" s="558"/>
      <c r="V18" s="540" t="str">
        <f>IF(AND('Mapa de Riesgos'!$H$54="Alta",'Mapa de Riesgos'!$L$54="Moderado"),CONCATENATE("R",'Mapa de Riesgos'!$A$54),"")</f>
        <v/>
      </c>
      <c r="W18" s="536"/>
      <c r="X18" s="536" t="str">
        <f>IF(AND('Mapa de Riesgos'!$H$60="Alta",'Mapa de Riesgos'!$L$60="Moderado"),CONCATENATE("R",'Mapa de Riesgos'!$A$60),"")</f>
        <v/>
      </c>
      <c r="Y18" s="536"/>
      <c r="Z18" s="536" t="str">
        <f>IF(AND('Mapa de Riesgos'!$H$66="Alta",'Mapa de Riesgos'!$L$66="Moderado"),CONCATENATE("R",'Mapa de Riesgos'!$A$66),"")</f>
        <v/>
      </c>
      <c r="AA18" s="537"/>
      <c r="AB18" s="540" t="str">
        <f>IF(AND('Mapa de Riesgos'!$H$54="Alta",'Mapa de Riesgos'!$L$54="Mayor"),CONCATENATE("R",'Mapa de Riesgos'!$A$54),"")</f>
        <v/>
      </c>
      <c r="AC18" s="536"/>
      <c r="AD18" s="536" t="str">
        <f>IF(AND('Mapa de Riesgos'!$H$60="Alta",'Mapa de Riesgos'!$L$60="Mayor"),CONCATENATE("R",'Mapa de Riesgos'!$A$60),"")</f>
        <v/>
      </c>
      <c r="AE18" s="536"/>
      <c r="AF18" s="536" t="str">
        <f>IF(AND('Mapa de Riesgos'!$H$66="Alta",'Mapa de Riesgos'!$L$66="Mayor"),CONCATENATE("R",'Mapa de Riesgos'!$A$66),"")</f>
        <v/>
      </c>
      <c r="AG18" s="537"/>
      <c r="AH18" s="547" t="str">
        <f>IF(AND('Mapa de Riesgos'!$H$54="Alta",'Mapa de Riesgos'!$L$54="Catastrófico"),CONCATENATE("R",'Mapa de Riesgos'!$A$54),"")</f>
        <v/>
      </c>
      <c r="AI18" s="548"/>
      <c r="AJ18" s="548" t="str">
        <f>IF(AND('Mapa de Riesgos'!$H$60="Alta",'Mapa de Riesgos'!$L$60="Catastrófico"),CONCATENATE("R",'Mapa de Riesgos'!$A$60),"")</f>
        <v/>
      </c>
      <c r="AK18" s="548"/>
      <c r="AL18" s="548" t="str">
        <f>IF(AND('Mapa de Riesgos'!$H$66="Alta",'Mapa de Riesgos'!$L$66="Catastrófico"),CONCATENATE("R",'Mapa de Riesgos'!$A$66),"")</f>
        <v/>
      </c>
      <c r="AM18" s="549"/>
      <c r="AN18" s="83"/>
      <c r="AO18" s="503"/>
      <c r="AP18" s="504"/>
      <c r="AQ18" s="504"/>
      <c r="AR18" s="504"/>
      <c r="AS18" s="504"/>
      <c r="AT18" s="50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9"/>
      <c r="C19" s="489"/>
      <c r="D19" s="490"/>
      <c r="E19" s="530"/>
      <c r="F19" s="531"/>
      <c r="G19" s="531"/>
      <c r="H19" s="531"/>
      <c r="I19" s="531"/>
      <c r="J19" s="556"/>
      <c r="K19" s="557"/>
      <c r="L19" s="557"/>
      <c r="M19" s="557"/>
      <c r="N19" s="557"/>
      <c r="O19" s="558"/>
      <c r="P19" s="556"/>
      <c r="Q19" s="557"/>
      <c r="R19" s="557"/>
      <c r="S19" s="557"/>
      <c r="T19" s="557"/>
      <c r="U19" s="558"/>
      <c r="V19" s="540"/>
      <c r="W19" s="536"/>
      <c r="X19" s="536"/>
      <c r="Y19" s="536"/>
      <c r="Z19" s="536"/>
      <c r="AA19" s="537"/>
      <c r="AB19" s="540"/>
      <c r="AC19" s="536"/>
      <c r="AD19" s="536"/>
      <c r="AE19" s="536"/>
      <c r="AF19" s="536"/>
      <c r="AG19" s="537"/>
      <c r="AH19" s="547"/>
      <c r="AI19" s="548"/>
      <c r="AJ19" s="548"/>
      <c r="AK19" s="548"/>
      <c r="AL19" s="548"/>
      <c r="AM19" s="549"/>
      <c r="AN19" s="83"/>
      <c r="AO19" s="503"/>
      <c r="AP19" s="504"/>
      <c r="AQ19" s="504"/>
      <c r="AR19" s="504"/>
      <c r="AS19" s="504"/>
      <c r="AT19" s="50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9"/>
      <c r="C20" s="489"/>
      <c r="D20" s="490"/>
      <c r="E20" s="530"/>
      <c r="F20" s="531"/>
      <c r="G20" s="531"/>
      <c r="H20" s="531"/>
      <c r="I20" s="531"/>
      <c r="J20" s="556" t="str">
        <f>IF(AND('Mapa de Riesgos'!$H$72="Alta",'Mapa de Riesgos'!$L$72="Leve"),CONCATENATE("R",'Mapa de Riesgos'!$A$72),"")</f>
        <v/>
      </c>
      <c r="K20" s="557"/>
      <c r="L20" s="557" t="str">
        <f>IF(AND('Mapa de Riesgos'!$H$78="Alta",'Mapa de Riesgos'!$L$78="Leve"),CONCATENATE("R",'Mapa de Riesgos'!$A$78),"")</f>
        <v/>
      </c>
      <c r="M20" s="557"/>
      <c r="N20" s="557" t="str">
        <f>IF(AND('Mapa de Riesgos'!$H$84="Alta",'Mapa de Riesgos'!$L$84="Leve"),CONCATENATE("R",'Mapa de Riesgos'!$A$84),"")</f>
        <v/>
      </c>
      <c r="O20" s="558"/>
      <c r="P20" s="556" t="str">
        <f>IF(AND('Mapa de Riesgos'!$H$72="Alta",'Mapa de Riesgos'!$L$72="Menor"),CONCATENATE("R",'Mapa de Riesgos'!$A$72),"")</f>
        <v/>
      </c>
      <c r="Q20" s="557"/>
      <c r="R20" s="557" t="str">
        <f>IF(AND('Mapa de Riesgos'!$H$78="Alta",'Mapa de Riesgos'!$L$78="Menor"),CONCATENATE("R",'Mapa de Riesgos'!$A$78),"")</f>
        <v/>
      </c>
      <c r="S20" s="557"/>
      <c r="T20" s="557" t="str">
        <f>IF(AND('Mapa de Riesgos'!$H$84="Alta",'Mapa de Riesgos'!$L$84="Menor"),CONCATENATE("R",'Mapa de Riesgos'!$A$84),"")</f>
        <v/>
      </c>
      <c r="U20" s="558"/>
      <c r="V20" s="540" t="str">
        <f>IF(AND('Mapa de Riesgos'!$H$72="Alta",'Mapa de Riesgos'!$L$72="Moderado"),CONCATENATE("R",'Mapa de Riesgos'!$A$72),"")</f>
        <v/>
      </c>
      <c r="W20" s="536"/>
      <c r="X20" s="536" t="str">
        <f>IF(AND('Mapa de Riesgos'!$H$78="Alta",'Mapa de Riesgos'!$L$78="Moderado"),CONCATENATE("R",'Mapa de Riesgos'!$A$78),"")</f>
        <v/>
      </c>
      <c r="Y20" s="536"/>
      <c r="Z20" s="536" t="str">
        <f>IF(AND('Mapa de Riesgos'!$H$84="Alta",'Mapa de Riesgos'!$L$84="Moderado"),CONCATENATE("R",'Mapa de Riesgos'!$A$84),"")</f>
        <v/>
      </c>
      <c r="AA20" s="537"/>
      <c r="AB20" s="540" t="str">
        <f>IF(AND('Mapa de Riesgos'!$H$72="Alta",'Mapa de Riesgos'!$L$72="Mayor"),CONCATENATE("R",'Mapa de Riesgos'!$A$72),"")</f>
        <v/>
      </c>
      <c r="AC20" s="536"/>
      <c r="AD20" s="536" t="str">
        <f>IF(AND('Mapa de Riesgos'!$H$78="Alta",'Mapa de Riesgos'!$L$78="Mayor"),CONCATENATE("R",'Mapa de Riesgos'!$A$78),"")</f>
        <v/>
      </c>
      <c r="AE20" s="536"/>
      <c r="AF20" s="536" t="str">
        <f>IF(AND('Mapa de Riesgos'!$H$84="Alta",'Mapa de Riesgos'!$L$84="Mayor"),CONCATENATE("R",'Mapa de Riesgos'!$A$84),"")</f>
        <v/>
      </c>
      <c r="AG20" s="537"/>
      <c r="AH20" s="547" t="str">
        <f>IF(AND('Mapa de Riesgos'!$H$72="Alta",'Mapa de Riesgos'!$L$72="Catastrófico"),CONCATENATE("R",'Mapa de Riesgos'!$A$72),"")</f>
        <v/>
      </c>
      <c r="AI20" s="548"/>
      <c r="AJ20" s="548" t="str">
        <f>IF(AND('Mapa de Riesgos'!$H$78="Alta",'Mapa de Riesgos'!$L$78="Catastrófico"),CONCATENATE("R",'Mapa de Riesgos'!$A$78),"")</f>
        <v/>
      </c>
      <c r="AK20" s="548"/>
      <c r="AL20" s="548" t="str">
        <f>IF(AND('Mapa de Riesgos'!$H$84="Alta",'Mapa de Riesgos'!$L$84="Catastrófico"),CONCATENATE("R",'Mapa de Riesgos'!$A$84),"")</f>
        <v/>
      </c>
      <c r="AM20" s="549"/>
      <c r="AN20" s="83"/>
      <c r="AO20" s="503"/>
      <c r="AP20" s="504"/>
      <c r="AQ20" s="504"/>
      <c r="AR20" s="504"/>
      <c r="AS20" s="504"/>
      <c r="AT20" s="50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9"/>
      <c r="C21" s="489"/>
      <c r="D21" s="490"/>
      <c r="E21" s="533"/>
      <c r="F21" s="534"/>
      <c r="G21" s="534"/>
      <c r="H21" s="534"/>
      <c r="I21" s="534"/>
      <c r="J21" s="559"/>
      <c r="K21" s="560"/>
      <c r="L21" s="560"/>
      <c r="M21" s="560"/>
      <c r="N21" s="560"/>
      <c r="O21" s="561"/>
      <c r="P21" s="559"/>
      <c r="Q21" s="560"/>
      <c r="R21" s="560"/>
      <c r="S21" s="560"/>
      <c r="T21" s="560"/>
      <c r="U21" s="561"/>
      <c r="V21" s="544"/>
      <c r="W21" s="545"/>
      <c r="X21" s="545"/>
      <c r="Y21" s="545"/>
      <c r="Z21" s="545"/>
      <c r="AA21" s="546"/>
      <c r="AB21" s="544"/>
      <c r="AC21" s="545"/>
      <c r="AD21" s="545"/>
      <c r="AE21" s="545"/>
      <c r="AF21" s="545"/>
      <c r="AG21" s="546"/>
      <c r="AH21" s="550"/>
      <c r="AI21" s="551"/>
      <c r="AJ21" s="551"/>
      <c r="AK21" s="551"/>
      <c r="AL21" s="551"/>
      <c r="AM21" s="552"/>
      <c r="AN21" s="83"/>
      <c r="AO21" s="506"/>
      <c r="AP21" s="507"/>
      <c r="AQ21" s="507"/>
      <c r="AR21" s="507"/>
      <c r="AS21" s="507"/>
      <c r="AT21" s="50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9"/>
      <c r="C22" s="489"/>
      <c r="D22" s="490"/>
      <c r="E22" s="527" t="s">
        <v>113</v>
      </c>
      <c r="F22" s="528"/>
      <c r="G22" s="528"/>
      <c r="H22" s="528"/>
      <c r="I22" s="529"/>
      <c r="J22" s="562" t="str">
        <f>IF(AND('Mapa de Riesgos'!$H$12="Media",'Mapa de Riesgos'!$L$12="Leve"),CONCATENATE("R",'Mapa de Riesgos'!$A$12),"")</f>
        <v/>
      </c>
      <c r="K22" s="563"/>
      <c r="L22" s="563" t="str">
        <f>IF(AND('Mapa de Riesgos'!$H$20="Media",'Mapa de Riesgos'!$L$20="Leve"),CONCATENATE("R",'Mapa de Riesgos'!$A$20),"")</f>
        <v/>
      </c>
      <c r="M22" s="563"/>
      <c r="N22" s="563" t="str">
        <f>IF(AND('Mapa de Riesgos'!$H$26="Media",'Mapa de Riesgos'!$L$26="Leve"),CONCATENATE("R",'Mapa de Riesgos'!$A$26),"")</f>
        <v/>
      </c>
      <c r="O22" s="564"/>
      <c r="P22" s="562" t="str">
        <f>IF(AND('Mapa de Riesgos'!$H$12="Media",'Mapa de Riesgos'!$L$12="Menor"),CONCATENATE("R",'Mapa de Riesgos'!$A$12),"")</f>
        <v/>
      </c>
      <c r="Q22" s="563"/>
      <c r="R22" s="563" t="str">
        <f>IF(AND('Mapa de Riesgos'!$H$20="Media",'Mapa de Riesgos'!$L$20="Menor"),CONCATENATE("R",'Mapa de Riesgos'!$A$20),"")</f>
        <v/>
      </c>
      <c r="S22" s="563"/>
      <c r="T22" s="563" t="str">
        <f>IF(AND('Mapa de Riesgos'!$H$26="Media",'Mapa de Riesgos'!$L$26="Menor"),CONCATENATE("R",'Mapa de Riesgos'!$A$26),"")</f>
        <v/>
      </c>
      <c r="U22" s="564"/>
      <c r="V22" s="562" t="str">
        <f>IF(AND('Mapa de Riesgos'!$H$12="Media",'Mapa de Riesgos'!$L$12="Moderado"),CONCATENATE("R",'Mapa de Riesgos'!$A$12),"")</f>
        <v/>
      </c>
      <c r="W22" s="563"/>
      <c r="X22" s="563" t="str">
        <f>IF(AND('Mapa de Riesgos'!$H$20="Media",'Mapa de Riesgos'!$L$20="Moderado"),CONCATENATE("R",'Mapa de Riesgos'!$A$20),"")</f>
        <v/>
      </c>
      <c r="Y22" s="563"/>
      <c r="Z22" s="563" t="str">
        <f>IF(AND('Mapa de Riesgos'!$H$26="Media",'Mapa de Riesgos'!$L$26="Moderado"),CONCATENATE("R",'Mapa de Riesgos'!$A$26),"")</f>
        <v>R3</v>
      </c>
      <c r="AA22" s="564"/>
      <c r="AB22" s="538" t="str">
        <f>IF(AND('Mapa de Riesgos'!$H$12="Media",'Mapa de Riesgos'!$L$12="Mayor"),CONCATENATE("R",'Mapa de Riesgos'!$A$12),"")</f>
        <v/>
      </c>
      <c r="AC22" s="539"/>
      <c r="AD22" s="539" t="str">
        <f>IF(AND('Mapa de Riesgos'!$H$20="Media",'Mapa de Riesgos'!$L$20="Mayor"),CONCATENATE("R",'Mapa de Riesgos'!$A$20),"")</f>
        <v>R2</v>
      </c>
      <c r="AE22" s="539"/>
      <c r="AF22" s="539" t="str">
        <f>IF(AND('Mapa de Riesgos'!$H$26="Media",'Mapa de Riesgos'!$L$26="Mayor"),CONCATENATE("R",'Mapa de Riesgos'!$A$26),"")</f>
        <v/>
      </c>
      <c r="AG22" s="541"/>
      <c r="AH22" s="553" t="str">
        <f>IF(AND('Mapa de Riesgos'!$H$12="Media",'Mapa de Riesgos'!$L$12="Catastrófico"),CONCATENATE("R",'Mapa de Riesgos'!$A$12),"")</f>
        <v/>
      </c>
      <c r="AI22" s="554"/>
      <c r="AJ22" s="554" t="str">
        <f>IF(AND('Mapa de Riesgos'!$H$20="Media",'Mapa de Riesgos'!$L$20="Catastrófico"),CONCATENATE("R",'Mapa de Riesgos'!$A$20),"")</f>
        <v/>
      </c>
      <c r="AK22" s="554"/>
      <c r="AL22" s="554" t="str">
        <f>IF(AND('Mapa de Riesgos'!$H$26="Media",'Mapa de Riesgos'!$L$26="Catastrófico"),CONCATENATE("R",'Mapa de Riesgos'!$A$26),"")</f>
        <v/>
      </c>
      <c r="AM22" s="555"/>
      <c r="AN22" s="83"/>
      <c r="AO22" s="509" t="s">
        <v>77</v>
      </c>
      <c r="AP22" s="510"/>
      <c r="AQ22" s="510"/>
      <c r="AR22" s="510"/>
      <c r="AS22" s="510"/>
      <c r="AT22" s="51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9"/>
      <c r="C23" s="489"/>
      <c r="D23" s="490"/>
      <c r="E23" s="530"/>
      <c r="F23" s="531"/>
      <c r="G23" s="531"/>
      <c r="H23" s="531"/>
      <c r="I23" s="532"/>
      <c r="J23" s="556"/>
      <c r="K23" s="557"/>
      <c r="L23" s="557"/>
      <c r="M23" s="557"/>
      <c r="N23" s="557"/>
      <c r="O23" s="558"/>
      <c r="P23" s="556"/>
      <c r="Q23" s="557"/>
      <c r="R23" s="557"/>
      <c r="S23" s="557"/>
      <c r="T23" s="557"/>
      <c r="U23" s="558"/>
      <c r="V23" s="556"/>
      <c r="W23" s="557"/>
      <c r="X23" s="557"/>
      <c r="Y23" s="557"/>
      <c r="Z23" s="557"/>
      <c r="AA23" s="558"/>
      <c r="AB23" s="540"/>
      <c r="AC23" s="536"/>
      <c r="AD23" s="536"/>
      <c r="AE23" s="536"/>
      <c r="AF23" s="536"/>
      <c r="AG23" s="537"/>
      <c r="AH23" s="547"/>
      <c r="AI23" s="548"/>
      <c r="AJ23" s="548"/>
      <c r="AK23" s="548"/>
      <c r="AL23" s="548"/>
      <c r="AM23" s="549"/>
      <c r="AN23" s="83"/>
      <c r="AO23" s="512"/>
      <c r="AP23" s="513"/>
      <c r="AQ23" s="513"/>
      <c r="AR23" s="513"/>
      <c r="AS23" s="513"/>
      <c r="AT23" s="51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9"/>
      <c r="C24" s="489"/>
      <c r="D24" s="490"/>
      <c r="E24" s="530"/>
      <c r="F24" s="531"/>
      <c r="G24" s="531"/>
      <c r="H24" s="531"/>
      <c r="I24" s="532"/>
      <c r="J24" s="556" t="str">
        <f>IF(AND('Mapa de Riesgos'!$H$34="Media",'Mapa de Riesgos'!$L$34="Leve"),CONCATENATE("R",'Mapa de Riesgos'!$A$34),"")</f>
        <v/>
      </c>
      <c r="K24" s="557"/>
      <c r="L24" s="557" t="str">
        <f>IF(AND('Mapa de Riesgos'!$H$41="Media",'Mapa de Riesgos'!$L$41="Leve"),CONCATENATE("R",'Mapa de Riesgos'!$A$41),"")</f>
        <v/>
      </c>
      <c r="M24" s="557"/>
      <c r="N24" s="557" t="str">
        <f>IF(AND('Mapa de Riesgos'!$H$48="Media",'Mapa de Riesgos'!$L$48="Leve"),CONCATENATE("R",'Mapa de Riesgos'!$A$48),"")</f>
        <v/>
      </c>
      <c r="O24" s="558"/>
      <c r="P24" s="556" t="str">
        <f>IF(AND('Mapa de Riesgos'!$H$34="Media",'Mapa de Riesgos'!$L$34="Menor"),CONCATENATE("R",'Mapa de Riesgos'!$A$34),"")</f>
        <v/>
      </c>
      <c r="Q24" s="557"/>
      <c r="R24" s="557" t="str">
        <f>IF(AND('Mapa de Riesgos'!$H$41="Media",'Mapa de Riesgos'!$L$41="Menor"),CONCATENATE("R",'Mapa de Riesgos'!$A$41),"")</f>
        <v/>
      </c>
      <c r="S24" s="557"/>
      <c r="T24" s="557" t="str">
        <f>IF(AND('Mapa de Riesgos'!$H$48="Media",'Mapa de Riesgos'!$L$48="Menor"),CONCATENATE("R",'Mapa de Riesgos'!$A$48),"")</f>
        <v/>
      </c>
      <c r="U24" s="558"/>
      <c r="V24" s="556" t="str">
        <f>IF(AND('Mapa de Riesgos'!$H$34="Media",'Mapa de Riesgos'!$L$34="Moderado"),CONCATENATE("R",'Mapa de Riesgos'!$A$34),"")</f>
        <v/>
      </c>
      <c r="W24" s="557"/>
      <c r="X24" s="557" t="str">
        <f>IF(AND('Mapa de Riesgos'!$H$41="Media",'Mapa de Riesgos'!$L$41="Moderado"),CONCATENATE("R",'Mapa de Riesgos'!$A$41),"")</f>
        <v>R5</v>
      </c>
      <c r="Y24" s="557"/>
      <c r="Z24" s="557" t="str">
        <f>IF(AND('Mapa de Riesgos'!$H$48="Media",'Mapa de Riesgos'!$L$48="Moderado"),CONCATENATE("R",'Mapa de Riesgos'!$A$48),"")</f>
        <v>R6</v>
      </c>
      <c r="AA24" s="558"/>
      <c r="AB24" s="540" t="str">
        <f>IF(AND('Mapa de Riesgos'!$H$34="Media",'Mapa de Riesgos'!$L$34="Mayor"),CONCATENATE("R",'Mapa de Riesgos'!$A$34),"")</f>
        <v/>
      </c>
      <c r="AC24" s="536"/>
      <c r="AD24" s="536" t="str">
        <f>IF(AND('Mapa de Riesgos'!$H$41="Media",'Mapa de Riesgos'!$L$41="Mayor"),CONCATENATE("R",'Mapa de Riesgos'!$A$41),"")</f>
        <v/>
      </c>
      <c r="AE24" s="536"/>
      <c r="AF24" s="536" t="str">
        <f>IF(AND('Mapa de Riesgos'!$H$48="Media",'Mapa de Riesgos'!$L$48="Mayor"),CONCATENATE("R",'Mapa de Riesgos'!$A$48),"")</f>
        <v/>
      </c>
      <c r="AG24" s="537"/>
      <c r="AH24" s="547" t="str">
        <f>IF(AND('Mapa de Riesgos'!$H$34="Media",'Mapa de Riesgos'!$L$34="Catastrófico"),CONCATENATE("R",'Mapa de Riesgos'!$A$34),"")</f>
        <v/>
      </c>
      <c r="AI24" s="548"/>
      <c r="AJ24" s="548" t="str">
        <f>IF(AND('Mapa de Riesgos'!$H$41="Media",'Mapa de Riesgos'!$L$41="Catastrófico"),CONCATENATE("R",'Mapa de Riesgos'!$A$41),"")</f>
        <v/>
      </c>
      <c r="AK24" s="548"/>
      <c r="AL24" s="548" t="str">
        <f>IF(AND('Mapa de Riesgos'!$H$48="Media",'Mapa de Riesgos'!$L$48="Catastrófico"),CONCATENATE("R",'Mapa de Riesgos'!$A$48),"")</f>
        <v/>
      </c>
      <c r="AM24" s="549"/>
      <c r="AN24" s="83"/>
      <c r="AO24" s="512"/>
      <c r="AP24" s="513"/>
      <c r="AQ24" s="513"/>
      <c r="AR24" s="513"/>
      <c r="AS24" s="513"/>
      <c r="AT24" s="51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9"/>
      <c r="C25" s="489"/>
      <c r="D25" s="490"/>
      <c r="E25" s="530"/>
      <c r="F25" s="531"/>
      <c r="G25" s="531"/>
      <c r="H25" s="531"/>
      <c r="I25" s="532"/>
      <c r="J25" s="556"/>
      <c r="K25" s="557"/>
      <c r="L25" s="557"/>
      <c r="M25" s="557"/>
      <c r="N25" s="557"/>
      <c r="O25" s="558"/>
      <c r="P25" s="556"/>
      <c r="Q25" s="557"/>
      <c r="R25" s="557"/>
      <c r="S25" s="557"/>
      <c r="T25" s="557"/>
      <c r="U25" s="558"/>
      <c r="V25" s="556"/>
      <c r="W25" s="557"/>
      <c r="X25" s="557"/>
      <c r="Y25" s="557"/>
      <c r="Z25" s="557"/>
      <c r="AA25" s="558"/>
      <c r="AB25" s="540"/>
      <c r="AC25" s="536"/>
      <c r="AD25" s="536"/>
      <c r="AE25" s="536"/>
      <c r="AF25" s="536"/>
      <c r="AG25" s="537"/>
      <c r="AH25" s="547"/>
      <c r="AI25" s="548"/>
      <c r="AJ25" s="548"/>
      <c r="AK25" s="548"/>
      <c r="AL25" s="548"/>
      <c r="AM25" s="549"/>
      <c r="AN25" s="83"/>
      <c r="AO25" s="512"/>
      <c r="AP25" s="513"/>
      <c r="AQ25" s="513"/>
      <c r="AR25" s="513"/>
      <c r="AS25" s="513"/>
      <c r="AT25" s="51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9"/>
      <c r="C26" s="489"/>
      <c r="D26" s="490"/>
      <c r="E26" s="530"/>
      <c r="F26" s="531"/>
      <c r="G26" s="531"/>
      <c r="H26" s="531"/>
      <c r="I26" s="532"/>
      <c r="J26" s="556" t="str">
        <f>IF(AND('Mapa de Riesgos'!$H$54="Media",'Mapa de Riesgos'!$L$54="Leve"),CONCATENATE("R",'Mapa de Riesgos'!$A$54),"")</f>
        <v/>
      </c>
      <c r="K26" s="557"/>
      <c r="L26" s="557" t="str">
        <f>IF(AND('Mapa de Riesgos'!$H$60="Media",'Mapa de Riesgos'!$L$60="Leve"),CONCATENATE("R",'Mapa de Riesgos'!$A$60),"")</f>
        <v/>
      </c>
      <c r="M26" s="557"/>
      <c r="N26" s="557" t="str">
        <f>IF(AND('Mapa de Riesgos'!$H$66="Media",'Mapa de Riesgos'!$L$66="Leve"),CONCATENATE("R",'Mapa de Riesgos'!$A$66),"")</f>
        <v/>
      </c>
      <c r="O26" s="558"/>
      <c r="P26" s="556" t="str">
        <f>IF(AND('Mapa de Riesgos'!$H$54="Media",'Mapa de Riesgos'!$L$54="Menor"),CONCATENATE("R",'Mapa de Riesgos'!$A$54),"")</f>
        <v/>
      </c>
      <c r="Q26" s="557"/>
      <c r="R26" s="557" t="str">
        <f>IF(AND('Mapa de Riesgos'!$H$60="Media",'Mapa de Riesgos'!$L$60="Menor"),CONCATENATE("R",'Mapa de Riesgos'!$A$60),"")</f>
        <v/>
      </c>
      <c r="S26" s="557"/>
      <c r="T26" s="557" t="str">
        <f>IF(AND('Mapa de Riesgos'!$H$66="Media",'Mapa de Riesgos'!$L$66="Menor"),CONCATENATE("R",'Mapa de Riesgos'!$A$66),"")</f>
        <v/>
      </c>
      <c r="U26" s="558"/>
      <c r="V26" s="556" t="str">
        <f>IF(AND('Mapa de Riesgos'!$H$54="Media",'Mapa de Riesgos'!$L$54="Moderado"),CONCATENATE("R",'Mapa de Riesgos'!$A$54),"")</f>
        <v>R7</v>
      </c>
      <c r="W26" s="557"/>
      <c r="X26" s="557" t="str">
        <f>IF(AND('Mapa de Riesgos'!$H$60="Media",'Mapa de Riesgos'!$L$60="Moderado"),CONCATENATE("R",'Mapa de Riesgos'!$A$60),"")</f>
        <v/>
      </c>
      <c r="Y26" s="557"/>
      <c r="Z26" s="557" t="str">
        <f>IF(AND('Mapa de Riesgos'!$H$66="Media",'Mapa de Riesgos'!$L$66="Moderado"),CONCATENATE("R",'Mapa de Riesgos'!$A$66),"")</f>
        <v>R9</v>
      </c>
      <c r="AA26" s="558"/>
      <c r="AB26" s="540" t="str">
        <f>IF(AND('Mapa de Riesgos'!$H$54="Media",'Mapa de Riesgos'!$L$54="Mayor"),CONCATENATE("R",'Mapa de Riesgos'!$A$54),"")</f>
        <v/>
      </c>
      <c r="AC26" s="536"/>
      <c r="AD26" s="536" t="str">
        <f>IF(AND('Mapa de Riesgos'!$H$60="Media",'Mapa de Riesgos'!$L$60="Mayor"),CONCATENATE("R",'Mapa de Riesgos'!$A$60),"")</f>
        <v/>
      </c>
      <c r="AE26" s="536"/>
      <c r="AF26" s="536" t="str">
        <f>IF(AND('Mapa de Riesgos'!$H$66="Media",'Mapa de Riesgos'!$L$66="Mayor"),CONCATENATE("R",'Mapa de Riesgos'!$A$66),"")</f>
        <v/>
      </c>
      <c r="AG26" s="537"/>
      <c r="AH26" s="547" t="str">
        <f>IF(AND('Mapa de Riesgos'!$H$54="Media",'Mapa de Riesgos'!$L$54="Catastrófico"),CONCATENATE("R",'Mapa de Riesgos'!$A$54),"")</f>
        <v/>
      </c>
      <c r="AI26" s="548"/>
      <c r="AJ26" s="548" t="str">
        <f>IF(AND('Mapa de Riesgos'!$H$60="Media",'Mapa de Riesgos'!$L$60="Catastrófico"),CONCATENATE("R",'Mapa de Riesgos'!$A$60),"")</f>
        <v/>
      </c>
      <c r="AK26" s="548"/>
      <c r="AL26" s="548" t="str">
        <f>IF(AND('Mapa de Riesgos'!$H$66="Media",'Mapa de Riesgos'!$L$66="Catastrófico"),CONCATENATE("R",'Mapa de Riesgos'!$A$66),"")</f>
        <v/>
      </c>
      <c r="AM26" s="549"/>
      <c r="AN26" s="83"/>
      <c r="AO26" s="512"/>
      <c r="AP26" s="513"/>
      <c r="AQ26" s="513"/>
      <c r="AR26" s="513"/>
      <c r="AS26" s="513"/>
      <c r="AT26" s="51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9"/>
      <c r="C27" s="489"/>
      <c r="D27" s="490"/>
      <c r="E27" s="530"/>
      <c r="F27" s="531"/>
      <c r="G27" s="531"/>
      <c r="H27" s="531"/>
      <c r="I27" s="532"/>
      <c r="J27" s="556"/>
      <c r="K27" s="557"/>
      <c r="L27" s="557"/>
      <c r="M27" s="557"/>
      <c r="N27" s="557"/>
      <c r="O27" s="558"/>
      <c r="P27" s="556"/>
      <c r="Q27" s="557"/>
      <c r="R27" s="557"/>
      <c r="S27" s="557"/>
      <c r="T27" s="557"/>
      <c r="U27" s="558"/>
      <c r="V27" s="556"/>
      <c r="W27" s="557"/>
      <c r="X27" s="557"/>
      <c r="Y27" s="557"/>
      <c r="Z27" s="557"/>
      <c r="AA27" s="558"/>
      <c r="AB27" s="540"/>
      <c r="AC27" s="536"/>
      <c r="AD27" s="536"/>
      <c r="AE27" s="536"/>
      <c r="AF27" s="536"/>
      <c r="AG27" s="537"/>
      <c r="AH27" s="547"/>
      <c r="AI27" s="548"/>
      <c r="AJ27" s="548"/>
      <c r="AK27" s="548"/>
      <c r="AL27" s="548"/>
      <c r="AM27" s="549"/>
      <c r="AN27" s="83"/>
      <c r="AO27" s="512"/>
      <c r="AP27" s="513"/>
      <c r="AQ27" s="513"/>
      <c r="AR27" s="513"/>
      <c r="AS27" s="513"/>
      <c r="AT27" s="51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9"/>
      <c r="C28" s="489"/>
      <c r="D28" s="490"/>
      <c r="E28" s="530"/>
      <c r="F28" s="531"/>
      <c r="G28" s="531"/>
      <c r="H28" s="531"/>
      <c r="I28" s="532"/>
      <c r="J28" s="556" t="str">
        <f>IF(AND('Mapa de Riesgos'!$H$72="Media",'Mapa de Riesgos'!$L$72="Leve"),CONCATENATE("R",'Mapa de Riesgos'!$A$72),"")</f>
        <v/>
      </c>
      <c r="K28" s="557"/>
      <c r="L28" s="557" t="str">
        <f>IF(AND('Mapa de Riesgos'!$H$78="Media",'Mapa de Riesgos'!$L$78="Leve"),CONCATENATE("R",'Mapa de Riesgos'!$A$78),"")</f>
        <v/>
      </c>
      <c r="M28" s="557"/>
      <c r="N28" s="557" t="str">
        <f>IF(AND('Mapa de Riesgos'!$H$84="Media",'Mapa de Riesgos'!$L$84="Leve"),CONCATENATE("R",'Mapa de Riesgos'!$A$84),"")</f>
        <v/>
      </c>
      <c r="O28" s="558"/>
      <c r="P28" s="556" t="str">
        <f>IF(AND('Mapa de Riesgos'!$H$72="Media",'Mapa de Riesgos'!$L$72="Menor"),CONCATENATE("R",'Mapa de Riesgos'!$A$72),"")</f>
        <v/>
      </c>
      <c r="Q28" s="557"/>
      <c r="R28" s="557" t="str">
        <f>IF(AND('Mapa de Riesgos'!$H$78="Media",'Mapa de Riesgos'!$L$78="Menor"),CONCATENATE("R",'Mapa de Riesgos'!$A$78),"")</f>
        <v/>
      </c>
      <c r="S28" s="557"/>
      <c r="T28" s="557" t="str">
        <f>IF(AND('Mapa de Riesgos'!$H$84="Media",'Mapa de Riesgos'!$L$84="Menor"),CONCATENATE("R",'Mapa de Riesgos'!$A$84),"")</f>
        <v/>
      </c>
      <c r="U28" s="558"/>
      <c r="V28" s="556" t="str">
        <f>IF(AND('Mapa de Riesgos'!$H$72="Media",'Mapa de Riesgos'!$L$72="Moderado"),CONCATENATE("R",'Mapa de Riesgos'!$A$72),"")</f>
        <v>R10</v>
      </c>
      <c r="W28" s="557"/>
      <c r="X28" s="557" t="str">
        <f>IF(AND('Mapa de Riesgos'!$H$78="Media",'Mapa de Riesgos'!$L$78="Moderado"),CONCATENATE("R",'Mapa de Riesgos'!$A$78),"")</f>
        <v/>
      </c>
      <c r="Y28" s="557"/>
      <c r="Z28" s="557" t="str">
        <f>IF(AND('Mapa de Riesgos'!$H$84="Media",'Mapa de Riesgos'!$L$84="Moderado"),CONCATENATE("R",'Mapa de Riesgos'!$A$84),"")</f>
        <v/>
      </c>
      <c r="AA28" s="558"/>
      <c r="AB28" s="540" t="str">
        <f>IF(AND('Mapa de Riesgos'!$H$72="Media",'Mapa de Riesgos'!$L$72="Mayor"),CONCATENATE("R",'Mapa de Riesgos'!$A$72),"")</f>
        <v/>
      </c>
      <c r="AC28" s="536"/>
      <c r="AD28" s="536" t="str">
        <f>IF(AND('Mapa de Riesgos'!$H$78="Media",'Mapa de Riesgos'!$L$78="Mayor"),CONCATENATE("R",'Mapa de Riesgos'!$A$78),"")</f>
        <v/>
      </c>
      <c r="AE28" s="536"/>
      <c r="AF28" s="536" t="str">
        <f>IF(AND('Mapa de Riesgos'!$H$84="Media",'Mapa de Riesgos'!$L$84="Mayor"),CONCATENATE("R",'Mapa de Riesgos'!$A$84),"")</f>
        <v/>
      </c>
      <c r="AG28" s="537"/>
      <c r="AH28" s="547" t="str">
        <f>IF(AND('Mapa de Riesgos'!$H$72="Media",'Mapa de Riesgos'!$L$72="Catastrófico"),CONCATENATE("R",'Mapa de Riesgos'!$A$72),"")</f>
        <v/>
      </c>
      <c r="AI28" s="548"/>
      <c r="AJ28" s="548" t="str">
        <f>IF(AND('Mapa de Riesgos'!$H$78="Media",'Mapa de Riesgos'!$L$78="Catastrófico"),CONCATENATE("R",'Mapa de Riesgos'!$A$78),"")</f>
        <v/>
      </c>
      <c r="AK28" s="548"/>
      <c r="AL28" s="548" t="str">
        <f>IF(AND('Mapa de Riesgos'!$H$84="Media",'Mapa de Riesgos'!$L$84="Catastrófico"),CONCATENATE("R",'Mapa de Riesgos'!$A$84),"")</f>
        <v/>
      </c>
      <c r="AM28" s="549"/>
      <c r="AN28" s="83"/>
      <c r="AO28" s="512"/>
      <c r="AP28" s="513"/>
      <c r="AQ28" s="513"/>
      <c r="AR28" s="513"/>
      <c r="AS28" s="513"/>
      <c r="AT28" s="51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9"/>
      <c r="C29" s="489"/>
      <c r="D29" s="490"/>
      <c r="E29" s="533"/>
      <c r="F29" s="534"/>
      <c r="G29" s="534"/>
      <c r="H29" s="534"/>
      <c r="I29" s="535"/>
      <c r="J29" s="556"/>
      <c r="K29" s="557"/>
      <c r="L29" s="557"/>
      <c r="M29" s="557"/>
      <c r="N29" s="557"/>
      <c r="O29" s="558"/>
      <c r="P29" s="559"/>
      <c r="Q29" s="560"/>
      <c r="R29" s="560"/>
      <c r="S29" s="560"/>
      <c r="T29" s="560"/>
      <c r="U29" s="561"/>
      <c r="V29" s="559"/>
      <c r="W29" s="560"/>
      <c r="X29" s="560"/>
      <c r="Y29" s="560"/>
      <c r="Z29" s="560"/>
      <c r="AA29" s="561"/>
      <c r="AB29" s="544"/>
      <c r="AC29" s="545"/>
      <c r="AD29" s="545"/>
      <c r="AE29" s="545"/>
      <c r="AF29" s="545"/>
      <c r="AG29" s="546"/>
      <c r="AH29" s="550"/>
      <c r="AI29" s="551"/>
      <c r="AJ29" s="551"/>
      <c r="AK29" s="551"/>
      <c r="AL29" s="551"/>
      <c r="AM29" s="552"/>
      <c r="AN29" s="83"/>
      <c r="AO29" s="515"/>
      <c r="AP29" s="516"/>
      <c r="AQ29" s="516"/>
      <c r="AR29" s="516"/>
      <c r="AS29" s="516"/>
      <c r="AT29" s="51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9"/>
      <c r="C30" s="489"/>
      <c r="D30" s="490"/>
      <c r="E30" s="527" t="s">
        <v>110</v>
      </c>
      <c r="F30" s="528"/>
      <c r="G30" s="528"/>
      <c r="H30" s="528"/>
      <c r="I30" s="528"/>
      <c r="J30" s="571" t="str">
        <f>IF(AND('Mapa de Riesgos'!$H$12="Baja",'Mapa de Riesgos'!$L$12="Leve"),CONCATENATE("R",'Mapa de Riesgos'!$A$12),"")</f>
        <v/>
      </c>
      <c r="K30" s="572"/>
      <c r="L30" s="572" t="str">
        <f>IF(AND('Mapa de Riesgos'!$H$20="Baja",'Mapa de Riesgos'!$L$20="Leve"),CONCATENATE("R",'Mapa de Riesgos'!$A$20),"")</f>
        <v/>
      </c>
      <c r="M30" s="572"/>
      <c r="N30" s="572" t="str">
        <f>IF(AND('Mapa de Riesgos'!$H$26="Baja",'Mapa de Riesgos'!$L$26="Leve"),CONCATENATE("R",'Mapa de Riesgos'!$A$26),"")</f>
        <v/>
      </c>
      <c r="O30" s="573"/>
      <c r="P30" s="563" t="str">
        <f>IF(AND('Mapa de Riesgos'!$H$12="Baja",'Mapa de Riesgos'!$L$12="Menor"),CONCATENATE("R",'Mapa de Riesgos'!$A$12),"")</f>
        <v/>
      </c>
      <c r="Q30" s="563"/>
      <c r="R30" s="563" t="str">
        <f>IF(AND('Mapa de Riesgos'!$H$20="Baja",'Mapa de Riesgos'!$L$20="Menor"),CONCATENATE("R",'Mapa de Riesgos'!$A$20),"")</f>
        <v/>
      </c>
      <c r="S30" s="563"/>
      <c r="T30" s="563" t="str">
        <f>IF(AND('Mapa de Riesgos'!$H$26="Baja",'Mapa de Riesgos'!$L$26="Menor"),CONCATENATE("R",'Mapa de Riesgos'!$A$26),"")</f>
        <v/>
      </c>
      <c r="U30" s="564"/>
      <c r="V30" s="562" t="str">
        <f>IF(AND('Mapa de Riesgos'!$H$12="Baja",'Mapa de Riesgos'!$L$12="Moderado"),CONCATENATE("R",'Mapa de Riesgos'!$A$12),"")</f>
        <v/>
      </c>
      <c r="W30" s="563"/>
      <c r="X30" s="563" t="str">
        <f>IF(AND('Mapa de Riesgos'!$H$20="Baja",'Mapa de Riesgos'!$L$20="Moderado"),CONCATENATE("R",'Mapa de Riesgos'!$A$20),"")</f>
        <v/>
      </c>
      <c r="Y30" s="563"/>
      <c r="Z30" s="563" t="str">
        <f>IF(AND('Mapa de Riesgos'!$H$26="Baja",'Mapa de Riesgos'!$L$26="Moderado"),CONCATENATE("R",'Mapa de Riesgos'!$A$26),"")</f>
        <v/>
      </c>
      <c r="AA30" s="564"/>
      <c r="AB30" s="538" t="str">
        <f>IF(AND('Mapa de Riesgos'!$H$12="Baja",'Mapa de Riesgos'!$L$12="Mayor"),CONCATENATE("R",'Mapa de Riesgos'!$A$12),"")</f>
        <v>R1</v>
      </c>
      <c r="AC30" s="539"/>
      <c r="AD30" s="539" t="str">
        <f>IF(AND('Mapa de Riesgos'!$H$20="Baja",'Mapa de Riesgos'!$L$20="Mayor"),CONCATENATE("R",'Mapa de Riesgos'!$A$20),"")</f>
        <v/>
      </c>
      <c r="AE30" s="539"/>
      <c r="AF30" s="539" t="str">
        <f>IF(AND('Mapa de Riesgos'!$H$26="Baja",'Mapa de Riesgos'!$L$26="Mayor"),CONCATENATE("R",'Mapa de Riesgos'!$A$26),"")</f>
        <v/>
      </c>
      <c r="AG30" s="541"/>
      <c r="AH30" s="553" t="str">
        <f>IF(AND('Mapa de Riesgos'!$H$12="Baja",'Mapa de Riesgos'!$L$12="Catastrófico"),CONCATENATE("R",'Mapa de Riesgos'!$A$12),"")</f>
        <v/>
      </c>
      <c r="AI30" s="554"/>
      <c r="AJ30" s="554" t="str">
        <f>IF(AND('Mapa de Riesgos'!$H$20="Baja",'Mapa de Riesgos'!$L$20="Catastrófico"),CONCATENATE("R",'Mapa de Riesgos'!$A$20),"")</f>
        <v/>
      </c>
      <c r="AK30" s="554"/>
      <c r="AL30" s="554" t="str">
        <f>IF(AND('Mapa de Riesgos'!$H$26="Baja",'Mapa de Riesgos'!$L$26="Catastrófico"),CONCATENATE("R",'Mapa de Riesgos'!$A$26),"")</f>
        <v/>
      </c>
      <c r="AM30" s="555"/>
      <c r="AN30" s="83"/>
      <c r="AO30" s="518" t="s">
        <v>78</v>
      </c>
      <c r="AP30" s="519"/>
      <c r="AQ30" s="519"/>
      <c r="AR30" s="519"/>
      <c r="AS30" s="519"/>
      <c r="AT30" s="52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9"/>
      <c r="C31" s="489"/>
      <c r="D31" s="490"/>
      <c r="E31" s="530"/>
      <c r="F31" s="531"/>
      <c r="G31" s="531"/>
      <c r="H31" s="531"/>
      <c r="I31" s="531"/>
      <c r="J31" s="567"/>
      <c r="K31" s="565"/>
      <c r="L31" s="565"/>
      <c r="M31" s="565"/>
      <c r="N31" s="565"/>
      <c r="O31" s="566"/>
      <c r="P31" s="557"/>
      <c r="Q31" s="557"/>
      <c r="R31" s="557"/>
      <c r="S31" s="557"/>
      <c r="T31" s="557"/>
      <c r="U31" s="558"/>
      <c r="V31" s="556"/>
      <c r="W31" s="557"/>
      <c r="X31" s="557"/>
      <c r="Y31" s="557"/>
      <c r="Z31" s="557"/>
      <c r="AA31" s="558"/>
      <c r="AB31" s="540"/>
      <c r="AC31" s="536"/>
      <c r="AD31" s="536"/>
      <c r="AE31" s="536"/>
      <c r="AF31" s="536"/>
      <c r="AG31" s="537"/>
      <c r="AH31" s="547"/>
      <c r="AI31" s="548"/>
      <c r="AJ31" s="548"/>
      <c r="AK31" s="548"/>
      <c r="AL31" s="548"/>
      <c r="AM31" s="549"/>
      <c r="AN31" s="83"/>
      <c r="AO31" s="521"/>
      <c r="AP31" s="522"/>
      <c r="AQ31" s="522"/>
      <c r="AR31" s="522"/>
      <c r="AS31" s="522"/>
      <c r="AT31" s="52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9"/>
      <c r="C32" s="489"/>
      <c r="D32" s="490"/>
      <c r="E32" s="530"/>
      <c r="F32" s="531"/>
      <c r="G32" s="531"/>
      <c r="H32" s="531"/>
      <c r="I32" s="531"/>
      <c r="J32" s="567" t="str">
        <f>IF(AND('Mapa de Riesgos'!$H$34="Baja",'Mapa de Riesgos'!$L$34="Leve"),CONCATENATE("R",'Mapa de Riesgos'!$A$34),"")</f>
        <v/>
      </c>
      <c r="K32" s="565"/>
      <c r="L32" s="565" t="str">
        <f>IF(AND('Mapa de Riesgos'!$H$41="Baja",'Mapa de Riesgos'!$L$41="Leve"),CONCATENATE("R",'Mapa de Riesgos'!$A$41),"")</f>
        <v/>
      </c>
      <c r="M32" s="565"/>
      <c r="N32" s="565" t="str">
        <f>IF(AND('Mapa de Riesgos'!$H$48="Baja",'Mapa de Riesgos'!$L$48="Leve"),CONCATENATE("R",'Mapa de Riesgos'!$A$48),"")</f>
        <v/>
      </c>
      <c r="O32" s="566"/>
      <c r="P32" s="557" t="str">
        <f>IF(AND('Mapa de Riesgos'!$H$34="Baja",'Mapa de Riesgos'!$L$34="Menor"),CONCATENATE("R",'Mapa de Riesgos'!$A$34),"")</f>
        <v/>
      </c>
      <c r="Q32" s="557"/>
      <c r="R32" s="557" t="str">
        <f>IF(AND('Mapa de Riesgos'!$H$41="Baja",'Mapa de Riesgos'!$L$41="Menor"),CONCATENATE("R",'Mapa de Riesgos'!$A$41),"")</f>
        <v/>
      </c>
      <c r="S32" s="557"/>
      <c r="T32" s="557" t="str">
        <f>IF(AND('Mapa de Riesgos'!$H$48="Baja",'Mapa de Riesgos'!$L$48="Menor"),CONCATENATE("R",'Mapa de Riesgos'!$A$48),"")</f>
        <v/>
      </c>
      <c r="U32" s="558"/>
      <c r="V32" s="556" t="str">
        <f>IF(AND('Mapa de Riesgos'!$H$34="Baja",'Mapa de Riesgos'!$L$34="Moderado"),CONCATENATE("R",'Mapa de Riesgos'!$A$34),"")</f>
        <v/>
      </c>
      <c r="W32" s="557"/>
      <c r="X32" s="557" t="str">
        <f>IF(AND('Mapa de Riesgos'!$H$41="Baja",'Mapa de Riesgos'!$L$41="Moderado"),CONCATENATE("R",'Mapa de Riesgos'!$A$41),"")</f>
        <v/>
      </c>
      <c r="Y32" s="557"/>
      <c r="Z32" s="557" t="str">
        <f>IF(AND('Mapa de Riesgos'!$H$48="Baja",'Mapa de Riesgos'!$L$48="Moderado"),CONCATENATE("R",'Mapa de Riesgos'!$A$48),"")</f>
        <v/>
      </c>
      <c r="AA32" s="558"/>
      <c r="AB32" s="540" t="str">
        <f>IF(AND('Mapa de Riesgos'!$H$34="Baja",'Mapa de Riesgos'!$L$34="Mayor"),CONCATENATE("R",'Mapa de Riesgos'!$A$34),"")</f>
        <v>R4</v>
      </c>
      <c r="AC32" s="536"/>
      <c r="AD32" s="536" t="str">
        <f>IF(AND('Mapa de Riesgos'!$H$41="Baja",'Mapa de Riesgos'!$L$41="Mayor"),CONCATENATE("R",'Mapa de Riesgos'!$A$41),"")</f>
        <v/>
      </c>
      <c r="AE32" s="536"/>
      <c r="AF32" s="536" t="str">
        <f>IF(AND('Mapa de Riesgos'!$H$48="Baja",'Mapa de Riesgos'!$L$48="Mayor"),CONCATENATE("R",'Mapa de Riesgos'!$A$48),"")</f>
        <v/>
      </c>
      <c r="AG32" s="537"/>
      <c r="AH32" s="547" t="str">
        <f>IF(AND('Mapa de Riesgos'!$H$34="Baja",'Mapa de Riesgos'!$L$34="Catastrófico"),CONCATENATE("R",'Mapa de Riesgos'!$A$34),"")</f>
        <v/>
      </c>
      <c r="AI32" s="548"/>
      <c r="AJ32" s="548" t="str">
        <f>IF(AND('Mapa de Riesgos'!$H$41="Baja",'Mapa de Riesgos'!$L$41="Catastrófico"),CONCATENATE("R",'Mapa de Riesgos'!$A$41),"")</f>
        <v/>
      </c>
      <c r="AK32" s="548"/>
      <c r="AL32" s="548" t="str">
        <f>IF(AND('Mapa de Riesgos'!$H$48="Baja",'Mapa de Riesgos'!$L$48="Catastrófico"),CONCATENATE("R",'Mapa de Riesgos'!$A$48),"")</f>
        <v/>
      </c>
      <c r="AM32" s="549"/>
      <c r="AN32" s="83"/>
      <c r="AO32" s="521"/>
      <c r="AP32" s="522"/>
      <c r="AQ32" s="522"/>
      <c r="AR32" s="522"/>
      <c r="AS32" s="522"/>
      <c r="AT32" s="52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9"/>
      <c r="C33" s="489"/>
      <c r="D33" s="490"/>
      <c r="E33" s="530"/>
      <c r="F33" s="531"/>
      <c r="G33" s="531"/>
      <c r="H33" s="531"/>
      <c r="I33" s="531"/>
      <c r="J33" s="567"/>
      <c r="K33" s="565"/>
      <c r="L33" s="565"/>
      <c r="M33" s="565"/>
      <c r="N33" s="565"/>
      <c r="O33" s="566"/>
      <c r="P33" s="557"/>
      <c r="Q33" s="557"/>
      <c r="R33" s="557"/>
      <c r="S33" s="557"/>
      <c r="T33" s="557"/>
      <c r="U33" s="558"/>
      <c r="V33" s="556"/>
      <c r="W33" s="557"/>
      <c r="X33" s="557"/>
      <c r="Y33" s="557"/>
      <c r="Z33" s="557"/>
      <c r="AA33" s="558"/>
      <c r="AB33" s="540"/>
      <c r="AC33" s="536"/>
      <c r="AD33" s="536"/>
      <c r="AE33" s="536"/>
      <c r="AF33" s="536"/>
      <c r="AG33" s="537"/>
      <c r="AH33" s="547"/>
      <c r="AI33" s="548"/>
      <c r="AJ33" s="548"/>
      <c r="AK33" s="548"/>
      <c r="AL33" s="548"/>
      <c r="AM33" s="549"/>
      <c r="AN33" s="83"/>
      <c r="AO33" s="521"/>
      <c r="AP33" s="522"/>
      <c r="AQ33" s="522"/>
      <c r="AR33" s="522"/>
      <c r="AS33" s="522"/>
      <c r="AT33" s="52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9"/>
      <c r="C34" s="489"/>
      <c r="D34" s="490"/>
      <c r="E34" s="530"/>
      <c r="F34" s="531"/>
      <c r="G34" s="531"/>
      <c r="H34" s="531"/>
      <c r="I34" s="531"/>
      <c r="J34" s="567" t="str">
        <f>IF(AND('Mapa de Riesgos'!$H$54="Baja",'Mapa de Riesgos'!$L$54="Leve"),CONCATENATE("R",'Mapa de Riesgos'!$A$54),"")</f>
        <v/>
      </c>
      <c r="K34" s="565"/>
      <c r="L34" s="565" t="str">
        <f>IF(AND('Mapa de Riesgos'!$H$60="Baja",'Mapa de Riesgos'!$L$60="Leve"),CONCATENATE("R",'Mapa de Riesgos'!$A$60),"")</f>
        <v/>
      </c>
      <c r="M34" s="565"/>
      <c r="N34" s="565" t="str">
        <f>IF(AND('Mapa de Riesgos'!$H$66="Baja",'Mapa de Riesgos'!$L$66="Leve"),CONCATENATE("R",'Mapa de Riesgos'!$A$66),"")</f>
        <v/>
      </c>
      <c r="O34" s="566"/>
      <c r="P34" s="557" t="str">
        <f>IF(AND('Mapa de Riesgos'!$H$54="Baja",'Mapa de Riesgos'!$L$54="Menor"),CONCATENATE("R",'Mapa de Riesgos'!$A$54),"")</f>
        <v/>
      </c>
      <c r="Q34" s="557"/>
      <c r="R34" s="557" t="str">
        <f>IF(AND('Mapa de Riesgos'!$H$60="Baja",'Mapa de Riesgos'!$L$60="Menor"),CONCATENATE("R",'Mapa de Riesgos'!$A$60),"")</f>
        <v/>
      </c>
      <c r="S34" s="557"/>
      <c r="T34" s="557" t="str">
        <f>IF(AND('Mapa de Riesgos'!$H$66="Baja",'Mapa de Riesgos'!$L$66="Menor"),CONCATENATE("R",'Mapa de Riesgos'!$A$66),"")</f>
        <v/>
      </c>
      <c r="U34" s="558"/>
      <c r="V34" s="556" t="str">
        <f>IF(AND('Mapa de Riesgos'!$H$54="Baja",'Mapa de Riesgos'!$L$54="Moderado"),CONCATENATE("R",'Mapa de Riesgos'!$A$54),"")</f>
        <v/>
      </c>
      <c r="W34" s="557"/>
      <c r="X34" s="557" t="str">
        <f>IF(AND('Mapa de Riesgos'!$H$60="Baja",'Mapa de Riesgos'!$L$60="Moderado"),CONCATENATE("R",'Mapa de Riesgos'!$A$60),"")</f>
        <v/>
      </c>
      <c r="Y34" s="557"/>
      <c r="Z34" s="557" t="str">
        <f>IF(AND('Mapa de Riesgos'!$H$66="Baja",'Mapa de Riesgos'!$L$66="Moderado"),CONCATENATE("R",'Mapa de Riesgos'!$A$66),"")</f>
        <v/>
      </c>
      <c r="AA34" s="558"/>
      <c r="AB34" s="540" t="str">
        <f>IF(AND('Mapa de Riesgos'!$H$54="Baja",'Mapa de Riesgos'!$L$54="Mayor"),CONCATENATE("R",'Mapa de Riesgos'!$A$54),"")</f>
        <v/>
      </c>
      <c r="AC34" s="536"/>
      <c r="AD34" s="536" t="str">
        <f>IF(AND('Mapa de Riesgos'!$H$60="Baja",'Mapa de Riesgos'!$L$60="Mayor"),CONCATENATE("R",'Mapa de Riesgos'!$A$60),"")</f>
        <v/>
      </c>
      <c r="AE34" s="536"/>
      <c r="AF34" s="536" t="str">
        <f>IF(AND('Mapa de Riesgos'!$H$66="Baja",'Mapa de Riesgos'!$L$66="Mayor"),CONCATENATE("R",'Mapa de Riesgos'!$A$66),"")</f>
        <v/>
      </c>
      <c r="AG34" s="537"/>
      <c r="AH34" s="547" t="str">
        <f>IF(AND('Mapa de Riesgos'!$H$54="Baja",'Mapa de Riesgos'!$L$54="Catastrófico"),CONCATENATE("R",'Mapa de Riesgos'!$A$54),"")</f>
        <v/>
      </c>
      <c r="AI34" s="548"/>
      <c r="AJ34" s="548" t="str">
        <f>IF(AND('Mapa de Riesgos'!$H$60="Baja",'Mapa de Riesgos'!$L$60="Catastrófico"),CONCATENATE("R",'Mapa de Riesgos'!$A$60),"")</f>
        <v/>
      </c>
      <c r="AK34" s="548"/>
      <c r="AL34" s="548" t="str">
        <f>IF(AND('Mapa de Riesgos'!$H$66="Baja",'Mapa de Riesgos'!$L$66="Catastrófico"),CONCATENATE("R",'Mapa de Riesgos'!$A$66),"")</f>
        <v/>
      </c>
      <c r="AM34" s="549"/>
      <c r="AN34" s="83"/>
      <c r="AO34" s="521"/>
      <c r="AP34" s="522"/>
      <c r="AQ34" s="522"/>
      <c r="AR34" s="522"/>
      <c r="AS34" s="522"/>
      <c r="AT34" s="52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9"/>
      <c r="C35" s="489"/>
      <c r="D35" s="490"/>
      <c r="E35" s="530"/>
      <c r="F35" s="531"/>
      <c r="G35" s="531"/>
      <c r="H35" s="531"/>
      <c r="I35" s="531"/>
      <c r="J35" s="567"/>
      <c r="K35" s="565"/>
      <c r="L35" s="565"/>
      <c r="M35" s="565"/>
      <c r="N35" s="565"/>
      <c r="O35" s="566"/>
      <c r="P35" s="557"/>
      <c r="Q35" s="557"/>
      <c r="R35" s="557"/>
      <c r="S35" s="557"/>
      <c r="T35" s="557"/>
      <c r="U35" s="558"/>
      <c r="V35" s="556"/>
      <c r="W35" s="557"/>
      <c r="X35" s="557"/>
      <c r="Y35" s="557"/>
      <c r="Z35" s="557"/>
      <c r="AA35" s="558"/>
      <c r="AB35" s="540"/>
      <c r="AC35" s="536"/>
      <c r="AD35" s="536"/>
      <c r="AE35" s="536"/>
      <c r="AF35" s="536"/>
      <c r="AG35" s="537"/>
      <c r="AH35" s="547"/>
      <c r="AI35" s="548"/>
      <c r="AJ35" s="548"/>
      <c r="AK35" s="548"/>
      <c r="AL35" s="548"/>
      <c r="AM35" s="549"/>
      <c r="AN35" s="83"/>
      <c r="AO35" s="521"/>
      <c r="AP35" s="522"/>
      <c r="AQ35" s="522"/>
      <c r="AR35" s="522"/>
      <c r="AS35" s="522"/>
      <c r="AT35" s="52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9"/>
      <c r="C36" s="489"/>
      <c r="D36" s="490"/>
      <c r="E36" s="530"/>
      <c r="F36" s="531"/>
      <c r="G36" s="531"/>
      <c r="H36" s="531"/>
      <c r="I36" s="531"/>
      <c r="J36" s="567" t="str">
        <f>IF(AND('Mapa de Riesgos'!$H$72="Baja",'Mapa de Riesgos'!$L$72="Leve"),CONCATENATE("R",'Mapa de Riesgos'!$A$72),"")</f>
        <v/>
      </c>
      <c r="K36" s="565"/>
      <c r="L36" s="565" t="str">
        <f>IF(AND('Mapa de Riesgos'!$H$78="Baja",'Mapa de Riesgos'!$L$78="Leve"),CONCATENATE("R",'Mapa de Riesgos'!$A$78),"")</f>
        <v/>
      </c>
      <c r="M36" s="565"/>
      <c r="N36" s="565" t="str">
        <f>IF(AND('Mapa de Riesgos'!$H$84="Baja",'Mapa de Riesgos'!$L$84="Leve"),CONCATENATE("R",'Mapa de Riesgos'!$A$84),"")</f>
        <v/>
      </c>
      <c r="O36" s="566"/>
      <c r="P36" s="557" t="str">
        <f>IF(AND('Mapa de Riesgos'!$H$72="Baja",'Mapa de Riesgos'!$L$72="Menor"),CONCATENATE("R",'Mapa de Riesgos'!$A$72),"")</f>
        <v/>
      </c>
      <c r="Q36" s="557"/>
      <c r="R36" s="557" t="str">
        <f>IF(AND('Mapa de Riesgos'!$H$78="Baja",'Mapa de Riesgos'!$L$78="Menor"),CONCATENATE("R",'Mapa de Riesgos'!$A$78),"")</f>
        <v/>
      </c>
      <c r="S36" s="557"/>
      <c r="T36" s="557" t="str">
        <f>IF(AND('Mapa de Riesgos'!$H$84="Baja",'Mapa de Riesgos'!$L$84="Menor"),CONCATENATE("R",'Mapa de Riesgos'!$A$84),"")</f>
        <v/>
      </c>
      <c r="U36" s="558"/>
      <c r="V36" s="556" t="str">
        <f>IF(AND('Mapa de Riesgos'!$H$72="Baja",'Mapa de Riesgos'!$L$72="Moderado"),CONCATENATE("R",'Mapa de Riesgos'!$A$72),"")</f>
        <v/>
      </c>
      <c r="W36" s="557"/>
      <c r="X36" s="557" t="str">
        <f>IF(AND('Mapa de Riesgos'!$H$78="Baja",'Mapa de Riesgos'!$L$78="Moderado"),CONCATENATE("R",'Mapa de Riesgos'!$A$78),"")</f>
        <v/>
      </c>
      <c r="Y36" s="557"/>
      <c r="Z36" s="557" t="str">
        <f>IF(AND('Mapa de Riesgos'!$H$84="Baja",'Mapa de Riesgos'!$L$84="Moderado"),CONCATENATE("R",'Mapa de Riesgos'!$A$84),"")</f>
        <v/>
      </c>
      <c r="AA36" s="558"/>
      <c r="AB36" s="540" t="str">
        <f>IF(AND('Mapa de Riesgos'!$H$72="Baja",'Mapa de Riesgos'!$L$72="Mayor"),CONCATENATE("R",'Mapa de Riesgos'!$A$72),"")</f>
        <v/>
      </c>
      <c r="AC36" s="536"/>
      <c r="AD36" s="536" t="str">
        <f>IF(AND('Mapa de Riesgos'!$H$78="Baja",'Mapa de Riesgos'!$L$78="Mayor"),CONCATENATE("R",'Mapa de Riesgos'!$A$78),"")</f>
        <v/>
      </c>
      <c r="AE36" s="536"/>
      <c r="AF36" s="536" t="str">
        <f>IF(AND('Mapa de Riesgos'!$H$84="Baja",'Mapa de Riesgos'!$L$84="Mayor"),CONCATENATE("R",'Mapa de Riesgos'!$A$84),"")</f>
        <v/>
      </c>
      <c r="AG36" s="537"/>
      <c r="AH36" s="547" t="str">
        <f>IF(AND('Mapa de Riesgos'!$H$72="Baja",'Mapa de Riesgos'!$L$72="Catastrófico"),CONCATENATE("R",'Mapa de Riesgos'!$A$72),"")</f>
        <v/>
      </c>
      <c r="AI36" s="548"/>
      <c r="AJ36" s="548" t="str">
        <f>IF(AND('Mapa de Riesgos'!$H$78="Baja",'Mapa de Riesgos'!$L$78="Catastrófico"),CONCATENATE("R",'Mapa de Riesgos'!$A$78),"")</f>
        <v/>
      </c>
      <c r="AK36" s="548"/>
      <c r="AL36" s="548" t="str">
        <f>IF(AND('Mapa de Riesgos'!$H$84="Baja",'Mapa de Riesgos'!$L$84="Catastrófico"),CONCATENATE("R",'Mapa de Riesgos'!$A$84),"")</f>
        <v/>
      </c>
      <c r="AM36" s="549"/>
      <c r="AN36" s="83"/>
      <c r="AO36" s="521"/>
      <c r="AP36" s="522"/>
      <c r="AQ36" s="522"/>
      <c r="AR36" s="522"/>
      <c r="AS36" s="522"/>
      <c r="AT36" s="52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9"/>
      <c r="C37" s="489"/>
      <c r="D37" s="490"/>
      <c r="E37" s="533"/>
      <c r="F37" s="534"/>
      <c r="G37" s="534"/>
      <c r="H37" s="534"/>
      <c r="I37" s="534"/>
      <c r="J37" s="568"/>
      <c r="K37" s="569"/>
      <c r="L37" s="569"/>
      <c r="M37" s="569"/>
      <c r="N37" s="569"/>
      <c r="O37" s="570"/>
      <c r="P37" s="560"/>
      <c r="Q37" s="560"/>
      <c r="R37" s="560"/>
      <c r="S37" s="560"/>
      <c r="T37" s="560"/>
      <c r="U37" s="561"/>
      <c r="V37" s="559"/>
      <c r="W37" s="560"/>
      <c r="X37" s="560"/>
      <c r="Y37" s="560"/>
      <c r="Z37" s="560"/>
      <c r="AA37" s="561"/>
      <c r="AB37" s="544"/>
      <c r="AC37" s="545"/>
      <c r="AD37" s="545"/>
      <c r="AE37" s="545"/>
      <c r="AF37" s="545"/>
      <c r="AG37" s="546"/>
      <c r="AH37" s="550"/>
      <c r="AI37" s="551"/>
      <c r="AJ37" s="551"/>
      <c r="AK37" s="551"/>
      <c r="AL37" s="551"/>
      <c r="AM37" s="552"/>
      <c r="AN37" s="83"/>
      <c r="AO37" s="524"/>
      <c r="AP37" s="525"/>
      <c r="AQ37" s="525"/>
      <c r="AR37" s="525"/>
      <c r="AS37" s="525"/>
      <c r="AT37" s="52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9"/>
      <c r="C38" s="489"/>
      <c r="D38" s="490"/>
      <c r="E38" s="527" t="s">
        <v>109</v>
      </c>
      <c r="F38" s="528"/>
      <c r="G38" s="528"/>
      <c r="H38" s="528"/>
      <c r="I38" s="529"/>
      <c r="J38" s="571" t="str">
        <f>IF(AND('Mapa de Riesgos'!$H$12="Muy Baja",'Mapa de Riesgos'!$L$12="Leve"),CONCATENATE("R",'Mapa de Riesgos'!$A$12),"")</f>
        <v/>
      </c>
      <c r="K38" s="572"/>
      <c r="L38" s="572" t="str">
        <f>IF(AND('Mapa de Riesgos'!$H$20="Muy Baja",'Mapa de Riesgos'!$L$20="Leve"),CONCATENATE("R",'Mapa de Riesgos'!$A$20),"")</f>
        <v/>
      </c>
      <c r="M38" s="572"/>
      <c r="N38" s="572" t="str">
        <f>IF(AND('Mapa de Riesgos'!$H$26="Muy Baja",'Mapa de Riesgos'!$L$26="Leve"),CONCATENATE("R",'Mapa de Riesgos'!$A$26),"")</f>
        <v/>
      </c>
      <c r="O38" s="573"/>
      <c r="P38" s="571" t="str">
        <f>IF(AND('Mapa de Riesgos'!$H$12="Muy Baja",'Mapa de Riesgos'!$L$12="Menor"),CONCATENATE("R",'Mapa de Riesgos'!$A$12),"")</f>
        <v/>
      </c>
      <c r="Q38" s="572"/>
      <c r="R38" s="572" t="str">
        <f>IF(AND('Mapa de Riesgos'!$H$20="Muy Baja",'Mapa de Riesgos'!$L$20="Menor"),CONCATENATE("R",'Mapa de Riesgos'!$A$20),"")</f>
        <v/>
      </c>
      <c r="S38" s="572"/>
      <c r="T38" s="572" t="str">
        <f>IF(AND('Mapa de Riesgos'!$H$26="Muy Baja",'Mapa de Riesgos'!$L$26="Menor"),CONCATENATE("R",'Mapa de Riesgos'!$A$26),"")</f>
        <v/>
      </c>
      <c r="U38" s="573"/>
      <c r="V38" s="562" t="str">
        <f>IF(AND('Mapa de Riesgos'!$H$12="Muy Baja",'Mapa de Riesgos'!$L$12="Moderado"),CONCATENATE("R",'Mapa de Riesgos'!$A$12),"")</f>
        <v/>
      </c>
      <c r="W38" s="563"/>
      <c r="X38" s="563" t="str">
        <f>IF(AND('Mapa de Riesgos'!$H$20="Muy Baja",'Mapa de Riesgos'!$L$20="Moderado"),CONCATENATE("R",'Mapa de Riesgos'!$A$20),"")</f>
        <v/>
      </c>
      <c r="Y38" s="563"/>
      <c r="Z38" s="563" t="str">
        <f>IF(AND('Mapa de Riesgos'!$H$26="Muy Baja",'Mapa de Riesgos'!$L$26="Moderado"),CONCATENATE("R",'Mapa de Riesgos'!$A$26),"")</f>
        <v/>
      </c>
      <c r="AA38" s="564"/>
      <c r="AB38" s="538" t="str">
        <f>IF(AND('Mapa de Riesgos'!$H$12="Muy Baja",'Mapa de Riesgos'!$L$12="Mayor"),CONCATENATE("R",'Mapa de Riesgos'!$A$12),"")</f>
        <v/>
      </c>
      <c r="AC38" s="539"/>
      <c r="AD38" s="539" t="str">
        <f>IF(AND('Mapa de Riesgos'!$H$20="Muy Baja",'Mapa de Riesgos'!$L$20="Mayor"),CONCATENATE("R",'Mapa de Riesgos'!$A$20),"")</f>
        <v/>
      </c>
      <c r="AE38" s="539"/>
      <c r="AF38" s="539" t="str">
        <f>IF(AND('Mapa de Riesgos'!$H$26="Muy Baja",'Mapa de Riesgos'!$L$26="Mayor"),CONCATENATE("R",'Mapa de Riesgos'!$A$26),"")</f>
        <v/>
      </c>
      <c r="AG38" s="541"/>
      <c r="AH38" s="553" t="str">
        <f>IF(AND('Mapa de Riesgos'!$H$12="Muy Baja",'Mapa de Riesgos'!$L$12="Catastrófico"),CONCATENATE("R",'Mapa de Riesgos'!$A$12),"")</f>
        <v/>
      </c>
      <c r="AI38" s="554"/>
      <c r="AJ38" s="554" t="str">
        <f>IF(AND('Mapa de Riesgos'!$H$20="Muy Baja",'Mapa de Riesgos'!$L$20="Catastrófico"),CONCATENATE("R",'Mapa de Riesgos'!$A$20),"")</f>
        <v/>
      </c>
      <c r="AK38" s="554"/>
      <c r="AL38" s="554" t="str">
        <f>IF(AND('Mapa de Riesgos'!$H$26="Muy Baja",'Mapa de Riesgos'!$L$26="Catastrófico"),CONCATENATE("R",'Mapa de Riesgos'!$A$26),"")</f>
        <v/>
      </c>
      <c r="AM38" s="55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9"/>
      <c r="C39" s="489"/>
      <c r="D39" s="490"/>
      <c r="E39" s="530"/>
      <c r="F39" s="531"/>
      <c r="G39" s="531"/>
      <c r="H39" s="531"/>
      <c r="I39" s="532"/>
      <c r="J39" s="567"/>
      <c r="K39" s="565"/>
      <c r="L39" s="565"/>
      <c r="M39" s="565"/>
      <c r="N39" s="565"/>
      <c r="O39" s="566"/>
      <c r="P39" s="567"/>
      <c r="Q39" s="565"/>
      <c r="R39" s="565"/>
      <c r="S39" s="565"/>
      <c r="T39" s="565"/>
      <c r="U39" s="566"/>
      <c r="V39" s="556"/>
      <c r="W39" s="557"/>
      <c r="X39" s="557"/>
      <c r="Y39" s="557"/>
      <c r="Z39" s="557"/>
      <c r="AA39" s="558"/>
      <c r="AB39" s="540"/>
      <c r="AC39" s="536"/>
      <c r="AD39" s="536"/>
      <c r="AE39" s="536"/>
      <c r="AF39" s="536"/>
      <c r="AG39" s="537"/>
      <c r="AH39" s="547"/>
      <c r="AI39" s="548"/>
      <c r="AJ39" s="548"/>
      <c r="AK39" s="548"/>
      <c r="AL39" s="548"/>
      <c r="AM39" s="54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9"/>
      <c r="C40" s="489"/>
      <c r="D40" s="490"/>
      <c r="E40" s="530"/>
      <c r="F40" s="531"/>
      <c r="G40" s="531"/>
      <c r="H40" s="531"/>
      <c r="I40" s="532"/>
      <c r="J40" s="567" t="str">
        <f>IF(AND('Mapa de Riesgos'!$H$34="Muy Baja",'Mapa de Riesgos'!$L$34="Leve"),CONCATENATE("R",'Mapa de Riesgos'!$A$34),"")</f>
        <v/>
      </c>
      <c r="K40" s="565"/>
      <c r="L40" s="565" t="str">
        <f>IF(AND('Mapa de Riesgos'!$H$41="Muy Baja",'Mapa de Riesgos'!$L$41="Leve"),CONCATENATE("R",'Mapa de Riesgos'!$A$41),"")</f>
        <v/>
      </c>
      <c r="M40" s="565"/>
      <c r="N40" s="565" t="str">
        <f>IF(AND('Mapa de Riesgos'!$H$48="Muy Baja",'Mapa de Riesgos'!$L$48="Leve"),CONCATENATE("R",'Mapa de Riesgos'!$A$48),"")</f>
        <v/>
      </c>
      <c r="O40" s="566"/>
      <c r="P40" s="567" t="str">
        <f>IF(AND('Mapa de Riesgos'!$H$34="Muy Baja",'Mapa de Riesgos'!$L$34="Menor"),CONCATENATE("R",'Mapa de Riesgos'!$A$34),"")</f>
        <v/>
      </c>
      <c r="Q40" s="565"/>
      <c r="R40" s="565" t="str">
        <f>IF(AND('Mapa de Riesgos'!$H$41="Muy Baja",'Mapa de Riesgos'!$L$41="Menor"),CONCATENATE("R",'Mapa de Riesgos'!$A$41),"")</f>
        <v/>
      </c>
      <c r="S40" s="565"/>
      <c r="T40" s="565" t="str">
        <f>IF(AND('Mapa de Riesgos'!$H$48="Muy Baja",'Mapa de Riesgos'!$L$48="Menor"),CONCATENATE("R",'Mapa de Riesgos'!$A$48),"")</f>
        <v/>
      </c>
      <c r="U40" s="566"/>
      <c r="V40" s="556" t="str">
        <f>IF(AND('Mapa de Riesgos'!$H$34="Muy Baja",'Mapa de Riesgos'!$L$34="Moderado"),CONCATENATE("R",'Mapa de Riesgos'!$A$34),"")</f>
        <v/>
      </c>
      <c r="W40" s="557"/>
      <c r="X40" s="557" t="str">
        <f>IF(AND('Mapa de Riesgos'!$H$41="Muy Baja",'Mapa de Riesgos'!$L$41="Moderado"),CONCATENATE("R",'Mapa de Riesgos'!$A$41),"")</f>
        <v/>
      </c>
      <c r="Y40" s="557"/>
      <c r="Z40" s="557" t="str">
        <f>IF(AND('Mapa de Riesgos'!$H$48="Muy Baja",'Mapa de Riesgos'!$L$48="Moderado"),CONCATENATE("R",'Mapa de Riesgos'!$A$48),"")</f>
        <v/>
      </c>
      <c r="AA40" s="558"/>
      <c r="AB40" s="540" t="str">
        <f>IF(AND('Mapa de Riesgos'!$H$34="Muy Baja",'Mapa de Riesgos'!$L$34="Mayor"),CONCATENATE("R",'Mapa de Riesgos'!$A$34),"")</f>
        <v/>
      </c>
      <c r="AC40" s="536"/>
      <c r="AD40" s="536" t="str">
        <f>IF(AND('Mapa de Riesgos'!$H$41="Muy Baja",'Mapa de Riesgos'!$L$41="Mayor"),CONCATENATE("R",'Mapa de Riesgos'!$A$41),"")</f>
        <v/>
      </c>
      <c r="AE40" s="536"/>
      <c r="AF40" s="536" t="str">
        <f>IF(AND('Mapa de Riesgos'!$H$48="Muy Baja",'Mapa de Riesgos'!$L$48="Mayor"),CONCATENATE("R",'Mapa de Riesgos'!$A$48),"")</f>
        <v/>
      </c>
      <c r="AG40" s="537"/>
      <c r="AH40" s="547" t="str">
        <f>IF(AND('Mapa de Riesgos'!$H$34="Muy Baja",'Mapa de Riesgos'!$L$34="Catastrófico"),CONCATENATE("R",'Mapa de Riesgos'!$A$34),"")</f>
        <v/>
      </c>
      <c r="AI40" s="548"/>
      <c r="AJ40" s="548" t="str">
        <f>IF(AND('Mapa de Riesgos'!$H$41="Muy Baja",'Mapa de Riesgos'!$L$41="Catastrófico"),CONCATENATE("R",'Mapa de Riesgos'!$A$41),"")</f>
        <v/>
      </c>
      <c r="AK40" s="548"/>
      <c r="AL40" s="548" t="str">
        <f>IF(AND('Mapa de Riesgos'!$H$48="Muy Baja",'Mapa de Riesgos'!$L$48="Catastrófico"),CONCATENATE("R",'Mapa de Riesgos'!$A$48),"")</f>
        <v/>
      </c>
      <c r="AM40" s="54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9"/>
      <c r="C41" s="489"/>
      <c r="D41" s="490"/>
      <c r="E41" s="530"/>
      <c r="F41" s="531"/>
      <c r="G41" s="531"/>
      <c r="H41" s="531"/>
      <c r="I41" s="532"/>
      <c r="J41" s="567"/>
      <c r="K41" s="565"/>
      <c r="L41" s="565"/>
      <c r="M41" s="565"/>
      <c r="N41" s="565"/>
      <c r="O41" s="566"/>
      <c r="P41" s="567"/>
      <c r="Q41" s="565"/>
      <c r="R41" s="565"/>
      <c r="S41" s="565"/>
      <c r="T41" s="565"/>
      <c r="U41" s="566"/>
      <c r="V41" s="556"/>
      <c r="W41" s="557"/>
      <c r="X41" s="557"/>
      <c r="Y41" s="557"/>
      <c r="Z41" s="557"/>
      <c r="AA41" s="558"/>
      <c r="AB41" s="540"/>
      <c r="AC41" s="536"/>
      <c r="AD41" s="536"/>
      <c r="AE41" s="536"/>
      <c r="AF41" s="536"/>
      <c r="AG41" s="537"/>
      <c r="AH41" s="547"/>
      <c r="AI41" s="548"/>
      <c r="AJ41" s="548"/>
      <c r="AK41" s="548"/>
      <c r="AL41" s="548"/>
      <c r="AM41" s="54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9"/>
      <c r="C42" s="489"/>
      <c r="D42" s="490"/>
      <c r="E42" s="530"/>
      <c r="F42" s="531"/>
      <c r="G42" s="531"/>
      <c r="H42" s="531"/>
      <c r="I42" s="532"/>
      <c r="J42" s="567" t="str">
        <f>IF(AND('Mapa de Riesgos'!$H$54="Muy Baja",'Mapa de Riesgos'!$L$54="Leve"),CONCATENATE("R",'Mapa de Riesgos'!$A$54),"")</f>
        <v/>
      </c>
      <c r="K42" s="565"/>
      <c r="L42" s="565" t="str">
        <f>IF(AND('Mapa de Riesgos'!$H$60="Muy Baja",'Mapa de Riesgos'!$L$60="Leve"),CONCATENATE("R",'Mapa de Riesgos'!$A$60),"")</f>
        <v/>
      </c>
      <c r="M42" s="565"/>
      <c r="N42" s="565" t="str">
        <f>IF(AND('Mapa de Riesgos'!$H$66="Muy Baja",'Mapa de Riesgos'!$L$66="Leve"),CONCATENATE("R",'Mapa de Riesgos'!$A$66),"")</f>
        <v/>
      </c>
      <c r="O42" s="566"/>
      <c r="P42" s="567" t="str">
        <f>IF(AND('Mapa de Riesgos'!$H$54="Muy Baja",'Mapa de Riesgos'!$L$54="Menor"),CONCATENATE("R",'Mapa de Riesgos'!$A$54),"")</f>
        <v/>
      </c>
      <c r="Q42" s="565"/>
      <c r="R42" s="565" t="str">
        <f>IF(AND('Mapa de Riesgos'!$H$60="Muy Baja",'Mapa de Riesgos'!$L$60="Menor"),CONCATENATE("R",'Mapa de Riesgos'!$A$60),"")</f>
        <v/>
      </c>
      <c r="S42" s="565"/>
      <c r="T42" s="565" t="str">
        <f>IF(AND('Mapa de Riesgos'!$H$66="Muy Baja",'Mapa de Riesgos'!$L$66="Menor"),CONCATENATE("R",'Mapa de Riesgos'!$A$66),"")</f>
        <v/>
      </c>
      <c r="U42" s="566"/>
      <c r="V42" s="556" t="str">
        <f>IF(AND('Mapa de Riesgos'!$H$54="Muy Baja",'Mapa de Riesgos'!$L$54="Moderado"),CONCATENATE("R",'Mapa de Riesgos'!$A$54),"")</f>
        <v/>
      </c>
      <c r="W42" s="557"/>
      <c r="X42" s="557" t="str">
        <f>IF(AND('Mapa de Riesgos'!$H$60="Muy Baja",'Mapa de Riesgos'!$L$60="Moderado"),CONCATENATE("R",'Mapa de Riesgos'!$A$60),"")</f>
        <v>R8</v>
      </c>
      <c r="Y42" s="557"/>
      <c r="Z42" s="557" t="str">
        <f>IF(AND('Mapa de Riesgos'!$H$66="Muy Baja",'Mapa de Riesgos'!$L$66="Moderado"),CONCATENATE("R",'Mapa de Riesgos'!$A$66),"")</f>
        <v/>
      </c>
      <c r="AA42" s="558"/>
      <c r="AB42" s="540" t="str">
        <f>IF(AND('Mapa de Riesgos'!$H$54="Muy Baja",'Mapa de Riesgos'!$L$54="Mayor"),CONCATENATE("R",'Mapa de Riesgos'!$A$54),"")</f>
        <v/>
      </c>
      <c r="AC42" s="536"/>
      <c r="AD42" s="536" t="str">
        <f>IF(AND('Mapa de Riesgos'!$H$60="Muy Baja",'Mapa de Riesgos'!$L$60="Mayor"),CONCATENATE("R",'Mapa de Riesgos'!$A$60),"")</f>
        <v/>
      </c>
      <c r="AE42" s="536"/>
      <c r="AF42" s="536" t="str">
        <f>IF(AND('Mapa de Riesgos'!$H$66="Muy Baja",'Mapa de Riesgos'!$L$66="Mayor"),CONCATENATE("R",'Mapa de Riesgos'!$A$66),"")</f>
        <v/>
      </c>
      <c r="AG42" s="537"/>
      <c r="AH42" s="547" t="str">
        <f>IF(AND('Mapa de Riesgos'!$H$54="Muy Baja",'Mapa de Riesgos'!$L$54="Catastrófico"),CONCATENATE("R",'Mapa de Riesgos'!$A$54),"")</f>
        <v/>
      </c>
      <c r="AI42" s="548"/>
      <c r="AJ42" s="548" t="str">
        <f>IF(AND('Mapa de Riesgos'!$H$60="Muy Baja",'Mapa de Riesgos'!$L$60="Catastrófico"),CONCATENATE("R",'Mapa de Riesgos'!$A$60),"")</f>
        <v/>
      </c>
      <c r="AK42" s="548"/>
      <c r="AL42" s="548" t="str">
        <f>IF(AND('Mapa de Riesgos'!$H$66="Muy Baja",'Mapa de Riesgos'!$L$66="Catastrófico"),CONCATENATE("R",'Mapa de Riesgos'!$A$66),"")</f>
        <v/>
      </c>
      <c r="AM42" s="54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9"/>
      <c r="C43" s="489"/>
      <c r="D43" s="490"/>
      <c r="E43" s="530"/>
      <c r="F43" s="531"/>
      <c r="G43" s="531"/>
      <c r="H43" s="531"/>
      <c r="I43" s="532"/>
      <c r="J43" s="567"/>
      <c r="K43" s="565"/>
      <c r="L43" s="565"/>
      <c r="M43" s="565"/>
      <c r="N43" s="565"/>
      <c r="O43" s="566"/>
      <c r="P43" s="567"/>
      <c r="Q43" s="565"/>
      <c r="R43" s="565"/>
      <c r="S43" s="565"/>
      <c r="T43" s="565"/>
      <c r="U43" s="566"/>
      <c r="V43" s="556"/>
      <c r="W43" s="557"/>
      <c r="X43" s="557"/>
      <c r="Y43" s="557"/>
      <c r="Z43" s="557"/>
      <c r="AA43" s="558"/>
      <c r="AB43" s="540"/>
      <c r="AC43" s="536"/>
      <c r="AD43" s="536"/>
      <c r="AE43" s="536"/>
      <c r="AF43" s="536"/>
      <c r="AG43" s="537"/>
      <c r="AH43" s="547"/>
      <c r="AI43" s="548"/>
      <c r="AJ43" s="548"/>
      <c r="AK43" s="548"/>
      <c r="AL43" s="548"/>
      <c r="AM43" s="54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9"/>
      <c r="C44" s="489"/>
      <c r="D44" s="490"/>
      <c r="E44" s="530"/>
      <c r="F44" s="531"/>
      <c r="G44" s="531"/>
      <c r="H44" s="531"/>
      <c r="I44" s="532"/>
      <c r="J44" s="567" t="str">
        <f>IF(AND('Mapa de Riesgos'!$H$72="Muy Baja",'Mapa de Riesgos'!$L$72="Leve"),CONCATENATE("R",'Mapa de Riesgos'!$A$72),"")</f>
        <v/>
      </c>
      <c r="K44" s="565"/>
      <c r="L44" s="565" t="str">
        <f>IF(AND('Mapa de Riesgos'!$H$78="Muy Baja",'Mapa de Riesgos'!$L$78="Leve"),CONCATENATE("R",'Mapa de Riesgos'!$A$78),"")</f>
        <v/>
      </c>
      <c r="M44" s="565"/>
      <c r="N44" s="565" t="str">
        <f>IF(AND('Mapa de Riesgos'!$H$84="Muy Baja",'Mapa de Riesgos'!$L$84="Leve"),CONCATENATE("R",'Mapa de Riesgos'!$A$84),"")</f>
        <v/>
      </c>
      <c r="O44" s="566"/>
      <c r="P44" s="567" t="str">
        <f>IF(AND('Mapa de Riesgos'!$H$72="Muy Baja",'Mapa de Riesgos'!$L$72="Menor"),CONCATENATE("R",'Mapa de Riesgos'!$A$72),"")</f>
        <v/>
      </c>
      <c r="Q44" s="565"/>
      <c r="R44" s="565" t="str">
        <f>IF(AND('Mapa de Riesgos'!$H$78="Muy Baja",'Mapa de Riesgos'!$L$78="Menor"),CONCATENATE("R",'Mapa de Riesgos'!$A$78),"")</f>
        <v/>
      </c>
      <c r="S44" s="565"/>
      <c r="T44" s="565" t="str">
        <f>IF(AND('Mapa de Riesgos'!$H$84="Muy Baja",'Mapa de Riesgos'!$L$84="Menor"),CONCATENATE("R",'Mapa de Riesgos'!$A$84),"")</f>
        <v/>
      </c>
      <c r="U44" s="566"/>
      <c r="V44" s="556" t="str">
        <f>IF(AND('Mapa de Riesgos'!$H$72="Muy Baja",'Mapa de Riesgos'!$L$72="Moderado"),CONCATENATE("R",'Mapa de Riesgos'!$A$72),"")</f>
        <v/>
      </c>
      <c r="W44" s="557"/>
      <c r="X44" s="557" t="str">
        <f>IF(AND('Mapa de Riesgos'!$H$78="Muy Baja",'Mapa de Riesgos'!$L$78="Moderado"),CONCATENATE("R",'Mapa de Riesgos'!$A$78),"")</f>
        <v/>
      </c>
      <c r="Y44" s="557"/>
      <c r="Z44" s="557" t="str">
        <f>IF(AND('Mapa de Riesgos'!$H$84="Muy Baja",'Mapa de Riesgos'!$L$84="Moderado"),CONCATENATE("R",'Mapa de Riesgos'!$A$84),"")</f>
        <v/>
      </c>
      <c r="AA44" s="558"/>
      <c r="AB44" s="540" t="str">
        <f>IF(AND('Mapa de Riesgos'!$H$72="Muy Baja",'Mapa de Riesgos'!$L$72="Mayor"),CONCATENATE("R",'Mapa de Riesgos'!$A$72),"")</f>
        <v/>
      </c>
      <c r="AC44" s="536"/>
      <c r="AD44" s="536" t="str">
        <f>IF(AND('Mapa de Riesgos'!$H$78="Muy Baja",'Mapa de Riesgos'!$L$78="Mayor"),CONCATENATE("R",'Mapa de Riesgos'!$A$78),"")</f>
        <v/>
      </c>
      <c r="AE44" s="536"/>
      <c r="AF44" s="536" t="str">
        <f>IF(AND('Mapa de Riesgos'!$H$84="Muy Baja",'Mapa de Riesgos'!$L$84="Mayor"),CONCATENATE("R",'Mapa de Riesgos'!$A$84),"")</f>
        <v/>
      </c>
      <c r="AG44" s="537"/>
      <c r="AH44" s="547" t="str">
        <f>IF(AND('Mapa de Riesgos'!$H$72="Muy Baja",'Mapa de Riesgos'!$L$72="Catastrófico"),CONCATENATE("R",'Mapa de Riesgos'!$A$72),"")</f>
        <v/>
      </c>
      <c r="AI44" s="548"/>
      <c r="AJ44" s="548" t="str">
        <f>IF(AND('Mapa de Riesgos'!$H$78="Muy Baja",'Mapa de Riesgos'!$L$78="Catastrófico"),CONCATENATE("R",'Mapa de Riesgos'!$A$78),"")</f>
        <v/>
      </c>
      <c r="AK44" s="548"/>
      <c r="AL44" s="548" t="str">
        <f>IF(AND('Mapa de Riesgos'!$H$84="Muy Baja",'Mapa de Riesgos'!$L$84="Catastrófico"),CONCATENATE("R",'Mapa de Riesgos'!$A$84),"")</f>
        <v/>
      </c>
      <c r="AM44" s="54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9"/>
      <c r="C45" s="489"/>
      <c r="D45" s="490"/>
      <c r="E45" s="533"/>
      <c r="F45" s="534"/>
      <c r="G45" s="534"/>
      <c r="H45" s="534"/>
      <c r="I45" s="535"/>
      <c r="J45" s="568"/>
      <c r="K45" s="569"/>
      <c r="L45" s="569"/>
      <c r="M45" s="569"/>
      <c r="N45" s="569"/>
      <c r="O45" s="570"/>
      <c r="P45" s="568"/>
      <c r="Q45" s="569"/>
      <c r="R45" s="569"/>
      <c r="S45" s="569"/>
      <c r="T45" s="569"/>
      <c r="U45" s="570"/>
      <c r="V45" s="559"/>
      <c r="W45" s="560"/>
      <c r="X45" s="560"/>
      <c r="Y45" s="560"/>
      <c r="Z45" s="560"/>
      <c r="AA45" s="561"/>
      <c r="AB45" s="544"/>
      <c r="AC45" s="545"/>
      <c r="AD45" s="545"/>
      <c r="AE45" s="545"/>
      <c r="AF45" s="545"/>
      <c r="AG45" s="546"/>
      <c r="AH45" s="550"/>
      <c r="AI45" s="551"/>
      <c r="AJ45" s="551"/>
      <c r="AK45" s="551"/>
      <c r="AL45" s="551"/>
      <c r="AM45" s="55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27" t="s">
        <v>108</v>
      </c>
      <c r="K46" s="528"/>
      <c r="L46" s="528"/>
      <c r="M46" s="528"/>
      <c r="N46" s="528"/>
      <c r="O46" s="529"/>
      <c r="P46" s="527" t="s">
        <v>107</v>
      </c>
      <c r="Q46" s="528"/>
      <c r="R46" s="528"/>
      <c r="S46" s="528"/>
      <c r="T46" s="528"/>
      <c r="U46" s="529"/>
      <c r="V46" s="527" t="s">
        <v>106</v>
      </c>
      <c r="W46" s="528"/>
      <c r="X46" s="528"/>
      <c r="Y46" s="528"/>
      <c r="Z46" s="528"/>
      <c r="AA46" s="529"/>
      <c r="AB46" s="527" t="s">
        <v>105</v>
      </c>
      <c r="AC46" s="543"/>
      <c r="AD46" s="528"/>
      <c r="AE46" s="528"/>
      <c r="AF46" s="528"/>
      <c r="AG46" s="529"/>
      <c r="AH46" s="527" t="s">
        <v>104</v>
      </c>
      <c r="AI46" s="528"/>
      <c r="AJ46" s="528"/>
      <c r="AK46" s="528"/>
      <c r="AL46" s="528"/>
      <c r="AM46" s="52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30"/>
      <c r="K47" s="531"/>
      <c r="L47" s="531"/>
      <c r="M47" s="531"/>
      <c r="N47" s="531"/>
      <c r="O47" s="532"/>
      <c r="P47" s="530"/>
      <c r="Q47" s="531"/>
      <c r="R47" s="531"/>
      <c r="S47" s="531"/>
      <c r="T47" s="531"/>
      <c r="U47" s="532"/>
      <c r="V47" s="530"/>
      <c r="W47" s="531"/>
      <c r="X47" s="531"/>
      <c r="Y47" s="531"/>
      <c r="Z47" s="531"/>
      <c r="AA47" s="532"/>
      <c r="AB47" s="530"/>
      <c r="AC47" s="531"/>
      <c r="AD47" s="531"/>
      <c r="AE47" s="531"/>
      <c r="AF47" s="531"/>
      <c r="AG47" s="532"/>
      <c r="AH47" s="530"/>
      <c r="AI47" s="531"/>
      <c r="AJ47" s="531"/>
      <c r="AK47" s="531"/>
      <c r="AL47" s="531"/>
      <c r="AM47" s="53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30"/>
      <c r="K48" s="531"/>
      <c r="L48" s="531"/>
      <c r="M48" s="531"/>
      <c r="N48" s="531"/>
      <c r="O48" s="532"/>
      <c r="P48" s="530"/>
      <c r="Q48" s="531"/>
      <c r="R48" s="531"/>
      <c r="S48" s="531"/>
      <c r="T48" s="531"/>
      <c r="U48" s="532"/>
      <c r="V48" s="530"/>
      <c r="W48" s="531"/>
      <c r="X48" s="531"/>
      <c r="Y48" s="531"/>
      <c r="Z48" s="531"/>
      <c r="AA48" s="532"/>
      <c r="AB48" s="530"/>
      <c r="AC48" s="531"/>
      <c r="AD48" s="531"/>
      <c r="AE48" s="531"/>
      <c r="AF48" s="531"/>
      <c r="AG48" s="532"/>
      <c r="AH48" s="530"/>
      <c r="AI48" s="531"/>
      <c r="AJ48" s="531"/>
      <c r="AK48" s="531"/>
      <c r="AL48" s="531"/>
      <c r="AM48" s="53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30"/>
      <c r="K49" s="531"/>
      <c r="L49" s="531"/>
      <c r="M49" s="531"/>
      <c r="N49" s="531"/>
      <c r="O49" s="532"/>
      <c r="P49" s="530"/>
      <c r="Q49" s="531"/>
      <c r="R49" s="531"/>
      <c r="S49" s="531"/>
      <c r="T49" s="531"/>
      <c r="U49" s="532"/>
      <c r="V49" s="530"/>
      <c r="W49" s="531"/>
      <c r="X49" s="531"/>
      <c r="Y49" s="531"/>
      <c r="Z49" s="531"/>
      <c r="AA49" s="532"/>
      <c r="AB49" s="530"/>
      <c r="AC49" s="531"/>
      <c r="AD49" s="531"/>
      <c r="AE49" s="531"/>
      <c r="AF49" s="531"/>
      <c r="AG49" s="532"/>
      <c r="AH49" s="530"/>
      <c r="AI49" s="531"/>
      <c r="AJ49" s="531"/>
      <c r="AK49" s="531"/>
      <c r="AL49" s="531"/>
      <c r="AM49" s="53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30"/>
      <c r="K50" s="531"/>
      <c r="L50" s="531"/>
      <c r="M50" s="531"/>
      <c r="N50" s="531"/>
      <c r="O50" s="532"/>
      <c r="P50" s="530"/>
      <c r="Q50" s="531"/>
      <c r="R50" s="531"/>
      <c r="S50" s="531"/>
      <c r="T50" s="531"/>
      <c r="U50" s="532"/>
      <c r="V50" s="530"/>
      <c r="W50" s="531"/>
      <c r="X50" s="531"/>
      <c r="Y50" s="531"/>
      <c r="Z50" s="531"/>
      <c r="AA50" s="532"/>
      <c r="AB50" s="530"/>
      <c r="AC50" s="531"/>
      <c r="AD50" s="531"/>
      <c r="AE50" s="531"/>
      <c r="AF50" s="531"/>
      <c r="AG50" s="532"/>
      <c r="AH50" s="530"/>
      <c r="AI50" s="531"/>
      <c r="AJ50" s="531"/>
      <c r="AK50" s="531"/>
      <c r="AL50" s="531"/>
      <c r="AM50" s="53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33"/>
      <c r="K51" s="534"/>
      <c r="L51" s="534"/>
      <c r="M51" s="534"/>
      <c r="N51" s="534"/>
      <c r="O51" s="535"/>
      <c r="P51" s="533"/>
      <c r="Q51" s="534"/>
      <c r="R51" s="534"/>
      <c r="S51" s="534"/>
      <c r="T51" s="534"/>
      <c r="U51" s="535"/>
      <c r="V51" s="533"/>
      <c r="W51" s="534"/>
      <c r="X51" s="534"/>
      <c r="Y51" s="534"/>
      <c r="Z51" s="534"/>
      <c r="AA51" s="535"/>
      <c r="AB51" s="533"/>
      <c r="AC51" s="534"/>
      <c r="AD51" s="534"/>
      <c r="AE51" s="534"/>
      <c r="AF51" s="534"/>
      <c r="AG51" s="535"/>
      <c r="AH51" s="533"/>
      <c r="AI51" s="534"/>
      <c r="AJ51" s="534"/>
      <c r="AK51" s="534"/>
      <c r="AL51" s="534"/>
      <c r="AM51" s="53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R47" sqref="AR47"/>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600" t="s">
        <v>155</v>
      </c>
      <c r="C2" s="601"/>
      <c r="D2" s="601"/>
      <c r="E2" s="601"/>
      <c r="F2" s="601"/>
      <c r="G2" s="601"/>
      <c r="H2" s="601"/>
      <c r="I2" s="601"/>
      <c r="J2" s="542" t="s">
        <v>2</v>
      </c>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601"/>
      <c r="C3" s="601"/>
      <c r="D3" s="601"/>
      <c r="E3" s="601"/>
      <c r="F3" s="601"/>
      <c r="G3" s="601"/>
      <c r="H3" s="601"/>
      <c r="I3" s="601"/>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601"/>
      <c r="C4" s="601"/>
      <c r="D4" s="601"/>
      <c r="E4" s="601"/>
      <c r="F4" s="601"/>
      <c r="G4" s="601"/>
      <c r="H4" s="601"/>
      <c r="I4" s="601"/>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9" t="s">
        <v>4</v>
      </c>
      <c r="C6" s="489"/>
      <c r="D6" s="490"/>
      <c r="E6" s="584" t="s">
        <v>112</v>
      </c>
      <c r="F6" s="585"/>
      <c r="G6" s="585"/>
      <c r="H6" s="585"/>
      <c r="I6" s="60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91" t="s">
        <v>75</v>
      </c>
      <c r="AP6" s="592"/>
      <c r="AQ6" s="592"/>
      <c r="AR6" s="592"/>
      <c r="AS6" s="592"/>
      <c r="AT6" s="5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9"/>
      <c r="C7" s="489"/>
      <c r="D7" s="490"/>
      <c r="E7" s="588"/>
      <c r="F7" s="587"/>
      <c r="G7" s="587"/>
      <c r="H7" s="587"/>
      <c r="I7" s="603"/>
      <c r="J7" s="52" t="str">
        <f>IF(AND('Mapa de Riesgos'!$Y$20="Muy Alta",'Mapa de Riesgos'!$AA$20="Leve"),CONCATENATE("R2C",'Mapa de Riesgos'!$O$20),"")</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Riesgos'!$Y$20="Muy Alta",'Mapa de Riesgos'!$AA$20="Menor"),CONCATENATE("R2C",'Mapa de Riesgos'!$O$20),"")</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Riesgos'!$Y$20="Muy Alta",'Mapa de Riesgos'!$AA$20="Moderado"),CONCATENATE("R2C",'Mapa de Riesgos'!$O$20),"")</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Riesgos'!$Y$20="Muy Alta",'Mapa de Riesgos'!$AA$20="Mayor"),CONCATENATE("R2C",'Mapa de Riesgos'!$O$20),"")</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94"/>
      <c r="AP7" s="595"/>
      <c r="AQ7" s="595"/>
      <c r="AR7" s="595"/>
      <c r="AS7" s="595"/>
      <c r="AT7" s="5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9"/>
      <c r="C8" s="489"/>
      <c r="D8" s="490"/>
      <c r="E8" s="588"/>
      <c r="F8" s="587"/>
      <c r="G8" s="587"/>
      <c r="H8" s="587"/>
      <c r="I8" s="603"/>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Riesgos'!$Y$31="Muy Alta",'Mapa de Riesgos'!$AA$31="Leve"),CONCATENATE("R3C",'Mapa de Riesgos'!$O$31),"")</f>
        <v/>
      </c>
      <c r="N8" s="53" t="str">
        <f>IF(AND('Mapa de Riesgos'!$Y$32="Muy Alta",'Mapa de Riesgos'!$AA$32="Leve"),CONCATENATE("R3C",'Mapa de Riesgos'!$O$32),"")</f>
        <v/>
      </c>
      <c r="O8" s="54" t="str">
        <f>IF(AND('Mapa de Riesgos'!$Y$33="Muy Alta",'Mapa de Riesgos'!$AA$33="Leve"),CONCATENATE("R3C",'Mapa de Riesgos'!$O$33),"")</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Riesgos'!$Y$31="Muy Alta",'Mapa de Riesgos'!$AA$31="Menor"),CONCATENATE("R3C",'Mapa de Riesgos'!$O$31),"")</f>
        <v/>
      </c>
      <c r="T8" s="53" t="str">
        <f>IF(AND('Mapa de Riesgos'!$Y$32="Muy Alta",'Mapa de Riesgos'!$AA$32="Menor"),CONCATENATE("R3C",'Mapa de Riesgos'!$O$32),"")</f>
        <v/>
      </c>
      <c r="U8" s="54" t="str">
        <f>IF(AND('Mapa de Riesgos'!$Y$33="Muy Alta",'Mapa de Riesgos'!$AA$33="Menor"),CONCATENATE("R3C",'Mapa de Riesgos'!$O$33),"")</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Riesgos'!$Y$31="Muy Alta",'Mapa de Riesgos'!$AA$31="Moderado"),CONCATENATE("R3C",'Mapa de Riesgos'!$O$31),"")</f>
        <v/>
      </c>
      <c r="Z8" s="53" t="str">
        <f>IF(AND('Mapa de Riesgos'!$Y$32="Muy Alta",'Mapa de Riesgos'!$AA$32="Moderado"),CONCATENATE("R3C",'Mapa de Riesgos'!$O$32),"")</f>
        <v/>
      </c>
      <c r="AA8" s="54" t="str">
        <f>IF(AND('Mapa de Riesgos'!$Y$33="Muy Alta",'Mapa de Riesgos'!$AA$33="Moderado"),CONCATENATE("R3C",'Mapa de Riesgos'!$O$33),"")</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Riesgos'!$Y$31="Muy Alta",'Mapa de Riesgos'!$AA$31="Mayor"),CONCATENATE("R3C",'Mapa de Riesgos'!$O$31),"")</f>
        <v/>
      </c>
      <c r="AF8" s="53" t="str">
        <f>IF(AND('Mapa de Riesgos'!$Y$32="Muy Alta",'Mapa de Riesgos'!$AA$32="Mayor"),CONCATENATE("R3C",'Mapa de Riesgos'!$O$32),"")</f>
        <v/>
      </c>
      <c r="AG8" s="54" t="str">
        <f>IF(AND('Mapa de Riesgos'!$Y$33="Muy Alta",'Mapa de Riesgos'!$AA$33="Mayor"),CONCATENATE("R3C",'Mapa de Riesgos'!$O$33),"")</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Riesgos'!$Y$31="Muy Alta",'Mapa de Riesgos'!$AA$31="Catastrófico"),CONCATENATE("R3C",'Mapa de Riesgos'!$O$31),"")</f>
        <v/>
      </c>
      <c r="AL8" s="56" t="str">
        <f>IF(AND('Mapa de Riesgos'!$Y$32="Muy Alta",'Mapa de Riesgos'!$AA$32="Catastrófico"),CONCATENATE("R3C",'Mapa de Riesgos'!$O$32),"")</f>
        <v/>
      </c>
      <c r="AM8" s="57" t="str">
        <f>IF(AND('Mapa de Riesgos'!$Y$33="Muy Alta",'Mapa de Riesgos'!$AA$33="Catastrófico"),CONCATENATE("R3C",'Mapa de Riesgos'!$O$33),"")</f>
        <v/>
      </c>
      <c r="AN8" s="83"/>
      <c r="AO8" s="594"/>
      <c r="AP8" s="595"/>
      <c r="AQ8" s="595"/>
      <c r="AR8" s="595"/>
      <c r="AS8" s="595"/>
      <c r="AT8" s="5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9"/>
      <c r="C9" s="489"/>
      <c r="D9" s="490"/>
      <c r="E9" s="588"/>
      <c r="F9" s="587"/>
      <c r="G9" s="587"/>
      <c r="H9" s="587"/>
      <c r="I9" s="603"/>
      <c r="J9" s="52" t="str">
        <f>IF(AND('Mapa de Riesgos'!$Y$34="Muy Alta",'Mapa de Riesgos'!$AA$34="Leve"),CONCATENATE("R4C",'Mapa de Riesgos'!$O$34),"")</f>
        <v/>
      </c>
      <c r="K9" s="53" t="str">
        <f>IF(AND('Mapa de Riesgos'!$Y$35="Muy Alta",'Mapa de Riesgos'!$AA$35="Leve"),CONCATENATE("R4C",'Mapa de Riesgos'!$O$35),"")</f>
        <v/>
      </c>
      <c r="L9" s="53" t="str">
        <f>IF(AND('Mapa de Riesgos'!$Y$36="Muy Alta",'Mapa de Riesgos'!$AA$36="Leve"),CONCATENATE("R4C",'Mapa de Riesgos'!$O$36),"")</f>
        <v/>
      </c>
      <c r="M9" s="53" t="str">
        <f>IF(AND('Mapa de Riesgos'!$Y$37="Muy Alta",'Mapa de Riesgos'!$AA$37="Leve"),CONCATENATE("R4C",'Mapa de Riesgos'!$O$37),"")</f>
        <v/>
      </c>
      <c r="N9" s="53" t="str">
        <f>IF(AND('Mapa de Riesgos'!$Y$39="Muy Alta",'Mapa de Riesgos'!$AA$39="Leve"),CONCATENATE("R4C",'Mapa de Riesgos'!$O$39),"")</f>
        <v/>
      </c>
      <c r="O9" s="54" t="str">
        <f>IF(AND('Mapa de Riesgos'!$Y$40="Muy Alta",'Mapa de Riesgos'!$AA$40="Leve"),CONCATENATE("R4C",'Mapa de Riesgos'!$O$40),"")</f>
        <v/>
      </c>
      <c r="P9" s="52" t="str">
        <f>IF(AND('Mapa de Riesgos'!$Y$34="Muy Alta",'Mapa de Riesgos'!$AA$34="Menor"),CONCATENATE("R4C",'Mapa de Riesgos'!$O$34),"")</f>
        <v/>
      </c>
      <c r="Q9" s="53" t="str">
        <f>IF(AND('Mapa de Riesgos'!$Y$35="Muy Alta",'Mapa de Riesgos'!$AA$35="Menor"),CONCATENATE("R4C",'Mapa de Riesgos'!$O$35),"")</f>
        <v/>
      </c>
      <c r="R9" s="53" t="str">
        <f>IF(AND('Mapa de Riesgos'!$Y$36="Muy Alta",'Mapa de Riesgos'!$AA$36="Menor"),CONCATENATE("R4C",'Mapa de Riesgos'!$O$36),"")</f>
        <v/>
      </c>
      <c r="S9" s="53" t="str">
        <f>IF(AND('Mapa de Riesgos'!$Y$37="Muy Alta",'Mapa de Riesgos'!$AA$37="Menor"),CONCATENATE("R4C",'Mapa de Riesgos'!$O$37),"")</f>
        <v/>
      </c>
      <c r="T9" s="53" t="str">
        <f>IF(AND('Mapa de Riesgos'!$Y$39="Muy Alta",'Mapa de Riesgos'!$AA$39="Menor"),CONCATENATE("R4C",'Mapa de Riesgos'!$O$39),"")</f>
        <v/>
      </c>
      <c r="U9" s="54" t="str">
        <f>IF(AND('Mapa de Riesgos'!$Y$40="Muy Alta",'Mapa de Riesgos'!$AA$40="Menor"),CONCATENATE("R4C",'Mapa de Riesgos'!$O$40),"")</f>
        <v/>
      </c>
      <c r="V9" s="52" t="str">
        <f>IF(AND('Mapa de Riesgos'!$Y$34="Muy Alta",'Mapa de Riesgos'!$AA$34="Moderado"),CONCATENATE("R4C",'Mapa de Riesgos'!$O$34),"")</f>
        <v/>
      </c>
      <c r="W9" s="53" t="str">
        <f>IF(AND('Mapa de Riesgos'!$Y$35="Muy Alta",'Mapa de Riesgos'!$AA$35="Moderado"),CONCATENATE("R4C",'Mapa de Riesgos'!$O$35),"")</f>
        <v/>
      </c>
      <c r="X9" s="53" t="str">
        <f>IF(AND('Mapa de Riesgos'!$Y$36="Muy Alta",'Mapa de Riesgos'!$AA$36="Moderado"),CONCATENATE("R4C",'Mapa de Riesgos'!$O$36),"")</f>
        <v/>
      </c>
      <c r="Y9" s="53" t="str">
        <f>IF(AND('Mapa de Riesgos'!$Y$37="Muy Alta",'Mapa de Riesgos'!$AA$37="Moderado"),CONCATENATE("R4C",'Mapa de Riesgos'!$O$37),"")</f>
        <v/>
      </c>
      <c r="Z9" s="53" t="str">
        <f>IF(AND('Mapa de Riesgos'!$Y$39="Muy Alta",'Mapa de Riesgos'!$AA$39="Moderado"),CONCATENATE("R4C",'Mapa de Riesgos'!$O$39),"")</f>
        <v/>
      </c>
      <c r="AA9" s="54" t="str">
        <f>IF(AND('Mapa de Riesgos'!$Y$40="Muy Alta",'Mapa de Riesgos'!$AA$40="Moderado"),CONCATENATE("R4C",'Mapa de Riesgos'!$O$40),"")</f>
        <v/>
      </c>
      <c r="AB9" s="52" t="str">
        <f>IF(AND('Mapa de Riesgos'!$Y$34="Muy Alta",'Mapa de Riesgos'!$AA$34="Mayor"),CONCATENATE("R4C",'Mapa de Riesgos'!$O$34),"")</f>
        <v/>
      </c>
      <c r="AC9" s="53" t="str">
        <f>IF(AND('Mapa de Riesgos'!$Y$35="Muy Alta",'Mapa de Riesgos'!$AA$35="Mayor"),CONCATENATE("R4C",'Mapa de Riesgos'!$O$35),"")</f>
        <v/>
      </c>
      <c r="AD9" s="53" t="str">
        <f>IF(AND('Mapa de Riesgos'!$Y$36="Muy Alta",'Mapa de Riesgos'!$AA$36="Mayor"),CONCATENATE("R4C",'Mapa de Riesgos'!$O$36),"")</f>
        <v/>
      </c>
      <c r="AE9" s="53" t="str">
        <f>IF(AND('Mapa de Riesgos'!$Y$37="Muy Alta",'Mapa de Riesgos'!$AA$37="Mayor"),CONCATENATE("R4C",'Mapa de Riesgos'!$O$37),"")</f>
        <v/>
      </c>
      <c r="AF9" s="53" t="str">
        <f>IF(AND('Mapa de Riesgos'!$Y$39="Muy Alta",'Mapa de Riesgos'!$AA$39="Mayor"),CONCATENATE("R4C",'Mapa de Riesgos'!$O$39),"")</f>
        <v/>
      </c>
      <c r="AG9" s="54" t="str">
        <f>IF(AND('Mapa de Riesgos'!$Y$40="Muy Alta",'Mapa de Riesgos'!$AA$40="Mayor"),CONCATENATE("R4C",'Mapa de Riesgos'!$O$40),"")</f>
        <v/>
      </c>
      <c r="AH9" s="55" t="str">
        <f>IF(AND('Mapa de Riesgos'!$Y$34="Muy Alta",'Mapa de Riesgos'!$AA$34="Catastrófico"),CONCATENATE("R4C",'Mapa de Riesgos'!$O$34),"")</f>
        <v/>
      </c>
      <c r="AI9" s="56" t="str">
        <f>IF(AND('Mapa de Riesgos'!$Y$35="Muy Alta",'Mapa de Riesgos'!$AA$35="Catastrófico"),CONCATENATE("R4C",'Mapa de Riesgos'!$O$35),"")</f>
        <v/>
      </c>
      <c r="AJ9" s="56" t="str">
        <f>IF(AND('Mapa de Riesgos'!$Y$36="Muy Alta",'Mapa de Riesgos'!$AA$36="Catastrófico"),CONCATENATE("R4C",'Mapa de Riesgos'!$O$36),"")</f>
        <v/>
      </c>
      <c r="AK9" s="56" t="str">
        <f>IF(AND('Mapa de Riesgos'!$Y$37="Muy Alta",'Mapa de Riesgos'!$AA$37="Catastrófico"),CONCATENATE("R4C",'Mapa de Riesgos'!$O$37),"")</f>
        <v/>
      </c>
      <c r="AL9" s="56" t="str">
        <f>IF(AND('Mapa de Riesgos'!$Y$39="Muy Alta",'Mapa de Riesgos'!$AA$39="Catastrófico"),CONCATENATE("R4C",'Mapa de Riesgos'!$O$39),"")</f>
        <v/>
      </c>
      <c r="AM9" s="57" t="str">
        <f>IF(AND('Mapa de Riesgos'!$Y$40="Muy Alta",'Mapa de Riesgos'!$AA$40="Catastrófico"),CONCATENATE("R4C",'Mapa de Riesgos'!$O$40),"")</f>
        <v/>
      </c>
      <c r="AN9" s="83"/>
      <c r="AO9" s="594"/>
      <c r="AP9" s="595"/>
      <c r="AQ9" s="595"/>
      <c r="AR9" s="595"/>
      <c r="AS9" s="595"/>
      <c r="AT9" s="5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9"/>
      <c r="C10" s="489"/>
      <c r="D10" s="490"/>
      <c r="E10" s="588"/>
      <c r="F10" s="587"/>
      <c r="G10" s="587"/>
      <c r="H10" s="587"/>
      <c r="I10" s="603"/>
      <c r="J10" s="52" t="str">
        <f>IF(AND('Mapa de Riesgos'!$Y$41="Muy Alta",'Mapa de Riesgos'!$AA$41="Leve"),CONCATENATE("R5C",'Mapa de Riesgos'!$O$41),"")</f>
        <v/>
      </c>
      <c r="K10" s="53" t="str">
        <f>IF(AND('Mapa de Riesgos'!$Y$42="Muy Alta",'Mapa de Riesgos'!$AA$42="Leve"),CONCATENATE("R5C",'Mapa de Riesgos'!$O$42),"")</f>
        <v/>
      </c>
      <c r="L10" s="53" t="str">
        <f>IF(AND('Mapa de Riesgos'!$Y$43="Muy Alta",'Mapa de Riesgos'!$AA$43="Leve"),CONCATENATE("R5C",'Mapa de Riesgos'!$O$43),"")</f>
        <v/>
      </c>
      <c r="M10" s="53" t="str">
        <f>IF(AND('Mapa de Riesgos'!$Y$44="Muy Alta",'Mapa de Riesgos'!$AA$44="Leve"),CONCATENATE("R5C",'Mapa de Riesgos'!$O$44),"")</f>
        <v/>
      </c>
      <c r="N10" s="53" t="str">
        <f>IF(AND('Mapa de Riesgos'!$Y$45="Muy Alta",'Mapa de Riesgos'!$AA$45="Leve"),CONCATENATE("R5C",'Mapa de Riesgos'!$O$45),"")</f>
        <v/>
      </c>
      <c r="O10" s="54" t="str">
        <f>IF(AND('Mapa de Riesgos'!$Y$47="Muy Alta",'Mapa de Riesgos'!$AA$47="Leve"),CONCATENATE("R5C",'Mapa de Riesgos'!$O$47),"")</f>
        <v/>
      </c>
      <c r="P10" s="52" t="str">
        <f>IF(AND('Mapa de Riesgos'!$Y$41="Muy Alta",'Mapa de Riesgos'!$AA$41="Menor"),CONCATENATE("R5C",'Mapa de Riesgos'!$O$41),"")</f>
        <v/>
      </c>
      <c r="Q10" s="53" t="str">
        <f>IF(AND('Mapa de Riesgos'!$Y$42="Muy Alta",'Mapa de Riesgos'!$AA$42="Menor"),CONCATENATE("R5C",'Mapa de Riesgos'!$O$42),"")</f>
        <v/>
      </c>
      <c r="R10" s="53" t="str">
        <f>IF(AND('Mapa de Riesgos'!$Y$43="Muy Alta",'Mapa de Riesgos'!$AA$43="Menor"),CONCATENATE("R5C",'Mapa de Riesgos'!$O$43),"")</f>
        <v/>
      </c>
      <c r="S10" s="53" t="str">
        <f>IF(AND('Mapa de Riesgos'!$Y$44="Muy Alta",'Mapa de Riesgos'!$AA$44="Menor"),CONCATENATE("R5C",'Mapa de Riesgos'!$O$44),"")</f>
        <v/>
      </c>
      <c r="T10" s="53" t="str">
        <f>IF(AND('Mapa de Riesgos'!$Y$45="Muy Alta",'Mapa de Riesgos'!$AA$45="Menor"),CONCATENATE("R5C",'Mapa de Riesgos'!$O$45),"")</f>
        <v/>
      </c>
      <c r="U10" s="54" t="str">
        <f>IF(AND('Mapa de Riesgos'!$Y$47="Muy Alta",'Mapa de Riesgos'!$AA$47="Menor"),CONCATENATE("R5C",'Mapa de Riesgos'!$O$47),"")</f>
        <v/>
      </c>
      <c r="V10" s="52" t="str">
        <f>IF(AND('Mapa de Riesgos'!$Y$41="Muy Alta",'Mapa de Riesgos'!$AA$41="Moderado"),CONCATENATE("R5C",'Mapa de Riesgos'!$O$41),"")</f>
        <v/>
      </c>
      <c r="W10" s="53" t="str">
        <f>IF(AND('Mapa de Riesgos'!$Y$42="Muy Alta",'Mapa de Riesgos'!$AA$42="Moderado"),CONCATENATE("R5C",'Mapa de Riesgos'!$O$42),"")</f>
        <v/>
      </c>
      <c r="X10" s="53" t="str">
        <f>IF(AND('Mapa de Riesgos'!$Y$43="Muy Alta",'Mapa de Riesgos'!$AA$43="Moderado"),CONCATENATE("R5C",'Mapa de Riesgos'!$O$43),"")</f>
        <v/>
      </c>
      <c r="Y10" s="53" t="str">
        <f>IF(AND('Mapa de Riesgos'!$Y$44="Muy Alta",'Mapa de Riesgos'!$AA$44="Moderado"),CONCATENATE("R5C",'Mapa de Riesgos'!$O$44),"")</f>
        <v/>
      </c>
      <c r="Z10" s="53" t="str">
        <f>IF(AND('Mapa de Riesgos'!$Y$45="Muy Alta",'Mapa de Riesgos'!$AA$45="Moderado"),CONCATENATE("R5C",'Mapa de Riesgos'!$O$45),"")</f>
        <v/>
      </c>
      <c r="AA10" s="54" t="str">
        <f>IF(AND('Mapa de Riesgos'!$Y$47="Muy Alta",'Mapa de Riesgos'!$AA$47="Moderado"),CONCATENATE("R5C",'Mapa de Riesgos'!$O$47),"")</f>
        <v/>
      </c>
      <c r="AB10" s="52" t="str">
        <f>IF(AND('Mapa de Riesgos'!$Y$41="Muy Alta",'Mapa de Riesgos'!$AA$41="Mayor"),CONCATENATE("R5C",'Mapa de Riesgos'!$O$41),"")</f>
        <v/>
      </c>
      <c r="AC10" s="53" t="str">
        <f>IF(AND('Mapa de Riesgos'!$Y$42="Muy Alta",'Mapa de Riesgos'!$AA$42="Mayor"),CONCATENATE("R5C",'Mapa de Riesgos'!$O$42),"")</f>
        <v/>
      </c>
      <c r="AD10" s="53" t="str">
        <f>IF(AND('Mapa de Riesgos'!$Y$43="Muy Alta",'Mapa de Riesgos'!$AA$43="Mayor"),CONCATENATE("R5C",'Mapa de Riesgos'!$O$43),"")</f>
        <v/>
      </c>
      <c r="AE10" s="53" t="str">
        <f>IF(AND('Mapa de Riesgos'!$Y$44="Muy Alta",'Mapa de Riesgos'!$AA$44="Mayor"),CONCATENATE("R5C",'Mapa de Riesgos'!$O$44),"")</f>
        <v/>
      </c>
      <c r="AF10" s="53" t="str">
        <f>IF(AND('Mapa de Riesgos'!$Y$45="Muy Alta",'Mapa de Riesgos'!$AA$45="Mayor"),CONCATENATE("R5C",'Mapa de Riesgos'!$O$45),"")</f>
        <v/>
      </c>
      <c r="AG10" s="54" t="str">
        <f>IF(AND('Mapa de Riesgos'!$Y$47="Muy Alta",'Mapa de Riesgos'!$AA$47="Mayor"),CONCATENATE("R5C",'Mapa de Riesgos'!$O$47),"")</f>
        <v/>
      </c>
      <c r="AH10" s="55" t="str">
        <f>IF(AND('Mapa de Riesgos'!$Y$41="Muy Alta",'Mapa de Riesgos'!$AA$41="Catastrófico"),CONCATENATE("R5C",'Mapa de Riesgos'!$O$41),"")</f>
        <v/>
      </c>
      <c r="AI10" s="56" t="str">
        <f>IF(AND('Mapa de Riesgos'!$Y$42="Muy Alta",'Mapa de Riesgos'!$AA$42="Catastrófico"),CONCATENATE("R5C",'Mapa de Riesgos'!$O$42),"")</f>
        <v/>
      </c>
      <c r="AJ10" s="56" t="str">
        <f>IF(AND('Mapa de Riesgos'!$Y$43="Muy Alta",'Mapa de Riesgos'!$AA$43="Catastrófico"),CONCATENATE("R5C",'Mapa de Riesgos'!$O$43),"")</f>
        <v/>
      </c>
      <c r="AK10" s="56" t="str">
        <f>IF(AND('Mapa de Riesgos'!$Y$44="Muy Alta",'Mapa de Riesgos'!$AA$44="Catastrófico"),CONCATENATE("R5C",'Mapa de Riesgos'!$O$44),"")</f>
        <v/>
      </c>
      <c r="AL10" s="56" t="str">
        <f>IF(AND('Mapa de Riesgos'!$Y$45="Muy Alta",'Mapa de Riesgos'!$AA$45="Catastrófico"),CONCATENATE("R5C",'Mapa de Riesgos'!$O$45),"")</f>
        <v/>
      </c>
      <c r="AM10" s="57" t="str">
        <f>IF(AND('Mapa de Riesgos'!$Y$47="Muy Alta",'Mapa de Riesgos'!$AA$47="Catastrófico"),CONCATENATE("R5C",'Mapa de Riesgos'!$O$47),"")</f>
        <v/>
      </c>
      <c r="AN10" s="83"/>
      <c r="AO10" s="594"/>
      <c r="AP10" s="595"/>
      <c r="AQ10" s="595"/>
      <c r="AR10" s="595"/>
      <c r="AS10" s="595"/>
      <c r="AT10" s="5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9"/>
      <c r="C11" s="489"/>
      <c r="D11" s="490"/>
      <c r="E11" s="588"/>
      <c r="F11" s="587"/>
      <c r="G11" s="587"/>
      <c r="H11" s="587"/>
      <c r="I11" s="603"/>
      <c r="J11" s="52" t="str">
        <f>IF(AND('Mapa de Riesgos'!$Y$48="Muy Alta",'Mapa de Riesgos'!$AA$48="Leve"),CONCATENATE("R6C",'Mapa de Riesgos'!$O$48),"")</f>
        <v/>
      </c>
      <c r="K11" s="53" t="str">
        <f>IF(AND('Mapa de Riesgos'!$Y$49="Muy Alta",'Mapa de Riesgos'!$AA$49="Leve"),CONCATENATE("R6C",'Mapa de Riesgos'!$O$49),"")</f>
        <v/>
      </c>
      <c r="L11" s="53" t="str">
        <f>IF(AND('Mapa de Riesgos'!$Y$50="Muy Alta",'Mapa de Riesgos'!$AA$50="Leve"),CONCATENATE("R6C",'Mapa de Riesgos'!$O$50),"")</f>
        <v/>
      </c>
      <c r="M11" s="53" t="str">
        <f>IF(AND('Mapa de Riesgos'!$Y$51="Muy Alta",'Mapa de Riesgos'!$AA$51="Leve"),CONCATENATE("R6C",'Mapa de Riesgos'!$O$51),"")</f>
        <v/>
      </c>
      <c r="N11" s="53" t="str">
        <f>IF(AND('Mapa de Riesgos'!$Y$52="Muy Alta",'Mapa de Riesgos'!$AA$52="Leve"),CONCATENATE("R6C",'Mapa de Riesgos'!$O$52),"")</f>
        <v/>
      </c>
      <c r="O11" s="54" t="str">
        <f>IF(AND('Mapa de Riesgos'!$Y$53="Muy Alta",'Mapa de Riesgos'!$AA$53="Leve"),CONCATENATE("R6C",'Mapa de Riesgos'!$O$53),"")</f>
        <v/>
      </c>
      <c r="P11" s="52" t="str">
        <f>IF(AND('Mapa de Riesgos'!$Y$48="Muy Alta",'Mapa de Riesgos'!$AA$48="Menor"),CONCATENATE("R6C",'Mapa de Riesgos'!$O$48),"")</f>
        <v/>
      </c>
      <c r="Q11" s="53" t="str">
        <f>IF(AND('Mapa de Riesgos'!$Y$49="Muy Alta",'Mapa de Riesgos'!$AA$49="Menor"),CONCATENATE("R6C",'Mapa de Riesgos'!$O$49),"")</f>
        <v/>
      </c>
      <c r="R11" s="53" t="str">
        <f>IF(AND('Mapa de Riesgos'!$Y$50="Muy Alta",'Mapa de Riesgos'!$AA$50="Menor"),CONCATENATE("R6C",'Mapa de Riesgos'!$O$50),"")</f>
        <v/>
      </c>
      <c r="S11" s="53" t="str">
        <f>IF(AND('Mapa de Riesgos'!$Y$51="Muy Alta",'Mapa de Riesgos'!$AA$51="Menor"),CONCATENATE("R6C",'Mapa de Riesgos'!$O$51),"")</f>
        <v/>
      </c>
      <c r="T11" s="53" t="str">
        <f>IF(AND('Mapa de Riesgos'!$Y$52="Muy Alta",'Mapa de Riesgos'!$AA$52="Menor"),CONCATENATE("R6C",'Mapa de Riesgos'!$O$52),"")</f>
        <v/>
      </c>
      <c r="U11" s="54" t="str">
        <f>IF(AND('Mapa de Riesgos'!$Y$53="Muy Alta",'Mapa de Riesgos'!$AA$53="Menor"),CONCATENATE("R6C",'Mapa de Riesgos'!$O$53),"")</f>
        <v/>
      </c>
      <c r="V11" s="52" t="str">
        <f>IF(AND('Mapa de Riesgos'!$Y$48="Muy Alta",'Mapa de Riesgos'!$AA$48="Moderado"),CONCATENATE("R6C",'Mapa de Riesgos'!$O$48),"")</f>
        <v/>
      </c>
      <c r="W11" s="53" t="str">
        <f>IF(AND('Mapa de Riesgos'!$Y$49="Muy Alta",'Mapa de Riesgos'!$AA$49="Moderado"),CONCATENATE("R6C",'Mapa de Riesgos'!$O$49),"")</f>
        <v/>
      </c>
      <c r="X11" s="53" t="str">
        <f>IF(AND('Mapa de Riesgos'!$Y$50="Muy Alta",'Mapa de Riesgos'!$AA$50="Moderado"),CONCATENATE("R6C",'Mapa de Riesgos'!$O$50),"")</f>
        <v/>
      </c>
      <c r="Y11" s="53" t="str">
        <f>IF(AND('Mapa de Riesgos'!$Y$51="Muy Alta",'Mapa de Riesgos'!$AA$51="Moderado"),CONCATENATE("R6C",'Mapa de Riesgos'!$O$51),"")</f>
        <v/>
      </c>
      <c r="Z11" s="53" t="str">
        <f>IF(AND('Mapa de Riesgos'!$Y$52="Muy Alta",'Mapa de Riesgos'!$AA$52="Moderado"),CONCATENATE("R6C",'Mapa de Riesgos'!$O$52),"")</f>
        <v/>
      </c>
      <c r="AA11" s="54" t="str">
        <f>IF(AND('Mapa de Riesgos'!$Y$53="Muy Alta",'Mapa de Riesgos'!$AA$53="Moderado"),CONCATENATE("R6C",'Mapa de Riesgos'!$O$53),"")</f>
        <v/>
      </c>
      <c r="AB11" s="52" t="str">
        <f>IF(AND('Mapa de Riesgos'!$Y$48="Muy Alta",'Mapa de Riesgos'!$AA$48="Mayor"),CONCATENATE("R6C",'Mapa de Riesgos'!$O$48),"")</f>
        <v/>
      </c>
      <c r="AC11" s="53" t="str">
        <f>IF(AND('Mapa de Riesgos'!$Y$49="Muy Alta",'Mapa de Riesgos'!$AA$49="Mayor"),CONCATENATE("R6C",'Mapa de Riesgos'!$O$49),"")</f>
        <v/>
      </c>
      <c r="AD11" s="53" t="str">
        <f>IF(AND('Mapa de Riesgos'!$Y$50="Muy Alta",'Mapa de Riesgos'!$AA$50="Mayor"),CONCATENATE("R6C",'Mapa de Riesgos'!$O$50),"")</f>
        <v/>
      </c>
      <c r="AE11" s="53" t="str">
        <f>IF(AND('Mapa de Riesgos'!$Y$51="Muy Alta",'Mapa de Riesgos'!$AA$51="Mayor"),CONCATENATE("R6C",'Mapa de Riesgos'!$O$51),"")</f>
        <v/>
      </c>
      <c r="AF11" s="53" t="str">
        <f>IF(AND('Mapa de Riesgos'!$Y$52="Muy Alta",'Mapa de Riesgos'!$AA$52="Mayor"),CONCATENATE("R6C",'Mapa de Riesgos'!$O$52),"")</f>
        <v/>
      </c>
      <c r="AG11" s="54" t="str">
        <f>IF(AND('Mapa de Riesgos'!$Y$53="Muy Alta",'Mapa de Riesgos'!$AA$53="Mayor"),CONCATENATE("R6C",'Mapa de Riesgos'!$O$53),"")</f>
        <v/>
      </c>
      <c r="AH11" s="55" t="str">
        <f>IF(AND('Mapa de Riesgos'!$Y$48="Muy Alta",'Mapa de Riesgos'!$AA$48="Catastrófico"),CONCATENATE("R6C",'Mapa de Riesgos'!$O$48),"")</f>
        <v/>
      </c>
      <c r="AI11" s="56" t="str">
        <f>IF(AND('Mapa de Riesgos'!$Y$49="Muy Alta",'Mapa de Riesgos'!$AA$49="Catastrófico"),CONCATENATE("R6C",'Mapa de Riesgos'!$O$49),"")</f>
        <v/>
      </c>
      <c r="AJ11" s="56" t="str">
        <f>IF(AND('Mapa de Riesgos'!$Y$50="Muy Alta",'Mapa de Riesgos'!$AA$50="Catastrófico"),CONCATENATE("R6C",'Mapa de Riesgos'!$O$50),"")</f>
        <v/>
      </c>
      <c r="AK11" s="56" t="str">
        <f>IF(AND('Mapa de Riesgos'!$Y$51="Muy Alta",'Mapa de Riesgos'!$AA$51="Catastrófico"),CONCATENATE("R6C",'Mapa de Riesgos'!$O$51),"")</f>
        <v/>
      </c>
      <c r="AL11" s="56" t="str">
        <f>IF(AND('Mapa de Riesgos'!$Y$52="Muy Alta",'Mapa de Riesgos'!$AA$52="Catastrófico"),CONCATENATE("R6C",'Mapa de Riesgos'!$O$52),"")</f>
        <v/>
      </c>
      <c r="AM11" s="57" t="str">
        <f>IF(AND('Mapa de Riesgos'!$Y$53="Muy Alta",'Mapa de Riesgos'!$AA$53="Catastrófico"),CONCATENATE("R6C",'Mapa de Riesgos'!$O$53),"")</f>
        <v/>
      </c>
      <c r="AN11" s="83"/>
      <c r="AO11" s="594"/>
      <c r="AP11" s="595"/>
      <c r="AQ11" s="595"/>
      <c r="AR11" s="595"/>
      <c r="AS11" s="595"/>
      <c r="AT11" s="5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9"/>
      <c r="C12" s="489"/>
      <c r="D12" s="490"/>
      <c r="E12" s="588"/>
      <c r="F12" s="587"/>
      <c r="G12" s="587"/>
      <c r="H12" s="587"/>
      <c r="I12" s="603"/>
      <c r="J12" s="52" t="str">
        <f>IF(AND('Mapa de Riesgos'!$Y$54="Muy Alta",'Mapa de Riesgos'!$AA$54="Leve"),CONCATENATE("R7C",'Mapa de Riesgos'!$O$54),"")</f>
        <v/>
      </c>
      <c r="K12" s="53" t="str">
        <f>IF(AND('Mapa de Riesgos'!$Y$55="Muy Alta",'Mapa de Riesgos'!$AA$55="Leve"),CONCATENATE("R7C",'Mapa de Riesgos'!$O$55),"")</f>
        <v/>
      </c>
      <c r="L12" s="53" t="str">
        <f>IF(AND('Mapa de Riesgos'!$Y$56="Muy Alta",'Mapa de Riesgos'!$AA$56="Leve"),CONCATENATE("R7C",'Mapa de Riesgos'!$O$56),"")</f>
        <v/>
      </c>
      <c r="M12" s="53" t="str">
        <f>IF(AND('Mapa de Riesgos'!$Y$57="Muy Alta",'Mapa de Riesgos'!$AA$57="Leve"),CONCATENATE("R7C",'Mapa de Riesgos'!$O$57),"")</f>
        <v/>
      </c>
      <c r="N12" s="53" t="str">
        <f>IF(AND('Mapa de Riesgos'!$Y$58="Muy Alta",'Mapa de Riesgos'!$AA$58="Leve"),CONCATENATE("R7C",'Mapa de Riesgos'!$O$58),"")</f>
        <v/>
      </c>
      <c r="O12" s="54" t="str">
        <f>IF(AND('Mapa de Riesgos'!$Y$59="Muy Alta",'Mapa de Riesgos'!$AA$59="Leve"),CONCATENATE("R7C",'Mapa de Riesgos'!$O$59),"")</f>
        <v/>
      </c>
      <c r="P12" s="52" t="str">
        <f>IF(AND('Mapa de Riesgos'!$Y$54="Muy Alta",'Mapa de Riesgos'!$AA$54="Menor"),CONCATENATE("R7C",'Mapa de Riesgos'!$O$54),"")</f>
        <v/>
      </c>
      <c r="Q12" s="53" t="str">
        <f>IF(AND('Mapa de Riesgos'!$Y$55="Muy Alta",'Mapa de Riesgos'!$AA$55="Menor"),CONCATENATE("R7C",'Mapa de Riesgos'!$O$55),"")</f>
        <v/>
      </c>
      <c r="R12" s="53" t="str">
        <f>IF(AND('Mapa de Riesgos'!$Y$56="Muy Alta",'Mapa de Riesgos'!$AA$56="Menor"),CONCATENATE("R7C",'Mapa de Riesgos'!$O$56),"")</f>
        <v/>
      </c>
      <c r="S12" s="53" t="str">
        <f>IF(AND('Mapa de Riesgos'!$Y$57="Muy Alta",'Mapa de Riesgos'!$AA$57="Menor"),CONCATENATE("R7C",'Mapa de Riesgos'!$O$57),"")</f>
        <v/>
      </c>
      <c r="T12" s="53" t="str">
        <f>IF(AND('Mapa de Riesgos'!$Y$58="Muy Alta",'Mapa de Riesgos'!$AA$58="Menor"),CONCATENATE("R7C",'Mapa de Riesgos'!$O$58),"")</f>
        <v/>
      </c>
      <c r="U12" s="54" t="str">
        <f>IF(AND('Mapa de Riesgos'!$Y$59="Muy Alta",'Mapa de Riesgos'!$AA$59="Menor"),CONCATENATE("R7C",'Mapa de Riesgos'!$O$59),"")</f>
        <v/>
      </c>
      <c r="V12" s="52" t="str">
        <f>IF(AND('Mapa de Riesgos'!$Y$54="Muy Alta",'Mapa de Riesgos'!$AA$54="Moderado"),CONCATENATE("R7C",'Mapa de Riesgos'!$O$54),"")</f>
        <v/>
      </c>
      <c r="W12" s="53" t="str">
        <f>IF(AND('Mapa de Riesgos'!$Y$55="Muy Alta",'Mapa de Riesgos'!$AA$55="Moderado"),CONCATENATE("R7C",'Mapa de Riesgos'!$O$55),"")</f>
        <v/>
      </c>
      <c r="X12" s="53" t="str">
        <f>IF(AND('Mapa de Riesgos'!$Y$56="Muy Alta",'Mapa de Riesgos'!$AA$56="Moderado"),CONCATENATE("R7C",'Mapa de Riesgos'!$O$56),"")</f>
        <v/>
      </c>
      <c r="Y12" s="53" t="str">
        <f>IF(AND('Mapa de Riesgos'!$Y$57="Muy Alta",'Mapa de Riesgos'!$AA$57="Moderado"),CONCATENATE("R7C",'Mapa de Riesgos'!$O$57),"")</f>
        <v/>
      </c>
      <c r="Z12" s="53" t="str">
        <f>IF(AND('Mapa de Riesgos'!$Y$58="Muy Alta",'Mapa de Riesgos'!$AA$58="Moderado"),CONCATENATE("R7C",'Mapa de Riesgos'!$O$58),"")</f>
        <v/>
      </c>
      <c r="AA12" s="54" t="str">
        <f>IF(AND('Mapa de Riesgos'!$Y$59="Muy Alta",'Mapa de Riesgos'!$AA$59="Moderado"),CONCATENATE("R7C",'Mapa de Riesgos'!$O$59),"")</f>
        <v/>
      </c>
      <c r="AB12" s="52" t="str">
        <f>IF(AND('Mapa de Riesgos'!$Y$54="Muy Alta",'Mapa de Riesgos'!$AA$54="Mayor"),CONCATENATE("R7C",'Mapa de Riesgos'!$O$54),"")</f>
        <v/>
      </c>
      <c r="AC12" s="53" t="str">
        <f>IF(AND('Mapa de Riesgos'!$Y$55="Muy Alta",'Mapa de Riesgos'!$AA$55="Mayor"),CONCATENATE("R7C",'Mapa de Riesgos'!$O$55),"")</f>
        <v/>
      </c>
      <c r="AD12" s="53" t="str">
        <f>IF(AND('Mapa de Riesgos'!$Y$56="Muy Alta",'Mapa de Riesgos'!$AA$56="Mayor"),CONCATENATE("R7C",'Mapa de Riesgos'!$O$56),"")</f>
        <v/>
      </c>
      <c r="AE12" s="53" t="str">
        <f>IF(AND('Mapa de Riesgos'!$Y$57="Muy Alta",'Mapa de Riesgos'!$AA$57="Mayor"),CONCATENATE("R7C",'Mapa de Riesgos'!$O$57),"")</f>
        <v/>
      </c>
      <c r="AF12" s="53" t="str">
        <f>IF(AND('Mapa de Riesgos'!$Y$58="Muy Alta",'Mapa de Riesgos'!$AA$58="Mayor"),CONCATENATE("R7C",'Mapa de Riesgos'!$O$58),"")</f>
        <v/>
      </c>
      <c r="AG12" s="54" t="str">
        <f>IF(AND('Mapa de Riesgos'!$Y$59="Muy Alta",'Mapa de Riesgos'!$AA$59="Mayor"),CONCATENATE("R7C",'Mapa de Riesgos'!$O$59),"")</f>
        <v/>
      </c>
      <c r="AH12" s="55" t="str">
        <f>IF(AND('Mapa de Riesgos'!$Y$54="Muy Alta",'Mapa de Riesgos'!$AA$54="Catastrófico"),CONCATENATE("R7C",'Mapa de Riesgos'!$O$54),"")</f>
        <v/>
      </c>
      <c r="AI12" s="56" t="str">
        <f>IF(AND('Mapa de Riesgos'!$Y$55="Muy Alta",'Mapa de Riesgos'!$AA$55="Catastrófico"),CONCATENATE("R7C",'Mapa de Riesgos'!$O$55),"")</f>
        <v/>
      </c>
      <c r="AJ12" s="56" t="str">
        <f>IF(AND('Mapa de Riesgos'!$Y$56="Muy Alta",'Mapa de Riesgos'!$AA$56="Catastrófico"),CONCATENATE("R7C",'Mapa de Riesgos'!$O$56),"")</f>
        <v/>
      </c>
      <c r="AK12" s="56" t="str">
        <f>IF(AND('Mapa de Riesgos'!$Y$57="Muy Alta",'Mapa de Riesgos'!$AA$57="Catastrófico"),CONCATENATE("R7C",'Mapa de Riesgos'!$O$57),"")</f>
        <v/>
      </c>
      <c r="AL12" s="56" t="str">
        <f>IF(AND('Mapa de Riesgos'!$Y$58="Muy Alta",'Mapa de Riesgos'!$AA$58="Catastrófico"),CONCATENATE("R7C",'Mapa de Riesgos'!$O$58),"")</f>
        <v/>
      </c>
      <c r="AM12" s="57" t="str">
        <f>IF(AND('Mapa de Riesgos'!$Y$59="Muy Alta",'Mapa de Riesgos'!$AA$59="Catastrófico"),CONCATENATE("R7C",'Mapa de Riesgos'!$O$59),"")</f>
        <v/>
      </c>
      <c r="AN12" s="83"/>
      <c r="AO12" s="594"/>
      <c r="AP12" s="595"/>
      <c r="AQ12" s="595"/>
      <c r="AR12" s="595"/>
      <c r="AS12" s="595"/>
      <c r="AT12" s="5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9"/>
      <c r="C13" s="489"/>
      <c r="D13" s="490"/>
      <c r="E13" s="588"/>
      <c r="F13" s="587"/>
      <c r="G13" s="587"/>
      <c r="H13" s="587"/>
      <c r="I13" s="603"/>
      <c r="J13" s="52" t="str">
        <f>IF(AND('Mapa de Riesgos'!$Y$60="Muy Alta",'Mapa de Riesgos'!$AA$60="Leve"),CONCATENATE("R8C",'Mapa de Riesgos'!$O$60),"")</f>
        <v/>
      </c>
      <c r="K13" s="53" t="str">
        <f>IF(AND('Mapa de Riesgos'!$Y$61="Muy Alta",'Mapa de Riesgos'!$AA$61="Leve"),CONCATENATE("R8C",'Mapa de Riesgos'!$O$61),"")</f>
        <v/>
      </c>
      <c r="L13" s="53" t="str">
        <f>IF(AND('Mapa de Riesgos'!$Y$62="Muy Alta",'Mapa de Riesgos'!$AA$62="Leve"),CONCATENATE("R8C",'Mapa de Riesgos'!$O$62),"")</f>
        <v/>
      </c>
      <c r="M13" s="53" t="str">
        <f>IF(AND('Mapa de Riesgos'!$Y$63="Muy Alta",'Mapa de Riesgos'!$AA$63="Leve"),CONCATENATE("R8C",'Mapa de Riesgos'!$O$63),"")</f>
        <v/>
      </c>
      <c r="N13" s="53" t="str">
        <f>IF(AND('Mapa de Riesgos'!$Y$64="Muy Alta",'Mapa de Riesgos'!$AA$64="Leve"),CONCATENATE("R8C",'Mapa de Riesgos'!$O$64),"")</f>
        <v/>
      </c>
      <c r="O13" s="54" t="str">
        <f>IF(AND('Mapa de Riesgos'!$Y$65="Muy Alta",'Mapa de Riesgos'!$AA$65="Leve"),CONCATENATE("R8C",'Mapa de Riesgos'!$O$65),"")</f>
        <v/>
      </c>
      <c r="P13" s="52" t="str">
        <f>IF(AND('Mapa de Riesgos'!$Y$60="Muy Alta",'Mapa de Riesgos'!$AA$60="Menor"),CONCATENATE("R8C",'Mapa de Riesgos'!$O$60),"")</f>
        <v/>
      </c>
      <c r="Q13" s="53" t="str">
        <f>IF(AND('Mapa de Riesgos'!$Y$61="Muy Alta",'Mapa de Riesgos'!$AA$61="Menor"),CONCATENATE("R8C",'Mapa de Riesgos'!$O$61),"")</f>
        <v/>
      </c>
      <c r="R13" s="53" t="str">
        <f>IF(AND('Mapa de Riesgos'!$Y$62="Muy Alta",'Mapa de Riesgos'!$AA$62="Menor"),CONCATENATE("R8C",'Mapa de Riesgos'!$O$62),"")</f>
        <v/>
      </c>
      <c r="S13" s="53" t="str">
        <f>IF(AND('Mapa de Riesgos'!$Y$63="Muy Alta",'Mapa de Riesgos'!$AA$63="Menor"),CONCATENATE("R8C",'Mapa de Riesgos'!$O$63),"")</f>
        <v/>
      </c>
      <c r="T13" s="53" t="str">
        <f>IF(AND('Mapa de Riesgos'!$Y$64="Muy Alta",'Mapa de Riesgos'!$AA$64="Menor"),CONCATENATE("R8C",'Mapa de Riesgos'!$O$64),"")</f>
        <v/>
      </c>
      <c r="U13" s="54" t="str">
        <f>IF(AND('Mapa de Riesgos'!$Y$65="Muy Alta",'Mapa de Riesgos'!$AA$65="Menor"),CONCATENATE("R8C",'Mapa de Riesgos'!$O$65),"")</f>
        <v/>
      </c>
      <c r="V13" s="52" t="str">
        <f>IF(AND('Mapa de Riesgos'!$Y$60="Muy Alta",'Mapa de Riesgos'!$AA$60="Moderado"),CONCATENATE("R8C",'Mapa de Riesgos'!$O$60),"")</f>
        <v/>
      </c>
      <c r="W13" s="53" t="str">
        <f>IF(AND('Mapa de Riesgos'!$Y$61="Muy Alta",'Mapa de Riesgos'!$AA$61="Moderado"),CONCATENATE("R8C",'Mapa de Riesgos'!$O$61),"")</f>
        <v/>
      </c>
      <c r="X13" s="53" t="str">
        <f>IF(AND('Mapa de Riesgos'!$Y$62="Muy Alta",'Mapa de Riesgos'!$AA$62="Moderado"),CONCATENATE("R8C",'Mapa de Riesgos'!$O$62),"")</f>
        <v/>
      </c>
      <c r="Y13" s="53" t="str">
        <f>IF(AND('Mapa de Riesgos'!$Y$63="Muy Alta",'Mapa de Riesgos'!$AA$63="Moderado"),CONCATENATE("R8C",'Mapa de Riesgos'!$O$63),"")</f>
        <v/>
      </c>
      <c r="Z13" s="53" t="str">
        <f>IF(AND('Mapa de Riesgos'!$Y$64="Muy Alta",'Mapa de Riesgos'!$AA$64="Moderado"),CONCATENATE("R8C",'Mapa de Riesgos'!$O$64),"")</f>
        <v/>
      </c>
      <c r="AA13" s="54" t="str">
        <f>IF(AND('Mapa de Riesgos'!$Y$65="Muy Alta",'Mapa de Riesgos'!$AA$65="Moderado"),CONCATENATE("R8C",'Mapa de Riesgos'!$O$65),"")</f>
        <v/>
      </c>
      <c r="AB13" s="52" t="str">
        <f>IF(AND('Mapa de Riesgos'!$Y$60="Muy Alta",'Mapa de Riesgos'!$AA$60="Mayor"),CONCATENATE("R8C",'Mapa de Riesgos'!$O$60),"")</f>
        <v/>
      </c>
      <c r="AC13" s="53" t="str">
        <f>IF(AND('Mapa de Riesgos'!$Y$61="Muy Alta",'Mapa de Riesgos'!$AA$61="Mayor"),CONCATENATE("R8C",'Mapa de Riesgos'!$O$61),"")</f>
        <v/>
      </c>
      <c r="AD13" s="53" t="str">
        <f>IF(AND('Mapa de Riesgos'!$Y$62="Muy Alta",'Mapa de Riesgos'!$AA$62="Mayor"),CONCATENATE("R8C",'Mapa de Riesgos'!$O$62),"")</f>
        <v/>
      </c>
      <c r="AE13" s="53" t="str">
        <f>IF(AND('Mapa de Riesgos'!$Y$63="Muy Alta",'Mapa de Riesgos'!$AA$63="Mayor"),CONCATENATE("R8C",'Mapa de Riesgos'!$O$63),"")</f>
        <v/>
      </c>
      <c r="AF13" s="53" t="str">
        <f>IF(AND('Mapa de Riesgos'!$Y$64="Muy Alta",'Mapa de Riesgos'!$AA$64="Mayor"),CONCATENATE("R8C",'Mapa de Riesgos'!$O$64),"")</f>
        <v/>
      </c>
      <c r="AG13" s="54" t="str">
        <f>IF(AND('Mapa de Riesgos'!$Y$65="Muy Alta",'Mapa de Riesgos'!$AA$65="Mayor"),CONCATENATE("R8C",'Mapa de Riesgos'!$O$65),"")</f>
        <v/>
      </c>
      <c r="AH13" s="55" t="str">
        <f>IF(AND('Mapa de Riesgos'!$Y$60="Muy Alta",'Mapa de Riesgos'!$AA$60="Catastrófico"),CONCATENATE("R8C",'Mapa de Riesgos'!$O$60),"")</f>
        <v/>
      </c>
      <c r="AI13" s="56" t="str">
        <f>IF(AND('Mapa de Riesgos'!$Y$61="Muy Alta",'Mapa de Riesgos'!$AA$61="Catastrófico"),CONCATENATE("R8C",'Mapa de Riesgos'!$O$61),"")</f>
        <v/>
      </c>
      <c r="AJ13" s="56" t="str">
        <f>IF(AND('Mapa de Riesgos'!$Y$62="Muy Alta",'Mapa de Riesgos'!$AA$62="Catastrófico"),CONCATENATE("R8C",'Mapa de Riesgos'!$O$62),"")</f>
        <v/>
      </c>
      <c r="AK13" s="56" t="str">
        <f>IF(AND('Mapa de Riesgos'!$Y$63="Muy Alta",'Mapa de Riesgos'!$AA$63="Catastrófico"),CONCATENATE("R8C",'Mapa de Riesgos'!$O$63),"")</f>
        <v/>
      </c>
      <c r="AL13" s="56" t="str">
        <f>IF(AND('Mapa de Riesgos'!$Y$64="Muy Alta",'Mapa de Riesgos'!$AA$64="Catastrófico"),CONCATENATE("R8C",'Mapa de Riesgos'!$O$64),"")</f>
        <v/>
      </c>
      <c r="AM13" s="57" t="str">
        <f>IF(AND('Mapa de Riesgos'!$Y$65="Muy Alta",'Mapa de Riesgos'!$AA$65="Catastrófico"),CONCATENATE("R8C",'Mapa de Riesgos'!$O$65),"")</f>
        <v/>
      </c>
      <c r="AN13" s="83"/>
      <c r="AO13" s="594"/>
      <c r="AP13" s="595"/>
      <c r="AQ13" s="595"/>
      <c r="AR13" s="595"/>
      <c r="AS13" s="595"/>
      <c r="AT13" s="59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9"/>
      <c r="C14" s="489"/>
      <c r="D14" s="490"/>
      <c r="E14" s="588"/>
      <c r="F14" s="587"/>
      <c r="G14" s="587"/>
      <c r="H14" s="587"/>
      <c r="I14" s="603"/>
      <c r="J14" s="52" t="str">
        <f>IF(AND('Mapa de Riesgos'!$Y$66="Muy Alta",'Mapa de Riesgos'!$AA$66="Leve"),CONCATENATE("R9C",'Mapa de Riesgos'!$O$66),"")</f>
        <v/>
      </c>
      <c r="K14" s="53" t="str">
        <f>IF(AND('Mapa de Riesgos'!$Y$67="Muy Alta",'Mapa de Riesgos'!$AA$67="Leve"),CONCATENATE("R9C",'Mapa de Riesgos'!$O$67),"")</f>
        <v/>
      </c>
      <c r="L14" s="53" t="str">
        <f>IF(AND('Mapa de Riesgos'!$Y$68="Muy Alta",'Mapa de Riesgos'!$AA$68="Leve"),CONCATENATE("R9C",'Mapa de Riesgos'!$O$68),"")</f>
        <v/>
      </c>
      <c r="M14" s="53" t="str">
        <f>IF(AND('Mapa de Riesgos'!$Y$69="Muy Alta",'Mapa de Riesgos'!$AA$69="Leve"),CONCATENATE("R9C",'Mapa de Riesgos'!$O$69),"")</f>
        <v/>
      </c>
      <c r="N14" s="53" t="str">
        <f>IF(AND('Mapa de Riesgos'!$Y$70="Muy Alta",'Mapa de Riesgos'!$AA$70="Leve"),CONCATENATE("R9C",'Mapa de Riesgos'!$O$70),"")</f>
        <v/>
      </c>
      <c r="O14" s="54" t="str">
        <f>IF(AND('Mapa de Riesgos'!$Y$71="Muy Alta",'Mapa de Riesgos'!$AA$71="Leve"),CONCATENATE("R9C",'Mapa de Riesgos'!$O$71),"")</f>
        <v/>
      </c>
      <c r="P14" s="52" t="str">
        <f>IF(AND('Mapa de Riesgos'!$Y$66="Muy Alta",'Mapa de Riesgos'!$AA$66="Menor"),CONCATENATE("R9C",'Mapa de Riesgos'!$O$66),"")</f>
        <v/>
      </c>
      <c r="Q14" s="53" t="str">
        <f>IF(AND('Mapa de Riesgos'!$Y$67="Muy Alta",'Mapa de Riesgos'!$AA$67="Menor"),CONCATENATE("R9C",'Mapa de Riesgos'!$O$67),"")</f>
        <v/>
      </c>
      <c r="R14" s="53" t="str">
        <f>IF(AND('Mapa de Riesgos'!$Y$68="Muy Alta",'Mapa de Riesgos'!$AA$68="Menor"),CONCATENATE("R9C",'Mapa de Riesgos'!$O$68),"")</f>
        <v/>
      </c>
      <c r="S14" s="53" t="str">
        <f>IF(AND('Mapa de Riesgos'!$Y$69="Muy Alta",'Mapa de Riesgos'!$AA$69="Menor"),CONCATENATE("R9C",'Mapa de Riesgos'!$O$69),"")</f>
        <v/>
      </c>
      <c r="T14" s="53" t="str">
        <f>IF(AND('Mapa de Riesgos'!$Y$70="Muy Alta",'Mapa de Riesgos'!$AA$70="Menor"),CONCATENATE("R9C",'Mapa de Riesgos'!$O$70),"")</f>
        <v/>
      </c>
      <c r="U14" s="54" t="str">
        <f>IF(AND('Mapa de Riesgos'!$Y$71="Muy Alta",'Mapa de Riesgos'!$AA$71="Menor"),CONCATENATE("R9C",'Mapa de Riesgos'!$O$71),"")</f>
        <v/>
      </c>
      <c r="V14" s="52" t="str">
        <f>IF(AND('Mapa de Riesgos'!$Y$66="Muy Alta",'Mapa de Riesgos'!$AA$66="Moderado"),CONCATENATE("R9C",'Mapa de Riesgos'!$O$66),"")</f>
        <v/>
      </c>
      <c r="W14" s="53" t="str">
        <f>IF(AND('Mapa de Riesgos'!$Y$67="Muy Alta",'Mapa de Riesgos'!$AA$67="Moderado"),CONCATENATE("R9C",'Mapa de Riesgos'!$O$67),"")</f>
        <v/>
      </c>
      <c r="X14" s="53" t="str">
        <f>IF(AND('Mapa de Riesgos'!$Y$68="Muy Alta",'Mapa de Riesgos'!$AA$68="Moderado"),CONCATENATE("R9C",'Mapa de Riesgos'!$O$68),"")</f>
        <v/>
      </c>
      <c r="Y14" s="53" t="str">
        <f>IF(AND('Mapa de Riesgos'!$Y$69="Muy Alta",'Mapa de Riesgos'!$AA$69="Moderado"),CONCATENATE("R9C",'Mapa de Riesgos'!$O$69),"")</f>
        <v/>
      </c>
      <c r="Z14" s="53" t="str">
        <f>IF(AND('Mapa de Riesgos'!$Y$70="Muy Alta",'Mapa de Riesgos'!$AA$70="Moderado"),CONCATENATE("R9C",'Mapa de Riesgos'!$O$70),"")</f>
        <v/>
      </c>
      <c r="AA14" s="54" t="str">
        <f>IF(AND('Mapa de Riesgos'!$Y$71="Muy Alta",'Mapa de Riesgos'!$AA$71="Moderado"),CONCATENATE("R9C",'Mapa de Riesgos'!$O$71),"")</f>
        <v/>
      </c>
      <c r="AB14" s="52" t="str">
        <f>IF(AND('Mapa de Riesgos'!$Y$66="Muy Alta",'Mapa de Riesgos'!$AA$66="Mayor"),CONCATENATE("R9C",'Mapa de Riesgos'!$O$66),"")</f>
        <v/>
      </c>
      <c r="AC14" s="53" t="str">
        <f>IF(AND('Mapa de Riesgos'!$Y$67="Muy Alta",'Mapa de Riesgos'!$AA$67="Mayor"),CONCATENATE("R9C",'Mapa de Riesgos'!$O$67),"")</f>
        <v/>
      </c>
      <c r="AD14" s="53" t="str">
        <f>IF(AND('Mapa de Riesgos'!$Y$68="Muy Alta",'Mapa de Riesgos'!$AA$68="Mayor"),CONCATENATE("R9C",'Mapa de Riesgos'!$O$68),"")</f>
        <v/>
      </c>
      <c r="AE14" s="53" t="str">
        <f>IF(AND('Mapa de Riesgos'!$Y$69="Muy Alta",'Mapa de Riesgos'!$AA$69="Mayor"),CONCATENATE("R9C",'Mapa de Riesgos'!$O$69),"")</f>
        <v/>
      </c>
      <c r="AF14" s="53" t="str">
        <f>IF(AND('Mapa de Riesgos'!$Y$70="Muy Alta",'Mapa de Riesgos'!$AA$70="Mayor"),CONCATENATE("R9C",'Mapa de Riesgos'!$O$70),"")</f>
        <v/>
      </c>
      <c r="AG14" s="54" t="str">
        <f>IF(AND('Mapa de Riesgos'!$Y$71="Muy Alta",'Mapa de Riesgos'!$AA$71="Mayor"),CONCATENATE("R9C",'Mapa de Riesgos'!$O$71),"")</f>
        <v/>
      </c>
      <c r="AH14" s="55" t="str">
        <f>IF(AND('Mapa de Riesgos'!$Y$66="Muy Alta",'Mapa de Riesgos'!$AA$66="Catastrófico"),CONCATENATE("R9C",'Mapa de Riesgos'!$O$66),"")</f>
        <v/>
      </c>
      <c r="AI14" s="56" t="str">
        <f>IF(AND('Mapa de Riesgos'!$Y$67="Muy Alta",'Mapa de Riesgos'!$AA$67="Catastrófico"),CONCATENATE("R9C",'Mapa de Riesgos'!$O$67),"")</f>
        <v/>
      </c>
      <c r="AJ14" s="56" t="str">
        <f>IF(AND('Mapa de Riesgos'!$Y$68="Muy Alta",'Mapa de Riesgos'!$AA$68="Catastrófico"),CONCATENATE("R9C",'Mapa de Riesgos'!$O$68),"")</f>
        <v/>
      </c>
      <c r="AK14" s="56" t="str">
        <f>IF(AND('Mapa de Riesgos'!$Y$69="Muy Alta",'Mapa de Riesgos'!$AA$69="Catastrófico"),CONCATENATE("R9C",'Mapa de Riesgos'!$O$69),"")</f>
        <v/>
      </c>
      <c r="AL14" s="56" t="str">
        <f>IF(AND('Mapa de Riesgos'!$Y$70="Muy Alta",'Mapa de Riesgos'!$AA$70="Catastrófico"),CONCATENATE("R9C",'Mapa de Riesgos'!$O$70),"")</f>
        <v/>
      </c>
      <c r="AM14" s="57" t="str">
        <f>IF(AND('Mapa de Riesgos'!$Y$71="Muy Alta",'Mapa de Riesgos'!$AA$71="Catastrófico"),CONCATENATE("R9C",'Mapa de Riesgos'!$O$71),"")</f>
        <v/>
      </c>
      <c r="AN14" s="83"/>
      <c r="AO14" s="594"/>
      <c r="AP14" s="595"/>
      <c r="AQ14" s="595"/>
      <c r="AR14" s="595"/>
      <c r="AS14" s="595"/>
      <c r="AT14" s="59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9"/>
      <c r="C15" s="489"/>
      <c r="D15" s="490"/>
      <c r="E15" s="589"/>
      <c r="F15" s="590"/>
      <c r="G15" s="590"/>
      <c r="H15" s="590"/>
      <c r="I15" s="604"/>
      <c r="J15" s="58" t="str">
        <f>IF(AND('Mapa de Riesgos'!$Y$72="Muy Alta",'Mapa de Riesgos'!$AA$72="Leve"),CONCATENATE("R10C",'Mapa de Riesgos'!$O$72),"")</f>
        <v/>
      </c>
      <c r="K15" s="59" t="str">
        <f>IF(AND('Mapa de Riesgos'!$Y$73="Muy Alta",'Mapa de Riesgos'!$AA$73="Leve"),CONCATENATE("R10C",'Mapa de Riesgos'!$O$73),"")</f>
        <v/>
      </c>
      <c r="L15" s="59" t="str">
        <f>IF(AND('Mapa de Riesgos'!$Y$74="Muy Alta",'Mapa de Riesgos'!$AA$74="Leve"),CONCATENATE("R10C",'Mapa de Riesgos'!$O$74),"")</f>
        <v/>
      </c>
      <c r="M15" s="59" t="str">
        <f>IF(AND('Mapa de Riesgos'!$Y$75="Muy Alta",'Mapa de Riesgos'!$AA$75="Leve"),CONCATENATE("R10C",'Mapa de Riesgos'!$O$75),"")</f>
        <v/>
      </c>
      <c r="N15" s="59" t="str">
        <f>IF(AND('Mapa de Riesgos'!$Y$76="Muy Alta",'Mapa de Riesgos'!$AA$76="Leve"),CONCATENATE("R10C",'Mapa de Riesgos'!$O$76),"")</f>
        <v/>
      </c>
      <c r="O15" s="60" t="str">
        <f>IF(AND('Mapa de Riesgos'!$Y$77="Muy Alta",'Mapa de Riesgos'!$AA$77="Leve"),CONCATENATE("R10C",'Mapa de Riesgos'!$O$77),"")</f>
        <v/>
      </c>
      <c r="P15" s="52" t="str">
        <f>IF(AND('Mapa de Riesgos'!$Y$72="Muy Alta",'Mapa de Riesgos'!$AA$72="Menor"),CONCATENATE("R10C",'Mapa de Riesgos'!$O$72),"")</f>
        <v/>
      </c>
      <c r="Q15" s="53" t="str">
        <f>IF(AND('Mapa de Riesgos'!$Y$73="Muy Alta",'Mapa de Riesgos'!$AA$73="Menor"),CONCATENATE("R10C",'Mapa de Riesgos'!$O$73),"")</f>
        <v/>
      </c>
      <c r="R15" s="53" t="str">
        <f>IF(AND('Mapa de Riesgos'!$Y$74="Muy Alta",'Mapa de Riesgos'!$AA$74="Menor"),CONCATENATE("R10C",'Mapa de Riesgos'!$O$74),"")</f>
        <v/>
      </c>
      <c r="S15" s="53" t="str">
        <f>IF(AND('Mapa de Riesgos'!$Y$75="Muy Alta",'Mapa de Riesgos'!$AA$75="Menor"),CONCATENATE("R10C",'Mapa de Riesgos'!$O$75),"")</f>
        <v/>
      </c>
      <c r="T15" s="53" t="str">
        <f>IF(AND('Mapa de Riesgos'!$Y$76="Muy Alta",'Mapa de Riesgos'!$AA$76="Menor"),CONCATENATE("R10C",'Mapa de Riesgos'!$O$76),"")</f>
        <v/>
      </c>
      <c r="U15" s="54" t="str">
        <f>IF(AND('Mapa de Riesgos'!$Y$77="Muy Alta",'Mapa de Riesgos'!$AA$77="Menor"),CONCATENATE("R10C",'Mapa de Riesgos'!$O$77),"")</f>
        <v/>
      </c>
      <c r="V15" s="58" t="str">
        <f>IF(AND('Mapa de Riesgos'!$Y$72="Muy Alta",'Mapa de Riesgos'!$AA$72="Moderado"),CONCATENATE("R10C",'Mapa de Riesgos'!$O$72),"")</f>
        <v/>
      </c>
      <c r="W15" s="59" t="str">
        <f>IF(AND('Mapa de Riesgos'!$Y$73="Muy Alta",'Mapa de Riesgos'!$AA$73="Moderado"),CONCATENATE("R10C",'Mapa de Riesgos'!$O$73),"")</f>
        <v/>
      </c>
      <c r="X15" s="59" t="str">
        <f>IF(AND('Mapa de Riesgos'!$Y$74="Muy Alta",'Mapa de Riesgos'!$AA$74="Moderado"),CONCATENATE("R10C",'Mapa de Riesgos'!$O$74),"")</f>
        <v/>
      </c>
      <c r="Y15" s="59" t="str">
        <f>IF(AND('Mapa de Riesgos'!$Y$75="Muy Alta",'Mapa de Riesgos'!$AA$75="Moderado"),CONCATENATE("R10C",'Mapa de Riesgos'!$O$75),"")</f>
        <v/>
      </c>
      <c r="Z15" s="59" t="str">
        <f>IF(AND('Mapa de Riesgos'!$Y$76="Muy Alta",'Mapa de Riesgos'!$AA$76="Moderado"),CONCATENATE("R10C",'Mapa de Riesgos'!$O$76),"")</f>
        <v/>
      </c>
      <c r="AA15" s="60" t="str">
        <f>IF(AND('Mapa de Riesgos'!$Y$77="Muy Alta",'Mapa de Riesgos'!$AA$77="Moderado"),CONCATENATE("R10C",'Mapa de Riesgos'!$O$77),"")</f>
        <v/>
      </c>
      <c r="AB15" s="52" t="str">
        <f>IF(AND('Mapa de Riesgos'!$Y$72="Muy Alta",'Mapa de Riesgos'!$AA$72="Mayor"),CONCATENATE("R10C",'Mapa de Riesgos'!$O$72),"")</f>
        <v/>
      </c>
      <c r="AC15" s="53" t="str">
        <f>IF(AND('Mapa de Riesgos'!$Y$73="Muy Alta",'Mapa de Riesgos'!$AA$73="Mayor"),CONCATENATE("R10C",'Mapa de Riesgos'!$O$73),"")</f>
        <v/>
      </c>
      <c r="AD15" s="53" t="str">
        <f>IF(AND('Mapa de Riesgos'!$Y$74="Muy Alta",'Mapa de Riesgos'!$AA$74="Mayor"),CONCATENATE("R10C",'Mapa de Riesgos'!$O$74),"")</f>
        <v/>
      </c>
      <c r="AE15" s="53" t="str">
        <f>IF(AND('Mapa de Riesgos'!$Y$75="Muy Alta",'Mapa de Riesgos'!$AA$75="Mayor"),CONCATENATE("R10C",'Mapa de Riesgos'!$O$75),"")</f>
        <v/>
      </c>
      <c r="AF15" s="53" t="str">
        <f>IF(AND('Mapa de Riesgos'!$Y$76="Muy Alta",'Mapa de Riesgos'!$AA$76="Mayor"),CONCATENATE("R10C",'Mapa de Riesgos'!$O$76),"")</f>
        <v/>
      </c>
      <c r="AG15" s="54" t="str">
        <f>IF(AND('Mapa de Riesgos'!$Y$77="Muy Alta",'Mapa de Riesgos'!$AA$77="Mayor"),CONCATENATE("R10C",'Mapa de Riesgos'!$O$77),"")</f>
        <v/>
      </c>
      <c r="AH15" s="61" t="str">
        <f>IF(AND('Mapa de Riesgos'!$Y$72="Muy Alta",'Mapa de Riesgos'!$AA$72="Catastrófico"),CONCATENATE("R10C",'Mapa de Riesgos'!$O$72),"")</f>
        <v/>
      </c>
      <c r="AI15" s="62" t="str">
        <f>IF(AND('Mapa de Riesgos'!$Y$73="Muy Alta",'Mapa de Riesgos'!$AA$73="Catastrófico"),CONCATENATE("R10C",'Mapa de Riesgos'!$O$73),"")</f>
        <v/>
      </c>
      <c r="AJ15" s="62" t="str">
        <f>IF(AND('Mapa de Riesgos'!$Y$74="Muy Alta",'Mapa de Riesgos'!$AA$74="Catastrófico"),CONCATENATE("R10C",'Mapa de Riesgos'!$O$74),"")</f>
        <v/>
      </c>
      <c r="AK15" s="62" t="str">
        <f>IF(AND('Mapa de Riesgos'!$Y$75="Muy Alta",'Mapa de Riesgos'!$AA$75="Catastrófico"),CONCATENATE("R10C",'Mapa de Riesgos'!$O$75),"")</f>
        <v/>
      </c>
      <c r="AL15" s="62" t="str">
        <f>IF(AND('Mapa de Riesgos'!$Y$76="Muy Alta",'Mapa de Riesgos'!$AA$76="Catastrófico"),CONCATENATE("R10C",'Mapa de Riesgos'!$O$76),"")</f>
        <v/>
      </c>
      <c r="AM15" s="63" t="str">
        <f>IF(AND('Mapa de Riesgos'!$Y$77="Muy Alta",'Mapa de Riesgos'!$AA$77="Catastrófico"),CONCATENATE("R10C",'Mapa de Riesgos'!$O$77),"")</f>
        <v/>
      </c>
      <c r="AN15" s="83"/>
      <c r="AO15" s="597"/>
      <c r="AP15" s="598"/>
      <c r="AQ15" s="598"/>
      <c r="AR15" s="598"/>
      <c r="AS15" s="598"/>
      <c r="AT15" s="59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9"/>
      <c r="C16" s="489"/>
      <c r="D16" s="490"/>
      <c r="E16" s="584" t="s">
        <v>111</v>
      </c>
      <c r="F16" s="585"/>
      <c r="G16" s="585"/>
      <c r="H16" s="585"/>
      <c r="I16" s="58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75" t="s">
        <v>76</v>
      </c>
      <c r="AP16" s="576"/>
      <c r="AQ16" s="576"/>
      <c r="AR16" s="576"/>
      <c r="AS16" s="576"/>
      <c r="AT16" s="57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9"/>
      <c r="C17" s="489"/>
      <c r="D17" s="490"/>
      <c r="E17" s="586"/>
      <c r="F17" s="587"/>
      <c r="G17" s="587"/>
      <c r="H17" s="587"/>
      <c r="I17" s="587"/>
      <c r="J17" s="67" t="str">
        <f>IF(AND('Mapa de Riesgos'!$Y$20="Alta",'Mapa de Riesgos'!$AA$20="Leve"),CONCATENATE("R2C",'Mapa de Riesgos'!$O$20),"")</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Riesgos'!$Y$20="Alta",'Mapa de Riesgos'!$AA$20="Menor"),CONCATENATE("R2C",'Mapa de Riesgos'!$O$20),"")</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Riesgos'!$Y$20="Alta",'Mapa de Riesgos'!$AA$20="Moderado"),CONCATENATE("R2C",'Mapa de Riesgos'!$O$20),"")</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Riesgos'!$Y$20="Alta",'Mapa de Riesgos'!$AA$20="Mayor"),CONCATENATE("R2C",'Mapa de Riesgos'!$O$20),"")</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Riesgos'!$Y$20="Alta",'Mapa de Riesgos'!$AA$20="Catastrófico"),CONCATENATE("R2C",'Mapa de Riesgos'!$O$20),"")</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78"/>
      <c r="AP17" s="579"/>
      <c r="AQ17" s="579"/>
      <c r="AR17" s="579"/>
      <c r="AS17" s="579"/>
      <c r="AT17" s="58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9"/>
      <c r="C18" s="489"/>
      <c r="D18" s="490"/>
      <c r="E18" s="588"/>
      <c r="F18" s="587"/>
      <c r="G18" s="587"/>
      <c r="H18" s="587"/>
      <c r="I18" s="587"/>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Riesgos'!$Y$31="Alta",'Mapa de Riesgos'!$AA$31="Leve"),CONCATENATE("R3C",'Mapa de Riesgos'!$O$31),"")</f>
        <v/>
      </c>
      <c r="N18" s="68" t="str">
        <f>IF(AND('Mapa de Riesgos'!$Y$32="Alta",'Mapa de Riesgos'!$AA$32="Leve"),CONCATENATE("R3C",'Mapa de Riesgos'!$O$32),"")</f>
        <v/>
      </c>
      <c r="O18" s="69" t="str">
        <f>IF(AND('Mapa de Riesgos'!$Y$33="Alta",'Mapa de Riesgos'!$AA$33="Leve"),CONCATENATE("R3C",'Mapa de Riesgos'!$O$33),"")</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Riesgos'!$Y$31="Alta",'Mapa de Riesgos'!$AA$31="Menor"),CONCATENATE("R3C",'Mapa de Riesgos'!$O$31),"")</f>
        <v/>
      </c>
      <c r="T18" s="68" t="str">
        <f>IF(AND('Mapa de Riesgos'!$Y$32="Alta",'Mapa de Riesgos'!$AA$32="Menor"),CONCATENATE("R3C",'Mapa de Riesgos'!$O$32),"")</f>
        <v/>
      </c>
      <c r="U18" s="69" t="str">
        <f>IF(AND('Mapa de Riesgos'!$Y$33="Alta",'Mapa de Riesgos'!$AA$33="Menor"),CONCATENATE("R3C",'Mapa de Riesgos'!$O$33),"")</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Riesgos'!$Y$31="Alta",'Mapa de Riesgos'!$AA$31="Moderado"),CONCATENATE("R3C",'Mapa de Riesgos'!$O$31),"")</f>
        <v/>
      </c>
      <c r="Z18" s="53" t="str">
        <f>IF(AND('Mapa de Riesgos'!$Y$32="Alta",'Mapa de Riesgos'!$AA$32="Moderado"),CONCATENATE("R3C",'Mapa de Riesgos'!$O$32),"")</f>
        <v/>
      </c>
      <c r="AA18" s="54" t="str">
        <f>IF(AND('Mapa de Riesgos'!$Y$33="Alta",'Mapa de Riesgos'!$AA$33="Moderado"),CONCATENATE("R3C",'Mapa de Riesgos'!$O$33),"")</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Riesgos'!$Y$31="Alta",'Mapa de Riesgos'!$AA$31="Mayor"),CONCATENATE("R3C",'Mapa de Riesgos'!$O$31),"")</f>
        <v/>
      </c>
      <c r="AF18" s="53" t="str">
        <f>IF(AND('Mapa de Riesgos'!$Y$32="Alta",'Mapa de Riesgos'!$AA$32="Mayor"),CONCATENATE("R3C",'Mapa de Riesgos'!$O$32),"")</f>
        <v/>
      </c>
      <c r="AG18" s="54" t="str">
        <f>IF(AND('Mapa de Riesgos'!$Y$33="Alta",'Mapa de Riesgos'!$AA$33="Mayor"),CONCATENATE("R3C",'Mapa de Riesgos'!$O$33),"")</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Riesgos'!$Y$31="Alta",'Mapa de Riesgos'!$AA$31="Catastrófico"),CONCATENATE("R3C",'Mapa de Riesgos'!$O$31),"")</f>
        <v/>
      </c>
      <c r="AL18" s="56" t="str">
        <f>IF(AND('Mapa de Riesgos'!$Y$32="Alta",'Mapa de Riesgos'!$AA$32="Catastrófico"),CONCATENATE("R3C",'Mapa de Riesgos'!$O$32),"")</f>
        <v/>
      </c>
      <c r="AM18" s="57" t="str">
        <f>IF(AND('Mapa de Riesgos'!$Y$33="Alta",'Mapa de Riesgos'!$AA$33="Catastrófico"),CONCATENATE("R3C",'Mapa de Riesgos'!$O$33),"")</f>
        <v/>
      </c>
      <c r="AN18" s="83"/>
      <c r="AO18" s="578"/>
      <c r="AP18" s="579"/>
      <c r="AQ18" s="579"/>
      <c r="AR18" s="579"/>
      <c r="AS18" s="579"/>
      <c r="AT18" s="58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9"/>
      <c r="C19" s="489"/>
      <c r="D19" s="490"/>
      <c r="E19" s="588"/>
      <c r="F19" s="587"/>
      <c r="G19" s="587"/>
      <c r="H19" s="587"/>
      <c r="I19" s="587"/>
      <c r="J19" s="67" t="str">
        <f>IF(AND('Mapa de Riesgos'!$Y$34="Alta",'Mapa de Riesgos'!$AA$34="Leve"),CONCATENATE("R4C",'Mapa de Riesgos'!$O$34),"")</f>
        <v/>
      </c>
      <c r="K19" s="68" t="str">
        <f>IF(AND('Mapa de Riesgos'!$Y$35="Alta",'Mapa de Riesgos'!$AA$35="Leve"),CONCATENATE("R4C",'Mapa de Riesgos'!$O$35),"")</f>
        <v/>
      </c>
      <c r="L19" s="68" t="str">
        <f>IF(AND('Mapa de Riesgos'!$Y$36="Alta",'Mapa de Riesgos'!$AA$36="Leve"),CONCATENATE("R4C",'Mapa de Riesgos'!$O$36),"")</f>
        <v/>
      </c>
      <c r="M19" s="68" t="str">
        <f>IF(AND('Mapa de Riesgos'!$Y$37="Alta",'Mapa de Riesgos'!$AA$37="Leve"),CONCATENATE("R4C",'Mapa de Riesgos'!$O$37),"")</f>
        <v/>
      </c>
      <c r="N19" s="68" t="str">
        <f>IF(AND('Mapa de Riesgos'!$Y$39="Alta",'Mapa de Riesgos'!$AA$39="Leve"),CONCATENATE("R4C",'Mapa de Riesgos'!$O$39),"")</f>
        <v/>
      </c>
      <c r="O19" s="69" t="str">
        <f>IF(AND('Mapa de Riesgos'!$Y$40="Alta",'Mapa de Riesgos'!$AA$40="Leve"),CONCATENATE("R4C",'Mapa de Riesgos'!$O$40),"")</f>
        <v/>
      </c>
      <c r="P19" s="67" t="str">
        <f>IF(AND('Mapa de Riesgos'!$Y$34="Alta",'Mapa de Riesgos'!$AA$34="Menor"),CONCATENATE("R4C",'Mapa de Riesgos'!$O$34),"")</f>
        <v/>
      </c>
      <c r="Q19" s="68" t="str">
        <f>IF(AND('Mapa de Riesgos'!$Y$35="Alta",'Mapa de Riesgos'!$AA$35="Menor"),CONCATENATE("R4C",'Mapa de Riesgos'!$O$35),"")</f>
        <v/>
      </c>
      <c r="R19" s="68" t="str">
        <f>IF(AND('Mapa de Riesgos'!$Y$36="Alta",'Mapa de Riesgos'!$AA$36="Menor"),CONCATENATE("R4C",'Mapa de Riesgos'!$O$36),"")</f>
        <v/>
      </c>
      <c r="S19" s="68" t="str">
        <f>IF(AND('Mapa de Riesgos'!$Y$37="Alta",'Mapa de Riesgos'!$AA$37="Menor"),CONCATENATE("R4C",'Mapa de Riesgos'!$O$37),"")</f>
        <v/>
      </c>
      <c r="T19" s="68" t="str">
        <f>IF(AND('Mapa de Riesgos'!$Y$39="Alta",'Mapa de Riesgos'!$AA$39="Menor"),CONCATENATE("R4C",'Mapa de Riesgos'!$O$39),"")</f>
        <v/>
      </c>
      <c r="U19" s="69" t="str">
        <f>IF(AND('Mapa de Riesgos'!$Y$40="Alta",'Mapa de Riesgos'!$AA$40="Menor"),CONCATENATE("R4C",'Mapa de Riesgos'!$O$40),"")</f>
        <v/>
      </c>
      <c r="V19" s="52" t="str">
        <f>IF(AND('Mapa de Riesgos'!$Y$34="Alta",'Mapa de Riesgos'!$AA$34="Moderado"),CONCATENATE("R4C",'Mapa de Riesgos'!$O$34),"")</f>
        <v/>
      </c>
      <c r="W19" s="53" t="str">
        <f>IF(AND('Mapa de Riesgos'!$Y$35="Alta",'Mapa de Riesgos'!$AA$35="Moderado"),CONCATENATE("R4C",'Mapa de Riesgos'!$O$35),"")</f>
        <v/>
      </c>
      <c r="X19" s="53" t="str">
        <f>IF(AND('Mapa de Riesgos'!$Y$36="Alta",'Mapa de Riesgos'!$AA$36="Moderado"),CONCATENATE("R4C",'Mapa de Riesgos'!$O$36),"")</f>
        <v/>
      </c>
      <c r="Y19" s="53" t="str">
        <f>IF(AND('Mapa de Riesgos'!$Y$37="Alta",'Mapa de Riesgos'!$AA$37="Moderado"),CONCATENATE("R4C",'Mapa de Riesgos'!$O$37),"")</f>
        <v/>
      </c>
      <c r="Z19" s="53" t="str">
        <f>IF(AND('Mapa de Riesgos'!$Y$39="Alta",'Mapa de Riesgos'!$AA$39="Moderado"),CONCATENATE("R4C",'Mapa de Riesgos'!$O$39),"")</f>
        <v/>
      </c>
      <c r="AA19" s="54" t="str">
        <f>IF(AND('Mapa de Riesgos'!$Y$40="Alta",'Mapa de Riesgos'!$AA$40="Moderado"),CONCATENATE("R4C",'Mapa de Riesgos'!$O$40),"")</f>
        <v/>
      </c>
      <c r="AB19" s="52" t="str">
        <f>IF(AND('Mapa de Riesgos'!$Y$34="Alta",'Mapa de Riesgos'!$AA$34="Mayor"),CONCATENATE("R4C",'Mapa de Riesgos'!$O$34),"")</f>
        <v/>
      </c>
      <c r="AC19" s="53" t="str">
        <f>IF(AND('Mapa de Riesgos'!$Y$35="Alta",'Mapa de Riesgos'!$AA$35="Mayor"),CONCATENATE("R4C",'Mapa de Riesgos'!$O$35),"")</f>
        <v/>
      </c>
      <c r="AD19" s="53" t="str">
        <f>IF(AND('Mapa de Riesgos'!$Y$36="Alta",'Mapa de Riesgos'!$AA$36="Mayor"),CONCATENATE("R4C",'Mapa de Riesgos'!$O$36),"")</f>
        <v/>
      </c>
      <c r="AE19" s="53" t="str">
        <f>IF(AND('Mapa de Riesgos'!$Y$37="Alta",'Mapa de Riesgos'!$AA$37="Mayor"),CONCATENATE("R4C",'Mapa de Riesgos'!$O$37),"")</f>
        <v/>
      </c>
      <c r="AF19" s="53" t="str">
        <f>IF(AND('Mapa de Riesgos'!$Y$39="Alta",'Mapa de Riesgos'!$AA$39="Mayor"),CONCATENATE("R4C",'Mapa de Riesgos'!$O$39),"")</f>
        <v/>
      </c>
      <c r="AG19" s="54" t="str">
        <f>IF(AND('Mapa de Riesgos'!$Y$40="Alta",'Mapa de Riesgos'!$AA$40="Mayor"),CONCATENATE("R4C",'Mapa de Riesgos'!$O$40),"")</f>
        <v/>
      </c>
      <c r="AH19" s="55" t="str">
        <f>IF(AND('Mapa de Riesgos'!$Y$34="Alta",'Mapa de Riesgos'!$AA$34="Catastrófico"),CONCATENATE("R4C",'Mapa de Riesgos'!$O$34),"")</f>
        <v/>
      </c>
      <c r="AI19" s="56" t="str">
        <f>IF(AND('Mapa de Riesgos'!$Y$35="Alta",'Mapa de Riesgos'!$AA$35="Catastrófico"),CONCATENATE("R4C",'Mapa de Riesgos'!$O$35),"")</f>
        <v/>
      </c>
      <c r="AJ19" s="56" t="str">
        <f>IF(AND('Mapa de Riesgos'!$Y$36="Alta",'Mapa de Riesgos'!$AA$36="Catastrófico"),CONCATENATE("R4C",'Mapa de Riesgos'!$O$36),"")</f>
        <v/>
      </c>
      <c r="AK19" s="56" t="str">
        <f>IF(AND('Mapa de Riesgos'!$Y$37="Alta",'Mapa de Riesgos'!$AA$37="Catastrófico"),CONCATENATE("R4C",'Mapa de Riesgos'!$O$37),"")</f>
        <v/>
      </c>
      <c r="AL19" s="56" t="str">
        <f>IF(AND('Mapa de Riesgos'!$Y$39="Alta",'Mapa de Riesgos'!$AA$39="Catastrófico"),CONCATENATE("R4C",'Mapa de Riesgos'!$O$39),"")</f>
        <v/>
      </c>
      <c r="AM19" s="57" t="str">
        <f>IF(AND('Mapa de Riesgos'!$Y$40="Alta",'Mapa de Riesgos'!$AA$40="Catastrófico"),CONCATENATE("R4C",'Mapa de Riesgos'!$O$40),"")</f>
        <v/>
      </c>
      <c r="AN19" s="83"/>
      <c r="AO19" s="578"/>
      <c r="AP19" s="579"/>
      <c r="AQ19" s="579"/>
      <c r="AR19" s="579"/>
      <c r="AS19" s="579"/>
      <c r="AT19" s="58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9"/>
      <c r="C20" s="489"/>
      <c r="D20" s="490"/>
      <c r="E20" s="588"/>
      <c r="F20" s="587"/>
      <c r="G20" s="587"/>
      <c r="H20" s="587"/>
      <c r="I20" s="587"/>
      <c r="J20" s="67" t="str">
        <f>IF(AND('Mapa de Riesgos'!$Y$41="Alta",'Mapa de Riesgos'!$AA$41="Leve"),CONCATENATE("R5C",'Mapa de Riesgos'!$O$41),"")</f>
        <v/>
      </c>
      <c r="K20" s="68" t="str">
        <f>IF(AND('Mapa de Riesgos'!$Y$42="Alta",'Mapa de Riesgos'!$AA$42="Leve"),CONCATENATE("R5C",'Mapa de Riesgos'!$O$42),"")</f>
        <v/>
      </c>
      <c r="L20" s="68" t="str">
        <f>IF(AND('Mapa de Riesgos'!$Y$43="Alta",'Mapa de Riesgos'!$AA$43="Leve"),CONCATENATE("R5C",'Mapa de Riesgos'!$O$43),"")</f>
        <v/>
      </c>
      <c r="M20" s="68" t="str">
        <f>IF(AND('Mapa de Riesgos'!$Y$44="Alta",'Mapa de Riesgos'!$AA$44="Leve"),CONCATENATE("R5C",'Mapa de Riesgos'!$O$44),"")</f>
        <v/>
      </c>
      <c r="N20" s="68" t="str">
        <f>IF(AND('Mapa de Riesgos'!$Y$45="Alta",'Mapa de Riesgos'!$AA$45="Leve"),CONCATENATE("R5C",'Mapa de Riesgos'!$O$45),"")</f>
        <v/>
      </c>
      <c r="O20" s="69" t="str">
        <f>IF(AND('Mapa de Riesgos'!$Y$47="Alta",'Mapa de Riesgos'!$AA$47="Leve"),CONCATENATE("R5C",'Mapa de Riesgos'!$O$47),"")</f>
        <v/>
      </c>
      <c r="P20" s="67" t="str">
        <f>IF(AND('Mapa de Riesgos'!$Y$41="Alta",'Mapa de Riesgos'!$AA$41="Menor"),CONCATENATE("R5C",'Mapa de Riesgos'!$O$41),"")</f>
        <v/>
      </c>
      <c r="Q20" s="68" t="str">
        <f>IF(AND('Mapa de Riesgos'!$Y$42="Alta",'Mapa de Riesgos'!$AA$42="Menor"),CONCATENATE("R5C",'Mapa de Riesgos'!$O$42),"")</f>
        <v/>
      </c>
      <c r="R20" s="68" t="str">
        <f>IF(AND('Mapa de Riesgos'!$Y$43="Alta",'Mapa de Riesgos'!$AA$43="Menor"),CONCATENATE("R5C",'Mapa de Riesgos'!$O$43),"")</f>
        <v/>
      </c>
      <c r="S20" s="68" t="str">
        <f>IF(AND('Mapa de Riesgos'!$Y$44="Alta",'Mapa de Riesgos'!$AA$44="Menor"),CONCATENATE("R5C",'Mapa de Riesgos'!$O$44),"")</f>
        <v/>
      </c>
      <c r="T20" s="68" t="str">
        <f>IF(AND('Mapa de Riesgos'!$Y$45="Alta",'Mapa de Riesgos'!$AA$45="Menor"),CONCATENATE("R5C",'Mapa de Riesgos'!$O$45),"")</f>
        <v/>
      </c>
      <c r="U20" s="69" t="str">
        <f>IF(AND('Mapa de Riesgos'!$Y$47="Alta",'Mapa de Riesgos'!$AA$47="Menor"),CONCATENATE("R5C",'Mapa de Riesgos'!$O$47),"")</f>
        <v/>
      </c>
      <c r="V20" s="52" t="str">
        <f>IF(AND('Mapa de Riesgos'!$Y$41="Alta",'Mapa de Riesgos'!$AA$41="Moderado"),CONCATENATE("R5C",'Mapa de Riesgos'!$O$41),"")</f>
        <v/>
      </c>
      <c r="W20" s="53" t="str">
        <f>IF(AND('Mapa de Riesgos'!$Y$42="Alta",'Mapa de Riesgos'!$AA$42="Moderado"),CONCATENATE("R5C",'Mapa de Riesgos'!$O$42),"")</f>
        <v/>
      </c>
      <c r="X20" s="53" t="str">
        <f>IF(AND('Mapa de Riesgos'!$Y$43="Alta",'Mapa de Riesgos'!$AA$43="Moderado"),CONCATENATE("R5C",'Mapa de Riesgos'!$O$43),"")</f>
        <v/>
      </c>
      <c r="Y20" s="53" t="str">
        <f>IF(AND('Mapa de Riesgos'!$Y$44="Alta",'Mapa de Riesgos'!$AA$44="Moderado"),CONCATENATE("R5C",'Mapa de Riesgos'!$O$44),"")</f>
        <v/>
      </c>
      <c r="Z20" s="53" t="str">
        <f>IF(AND('Mapa de Riesgos'!$Y$45="Alta",'Mapa de Riesgos'!$AA$45="Moderado"),CONCATENATE("R5C",'Mapa de Riesgos'!$O$45),"")</f>
        <v/>
      </c>
      <c r="AA20" s="54" t="str">
        <f>IF(AND('Mapa de Riesgos'!$Y$47="Alta",'Mapa de Riesgos'!$AA$47="Moderado"),CONCATENATE("R5C",'Mapa de Riesgos'!$O$47),"")</f>
        <v/>
      </c>
      <c r="AB20" s="52" t="str">
        <f>IF(AND('Mapa de Riesgos'!$Y$41="Alta",'Mapa de Riesgos'!$AA$41="Mayor"),CONCATENATE("R5C",'Mapa de Riesgos'!$O$41),"")</f>
        <v/>
      </c>
      <c r="AC20" s="53" t="str">
        <f>IF(AND('Mapa de Riesgos'!$Y$42="Alta",'Mapa de Riesgos'!$AA$42="Mayor"),CONCATENATE("R5C",'Mapa de Riesgos'!$O$42),"")</f>
        <v/>
      </c>
      <c r="AD20" s="53" t="str">
        <f>IF(AND('Mapa de Riesgos'!$Y$43="Alta",'Mapa de Riesgos'!$AA$43="Mayor"),CONCATENATE("R5C",'Mapa de Riesgos'!$O$43),"")</f>
        <v/>
      </c>
      <c r="AE20" s="53" t="str">
        <f>IF(AND('Mapa de Riesgos'!$Y$44="Alta",'Mapa de Riesgos'!$AA$44="Mayor"),CONCATENATE("R5C",'Mapa de Riesgos'!$O$44),"")</f>
        <v/>
      </c>
      <c r="AF20" s="53" t="str">
        <f>IF(AND('Mapa de Riesgos'!$Y$45="Alta",'Mapa de Riesgos'!$AA$45="Mayor"),CONCATENATE("R5C",'Mapa de Riesgos'!$O$45),"")</f>
        <v/>
      </c>
      <c r="AG20" s="54" t="str">
        <f>IF(AND('Mapa de Riesgos'!$Y$47="Alta",'Mapa de Riesgos'!$AA$47="Mayor"),CONCATENATE("R5C",'Mapa de Riesgos'!$O$47),"")</f>
        <v/>
      </c>
      <c r="AH20" s="55" t="str">
        <f>IF(AND('Mapa de Riesgos'!$Y$41="Alta",'Mapa de Riesgos'!$AA$41="Catastrófico"),CONCATENATE("R5C",'Mapa de Riesgos'!$O$41),"")</f>
        <v/>
      </c>
      <c r="AI20" s="56" t="str">
        <f>IF(AND('Mapa de Riesgos'!$Y$42="Alta",'Mapa de Riesgos'!$AA$42="Catastrófico"),CONCATENATE("R5C",'Mapa de Riesgos'!$O$42),"")</f>
        <v/>
      </c>
      <c r="AJ20" s="56" t="str">
        <f>IF(AND('Mapa de Riesgos'!$Y$43="Alta",'Mapa de Riesgos'!$AA$43="Catastrófico"),CONCATENATE("R5C",'Mapa de Riesgos'!$O$43),"")</f>
        <v/>
      </c>
      <c r="AK20" s="56" t="str">
        <f>IF(AND('Mapa de Riesgos'!$Y$44="Alta",'Mapa de Riesgos'!$AA$44="Catastrófico"),CONCATENATE("R5C",'Mapa de Riesgos'!$O$44),"")</f>
        <v/>
      </c>
      <c r="AL20" s="56" t="str">
        <f>IF(AND('Mapa de Riesgos'!$Y$45="Alta",'Mapa de Riesgos'!$AA$45="Catastrófico"),CONCATENATE("R5C",'Mapa de Riesgos'!$O$45),"")</f>
        <v/>
      </c>
      <c r="AM20" s="57" t="str">
        <f>IF(AND('Mapa de Riesgos'!$Y$47="Alta",'Mapa de Riesgos'!$AA$47="Catastrófico"),CONCATENATE("R5C",'Mapa de Riesgos'!$O$47),"")</f>
        <v/>
      </c>
      <c r="AN20" s="83"/>
      <c r="AO20" s="578"/>
      <c r="AP20" s="579"/>
      <c r="AQ20" s="579"/>
      <c r="AR20" s="579"/>
      <c r="AS20" s="579"/>
      <c r="AT20" s="58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9"/>
      <c r="C21" s="489"/>
      <c r="D21" s="490"/>
      <c r="E21" s="588"/>
      <c r="F21" s="587"/>
      <c r="G21" s="587"/>
      <c r="H21" s="587"/>
      <c r="I21" s="587"/>
      <c r="J21" s="67" t="str">
        <f>IF(AND('Mapa de Riesgos'!$Y$48="Alta",'Mapa de Riesgos'!$AA$48="Leve"),CONCATENATE("R6C",'Mapa de Riesgos'!$O$48),"")</f>
        <v/>
      </c>
      <c r="K21" s="68" t="str">
        <f>IF(AND('Mapa de Riesgos'!$Y$49="Alta",'Mapa de Riesgos'!$AA$49="Leve"),CONCATENATE("R6C",'Mapa de Riesgos'!$O$49),"")</f>
        <v/>
      </c>
      <c r="L21" s="68" t="str">
        <f>IF(AND('Mapa de Riesgos'!$Y$50="Alta",'Mapa de Riesgos'!$AA$50="Leve"),CONCATENATE("R6C",'Mapa de Riesgos'!$O$50),"")</f>
        <v/>
      </c>
      <c r="M21" s="68" t="str">
        <f>IF(AND('Mapa de Riesgos'!$Y$51="Alta",'Mapa de Riesgos'!$AA$51="Leve"),CONCATENATE("R6C",'Mapa de Riesgos'!$O$51),"")</f>
        <v/>
      </c>
      <c r="N21" s="68" t="str">
        <f>IF(AND('Mapa de Riesgos'!$Y$52="Alta",'Mapa de Riesgos'!$AA$52="Leve"),CONCATENATE("R6C",'Mapa de Riesgos'!$O$52),"")</f>
        <v/>
      </c>
      <c r="O21" s="69" t="str">
        <f>IF(AND('Mapa de Riesgos'!$Y$53="Alta",'Mapa de Riesgos'!$AA$53="Leve"),CONCATENATE("R6C",'Mapa de Riesgos'!$O$53),"")</f>
        <v/>
      </c>
      <c r="P21" s="67" t="str">
        <f>IF(AND('Mapa de Riesgos'!$Y$48="Alta",'Mapa de Riesgos'!$AA$48="Menor"),CONCATENATE("R6C",'Mapa de Riesgos'!$O$48),"")</f>
        <v/>
      </c>
      <c r="Q21" s="68" t="str">
        <f>IF(AND('Mapa de Riesgos'!$Y$49="Alta",'Mapa de Riesgos'!$AA$49="Menor"),CONCATENATE("R6C",'Mapa de Riesgos'!$O$49),"")</f>
        <v/>
      </c>
      <c r="R21" s="68" t="str">
        <f>IF(AND('Mapa de Riesgos'!$Y$50="Alta",'Mapa de Riesgos'!$AA$50="Menor"),CONCATENATE("R6C",'Mapa de Riesgos'!$O$50),"")</f>
        <v/>
      </c>
      <c r="S21" s="68" t="str">
        <f>IF(AND('Mapa de Riesgos'!$Y$51="Alta",'Mapa de Riesgos'!$AA$51="Menor"),CONCATENATE("R6C",'Mapa de Riesgos'!$O$51),"")</f>
        <v/>
      </c>
      <c r="T21" s="68" t="str">
        <f>IF(AND('Mapa de Riesgos'!$Y$52="Alta",'Mapa de Riesgos'!$AA$52="Menor"),CONCATENATE("R6C",'Mapa de Riesgos'!$O$52),"")</f>
        <v/>
      </c>
      <c r="U21" s="69" t="str">
        <f>IF(AND('Mapa de Riesgos'!$Y$53="Alta",'Mapa de Riesgos'!$AA$53="Menor"),CONCATENATE("R6C",'Mapa de Riesgos'!$O$53),"")</f>
        <v/>
      </c>
      <c r="V21" s="52" t="str">
        <f>IF(AND('Mapa de Riesgos'!$Y$48="Alta",'Mapa de Riesgos'!$AA$48="Moderado"),CONCATENATE("R6C",'Mapa de Riesgos'!$O$48),"")</f>
        <v/>
      </c>
      <c r="W21" s="53" t="str">
        <f>IF(AND('Mapa de Riesgos'!$Y$49="Alta",'Mapa de Riesgos'!$AA$49="Moderado"),CONCATENATE("R6C",'Mapa de Riesgos'!$O$49),"")</f>
        <v/>
      </c>
      <c r="X21" s="53" t="str">
        <f>IF(AND('Mapa de Riesgos'!$Y$50="Alta",'Mapa de Riesgos'!$AA$50="Moderado"),CONCATENATE("R6C",'Mapa de Riesgos'!$O$50),"")</f>
        <v/>
      </c>
      <c r="Y21" s="53" t="str">
        <f>IF(AND('Mapa de Riesgos'!$Y$51="Alta",'Mapa de Riesgos'!$AA$51="Moderado"),CONCATENATE("R6C",'Mapa de Riesgos'!$O$51),"")</f>
        <v/>
      </c>
      <c r="Z21" s="53" t="str">
        <f>IF(AND('Mapa de Riesgos'!$Y$52="Alta",'Mapa de Riesgos'!$AA$52="Moderado"),CONCATENATE("R6C",'Mapa de Riesgos'!$O$52),"")</f>
        <v/>
      </c>
      <c r="AA21" s="54" t="str">
        <f>IF(AND('Mapa de Riesgos'!$Y$53="Alta",'Mapa de Riesgos'!$AA$53="Moderado"),CONCATENATE("R6C",'Mapa de Riesgos'!$O$53),"")</f>
        <v/>
      </c>
      <c r="AB21" s="52" t="str">
        <f>IF(AND('Mapa de Riesgos'!$Y$48="Alta",'Mapa de Riesgos'!$AA$48="Mayor"),CONCATENATE("R6C",'Mapa de Riesgos'!$O$48),"")</f>
        <v/>
      </c>
      <c r="AC21" s="53" t="str">
        <f>IF(AND('Mapa de Riesgos'!$Y$49="Alta",'Mapa de Riesgos'!$AA$49="Mayor"),CONCATENATE("R6C",'Mapa de Riesgos'!$O$49),"")</f>
        <v/>
      </c>
      <c r="AD21" s="53" t="str">
        <f>IF(AND('Mapa de Riesgos'!$Y$50="Alta",'Mapa de Riesgos'!$AA$50="Mayor"),CONCATENATE("R6C",'Mapa de Riesgos'!$O$50),"")</f>
        <v/>
      </c>
      <c r="AE21" s="53" t="str">
        <f>IF(AND('Mapa de Riesgos'!$Y$51="Alta",'Mapa de Riesgos'!$AA$51="Mayor"),CONCATENATE("R6C",'Mapa de Riesgos'!$O$51),"")</f>
        <v/>
      </c>
      <c r="AF21" s="53" t="str">
        <f>IF(AND('Mapa de Riesgos'!$Y$52="Alta",'Mapa de Riesgos'!$AA$52="Mayor"),CONCATENATE("R6C",'Mapa de Riesgos'!$O$52),"")</f>
        <v/>
      </c>
      <c r="AG21" s="54" t="str">
        <f>IF(AND('Mapa de Riesgos'!$Y$53="Alta",'Mapa de Riesgos'!$AA$53="Mayor"),CONCATENATE("R6C",'Mapa de Riesgos'!$O$53),"")</f>
        <v/>
      </c>
      <c r="AH21" s="55" t="str">
        <f>IF(AND('Mapa de Riesgos'!$Y$48="Alta",'Mapa de Riesgos'!$AA$48="Catastrófico"),CONCATENATE("R6C",'Mapa de Riesgos'!$O$48),"")</f>
        <v/>
      </c>
      <c r="AI21" s="56" t="str">
        <f>IF(AND('Mapa de Riesgos'!$Y$49="Alta",'Mapa de Riesgos'!$AA$49="Catastrófico"),CONCATENATE("R6C",'Mapa de Riesgos'!$O$49),"")</f>
        <v/>
      </c>
      <c r="AJ21" s="56" t="str">
        <f>IF(AND('Mapa de Riesgos'!$Y$50="Alta",'Mapa de Riesgos'!$AA$50="Catastrófico"),CONCATENATE("R6C",'Mapa de Riesgos'!$O$50),"")</f>
        <v/>
      </c>
      <c r="AK21" s="56" t="str">
        <f>IF(AND('Mapa de Riesgos'!$Y$51="Alta",'Mapa de Riesgos'!$AA$51="Catastrófico"),CONCATENATE("R6C",'Mapa de Riesgos'!$O$51),"")</f>
        <v/>
      </c>
      <c r="AL21" s="56" t="str">
        <f>IF(AND('Mapa de Riesgos'!$Y$52="Alta",'Mapa de Riesgos'!$AA$52="Catastrófico"),CONCATENATE("R6C",'Mapa de Riesgos'!$O$52),"")</f>
        <v/>
      </c>
      <c r="AM21" s="57" t="str">
        <f>IF(AND('Mapa de Riesgos'!$Y$53="Alta",'Mapa de Riesgos'!$AA$53="Catastrófico"),CONCATENATE("R6C",'Mapa de Riesgos'!$O$53),"")</f>
        <v/>
      </c>
      <c r="AN21" s="83"/>
      <c r="AO21" s="578"/>
      <c r="AP21" s="579"/>
      <c r="AQ21" s="579"/>
      <c r="AR21" s="579"/>
      <c r="AS21" s="579"/>
      <c r="AT21" s="58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9"/>
      <c r="C22" s="489"/>
      <c r="D22" s="490"/>
      <c r="E22" s="588"/>
      <c r="F22" s="587"/>
      <c r="G22" s="587"/>
      <c r="H22" s="587"/>
      <c r="I22" s="587"/>
      <c r="J22" s="67" t="str">
        <f>IF(AND('Mapa de Riesgos'!$Y$54="Alta",'Mapa de Riesgos'!$AA$54="Leve"),CONCATENATE("R7C",'Mapa de Riesgos'!$O$54),"")</f>
        <v/>
      </c>
      <c r="K22" s="68" t="str">
        <f>IF(AND('Mapa de Riesgos'!$Y$55="Alta",'Mapa de Riesgos'!$AA$55="Leve"),CONCATENATE("R7C",'Mapa de Riesgos'!$O$55),"")</f>
        <v/>
      </c>
      <c r="L22" s="68" t="str">
        <f>IF(AND('Mapa de Riesgos'!$Y$56="Alta",'Mapa de Riesgos'!$AA$56="Leve"),CONCATENATE("R7C",'Mapa de Riesgos'!$O$56),"")</f>
        <v/>
      </c>
      <c r="M22" s="68" t="str">
        <f>IF(AND('Mapa de Riesgos'!$Y$57="Alta",'Mapa de Riesgos'!$AA$57="Leve"),CONCATENATE("R7C",'Mapa de Riesgos'!$O$57),"")</f>
        <v/>
      </c>
      <c r="N22" s="68" t="str">
        <f>IF(AND('Mapa de Riesgos'!$Y$58="Alta",'Mapa de Riesgos'!$AA$58="Leve"),CONCATENATE("R7C",'Mapa de Riesgos'!$O$58),"")</f>
        <v/>
      </c>
      <c r="O22" s="69" t="str">
        <f>IF(AND('Mapa de Riesgos'!$Y$59="Alta",'Mapa de Riesgos'!$AA$59="Leve"),CONCATENATE("R7C",'Mapa de Riesgos'!$O$59),"")</f>
        <v/>
      </c>
      <c r="P22" s="67" t="str">
        <f>IF(AND('Mapa de Riesgos'!$Y$54="Alta",'Mapa de Riesgos'!$AA$54="Menor"),CONCATENATE("R7C",'Mapa de Riesgos'!$O$54),"")</f>
        <v/>
      </c>
      <c r="Q22" s="68" t="str">
        <f>IF(AND('Mapa de Riesgos'!$Y$55="Alta",'Mapa de Riesgos'!$AA$55="Menor"),CONCATENATE("R7C",'Mapa de Riesgos'!$O$55),"")</f>
        <v/>
      </c>
      <c r="R22" s="68" t="str">
        <f>IF(AND('Mapa de Riesgos'!$Y$56="Alta",'Mapa de Riesgos'!$AA$56="Menor"),CONCATENATE("R7C",'Mapa de Riesgos'!$O$56),"")</f>
        <v/>
      </c>
      <c r="S22" s="68" t="str">
        <f>IF(AND('Mapa de Riesgos'!$Y$57="Alta",'Mapa de Riesgos'!$AA$57="Menor"),CONCATENATE("R7C",'Mapa de Riesgos'!$O$57),"")</f>
        <v/>
      </c>
      <c r="T22" s="68" t="str">
        <f>IF(AND('Mapa de Riesgos'!$Y$58="Alta",'Mapa de Riesgos'!$AA$58="Menor"),CONCATENATE("R7C",'Mapa de Riesgos'!$O$58),"")</f>
        <v/>
      </c>
      <c r="U22" s="69" t="str">
        <f>IF(AND('Mapa de Riesgos'!$Y$59="Alta",'Mapa de Riesgos'!$AA$59="Menor"),CONCATENATE("R7C",'Mapa de Riesgos'!$O$59),"")</f>
        <v/>
      </c>
      <c r="V22" s="52" t="str">
        <f>IF(AND('Mapa de Riesgos'!$Y$54="Alta",'Mapa de Riesgos'!$AA$54="Moderado"),CONCATENATE("R7C",'Mapa de Riesgos'!$O$54),"")</f>
        <v/>
      </c>
      <c r="W22" s="53" t="str">
        <f>IF(AND('Mapa de Riesgos'!$Y$55="Alta",'Mapa de Riesgos'!$AA$55="Moderado"),CONCATENATE("R7C",'Mapa de Riesgos'!$O$55),"")</f>
        <v/>
      </c>
      <c r="X22" s="53" t="str">
        <f>IF(AND('Mapa de Riesgos'!$Y$56="Alta",'Mapa de Riesgos'!$AA$56="Moderado"),CONCATENATE("R7C",'Mapa de Riesgos'!$O$56),"")</f>
        <v/>
      </c>
      <c r="Y22" s="53" t="str">
        <f>IF(AND('Mapa de Riesgos'!$Y$57="Alta",'Mapa de Riesgos'!$AA$57="Moderado"),CONCATENATE("R7C",'Mapa de Riesgos'!$O$57),"")</f>
        <v/>
      </c>
      <c r="Z22" s="53" t="str">
        <f>IF(AND('Mapa de Riesgos'!$Y$58="Alta",'Mapa de Riesgos'!$AA$58="Moderado"),CONCATENATE("R7C",'Mapa de Riesgos'!$O$58),"")</f>
        <v/>
      </c>
      <c r="AA22" s="54" t="str">
        <f>IF(AND('Mapa de Riesgos'!$Y$59="Alta",'Mapa de Riesgos'!$AA$59="Moderado"),CONCATENATE("R7C",'Mapa de Riesgos'!$O$59),"")</f>
        <v/>
      </c>
      <c r="AB22" s="52" t="str">
        <f>IF(AND('Mapa de Riesgos'!$Y$54="Alta",'Mapa de Riesgos'!$AA$54="Mayor"),CONCATENATE("R7C",'Mapa de Riesgos'!$O$54),"")</f>
        <v/>
      </c>
      <c r="AC22" s="53" t="str">
        <f>IF(AND('Mapa de Riesgos'!$Y$55="Alta",'Mapa de Riesgos'!$AA$55="Mayor"),CONCATENATE("R7C",'Mapa de Riesgos'!$O$55),"")</f>
        <v/>
      </c>
      <c r="AD22" s="53" t="str">
        <f>IF(AND('Mapa de Riesgos'!$Y$56="Alta",'Mapa de Riesgos'!$AA$56="Mayor"),CONCATENATE("R7C",'Mapa de Riesgos'!$O$56),"")</f>
        <v/>
      </c>
      <c r="AE22" s="53" t="str">
        <f>IF(AND('Mapa de Riesgos'!$Y$57="Alta",'Mapa de Riesgos'!$AA$57="Mayor"),CONCATENATE("R7C",'Mapa de Riesgos'!$O$57),"")</f>
        <v/>
      </c>
      <c r="AF22" s="53" t="str">
        <f>IF(AND('Mapa de Riesgos'!$Y$58="Alta",'Mapa de Riesgos'!$AA$58="Mayor"),CONCATENATE("R7C",'Mapa de Riesgos'!$O$58),"")</f>
        <v/>
      </c>
      <c r="AG22" s="54" t="str">
        <f>IF(AND('Mapa de Riesgos'!$Y$59="Alta",'Mapa de Riesgos'!$AA$59="Mayor"),CONCATENATE("R7C",'Mapa de Riesgos'!$O$59),"")</f>
        <v/>
      </c>
      <c r="AH22" s="55" t="str">
        <f>IF(AND('Mapa de Riesgos'!$Y$54="Alta",'Mapa de Riesgos'!$AA$54="Catastrófico"),CONCATENATE("R7C",'Mapa de Riesgos'!$O$54),"")</f>
        <v/>
      </c>
      <c r="AI22" s="56" t="str">
        <f>IF(AND('Mapa de Riesgos'!$Y$55="Alta",'Mapa de Riesgos'!$AA$55="Catastrófico"),CONCATENATE("R7C",'Mapa de Riesgos'!$O$55),"")</f>
        <v/>
      </c>
      <c r="AJ22" s="56" t="str">
        <f>IF(AND('Mapa de Riesgos'!$Y$56="Alta",'Mapa de Riesgos'!$AA$56="Catastrófico"),CONCATENATE("R7C",'Mapa de Riesgos'!$O$56),"")</f>
        <v/>
      </c>
      <c r="AK22" s="56" t="str">
        <f>IF(AND('Mapa de Riesgos'!$Y$57="Alta",'Mapa de Riesgos'!$AA$57="Catastrófico"),CONCATENATE("R7C",'Mapa de Riesgos'!$O$57),"")</f>
        <v/>
      </c>
      <c r="AL22" s="56" t="str">
        <f>IF(AND('Mapa de Riesgos'!$Y$58="Alta",'Mapa de Riesgos'!$AA$58="Catastrófico"),CONCATENATE("R7C",'Mapa de Riesgos'!$O$58),"")</f>
        <v/>
      </c>
      <c r="AM22" s="57" t="str">
        <f>IF(AND('Mapa de Riesgos'!$Y$59="Alta",'Mapa de Riesgos'!$AA$59="Catastrófico"),CONCATENATE("R7C",'Mapa de Riesgos'!$O$59),"")</f>
        <v/>
      </c>
      <c r="AN22" s="83"/>
      <c r="AO22" s="578"/>
      <c r="AP22" s="579"/>
      <c r="AQ22" s="579"/>
      <c r="AR22" s="579"/>
      <c r="AS22" s="579"/>
      <c r="AT22" s="58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9"/>
      <c r="C23" s="489"/>
      <c r="D23" s="490"/>
      <c r="E23" s="588"/>
      <c r="F23" s="587"/>
      <c r="G23" s="587"/>
      <c r="H23" s="587"/>
      <c r="I23" s="587"/>
      <c r="J23" s="67" t="str">
        <f>IF(AND('Mapa de Riesgos'!$Y$60="Alta",'Mapa de Riesgos'!$AA$60="Leve"),CONCATENATE("R8C",'Mapa de Riesgos'!$O$60),"")</f>
        <v/>
      </c>
      <c r="K23" s="68" t="str">
        <f>IF(AND('Mapa de Riesgos'!$Y$61="Alta",'Mapa de Riesgos'!$AA$61="Leve"),CONCATENATE("R8C",'Mapa de Riesgos'!$O$61),"")</f>
        <v/>
      </c>
      <c r="L23" s="68" t="str">
        <f>IF(AND('Mapa de Riesgos'!$Y$62="Alta",'Mapa de Riesgos'!$AA$62="Leve"),CONCATENATE("R8C",'Mapa de Riesgos'!$O$62),"")</f>
        <v/>
      </c>
      <c r="M23" s="68" t="str">
        <f>IF(AND('Mapa de Riesgos'!$Y$63="Alta",'Mapa de Riesgos'!$AA$63="Leve"),CONCATENATE("R8C",'Mapa de Riesgos'!$O$63),"")</f>
        <v/>
      </c>
      <c r="N23" s="68" t="str">
        <f>IF(AND('Mapa de Riesgos'!$Y$64="Alta",'Mapa de Riesgos'!$AA$64="Leve"),CONCATENATE("R8C",'Mapa de Riesgos'!$O$64),"")</f>
        <v/>
      </c>
      <c r="O23" s="69" t="str">
        <f>IF(AND('Mapa de Riesgos'!$Y$65="Alta",'Mapa de Riesgos'!$AA$65="Leve"),CONCATENATE("R8C",'Mapa de Riesgos'!$O$65),"")</f>
        <v/>
      </c>
      <c r="P23" s="67" t="str">
        <f>IF(AND('Mapa de Riesgos'!$Y$60="Alta",'Mapa de Riesgos'!$AA$60="Menor"),CONCATENATE("R8C",'Mapa de Riesgos'!$O$60),"")</f>
        <v/>
      </c>
      <c r="Q23" s="68" t="str">
        <f>IF(AND('Mapa de Riesgos'!$Y$61="Alta",'Mapa de Riesgos'!$AA$61="Menor"),CONCATENATE("R8C",'Mapa de Riesgos'!$O$61),"")</f>
        <v/>
      </c>
      <c r="R23" s="68" t="str">
        <f>IF(AND('Mapa de Riesgos'!$Y$62="Alta",'Mapa de Riesgos'!$AA$62="Menor"),CONCATENATE("R8C",'Mapa de Riesgos'!$O$62),"")</f>
        <v/>
      </c>
      <c r="S23" s="68" t="str">
        <f>IF(AND('Mapa de Riesgos'!$Y$63="Alta",'Mapa de Riesgos'!$AA$63="Menor"),CONCATENATE("R8C",'Mapa de Riesgos'!$O$63),"")</f>
        <v/>
      </c>
      <c r="T23" s="68" t="str">
        <f>IF(AND('Mapa de Riesgos'!$Y$64="Alta",'Mapa de Riesgos'!$AA$64="Menor"),CONCATENATE("R8C",'Mapa de Riesgos'!$O$64),"")</f>
        <v/>
      </c>
      <c r="U23" s="69" t="str">
        <f>IF(AND('Mapa de Riesgos'!$Y$65="Alta",'Mapa de Riesgos'!$AA$65="Menor"),CONCATENATE("R8C",'Mapa de Riesgos'!$O$65),"")</f>
        <v/>
      </c>
      <c r="V23" s="52" t="str">
        <f>IF(AND('Mapa de Riesgos'!$Y$60="Alta",'Mapa de Riesgos'!$AA$60="Moderado"),CONCATENATE("R8C",'Mapa de Riesgos'!$O$60),"")</f>
        <v/>
      </c>
      <c r="W23" s="53" t="str">
        <f>IF(AND('Mapa de Riesgos'!$Y$61="Alta",'Mapa de Riesgos'!$AA$61="Moderado"),CONCATENATE("R8C",'Mapa de Riesgos'!$O$61),"")</f>
        <v/>
      </c>
      <c r="X23" s="53" t="str">
        <f>IF(AND('Mapa de Riesgos'!$Y$62="Alta",'Mapa de Riesgos'!$AA$62="Moderado"),CONCATENATE("R8C",'Mapa de Riesgos'!$O$62),"")</f>
        <v/>
      </c>
      <c r="Y23" s="53" t="str">
        <f>IF(AND('Mapa de Riesgos'!$Y$63="Alta",'Mapa de Riesgos'!$AA$63="Moderado"),CONCATENATE("R8C",'Mapa de Riesgos'!$O$63),"")</f>
        <v/>
      </c>
      <c r="Z23" s="53" t="str">
        <f>IF(AND('Mapa de Riesgos'!$Y$64="Alta",'Mapa de Riesgos'!$AA$64="Moderado"),CONCATENATE("R8C",'Mapa de Riesgos'!$O$64),"")</f>
        <v/>
      </c>
      <c r="AA23" s="54" t="str">
        <f>IF(AND('Mapa de Riesgos'!$Y$65="Alta",'Mapa de Riesgos'!$AA$65="Moderado"),CONCATENATE("R8C",'Mapa de Riesgos'!$O$65),"")</f>
        <v/>
      </c>
      <c r="AB23" s="52" t="str">
        <f>IF(AND('Mapa de Riesgos'!$Y$60="Alta",'Mapa de Riesgos'!$AA$60="Mayor"),CONCATENATE("R8C",'Mapa de Riesgos'!$O$60),"")</f>
        <v/>
      </c>
      <c r="AC23" s="53" t="str">
        <f>IF(AND('Mapa de Riesgos'!$Y$61="Alta",'Mapa de Riesgos'!$AA$61="Mayor"),CONCATENATE("R8C",'Mapa de Riesgos'!$O$61),"")</f>
        <v/>
      </c>
      <c r="AD23" s="53" t="str">
        <f>IF(AND('Mapa de Riesgos'!$Y$62="Alta",'Mapa de Riesgos'!$AA$62="Mayor"),CONCATENATE("R8C",'Mapa de Riesgos'!$O$62),"")</f>
        <v/>
      </c>
      <c r="AE23" s="53" t="str">
        <f>IF(AND('Mapa de Riesgos'!$Y$63="Alta",'Mapa de Riesgos'!$AA$63="Mayor"),CONCATENATE("R8C",'Mapa de Riesgos'!$O$63),"")</f>
        <v/>
      </c>
      <c r="AF23" s="53" t="str">
        <f>IF(AND('Mapa de Riesgos'!$Y$64="Alta",'Mapa de Riesgos'!$AA$64="Mayor"),CONCATENATE("R8C",'Mapa de Riesgos'!$O$64),"")</f>
        <v/>
      </c>
      <c r="AG23" s="54" t="str">
        <f>IF(AND('Mapa de Riesgos'!$Y$65="Alta",'Mapa de Riesgos'!$AA$65="Mayor"),CONCATENATE("R8C",'Mapa de Riesgos'!$O$65),"")</f>
        <v/>
      </c>
      <c r="AH23" s="55" t="str">
        <f>IF(AND('Mapa de Riesgos'!$Y$60="Alta",'Mapa de Riesgos'!$AA$60="Catastrófico"),CONCATENATE("R8C",'Mapa de Riesgos'!$O$60),"")</f>
        <v/>
      </c>
      <c r="AI23" s="56" t="str">
        <f>IF(AND('Mapa de Riesgos'!$Y$61="Alta",'Mapa de Riesgos'!$AA$61="Catastrófico"),CONCATENATE("R8C",'Mapa de Riesgos'!$O$61),"")</f>
        <v/>
      </c>
      <c r="AJ23" s="56" t="str">
        <f>IF(AND('Mapa de Riesgos'!$Y$62="Alta",'Mapa de Riesgos'!$AA$62="Catastrófico"),CONCATENATE("R8C",'Mapa de Riesgos'!$O$62),"")</f>
        <v/>
      </c>
      <c r="AK23" s="56" t="str">
        <f>IF(AND('Mapa de Riesgos'!$Y$63="Alta",'Mapa de Riesgos'!$AA$63="Catastrófico"),CONCATENATE("R8C",'Mapa de Riesgos'!$O$63),"")</f>
        <v/>
      </c>
      <c r="AL23" s="56" t="str">
        <f>IF(AND('Mapa de Riesgos'!$Y$64="Alta",'Mapa de Riesgos'!$AA$64="Catastrófico"),CONCATENATE("R8C",'Mapa de Riesgos'!$O$64),"")</f>
        <v/>
      </c>
      <c r="AM23" s="57" t="str">
        <f>IF(AND('Mapa de Riesgos'!$Y$65="Alta",'Mapa de Riesgos'!$AA$65="Catastrófico"),CONCATENATE("R8C",'Mapa de Riesgos'!$O$65),"")</f>
        <v/>
      </c>
      <c r="AN23" s="83"/>
      <c r="AO23" s="578"/>
      <c r="AP23" s="579"/>
      <c r="AQ23" s="579"/>
      <c r="AR23" s="579"/>
      <c r="AS23" s="579"/>
      <c r="AT23" s="58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9"/>
      <c r="C24" s="489"/>
      <c r="D24" s="490"/>
      <c r="E24" s="588"/>
      <c r="F24" s="587"/>
      <c r="G24" s="587"/>
      <c r="H24" s="587"/>
      <c r="I24" s="587"/>
      <c r="J24" s="67" t="str">
        <f>IF(AND('Mapa de Riesgos'!$Y$66="Alta",'Mapa de Riesgos'!$AA$66="Leve"),CONCATENATE("R9C",'Mapa de Riesgos'!$O$66),"")</f>
        <v/>
      </c>
      <c r="K24" s="68" t="str">
        <f>IF(AND('Mapa de Riesgos'!$Y$67="Alta",'Mapa de Riesgos'!$AA$67="Leve"),CONCATENATE("R9C",'Mapa de Riesgos'!$O$67),"")</f>
        <v/>
      </c>
      <c r="L24" s="68" t="str">
        <f>IF(AND('Mapa de Riesgos'!$Y$68="Alta",'Mapa de Riesgos'!$AA$68="Leve"),CONCATENATE("R9C",'Mapa de Riesgos'!$O$68),"")</f>
        <v/>
      </c>
      <c r="M24" s="68" t="str">
        <f>IF(AND('Mapa de Riesgos'!$Y$69="Alta",'Mapa de Riesgos'!$AA$69="Leve"),CONCATENATE("R9C",'Mapa de Riesgos'!$O$69),"")</f>
        <v/>
      </c>
      <c r="N24" s="68" t="str">
        <f>IF(AND('Mapa de Riesgos'!$Y$70="Alta",'Mapa de Riesgos'!$AA$70="Leve"),CONCATENATE("R9C",'Mapa de Riesgos'!$O$70),"")</f>
        <v/>
      </c>
      <c r="O24" s="69" t="str">
        <f>IF(AND('Mapa de Riesgos'!$Y$71="Alta",'Mapa de Riesgos'!$AA$71="Leve"),CONCATENATE("R9C",'Mapa de Riesgos'!$O$71),"")</f>
        <v/>
      </c>
      <c r="P24" s="67" t="str">
        <f>IF(AND('Mapa de Riesgos'!$Y$66="Alta",'Mapa de Riesgos'!$AA$66="Menor"),CONCATENATE("R9C",'Mapa de Riesgos'!$O$66),"")</f>
        <v/>
      </c>
      <c r="Q24" s="68" t="str">
        <f>IF(AND('Mapa de Riesgos'!$Y$67="Alta",'Mapa de Riesgos'!$AA$67="Menor"),CONCATENATE("R9C",'Mapa de Riesgos'!$O$67),"")</f>
        <v/>
      </c>
      <c r="R24" s="68" t="str">
        <f>IF(AND('Mapa de Riesgos'!$Y$68="Alta",'Mapa de Riesgos'!$AA$68="Menor"),CONCATENATE("R9C",'Mapa de Riesgos'!$O$68),"")</f>
        <v/>
      </c>
      <c r="S24" s="68" t="str">
        <f>IF(AND('Mapa de Riesgos'!$Y$69="Alta",'Mapa de Riesgos'!$AA$69="Menor"),CONCATENATE("R9C",'Mapa de Riesgos'!$O$69),"")</f>
        <v/>
      </c>
      <c r="T24" s="68" t="str">
        <f>IF(AND('Mapa de Riesgos'!$Y$70="Alta",'Mapa de Riesgos'!$AA$70="Menor"),CONCATENATE("R9C",'Mapa de Riesgos'!$O$70),"")</f>
        <v/>
      </c>
      <c r="U24" s="69" t="str">
        <f>IF(AND('Mapa de Riesgos'!$Y$71="Alta",'Mapa de Riesgos'!$AA$71="Menor"),CONCATENATE("R9C",'Mapa de Riesgos'!$O$71),"")</f>
        <v/>
      </c>
      <c r="V24" s="52" t="str">
        <f>IF(AND('Mapa de Riesgos'!$Y$66="Alta",'Mapa de Riesgos'!$AA$66="Moderado"),CONCATENATE("R9C",'Mapa de Riesgos'!$O$66),"")</f>
        <v/>
      </c>
      <c r="W24" s="53" t="str">
        <f>IF(AND('Mapa de Riesgos'!$Y$67="Alta",'Mapa de Riesgos'!$AA$67="Moderado"),CONCATENATE("R9C",'Mapa de Riesgos'!$O$67),"")</f>
        <v/>
      </c>
      <c r="X24" s="53" t="str">
        <f>IF(AND('Mapa de Riesgos'!$Y$68="Alta",'Mapa de Riesgos'!$AA$68="Moderado"),CONCATENATE("R9C",'Mapa de Riesgos'!$O$68),"")</f>
        <v/>
      </c>
      <c r="Y24" s="53" t="str">
        <f>IF(AND('Mapa de Riesgos'!$Y$69="Alta",'Mapa de Riesgos'!$AA$69="Moderado"),CONCATENATE("R9C",'Mapa de Riesgos'!$O$69),"")</f>
        <v/>
      </c>
      <c r="Z24" s="53" t="str">
        <f>IF(AND('Mapa de Riesgos'!$Y$70="Alta",'Mapa de Riesgos'!$AA$70="Moderado"),CONCATENATE("R9C",'Mapa de Riesgos'!$O$70),"")</f>
        <v/>
      </c>
      <c r="AA24" s="54" t="str">
        <f>IF(AND('Mapa de Riesgos'!$Y$71="Alta",'Mapa de Riesgos'!$AA$71="Moderado"),CONCATENATE("R9C",'Mapa de Riesgos'!$O$71),"")</f>
        <v/>
      </c>
      <c r="AB24" s="52" t="str">
        <f>IF(AND('Mapa de Riesgos'!$Y$66="Alta",'Mapa de Riesgos'!$AA$66="Mayor"),CONCATENATE("R9C",'Mapa de Riesgos'!$O$66),"")</f>
        <v/>
      </c>
      <c r="AC24" s="53" t="str">
        <f>IF(AND('Mapa de Riesgos'!$Y$67="Alta",'Mapa de Riesgos'!$AA$67="Mayor"),CONCATENATE("R9C",'Mapa de Riesgos'!$O$67),"")</f>
        <v/>
      </c>
      <c r="AD24" s="53" t="str">
        <f>IF(AND('Mapa de Riesgos'!$Y$68="Alta",'Mapa de Riesgos'!$AA$68="Mayor"),CONCATENATE("R9C",'Mapa de Riesgos'!$O$68),"")</f>
        <v/>
      </c>
      <c r="AE24" s="53" t="str">
        <f>IF(AND('Mapa de Riesgos'!$Y$69="Alta",'Mapa de Riesgos'!$AA$69="Mayor"),CONCATENATE("R9C",'Mapa de Riesgos'!$O$69),"")</f>
        <v/>
      </c>
      <c r="AF24" s="53" t="str">
        <f>IF(AND('Mapa de Riesgos'!$Y$70="Alta",'Mapa de Riesgos'!$AA$70="Mayor"),CONCATENATE("R9C",'Mapa de Riesgos'!$O$70),"")</f>
        <v/>
      </c>
      <c r="AG24" s="54" t="str">
        <f>IF(AND('Mapa de Riesgos'!$Y$71="Alta",'Mapa de Riesgos'!$AA$71="Mayor"),CONCATENATE("R9C",'Mapa de Riesgos'!$O$71),"")</f>
        <v/>
      </c>
      <c r="AH24" s="55" t="str">
        <f>IF(AND('Mapa de Riesgos'!$Y$66="Alta",'Mapa de Riesgos'!$AA$66="Catastrófico"),CONCATENATE("R9C",'Mapa de Riesgos'!$O$66),"")</f>
        <v/>
      </c>
      <c r="AI24" s="56" t="str">
        <f>IF(AND('Mapa de Riesgos'!$Y$67="Alta",'Mapa de Riesgos'!$AA$67="Catastrófico"),CONCATENATE("R9C",'Mapa de Riesgos'!$O$67),"")</f>
        <v/>
      </c>
      <c r="AJ24" s="56" t="str">
        <f>IF(AND('Mapa de Riesgos'!$Y$68="Alta",'Mapa de Riesgos'!$AA$68="Catastrófico"),CONCATENATE("R9C",'Mapa de Riesgos'!$O$68),"")</f>
        <v/>
      </c>
      <c r="AK24" s="56" t="str">
        <f>IF(AND('Mapa de Riesgos'!$Y$69="Alta",'Mapa de Riesgos'!$AA$69="Catastrófico"),CONCATENATE("R9C",'Mapa de Riesgos'!$O$69),"")</f>
        <v/>
      </c>
      <c r="AL24" s="56" t="str">
        <f>IF(AND('Mapa de Riesgos'!$Y$70="Alta",'Mapa de Riesgos'!$AA$70="Catastrófico"),CONCATENATE("R9C",'Mapa de Riesgos'!$O$70),"")</f>
        <v/>
      </c>
      <c r="AM24" s="57" t="str">
        <f>IF(AND('Mapa de Riesgos'!$Y$71="Alta",'Mapa de Riesgos'!$AA$71="Catastrófico"),CONCATENATE("R9C",'Mapa de Riesgos'!$O$71),"")</f>
        <v/>
      </c>
      <c r="AN24" s="83"/>
      <c r="AO24" s="578"/>
      <c r="AP24" s="579"/>
      <c r="AQ24" s="579"/>
      <c r="AR24" s="579"/>
      <c r="AS24" s="579"/>
      <c r="AT24" s="58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9"/>
      <c r="C25" s="489"/>
      <c r="D25" s="490"/>
      <c r="E25" s="589"/>
      <c r="F25" s="590"/>
      <c r="G25" s="590"/>
      <c r="H25" s="590"/>
      <c r="I25" s="590"/>
      <c r="J25" s="70" t="str">
        <f>IF(AND('Mapa de Riesgos'!$Y$72="Alta",'Mapa de Riesgos'!$AA$72="Leve"),CONCATENATE("R10C",'Mapa de Riesgos'!$O$72),"")</f>
        <v/>
      </c>
      <c r="K25" s="71" t="str">
        <f>IF(AND('Mapa de Riesgos'!$Y$73="Alta",'Mapa de Riesgos'!$AA$73="Leve"),CONCATENATE("R10C",'Mapa de Riesgos'!$O$73),"")</f>
        <v/>
      </c>
      <c r="L25" s="71" t="str">
        <f>IF(AND('Mapa de Riesgos'!$Y$74="Alta",'Mapa de Riesgos'!$AA$74="Leve"),CONCATENATE("R10C",'Mapa de Riesgos'!$O$74),"")</f>
        <v/>
      </c>
      <c r="M25" s="71" t="str">
        <f>IF(AND('Mapa de Riesgos'!$Y$75="Alta",'Mapa de Riesgos'!$AA$75="Leve"),CONCATENATE("R10C",'Mapa de Riesgos'!$O$75),"")</f>
        <v/>
      </c>
      <c r="N25" s="71" t="str">
        <f>IF(AND('Mapa de Riesgos'!$Y$76="Alta",'Mapa de Riesgos'!$AA$76="Leve"),CONCATENATE("R10C",'Mapa de Riesgos'!$O$76),"")</f>
        <v/>
      </c>
      <c r="O25" s="72" t="str">
        <f>IF(AND('Mapa de Riesgos'!$Y$77="Alta",'Mapa de Riesgos'!$AA$77="Leve"),CONCATENATE("R10C",'Mapa de Riesgos'!$O$77),"")</f>
        <v/>
      </c>
      <c r="P25" s="70" t="str">
        <f>IF(AND('Mapa de Riesgos'!$Y$72="Alta",'Mapa de Riesgos'!$AA$72="Menor"),CONCATENATE("R10C",'Mapa de Riesgos'!$O$72),"")</f>
        <v/>
      </c>
      <c r="Q25" s="71" t="str">
        <f>IF(AND('Mapa de Riesgos'!$Y$73="Alta",'Mapa de Riesgos'!$AA$73="Menor"),CONCATENATE("R10C",'Mapa de Riesgos'!$O$73),"")</f>
        <v/>
      </c>
      <c r="R25" s="71" t="str">
        <f>IF(AND('Mapa de Riesgos'!$Y$74="Alta",'Mapa de Riesgos'!$AA$74="Menor"),CONCATENATE("R10C",'Mapa de Riesgos'!$O$74),"")</f>
        <v/>
      </c>
      <c r="S25" s="71" t="str">
        <f>IF(AND('Mapa de Riesgos'!$Y$75="Alta",'Mapa de Riesgos'!$AA$75="Menor"),CONCATENATE("R10C",'Mapa de Riesgos'!$O$75),"")</f>
        <v/>
      </c>
      <c r="T25" s="71" t="str">
        <f>IF(AND('Mapa de Riesgos'!$Y$76="Alta",'Mapa de Riesgos'!$AA$76="Menor"),CONCATENATE("R10C",'Mapa de Riesgos'!$O$76),"")</f>
        <v/>
      </c>
      <c r="U25" s="72" t="str">
        <f>IF(AND('Mapa de Riesgos'!$Y$77="Alta",'Mapa de Riesgos'!$AA$77="Menor"),CONCATENATE("R10C",'Mapa de Riesgos'!$O$77),"")</f>
        <v/>
      </c>
      <c r="V25" s="58" t="str">
        <f>IF(AND('Mapa de Riesgos'!$Y$72="Alta",'Mapa de Riesgos'!$AA$72="Moderado"),CONCATENATE("R10C",'Mapa de Riesgos'!$O$72),"")</f>
        <v/>
      </c>
      <c r="W25" s="59" t="str">
        <f>IF(AND('Mapa de Riesgos'!$Y$73="Alta",'Mapa de Riesgos'!$AA$73="Moderado"),CONCATENATE("R10C",'Mapa de Riesgos'!$O$73),"")</f>
        <v/>
      </c>
      <c r="X25" s="59" t="str">
        <f>IF(AND('Mapa de Riesgos'!$Y$74="Alta",'Mapa de Riesgos'!$AA$74="Moderado"),CONCATENATE("R10C",'Mapa de Riesgos'!$O$74),"")</f>
        <v/>
      </c>
      <c r="Y25" s="59" t="str">
        <f>IF(AND('Mapa de Riesgos'!$Y$75="Alta",'Mapa de Riesgos'!$AA$75="Moderado"),CONCATENATE("R10C",'Mapa de Riesgos'!$O$75),"")</f>
        <v/>
      </c>
      <c r="Z25" s="59" t="str">
        <f>IF(AND('Mapa de Riesgos'!$Y$76="Alta",'Mapa de Riesgos'!$AA$76="Moderado"),CONCATENATE("R10C",'Mapa de Riesgos'!$O$76),"")</f>
        <v/>
      </c>
      <c r="AA25" s="60" t="str">
        <f>IF(AND('Mapa de Riesgos'!$Y$77="Alta",'Mapa de Riesgos'!$AA$77="Moderado"),CONCATENATE("R10C",'Mapa de Riesgos'!$O$77),"")</f>
        <v/>
      </c>
      <c r="AB25" s="58" t="str">
        <f>IF(AND('Mapa de Riesgos'!$Y$72="Alta",'Mapa de Riesgos'!$AA$72="Mayor"),CONCATENATE("R10C",'Mapa de Riesgos'!$O$72),"")</f>
        <v/>
      </c>
      <c r="AC25" s="59" t="str">
        <f>IF(AND('Mapa de Riesgos'!$Y$73="Alta",'Mapa de Riesgos'!$AA$73="Mayor"),CONCATENATE("R10C",'Mapa de Riesgos'!$O$73),"")</f>
        <v/>
      </c>
      <c r="AD25" s="59" t="str">
        <f>IF(AND('Mapa de Riesgos'!$Y$74="Alta",'Mapa de Riesgos'!$AA$74="Mayor"),CONCATENATE("R10C",'Mapa de Riesgos'!$O$74),"")</f>
        <v/>
      </c>
      <c r="AE25" s="59" t="str">
        <f>IF(AND('Mapa de Riesgos'!$Y$75="Alta",'Mapa de Riesgos'!$AA$75="Mayor"),CONCATENATE("R10C",'Mapa de Riesgos'!$O$75),"")</f>
        <v/>
      </c>
      <c r="AF25" s="59" t="str">
        <f>IF(AND('Mapa de Riesgos'!$Y$76="Alta",'Mapa de Riesgos'!$AA$76="Mayor"),CONCATENATE("R10C",'Mapa de Riesgos'!$O$76),"")</f>
        <v/>
      </c>
      <c r="AG25" s="60" t="str">
        <f>IF(AND('Mapa de Riesgos'!$Y$77="Alta",'Mapa de Riesgos'!$AA$77="Mayor"),CONCATENATE("R10C",'Mapa de Riesgos'!$O$77),"")</f>
        <v/>
      </c>
      <c r="AH25" s="61" t="str">
        <f>IF(AND('Mapa de Riesgos'!$Y$72="Alta",'Mapa de Riesgos'!$AA$72="Catastrófico"),CONCATENATE("R10C",'Mapa de Riesgos'!$O$72),"")</f>
        <v/>
      </c>
      <c r="AI25" s="62" t="str">
        <f>IF(AND('Mapa de Riesgos'!$Y$73="Alta",'Mapa de Riesgos'!$AA$73="Catastrófico"),CONCATENATE("R10C",'Mapa de Riesgos'!$O$73),"")</f>
        <v/>
      </c>
      <c r="AJ25" s="62" t="str">
        <f>IF(AND('Mapa de Riesgos'!$Y$74="Alta",'Mapa de Riesgos'!$AA$74="Catastrófico"),CONCATENATE("R10C",'Mapa de Riesgos'!$O$74),"")</f>
        <v/>
      </c>
      <c r="AK25" s="62" t="str">
        <f>IF(AND('Mapa de Riesgos'!$Y$75="Alta",'Mapa de Riesgos'!$AA$75="Catastrófico"),CONCATENATE("R10C",'Mapa de Riesgos'!$O$75),"")</f>
        <v/>
      </c>
      <c r="AL25" s="62" t="str">
        <f>IF(AND('Mapa de Riesgos'!$Y$76="Alta",'Mapa de Riesgos'!$AA$76="Catastrófico"),CONCATENATE("R10C",'Mapa de Riesgos'!$O$76),"")</f>
        <v/>
      </c>
      <c r="AM25" s="63" t="str">
        <f>IF(AND('Mapa de Riesgos'!$Y$77="Alta",'Mapa de Riesgos'!$AA$77="Catastrófico"),CONCATENATE("R10C",'Mapa de Riesgos'!$O$77),"")</f>
        <v/>
      </c>
      <c r="AN25" s="83"/>
      <c r="AO25" s="581"/>
      <c r="AP25" s="582"/>
      <c r="AQ25" s="582"/>
      <c r="AR25" s="582"/>
      <c r="AS25" s="582"/>
      <c r="AT25" s="5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9"/>
      <c r="C26" s="489"/>
      <c r="D26" s="490"/>
      <c r="E26" s="584" t="s">
        <v>113</v>
      </c>
      <c r="F26" s="585"/>
      <c r="G26" s="585"/>
      <c r="H26" s="585"/>
      <c r="I26" s="60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614" t="s">
        <v>77</v>
      </c>
      <c r="AP26" s="615"/>
      <c r="AQ26" s="615"/>
      <c r="AR26" s="615"/>
      <c r="AS26" s="615"/>
      <c r="AT26" s="61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9"/>
      <c r="C27" s="489"/>
      <c r="D27" s="490"/>
      <c r="E27" s="586"/>
      <c r="F27" s="587"/>
      <c r="G27" s="587"/>
      <c r="H27" s="587"/>
      <c r="I27" s="603"/>
      <c r="J27" s="67" t="str">
        <f>IF(AND('Mapa de Riesgos'!$Y$20="Media",'Mapa de Riesgos'!$AA$20="Leve"),CONCATENATE("R2C",'Mapa de Riesgos'!$O$20),"")</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Riesgos'!$Y$20="Media",'Mapa de Riesgos'!$AA$20="Menor"),CONCATENATE("R2C",'Mapa de Riesgos'!$O$20),"")</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Riesgos'!$Y$20="Media",'Mapa de Riesgos'!$AA$20="Moderado"),CONCATENATE("R2C",'Mapa de Riesgos'!$O$20),"")</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Riesgos'!$Y$20="Media",'Mapa de Riesgos'!$AA$20="Mayor"),CONCATENATE("R2C",'Mapa de Riesgos'!$O$20),"")</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Riesgos'!$Y$20="Media",'Mapa de Riesgos'!$AA$20="Catastrófico"),CONCATENATE("R2C",'Mapa de Riesgos'!$O$20),"")</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617"/>
      <c r="AP27" s="618"/>
      <c r="AQ27" s="618"/>
      <c r="AR27" s="618"/>
      <c r="AS27" s="618"/>
      <c r="AT27" s="61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9"/>
      <c r="C28" s="489"/>
      <c r="D28" s="490"/>
      <c r="E28" s="588"/>
      <c r="F28" s="587"/>
      <c r="G28" s="587"/>
      <c r="H28" s="587"/>
      <c r="I28" s="603"/>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Riesgos'!$Y$31="Media",'Mapa de Riesgos'!$AA$31="Leve"),CONCATENATE("R3C",'Mapa de Riesgos'!$O$31),"")</f>
        <v/>
      </c>
      <c r="N28" s="68" t="str">
        <f>IF(AND('Mapa de Riesgos'!$Y$32="Media",'Mapa de Riesgos'!$AA$32="Leve"),CONCATENATE("R3C",'Mapa de Riesgos'!$O$32),"")</f>
        <v/>
      </c>
      <c r="O28" s="69" t="str">
        <f>IF(AND('Mapa de Riesgos'!$Y$33="Media",'Mapa de Riesgos'!$AA$33="Leve"),CONCATENATE("R3C",'Mapa de Riesgos'!$O$33),"")</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Riesgos'!$Y$31="Media",'Mapa de Riesgos'!$AA$31="Menor"),CONCATENATE("R3C",'Mapa de Riesgos'!$O$31),"")</f>
        <v/>
      </c>
      <c r="T28" s="68" t="str">
        <f>IF(AND('Mapa de Riesgos'!$Y$32="Media",'Mapa de Riesgos'!$AA$32="Menor"),CONCATENATE("R3C",'Mapa de Riesgos'!$O$32),"")</f>
        <v/>
      </c>
      <c r="U28" s="69" t="str">
        <f>IF(AND('Mapa de Riesgos'!$Y$33="Media",'Mapa de Riesgos'!$AA$33="Menor"),CONCATENATE("R3C",'Mapa de Riesgos'!$O$33),"")</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Riesgos'!$Y$31="Media",'Mapa de Riesgos'!$AA$31="Moderado"),CONCATENATE("R3C",'Mapa de Riesgos'!$O$31),"")</f>
        <v/>
      </c>
      <c r="Z28" s="68" t="str">
        <f>IF(AND('Mapa de Riesgos'!$Y$32="Media",'Mapa de Riesgos'!$AA$32="Moderado"),CONCATENATE("R3C",'Mapa de Riesgos'!$O$32),"")</f>
        <v/>
      </c>
      <c r="AA28" s="69" t="str">
        <f>IF(AND('Mapa de Riesgos'!$Y$33="Media",'Mapa de Riesgos'!$AA$33="Moderado"),CONCATENATE("R3C",'Mapa de Riesgos'!$O$33),"")</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Riesgos'!$Y$31="Media",'Mapa de Riesgos'!$AA$31="Mayor"),CONCATENATE("R3C",'Mapa de Riesgos'!$O$31),"")</f>
        <v/>
      </c>
      <c r="AF28" s="53" t="str">
        <f>IF(AND('Mapa de Riesgos'!$Y$32="Media",'Mapa de Riesgos'!$AA$32="Mayor"),CONCATENATE("R3C",'Mapa de Riesgos'!$O$32),"")</f>
        <v/>
      </c>
      <c r="AG28" s="54" t="str">
        <f>IF(AND('Mapa de Riesgos'!$Y$33="Media",'Mapa de Riesgos'!$AA$33="Mayor"),CONCATENATE("R3C",'Mapa de Riesgos'!$O$33),"")</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Riesgos'!$Y$31="Media",'Mapa de Riesgos'!$AA$31="Catastrófico"),CONCATENATE("R3C",'Mapa de Riesgos'!$O$31),"")</f>
        <v/>
      </c>
      <c r="AL28" s="56" t="str">
        <f>IF(AND('Mapa de Riesgos'!$Y$32="Media",'Mapa de Riesgos'!$AA$32="Catastrófico"),CONCATENATE("R3C",'Mapa de Riesgos'!$O$32),"")</f>
        <v/>
      </c>
      <c r="AM28" s="57" t="str">
        <f>IF(AND('Mapa de Riesgos'!$Y$33="Media",'Mapa de Riesgos'!$AA$33="Catastrófico"),CONCATENATE("R3C",'Mapa de Riesgos'!$O$33),"")</f>
        <v/>
      </c>
      <c r="AN28" s="83"/>
      <c r="AO28" s="617"/>
      <c r="AP28" s="618"/>
      <c r="AQ28" s="618"/>
      <c r="AR28" s="618"/>
      <c r="AS28" s="618"/>
      <c r="AT28" s="61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9"/>
      <c r="C29" s="489"/>
      <c r="D29" s="490"/>
      <c r="E29" s="588"/>
      <c r="F29" s="587"/>
      <c r="G29" s="587"/>
      <c r="H29" s="587"/>
      <c r="I29" s="603"/>
      <c r="J29" s="67" t="str">
        <f>IF(AND('Mapa de Riesgos'!$Y$34="Media",'Mapa de Riesgos'!$AA$34="Leve"),CONCATENATE("R4C",'Mapa de Riesgos'!$O$34),"")</f>
        <v/>
      </c>
      <c r="K29" s="68" t="str">
        <f>IF(AND('Mapa de Riesgos'!$Y$35="Media",'Mapa de Riesgos'!$AA$35="Leve"),CONCATENATE("R4C",'Mapa de Riesgos'!$O$35),"")</f>
        <v/>
      </c>
      <c r="L29" s="68" t="str">
        <f>IF(AND('Mapa de Riesgos'!$Y$36="Media",'Mapa de Riesgos'!$AA$36="Leve"),CONCATENATE("R4C",'Mapa de Riesgos'!$O$36),"")</f>
        <v/>
      </c>
      <c r="M29" s="68" t="str">
        <f>IF(AND('Mapa de Riesgos'!$Y$37="Media",'Mapa de Riesgos'!$AA$37="Leve"),CONCATENATE("R4C",'Mapa de Riesgos'!$O$37),"")</f>
        <v/>
      </c>
      <c r="N29" s="68" t="str">
        <f>IF(AND('Mapa de Riesgos'!$Y$39="Media",'Mapa de Riesgos'!$AA$39="Leve"),CONCATENATE("R4C",'Mapa de Riesgos'!$O$39),"")</f>
        <v/>
      </c>
      <c r="O29" s="69" t="str">
        <f>IF(AND('Mapa de Riesgos'!$Y$40="Media",'Mapa de Riesgos'!$AA$40="Leve"),CONCATENATE("R4C",'Mapa de Riesgos'!$O$40),"")</f>
        <v/>
      </c>
      <c r="P29" s="67" t="str">
        <f>IF(AND('Mapa de Riesgos'!$Y$34="Media",'Mapa de Riesgos'!$AA$34="Menor"),CONCATENATE("R4C",'Mapa de Riesgos'!$O$34),"")</f>
        <v/>
      </c>
      <c r="Q29" s="68" t="str">
        <f>IF(AND('Mapa de Riesgos'!$Y$35="Media",'Mapa de Riesgos'!$AA$35="Menor"),CONCATENATE("R4C",'Mapa de Riesgos'!$O$35),"")</f>
        <v/>
      </c>
      <c r="R29" s="68" t="str">
        <f>IF(AND('Mapa de Riesgos'!$Y$36="Media",'Mapa de Riesgos'!$AA$36="Menor"),CONCATENATE("R4C",'Mapa de Riesgos'!$O$36),"")</f>
        <v/>
      </c>
      <c r="S29" s="68" t="str">
        <f>IF(AND('Mapa de Riesgos'!$Y$37="Media",'Mapa de Riesgos'!$AA$37="Menor"),CONCATENATE("R4C",'Mapa de Riesgos'!$O$37),"")</f>
        <v/>
      </c>
      <c r="T29" s="68" t="str">
        <f>IF(AND('Mapa de Riesgos'!$Y$39="Media",'Mapa de Riesgos'!$AA$39="Menor"),CONCATENATE("R4C",'Mapa de Riesgos'!$O$39),"")</f>
        <v/>
      </c>
      <c r="U29" s="69" t="str">
        <f>IF(AND('Mapa de Riesgos'!$Y$40="Media",'Mapa de Riesgos'!$AA$40="Menor"),CONCATENATE("R4C",'Mapa de Riesgos'!$O$40),"")</f>
        <v/>
      </c>
      <c r="V29" s="67" t="str">
        <f>IF(AND('Mapa de Riesgos'!$Y$34="Media",'Mapa de Riesgos'!$AA$34="Moderado"),CONCATENATE("R4C",'Mapa de Riesgos'!$O$34),"")</f>
        <v/>
      </c>
      <c r="W29" s="68" t="str">
        <f>IF(AND('Mapa de Riesgos'!$Y$35="Media",'Mapa de Riesgos'!$AA$35="Moderado"),CONCATENATE("R4C",'Mapa de Riesgos'!$O$35),"")</f>
        <v/>
      </c>
      <c r="X29" s="68" t="str">
        <f>IF(AND('Mapa de Riesgos'!$Y$36="Media",'Mapa de Riesgos'!$AA$36="Moderado"),CONCATENATE("R4C",'Mapa de Riesgos'!$O$36),"")</f>
        <v/>
      </c>
      <c r="Y29" s="68" t="str">
        <f>IF(AND('Mapa de Riesgos'!$Y$37="Media",'Mapa de Riesgos'!$AA$37="Moderado"),CONCATENATE("R4C",'Mapa de Riesgos'!$O$37),"")</f>
        <v/>
      </c>
      <c r="Z29" s="68" t="str">
        <f>IF(AND('Mapa de Riesgos'!$Y$39="Media",'Mapa de Riesgos'!$AA$39="Moderado"),CONCATENATE("R4C",'Mapa de Riesgos'!$O$39),"")</f>
        <v/>
      </c>
      <c r="AA29" s="69" t="str">
        <f>IF(AND('Mapa de Riesgos'!$Y$40="Media",'Mapa de Riesgos'!$AA$40="Moderado"),CONCATENATE("R4C",'Mapa de Riesgos'!$O$40),"")</f>
        <v/>
      </c>
      <c r="AB29" s="52" t="str">
        <f>IF(AND('Mapa de Riesgos'!$Y$34="Media",'Mapa de Riesgos'!$AA$34="Mayor"),CONCATENATE("R4C",'Mapa de Riesgos'!$O$34),"")</f>
        <v/>
      </c>
      <c r="AC29" s="53" t="str">
        <f>IF(AND('Mapa de Riesgos'!$Y$35="Media",'Mapa de Riesgos'!$AA$35="Mayor"),CONCATENATE("R4C",'Mapa de Riesgos'!$O$35),"")</f>
        <v/>
      </c>
      <c r="AD29" s="53" t="str">
        <f>IF(AND('Mapa de Riesgos'!$Y$36="Media",'Mapa de Riesgos'!$AA$36="Mayor"),CONCATENATE("R4C",'Mapa de Riesgos'!$O$36),"")</f>
        <v/>
      </c>
      <c r="AE29" s="53" t="str">
        <f>IF(AND('Mapa de Riesgos'!$Y$37="Media",'Mapa de Riesgos'!$AA$37="Mayor"),CONCATENATE("R4C",'Mapa de Riesgos'!$O$37),"")</f>
        <v/>
      </c>
      <c r="AF29" s="53" t="str">
        <f>IF(AND('Mapa de Riesgos'!$Y$39="Media",'Mapa de Riesgos'!$AA$39="Mayor"),CONCATENATE("R4C",'Mapa de Riesgos'!$O$39),"")</f>
        <v/>
      </c>
      <c r="AG29" s="54" t="str">
        <f>IF(AND('Mapa de Riesgos'!$Y$40="Media",'Mapa de Riesgos'!$AA$40="Mayor"),CONCATENATE("R4C",'Mapa de Riesgos'!$O$40),"")</f>
        <v/>
      </c>
      <c r="AH29" s="55" t="str">
        <f>IF(AND('Mapa de Riesgos'!$Y$34="Media",'Mapa de Riesgos'!$AA$34="Catastrófico"),CONCATENATE("R4C",'Mapa de Riesgos'!$O$34),"")</f>
        <v/>
      </c>
      <c r="AI29" s="56" t="str">
        <f>IF(AND('Mapa de Riesgos'!$Y$35="Media",'Mapa de Riesgos'!$AA$35="Catastrófico"),CONCATENATE("R4C",'Mapa de Riesgos'!$O$35),"")</f>
        <v/>
      </c>
      <c r="AJ29" s="56" t="str">
        <f>IF(AND('Mapa de Riesgos'!$Y$36="Media",'Mapa de Riesgos'!$AA$36="Catastrófico"),CONCATENATE("R4C",'Mapa de Riesgos'!$O$36),"")</f>
        <v/>
      </c>
      <c r="AK29" s="56" t="str">
        <f>IF(AND('Mapa de Riesgos'!$Y$37="Media",'Mapa de Riesgos'!$AA$37="Catastrófico"),CONCATENATE("R4C",'Mapa de Riesgos'!$O$37),"")</f>
        <v/>
      </c>
      <c r="AL29" s="56" t="str">
        <f>IF(AND('Mapa de Riesgos'!$Y$39="Media",'Mapa de Riesgos'!$AA$39="Catastrófico"),CONCATENATE("R4C",'Mapa de Riesgos'!$O$39),"")</f>
        <v/>
      </c>
      <c r="AM29" s="57" t="str">
        <f>IF(AND('Mapa de Riesgos'!$Y$40="Media",'Mapa de Riesgos'!$AA$40="Catastrófico"),CONCATENATE("R4C",'Mapa de Riesgos'!$O$40),"")</f>
        <v/>
      </c>
      <c r="AN29" s="83"/>
      <c r="AO29" s="617"/>
      <c r="AP29" s="618"/>
      <c r="AQ29" s="618"/>
      <c r="AR29" s="618"/>
      <c r="AS29" s="618"/>
      <c r="AT29" s="61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9"/>
      <c r="C30" s="489"/>
      <c r="D30" s="490"/>
      <c r="E30" s="588"/>
      <c r="F30" s="587"/>
      <c r="G30" s="587"/>
      <c r="H30" s="587"/>
      <c r="I30" s="603"/>
      <c r="J30" s="67" t="str">
        <f>IF(AND('Mapa de Riesgos'!$Y$41="Media",'Mapa de Riesgos'!$AA$41="Leve"),CONCATENATE("R5C",'Mapa de Riesgos'!$O$41),"")</f>
        <v/>
      </c>
      <c r="K30" s="68" t="str">
        <f>IF(AND('Mapa de Riesgos'!$Y$42="Media",'Mapa de Riesgos'!$AA$42="Leve"),CONCATENATE("R5C",'Mapa de Riesgos'!$O$42),"")</f>
        <v/>
      </c>
      <c r="L30" s="68" t="str">
        <f>IF(AND('Mapa de Riesgos'!$Y$43="Media",'Mapa de Riesgos'!$AA$43="Leve"),CONCATENATE("R5C",'Mapa de Riesgos'!$O$43),"")</f>
        <v/>
      </c>
      <c r="M30" s="68" t="str">
        <f>IF(AND('Mapa de Riesgos'!$Y$44="Media",'Mapa de Riesgos'!$AA$44="Leve"),CONCATENATE("R5C",'Mapa de Riesgos'!$O$44),"")</f>
        <v/>
      </c>
      <c r="N30" s="68" t="str">
        <f>IF(AND('Mapa de Riesgos'!$Y$45="Media",'Mapa de Riesgos'!$AA$45="Leve"),CONCATENATE("R5C",'Mapa de Riesgos'!$O$45),"")</f>
        <v/>
      </c>
      <c r="O30" s="69" t="str">
        <f>IF(AND('Mapa de Riesgos'!$Y$47="Media",'Mapa de Riesgos'!$AA$47="Leve"),CONCATENATE("R5C",'Mapa de Riesgos'!$O$47),"")</f>
        <v/>
      </c>
      <c r="P30" s="67" t="str">
        <f>IF(AND('Mapa de Riesgos'!$Y$41="Media",'Mapa de Riesgos'!$AA$41="Menor"),CONCATENATE("R5C",'Mapa de Riesgos'!$O$41),"")</f>
        <v/>
      </c>
      <c r="Q30" s="68" t="str">
        <f>IF(AND('Mapa de Riesgos'!$Y$42="Media",'Mapa de Riesgos'!$AA$42="Menor"),CONCATENATE("R5C",'Mapa de Riesgos'!$O$42),"")</f>
        <v/>
      </c>
      <c r="R30" s="68" t="str">
        <f>IF(AND('Mapa de Riesgos'!$Y$43="Media",'Mapa de Riesgos'!$AA$43="Menor"),CONCATENATE("R5C",'Mapa de Riesgos'!$O$43),"")</f>
        <v/>
      </c>
      <c r="S30" s="68" t="str">
        <f>IF(AND('Mapa de Riesgos'!$Y$44="Media",'Mapa de Riesgos'!$AA$44="Menor"),CONCATENATE("R5C",'Mapa de Riesgos'!$O$44),"")</f>
        <v/>
      </c>
      <c r="T30" s="68" t="str">
        <f>IF(AND('Mapa de Riesgos'!$Y$45="Media",'Mapa de Riesgos'!$AA$45="Menor"),CONCATENATE("R5C",'Mapa de Riesgos'!$O$45),"")</f>
        <v/>
      </c>
      <c r="U30" s="69" t="str">
        <f>IF(AND('Mapa de Riesgos'!$Y$47="Media",'Mapa de Riesgos'!$AA$47="Menor"),CONCATENATE("R5C",'Mapa de Riesgos'!$O$47),"")</f>
        <v/>
      </c>
      <c r="V30" s="67" t="str">
        <f>IF(AND('Mapa de Riesgos'!$Y$41="Media",'Mapa de Riesgos'!$AA$41="Moderado"),CONCATENATE("R5C",'Mapa de Riesgos'!$O$41),"")</f>
        <v/>
      </c>
      <c r="W30" s="68" t="str">
        <f>IF(AND('Mapa de Riesgos'!$Y$42="Media",'Mapa de Riesgos'!$AA$42="Moderado"),CONCATENATE("R5C",'Mapa de Riesgos'!$O$42),"")</f>
        <v/>
      </c>
      <c r="X30" s="68" t="str">
        <f>IF(AND('Mapa de Riesgos'!$Y$43="Media",'Mapa de Riesgos'!$AA$43="Moderado"),CONCATENATE("R5C",'Mapa de Riesgos'!$O$43),"")</f>
        <v/>
      </c>
      <c r="Y30" s="68" t="str">
        <f>IF(AND('Mapa de Riesgos'!$Y$44="Media",'Mapa de Riesgos'!$AA$44="Moderado"),CONCATENATE("R5C",'Mapa de Riesgos'!$O$44),"")</f>
        <v/>
      </c>
      <c r="Z30" s="68" t="str">
        <f>IF(AND('Mapa de Riesgos'!$Y$45="Media",'Mapa de Riesgos'!$AA$45="Moderado"),CONCATENATE("R5C",'Mapa de Riesgos'!$O$45),"")</f>
        <v/>
      </c>
      <c r="AA30" s="69" t="str">
        <f>IF(AND('Mapa de Riesgos'!$Y$47="Media",'Mapa de Riesgos'!$AA$47="Moderado"),CONCATENATE("R5C",'Mapa de Riesgos'!$O$47),"")</f>
        <v/>
      </c>
      <c r="AB30" s="52" t="str">
        <f>IF(AND('Mapa de Riesgos'!$Y$41="Media",'Mapa de Riesgos'!$AA$41="Mayor"),CONCATENATE("R5C",'Mapa de Riesgos'!$O$41),"")</f>
        <v/>
      </c>
      <c r="AC30" s="53" t="str">
        <f>IF(AND('Mapa de Riesgos'!$Y$42="Media",'Mapa de Riesgos'!$AA$42="Mayor"),CONCATENATE("R5C",'Mapa de Riesgos'!$O$42),"")</f>
        <v/>
      </c>
      <c r="AD30" s="53" t="str">
        <f>IF(AND('Mapa de Riesgos'!$Y$43="Media",'Mapa de Riesgos'!$AA$43="Mayor"),CONCATENATE("R5C",'Mapa de Riesgos'!$O$43),"")</f>
        <v/>
      </c>
      <c r="AE30" s="53" t="str">
        <f>IF(AND('Mapa de Riesgos'!$Y$44="Media",'Mapa de Riesgos'!$AA$44="Mayor"),CONCATENATE("R5C",'Mapa de Riesgos'!$O$44),"")</f>
        <v/>
      </c>
      <c r="AF30" s="53" t="str">
        <f>IF(AND('Mapa de Riesgos'!$Y$45="Media",'Mapa de Riesgos'!$AA$45="Mayor"),CONCATENATE("R5C",'Mapa de Riesgos'!$O$45),"")</f>
        <v/>
      </c>
      <c r="AG30" s="54" t="str">
        <f>IF(AND('Mapa de Riesgos'!$Y$47="Media",'Mapa de Riesgos'!$AA$47="Mayor"),CONCATENATE("R5C",'Mapa de Riesgos'!$O$47),"")</f>
        <v/>
      </c>
      <c r="AH30" s="55" t="str">
        <f>IF(AND('Mapa de Riesgos'!$Y$41="Media",'Mapa de Riesgos'!$AA$41="Catastrófico"),CONCATENATE("R5C",'Mapa de Riesgos'!$O$41),"")</f>
        <v/>
      </c>
      <c r="AI30" s="56" t="str">
        <f>IF(AND('Mapa de Riesgos'!$Y$42="Media",'Mapa de Riesgos'!$AA$42="Catastrófico"),CONCATENATE("R5C",'Mapa de Riesgos'!$O$42),"")</f>
        <v/>
      </c>
      <c r="AJ30" s="56" t="str">
        <f>IF(AND('Mapa de Riesgos'!$Y$43="Media",'Mapa de Riesgos'!$AA$43="Catastrófico"),CONCATENATE("R5C",'Mapa de Riesgos'!$O$43),"")</f>
        <v/>
      </c>
      <c r="AK30" s="56" t="str">
        <f>IF(AND('Mapa de Riesgos'!$Y$44="Media",'Mapa de Riesgos'!$AA$44="Catastrófico"),CONCATENATE("R5C",'Mapa de Riesgos'!$O$44),"")</f>
        <v/>
      </c>
      <c r="AL30" s="56" t="str">
        <f>IF(AND('Mapa de Riesgos'!$Y$45="Media",'Mapa de Riesgos'!$AA$45="Catastrófico"),CONCATENATE("R5C",'Mapa de Riesgos'!$O$45),"")</f>
        <v/>
      </c>
      <c r="AM30" s="57" t="str">
        <f>IF(AND('Mapa de Riesgos'!$Y$47="Media",'Mapa de Riesgos'!$AA$47="Catastrófico"),CONCATENATE("R5C",'Mapa de Riesgos'!$O$47),"")</f>
        <v/>
      </c>
      <c r="AN30" s="83"/>
      <c r="AO30" s="617"/>
      <c r="AP30" s="618"/>
      <c r="AQ30" s="618"/>
      <c r="AR30" s="618"/>
      <c r="AS30" s="618"/>
      <c r="AT30" s="61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9"/>
      <c r="C31" s="489"/>
      <c r="D31" s="490"/>
      <c r="E31" s="588"/>
      <c r="F31" s="587"/>
      <c r="G31" s="587"/>
      <c r="H31" s="587"/>
      <c r="I31" s="603"/>
      <c r="J31" s="67" t="str">
        <f>IF(AND('Mapa de Riesgos'!$Y$48="Media",'Mapa de Riesgos'!$AA$48="Leve"),CONCATENATE("R6C",'Mapa de Riesgos'!$O$48),"")</f>
        <v/>
      </c>
      <c r="K31" s="68" t="str">
        <f>IF(AND('Mapa de Riesgos'!$Y$49="Media",'Mapa de Riesgos'!$AA$49="Leve"),CONCATENATE("R6C",'Mapa de Riesgos'!$O$49),"")</f>
        <v/>
      </c>
      <c r="L31" s="68" t="str">
        <f>IF(AND('Mapa de Riesgos'!$Y$50="Media",'Mapa de Riesgos'!$AA$50="Leve"),CONCATENATE("R6C",'Mapa de Riesgos'!$O$50),"")</f>
        <v/>
      </c>
      <c r="M31" s="68" t="str">
        <f>IF(AND('Mapa de Riesgos'!$Y$51="Media",'Mapa de Riesgos'!$AA$51="Leve"),CONCATENATE("R6C",'Mapa de Riesgos'!$O$51),"")</f>
        <v/>
      </c>
      <c r="N31" s="68" t="str">
        <f>IF(AND('Mapa de Riesgos'!$Y$52="Media",'Mapa de Riesgos'!$AA$52="Leve"),CONCATENATE("R6C",'Mapa de Riesgos'!$O$52),"")</f>
        <v/>
      </c>
      <c r="O31" s="69" t="str">
        <f>IF(AND('Mapa de Riesgos'!$Y$53="Media",'Mapa de Riesgos'!$AA$53="Leve"),CONCATENATE("R6C",'Mapa de Riesgos'!$O$53),"")</f>
        <v/>
      </c>
      <c r="P31" s="67" t="str">
        <f>IF(AND('Mapa de Riesgos'!$Y$48="Media",'Mapa de Riesgos'!$AA$48="Menor"),CONCATENATE("R6C",'Mapa de Riesgos'!$O$48),"")</f>
        <v/>
      </c>
      <c r="Q31" s="68" t="str">
        <f>IF(AND('Mapa de Riesgos'!$Y$49="Media",'Mapa de Riesgos'!$AA$49="Menor"),CONCATENATE("R6C",'Mapa de Riesgos'!$O$49),"")</f>
        <v/>
      </c>
      <c r="R31" s="68" t="str">
        <f>IF(AND('Mapa de Riesgos'!$Y$50="Media",'Mapa de Riesgos'!$AA$50="Menor"),CONCATENATE("R6C",'Mapa de Riesgos'!$O$50),"")</f>
        <v/>
      </c>
      <c r="S31" s="68" t="str">
        <f>IF(AND('Mapa de Riesgos'!$Y$51="Media",'Mapa de Riesgos'!$AA$51="Menor"),CONCATENATE("R6C",'Mapa de Riesgos'!$O$51),"")</f>
        <v/>
      </c>
      <c r="T31" s="68" t="str">
        <f>IF(AND('Mapa de Riesgos'!$Y$52="Media",'Mapa de Riesgos'!$AA$52="Menor"),CONCATENATE("R6C",'Mapa de Riesgos'!$O$52),"")</f>
        <v/>
      </c>
      <c r="U31" s="69" t="str">
        <f>IF(AND('Mapa de Riesgos'!$Y$53="Media",'Mapa de Riesgos'!$AA$53="Menor"),CONCATENATE("R6C",'Mapa de Riesgos'!$O$53),"")</f>
        <v/>
      </c>
      <c r="V31" s="67" t="str">
        <f>IF(AND('Mapa de Riesgos'!$Y$48="Media",'Mapa de Riesgos'!$AA$48="Moderado"),CONCATENATE("R6C",'Mapa de Riesgos'!$O$48),"")</f>
        <v/>
      </c>
      <c r="W31" s="68" t="str">
        <f>IF(AND('Mapa de Riesgos'!$Y$49="Media",'Mapa de Riesgos'!$AA$49="Moderado"),CONCATENATE("R6C",'Mapa de Riesgos'!$O$49),"")</f>
        <v/>
      </c>
      <c r="X31" s="68" t="str">
        <f>IF(AND('Mapa de Riesgos'!$Y$50="Media",'Mapa de Riesgos'!$AA$50="Moderado"),CONCATENATE("R6C",'Mapa de Riesgos'!$O$50),"")</f>
        <v/>
      </c>
      <c r="Y31" s="68" t="str">
        <f>IF(AND('Mapa de Riesgos'!$Y$51="Media",'Mapa de Riesgos'!$AA$51="Moderado"),CONCATENATE("R6C",'Mapa de Riesgos'!$O$51),"")</f>
        <v/>
      </c>
      <c r="Z31" s="68" t="str">
        <f>IF(AND('Mapa de Riesgos'!$Y$52="Media",'Mapa de Riesgos'!$AA$52="Moderado"),CONCATENATE("R6C",'Mapa de Riesgos'!$O$52),"")</f>
        <v/>
      </c>
      <c r="AA31" s="69" t="str">
        <f>IF(AND('Mapa de Riesgos'!$Y$53="Media",'Mapa de Riesgos'!$AA$53="Moderado"),CONCATENATE("R6C",'Mapa de Riesgos'!$O$53),"")</f>
        <v/>
      </c>
      <c r="AB31" s="52" t="str">
        <f>IF(AND('Mapa de Riesgos'!$Y$48="Media",'Mapa de Riesgos'!$AA$48="Mayor"),CONCATENATE("R6C",'Mapa de Riesgos'!$O$48),"")</f>
        <v/>
      </c>
      <c r="AC31" s="53" t="str">
        <f>IF(AND('Mapa de Riesgos'!$Y$49="Media",'Mapa de Riesgos'!$AA$49="Mayor"),CONCATENATE("R6C",'Mapa de Riesgos'!$O$49),"")</f>
        <v/>
      </c>
      <c r="AD31" s="53" t="str">
        <f>IF(AND('Mapa de Riesgos'!$Y$50="Media",'Mapa de Riesgos'!$AA$50="Mayor"),CONCATENATE("R6C",'Mapa de Riesgos'!$O$50),"")</f>
        <v/>
      </c>
      <c r="AE31" s="53" t="str">
        <f>IF(AND('Mapa de Riesgos'!$Y$51="Media",'Mapa de Riesgos'!$AA$51="Mayor"),CONCATENATE("R6C",'Mapa de Riesgos'!$O$51),"")</f>
        <v/>
      </c>
      <c r="AF31" s="53" t="str">
        <f>IF(AND('Mapa de Riesgos'!$Y$52="Media",'Mapa de Riesgos'!$AA$52="Mayor"),CONCATENATE("R6C",'Mapa de Riesgos'!$O$52),"")</f>
        <v/>
      </c>
      <c r="AG31" s="54" t="str">
        <f>IF(AND('Mapa de Riesgos'!$Y$53="Media",'Mapa de Riesgos'!$AA$53="Mayor"),CONCATENATE("R6C",'Mapa de Riesgos'!$O$53),"")</f>
        <v/>
      </c>
      <c r="AH31" s="55" t="str">
        <f>IF(AND('Mapa de Riesgos'!$Y$48="Media",'Mapa de Riesgos'!$AA$48="Catastrófico"),CONCATENATE("R6C",'Mapa de Riesgos'!$O$48),"")</f>
        <v/>
      </c>
      <c r="AI31" s="56" t="str">
        <f>IF(AND('Mapa de Riesgos'!$Y$49="Media",'Mapa de Riesgos'!$AA$49="Catastrófico"),CONCATENATE("R6C",'Mapa de Riesgos'!$O$49),"")</f>
        <v/>
      </c>
      <c r="AJ31" s="56" t="str">
        <f>IF(AND('Mapa de Riesgos'!$Y$50="Media",'Mapa de Riesgos'!$AA$50="Catastrófico"),CONCATENATE("R6C",'Mapa de Riesgos'!$O$50),"")</f>
        <v/>
      </c>
      <c r="AK31" s="56" t="str">
        <f>IF(AND('Mapa de Riesgos'!$Y$51="Media",'Mapa de Riesgos'!$AA$51="Catastrófico"),CONCATENATE("R6C",'Mapa de Riesgos'!$O$51),"")</f>
        <v/>
      </c>
      <c r="AL31" s="56" t="str">
        <f>IF(AND('Mapa de Riesgos'!$Y$52="Media",'Mapa de Riesgos'!$AA$52="Catastrófico"),CONCATENATE("R6C",'Mapa de Riesgos'!$O$52),"")</f>
        <v/>
      </c>
      <c r="AM31" s="57" t="str">
        <f>IF(AND('Mapa de Riesgos'!$Y$53="Media",'Mapa de Riesgos'!$AA$53="Catastrófico"),CONCATENATE("R6C",'Mapa de Riesgos'!$O$53),"")</f>
        <v/>
      </c>
      <c r="AN31" s="83"/>
      <c r="AO31" s="617"/>
      <c r="AP31" s="618"/>
      <c r="AQ31" s="618"/>
      <c r="AR31" s="618"/>
      <c r="AS31" s="618"/>
      <c r="AT31" s="61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9"/>
      <c r="C32" s="489"/>
      <c r="D32" s="490"/>
      <c r="E32" s="588"/>
      <c r="F32" s="587"/>
      <c r="G32" s="587"/>
      <c r="H32" s="587"/>
      <c r="I32" s="603"/>
      <c r="J32" s="67" t="str">
        <f>IF(AND('Mapa de Riesgos'!$Y$54="Media",'Mapa de Riesgos'!$AA$54="Leve"),CONCATENATE("R7C",'Mapa de Riesgos'!$O$54),"")</f>
        <v/>
      </c>
      <c r="K32" s="68" t="str">
        <f>IF(AND('Mapa de Riesgos'!$Y$55="Media",'Mapa de Riesgos'!$AA$55="Leve"),CONCATENATE("R7C",'Mapa de Riesgos'!$O$55),"")</f>
        <v/>
      </c>
      <c r="L32" s="68" t="str">
        <f>IF(AND('Mapa de Riesgos'!$Y$56="Media",'Mapa de Riesgos'!$AA$56="Leve"),CONCATENATE("R7C",'Mapa de Riesgos'!$O$56),"")</f>
        <v/>
      </c>
      <c r="M32" s="68" t="str">
        <f>IF(AND('Mapa de Riesgos'!$Y$57="Media",'Mapa de Riesgos'!$AA$57="Leve"),CONCATENATE("R7C",'Mapa de Riesgos'!$O$57),"")</f>
        <v/>
      </c>
      <c r="N32" s="68" t="str">
        <f>IF(AND('Mapa de Riesgos'!$Y$58="Media",'Mapa de Riesgos'!$AA$58="Leve"),CONCATENATE("R7C",'Mapa de Riesgos'!$O$58),"")</f>
        <v/>
      </c>
      <c r="O32" s="69" t="str">
        <f>IF(AND('Mapa de Riesgos'!$Y$59="Media",'Mapa de Riesgos'!$AA$59="Leve"),CONCATENATE("R7C",'Mapa de Riesgos'!$O$59),"")</f>
        <v/>
      </c>
      <c r="P32" s="67" t="str">
        <f>IF(AND('Mapa de Riesgos'!$Y$54="Media",'Mapa de Riesgos'!$AA$54="Menor"),CONCATENATE("R7C",'Mapa de Riesgos'!$O$54),"")</f>
        <v/>
      </c>
      <c r="Q32" s="68" t="str">
        <f>IF(AND('Mapa de Riesgos'!$Y$55="Media",'Mapa de Riesgos'!$AA$55="Menor"),CONCATENATE("R7C",'Mapa de Riesgos'!$O$55),"")</f>
        <v/>
      </c>
      <c r="R32" s="68" t="str">
        <f>IF(AND('Mapa de Riesgos'!$Y$56="Media",'Mapa de Riesgos'!$AA$56="Menor"),CONCATENATE("R7C",'Mapa de Riesgos'!$O$56),"")</f>
        <v/>
      </c>
      <c r="S32" s="68" t="str">
        <f>IF(AND('Mapa de Riesgos'!$Y$57="Media",'Mapa de Riesgos'!$AA$57="Menor"),CONCATENATE("R7C",'Mapa de Riesgos'!$O$57),"")</f>
        <v/>
      </c>
      <c r="T32" s="68" t="str">
        <f>IF(AND('Mapa de Riesgos'!$Y$58="Media",'Mapa de Riesgos'!$AA$58="Menor"),CONCATENATE("R7C",'Mapa de Riesgos'!$O$58),"")</f>
        <v/>
      </c>
      <c r="U32" s="69" t="str">
        <f>IF(AND('Mapa de Riesgos'!$Y$59="Media",'Mapa de Riesgos'!$AA$59="Menor"),CONCATENATE("R7C",'Mapa de Riesgos'!$O$59),"")</f>
        <v/>
      </c>
      <c r="V32" s="67" t="str">
        <f>IF(AND('Mapa de Riesgos'!$Y$54="Media",'Mapa de Riesgos'!$AA$54="Moderado"),CONCATENATE("R7C",'Mapa de Riesgos'!$O$54),"")</f>
        <v/>
      </c>
      <c r="W32" s="68" t="str">
        <f>IF(AND('Mapa de Riesgos'!$Y$55="Media",'Mapa de Riesgos'!$AA$55="Moderado"),CONCATENATE("R7C",'Mapa de Riesgos'!$O$55),"")</f>
        <v/>
      </c>
      <c r="X32" s="68" t="str">
        <f>IF(AND('Mapa de Riesgos'!$Y$56="Media",'Mapa de Riesgos'!$AA$56="Moderado"),CONCATENATE("R7C",'Mapa de Riesgos'!$O$56),"")</f>
        <v/>
      </c>
      <c r="Y32" s="68" t="str">
        <f>IF(AND('Mapa de Riesgos'!$Y$57="Media",'Mapa de Riesgos'!$AA$57="Moderado"),CONCATENATE("R7C",'Mapa de Riesgos'!$O$57),"")</f>
        <v/>
      </c>
      <c r="Z32" s="68" t="str">
        <f>IF(AND('Mapa de Riesgos'!$Y$58="Media",'Mapa de Riesgos'!$AA$58="Moderado"),CONCATENATE("R7C",'Mapa de Riesgos'!$O$58),"")</f>
        <v/>
      </c>
      <c r="AA32" s="69" t="str">
        <f>IF(AND('Mapa de Riesgos'!$Y$59="Media",'Mapa de Riesgos'!$AA$59="Moderado"),CONCATENATE("R7C",'Mapa de Riesgos'!$O$59),"")</f>
        <v/>
      </c>
      <c r="AB32" s="52" t="str">
        <f>IF(AND('Mapa de Riesgos'!$Y$54="Media",'Mapa de Riesgos'!$AA$54="Mayor"),CONCATENATE("R7C",'Mapa de Riesgos'!$O$54),"")</f>
        <v/>
      </c>
      <c r="AC32" s="53" t="str">
        <f>IF(AND('Mapa de Riesgos'!$Y$55="Media",'Mapa de Riesgos'!$AA$55="Mayor"),CONCATENATE("R7C",'Mapa de Riesgos'!$O$55),"")</f>
        <v/>
      </c>
      <c r="AD32" s="53" t="str">
        <f>IF(AND('Mapa de Riesgos'!$Y$56="Media",'Mapa de Riesgos'!$AA$56="Mayor"),CONCATENATE("R7C",'Mapa de Riesgos'!$O$56),"")</f>
        <v/>
      </c>
      <c r="AE32" s="53" t="str">
        <f>IF(AND('Mapa de Riesgos'!$Y$57="Media",'Mapa de Riesgos'!$AA$57="Mayor"),CONCATENATE("R7C",'Mapa de Riesgos'!$O$57),"")</f>
        <v/>
      </c>
      <c r="AF32" s="53" t="str">
        <f>IF(AND('Mapa de Riesgos'!$Y$58="Media",'Mapa de Riesgos'!$AA$58="Mayor"),CONCATENATE("R7C",'Mapa de Riesgos'!$O$58),"")</f>
        <v/>
      </c>
      <c r="AG32" s="54" t="str">
        <f>IF(AND('Mapa de Riesgos'!$Y$59="Media",'Mapa de Riesgos'!$AA$59="Mayor"),CONCATENATE("R7C",'Mapa de Riesgos'!$O$59),"")</f>
        <v/>
      </c>
      <c r="AH32" s="55" t="str">
        <f>IF(AND('Mapa de Riesgos'!$Y$54="Media",'Mapa de Riesgos'!$AA$54="Catastrófico"),CONCATENATE("R7C",'Mapa de Riesgos'!$O$54),"")</f>
        <v/>
      </c>
      <c r="AI32" s="56" t="str">
        <f>IF(AND('Mapa de Riesgos'!$Y$55="Media",'Mapa de Riesgos'!$AA$55="Catastrófico"),CONCATENATE("R7C",'Mapa de Riesgos'!$O$55),"")</f>
        <v/>
      </c>
      <c r="AJ32" s="56" t="str">
        <f>IF(AND('Mapa de Riesgos'!$Y$56="Media",'Mapa de Riesgos'!$AA$56="Catastrófico"),CONCATENATE("R7C",'Mapa de Riesgos'!$O$56),"")</f>
        <v/>
      </c>
      <c r="AK32" s="56" t="str">
        <f>IF(AND('Mapa de Riesgos'!$Y$57="Media",'Mapa de Riesgos'!$AA$57="Catastrófico"),CONCATENATE("R7C",'Mapa de Riesgos'!$O$57),"")</f>
        <v/>
      </c>
      <c r="AL32" s="56" t="str">
        <f>IF(AND('Mapa de Riesgos'!$Y$58="Media",'Mapa de Riesgos'!$AA$58="Catastrófico"),CONCATENATE("R7C",'Mapa de Riesgos'!$O$58),"")</f>
        <v/>
      </c>
      <c r="AM32" s="57" t="str">
        <f>IF(AND('Mapa de Riesgos'!$Y$59="Media",'Mapa de Riesgos'!$AA$59="Catastrófico"),CONCATENATE("R7C",'Mapa de Riesgos'!$O$59),"")</f>
        <v/>
      </c>
      <c r="AN32" s="83"/>
      <c r="AO32" s="617"/>
      <c r="AP32" s="618"/>
      <c r="AQ32" s="618"/>
      <c r="AR32" s="618"/>
      <c r="AS32" s="618"/>
      <c r="AT32" s="61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9"/>
      <c r="C33" s="489"/>
      <c r="D33" s="490"/>
      <c r="E33" s="588"/>
      <c r="F33" s="587"/>
      <c r="G33" s="587"/>
      <c r="H33" s="587"/>
      <c r="I33" s="603"/>
      <c r="J33" s="67" t="str">
        <f>IF(AND('Mapa de Riesgos'!$Y$60="Media",'Mapa de Riesgos'!$AA$60="Leve"),CONCATENATE("R8C",'Mapa de Riesgos'!$O$60),"")</f>
        <v/>
      </c>
      <c r="K33" s="68" t="str">
        <f>IF(AND('Mapa de Riesgos'!$Y$61="Media",'Mapa de Riesgos'!$AA$61="Leve"),CONCATENATE("R8C",'Mapa de Riesgos'!$O$61),"")</f>
        <v/>
      </c>
      <c r="L33" s="68" t="str">
        <f>IF(AND('Mapa de Riesgos'!$Y$62="Media",'Mapa de Riesgos'!$AA$62="Leve"),CONCATENATE("R8C",'Mapa de Riesgos'!$O$62),"")</f>
        <v/>
      </c>
      <c r="M33" s="68" t="str">
        <f>IF(AND('Mapa de Riesgos'!$Y$63="Media",'Mapa de Riesgos'!$AA$63="Leve"),CONCATENATE("R8C",'Mapa de Riesgos'!$O$63),"")</f>
        <v/>
      </c>
      <c r="N33" s="68" t="str">
        <f>IF(AND('Mapa de Riesgos'!$Y$64="Media",'Mapa de Riesgos'!$AA$64="Leve"),CONCATENATE("R8C",'Mapa de Riesgos'!$O$64),"")</f>
        <v/>
      </c>
      <c r="O33" s="69" t="str">
        <f>IF(AND('Mapa de Riesgos'!$Y$65="Media",'Mapa de Riesgos'!$AA$65="Leve"),CONCATENATE("R8C",'Mapa de Riesgos'!$O$65),"")</f>
        <v/>
      </c>
      <c r="P33" s="67" t="str">
        <f>IF(AND('Mapa de Riesgos'!$Y$60="Media",'Mapa de Riesgos'!$AA$60="Menor"),CONCATENATE("R8C",'Mapa de Riesgos'!$O$60),"")</f>
        <v/>
      </c>
      <c r="Q33" s="68" t="str">
        <f>IF(AND('Mapa de Riesgos'!$Y$61="Media",'Mapa de Riesgos'!$AA$61="Menor"),CONCATENATE("R8C",'Mapa de Riesgos'!$O$61),"")</f>
        <v/>
      </c>
      <c r="R33" s="68" t="str">
        <f>IF(AND('Mapa de Riesgos'!$Y$62="Media",'Mapa de Riesgos'!$AA$62="Menor"),CONCATENATE("R8C",'Mapa de Riesgos'!$O$62),"")</f>
        <v/>
      </c>
      <c r="S33" s="68" t="str">
        <f>IF(AND('Mapa de Riesgos'!$Y$63="Media",'Mapa de Riesgos'!$AA$63="Menor"),CONCATENATE("R8C",'Mapa de Riesgos'!$O$63),"")</f>
        <v/>
      </c>
      <c r="T33" s="68" t="str">
        <f>IF(AND('Mapa de Riesgos'!$Y$64="Media",'Mapa de Riesgos'!$AA$64="Menor"),CONCATENATE("R8C",'Mapa de Riesgos'!$O$64),"")</f>
        <v/>
      </c>
      <c r="U33" s="69" t="str">
        <f>IF(AND('Mapa de Riesgos'!$Y$65="Media",'Mapa de Riesgos'!$AA$65="Menor"),CONCATENATE("R8C",'Mapa de Riesgos'!$O$65),"")</f>
        <v/>
      </c>
      <c r="V33" s="67" t="str">
        <f>IF(AND('Mapa de Riesgos'!$Y$60="Media",'Mapa de Riesgos'!$AA$60="Moderado"),CONCATENATE("R8C",'Mapa de Riesgos'!$O$60),"")</f>
        <v/>
      </c>
      <c r="W33" s="68" t="str">
        <f>IF(AND('Mapa de Riesgos'!$Y$61="Media",'Mapa de Riesgos'!$AA$61="Moderado"),CONCATENATE("R8C",'Mapa de Riesgos'!$O$61),"")</f>
        <v/>
      </c>
      <c r="X33" s="68" t="str">
        <f>IF(AND('Mapa de Riesgos'!$Y$62="Media",'Mapa de Riesgos'!$AA$62="Moderado"),CONCATENATE("R8C",'Mapa de Riesgos'!$O$62),"")</f>
        <v/>
      </c>
      <c r="Y33" s="68" t="str">
        <f>IF(AND('Mapa de Riesgos'!$Y$63="Media",'Mapa de Riesgos'!$AA$63="Moderado"),CONCATENATE("R8C",'Mapa de Riesgos'!$O$63),"")</f>
        <v/>
      </c>
      <c r="Z33" s="68" t="str">
        <f>IF(AND('Mapa de Riesgos'!$Y$64="Media",'Mapa de Riesgos'!$AA$64="Moderado"),CONCATENATE("R8C",'Mapa de Riesgos'!$O$64),"")</f>
        <v/>
      </c>
      <c r="AA33" s="69" t="str">
        <f>IF(AND('Mapa de Riesgos'!$Y$65="Media",'Mapa de Riesgos'!$AA$65="Moderado"),CONCATENATE("R8C",'Mapa de Riesgos'!$O$65),"")</f>
        <v/>
      </c>
      <c r="AB33" s="52" t="str">
        <f>IF(AND('Mapa de Riesgos'!$Y$60="Media",'Mapa de Riesgos'!$AA$60="Mayor"),CONCATENATE("R8C",'Mapa de Riesgos'!$O$60),"")</f>
        <v/>
      </c>
      <c r="AC33" s="53" t="str">
        <f>IF(AND('Mapa de Riesgos'!$Y$61="Media",'Mapa de Riesgos'!$AA$61="Mayor"),CONCATENATE("R8C",'Mapa de Riesgos'!$O$61),"")</f>
        <v/>
      </c>
      <c r="AD33" s="53" t="str">
        <f>IF(AND('Mapa de Riesgos'!$Y$62="Media",'Mapa de Riesgos'!$AA$62="Mayor"),CONCATENATE("R8C",'Mapa de Riesgos'!$O$62),"")</f>
        <v/>
      </c>
      <c r="AE33" s="53" t="str">
        <f>IF(AND('Mapa de Riesgos'!$Y$63="Media",'Mapa de Riesgos'!$AA$63="Mayor"),CONCATENATE("R8C",'Mapa de Riesgos'!$O$63),"")</f>
        <v/>
      </c>
      <c r="AF33" s="53" t="str">
        <f>IF(AND('Mapa de Riesgos'!$Y$64="Media",'Mapa de Riesgos'!$AA$64="Mayor"),CONCATENATE("R8C",'Mapa de Riesgos'!$O$64),"")</f>
        <v/>
      </c>
      <c r="AG33" s="54" t="str">
        <f>IF(AND('Mapa de Riesgos'!$Y$65="Media",'Mapa de Riesgos'!$AA$65="Mayor"),CONCATENATE("R8C",'Mapa de Riesgos'!$O$65),"")</f>
        <v/>
      </c>
      <c r="AH33" s="55" t="str">
        <f>IF(AND('Mapa de Riesgos'!$Y$60="Media",'Mapa de Riesgos'!$AA$60="Catastrófico"),CONCATENATE("R8C",'Mapa de Riesgos'!$O$60),"")</f>
        <v/>
      </c>
      <c r="AI33" s="56" t="str">
        <f>IF(AND('Mapa de Riesgos'!$Y$61="Media",'Mapa de Riesgos'!$AA$61="Catastrófico"),CONCATENATE("R8C",'Mapa de Riesgos'!$O$61),"")</f>
        <v/>
      </c>
      <c r="AJ33" s="56" t="str">
        <f>IF(AND('Mapa de Riesgos'!$Y$62="Media",'Mapa de Riesgos'!$AA$62="Catastrófico"),CONCATENATE("R8C",'Mapa de Riesgos'!$O$62),"")</f>
        <v/>
      </c>
      <c r="AK33" s="56" t="str">
        <f>IF(AND('Mapa de Riesgos'!$Y$63="Media",'Mapa de Riesgos'!$AA$63="Catastrófico"),CONCATENATE("R8C",'Mapa de Riesgos'!$O$63),"")</f>
        <v/>
      </c>
      <c r="AL33" s="56" t="str">
        <f>IF(AND('Mapa de Riesgos'!$Y$64="Media",'Mapa de Riesgos'!$AA$64="Catastrófico"),CONCATENATE("R8C",'Mapa de Riesgos'!$O$64),"")</f>
        <v/>
      </c>
      <c r="AM33" s="57" t="str">
        <f>IF(AND('Mapa de Riesgos'!$Y$65="Media",'Mapa de Riesgos'!$AA$65="Catastrófico"),CONCATENATE("R8C",'Mapa de Riesgos'!$O$65),"")</f>
        <v/>
      </c>
      <c r="AN33" s="83"/>
      <c r="AO33" s="617"/>
      <c r="AP33" s="618"/>
      <c r="AQ33" s="618"/>
      <c r="AR33" s="618"/>
      <c r="AS33" s="618"/>
      <c r="AT33" s="61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9"/>
      <c r="C34" s="489"/>
      <c r="D34" s="490"/>
      <c r="E34" s="588"/>
      <c r="F34" s="587"/>
      <c r="G34" s="587"/>
      <c r="H34" s="587"/>
      <c r="I34" s="603"/>
      <c r="J34" s="67" t="str">
        <f>IF(AND('Mapa de Riesgos'!$Y$66="Media",'Mapa de Riesgos'!$AA$66="Leve"),CONCATENATE("R9C",'Mapa de Riesgos'!$O$66),"")</f>
        <v/>
      </c>
      <c r="K34" s="68" t="str">
        <f>IF(AND('Mapa de Riesgos'!$Y$67="Media",'Mapa de Riesgos'!$AA$67="Leve"),CONCATENATE("R9C",'Mapa de Riesgos'!$O$67),"")</f>
        <v/>
      </c>
      <c r="L34" s="68" t="str">
        <f>IF(AND('Mapa de Riesgos'!$Y$68="Media",'Mapa de Riesgos'!$AA$68="Leve"),CONCATENATE("R9C",'Mapa de Riesgos'!$O$68),"")</f>
        <v/>
      </c>
      <c r="M34" s="68" t="str">
        <f>IF(AND('Mapa de Riesgos'!$Y$69="Media",'Mapa de Riesgos'!$AA$69="Leve"),CONCATENATE("R9C",'Mapa de Riesgos'!$O$69),"")</f>
        <v/>
      </c>
      <c r="N34" s="68" t="str">
        <f>IF(AND('Mapa de Riesgos'!$Y$70="Media",'Mapa de Riesgos'!$AA$70="Leve"),CONCATENATE("R9C",'Mapa de Riesgos'!$O$70),"")</f>
        <v/>
      </c>
      <c r="O34" s="69" t="str">
        <f>IF(AND('Mapa de Riesgos'!$Y$71="Media",'Mapa de Riesgos'!$AA$71="Leve"),CONCATENATE("R9C",'Mapa de Riesgos'!$O$71),"")</f>
        <v/>
      </c>
      <c r="P34" s="67" t="str">
        <f>IF(AND('Mapa de Riesgos'!$Y$66="Media",'Mapa de Riesgos'!$AA$66="Menor"),CONCATENATE("R9C",'Mapa de Riesgos'!$O$66),"")</f>
        <v/>
      </c>
      <c r="Q34" s="68" t="str">
        <f>IF(AND('Mapa de Riesgos'!$Y$67="Media",'Mapa de Riesgos'!$AA$67="Menor"),CONCATENATE("R9C",'Mapa de Riesgos'!$O$67),"")</f>
        <v/>
      </c>
      <c r="R34" s="68" t="str">
        <f>IF(AND('Mapa de Riesgos'!$Y$68="Media",'Mapa de Riesgos'!$AA$68="Menor"),CONCATENATE("R9C",'Mapa de Riesgos'!$O$68),"")</f>
        <v/>
      </c>
      <c r="S34" s="68" t="str">
        <f>IF(AND('Mapa de Riesgos'!$Y$69="Media",'Mapa de Riesgos'!$AA$69="Menor"),CONCATENATE("R9C",'Mapa de Riesgos'!$O$69),"")</f>
        <v/>
      </c>
      <c r="T34" s="68" t="str">
        <f>IF(AND('Mapa de Riesgos'!$Y$70="Media",'Mapa de Riesgos'!$AA$70="Menor"),CONCATENATE("R9C",'Mapa de Riesgos'!$O$70),"")</f>
        <v/>
      </c>
      <c r="U34" s="69" t="str">
        <f>IF(AND('Mapa de Riesgos'!$Y$71="Media",'Mapa de Riesgos'!$AA$71="Menor"),CONCATENATE("R9C",'Mapa de Riesgos'!$O$71),"")</f>
        <v/>
      </c>
      <c r="V34" s="67" t="str">
        <f>IF(AND('Mapa de Riesgos'!$Y$66="Media",'Mapa de Riesgos'!$AA$66="Moderado"),CONCATENATE("R9C",'Mapa de Riesgos'!$O$66),"")</f>
        <v/>
      </c>
      <c r="W34" s="68" t="str">
        <f>IF(AND('Mapa de Riesgos'!$Y$67="Media",'Mapa de Riesgos'!$AA$67="Moderado"),CONCATENATE("R9C",'Mapa de Riesgos'!$O$67),"")</f>
        <v/>
      </c>
      <c r="X34" s="68" t="str">
        <f>IF(AND('Mapa de Riesgos'!$Y$68="Media",'Mapa de Riesgos'!$AA$68="Moderado"),CONCATENATE("R9C",'Mapa de Riesgos'!$O$68),"")</f>
        <v/>
      </c>
      <c r="Y34" s="68" t="str">
        <f>IF(AND('Mapa de Riesgos'!$Y$69="Media",'Mapa de Riesgos'!$AA$69="Moderado"),CONCATENATE("R9C",'Mapa de Riesgos'!$O$69),"")</f>
        <v/>
      </c>
      <c r="Z34" s="68" t="str">
        <f>IF(AND('Mapa de Riesgos'!$Y$70="Media",'Mapa de Riesgos'!$AA$70="Moderado"),CONCATENATE("R9C",'Mapa de Riesgos'!$O$70),"")</f>
        <v/>
      </c>
      <c r="AA34" s="69" t="str">
        <f>IF(AND('Mapa de Riesgos'!$Y$71="Media",'Mapa de Riesgos'!$AA$71="Moderado"),CONCATENATE("R9C",'Mapa de Riesgos'!$O$71),"")</f>
        <v/>
      </c>
      <c r="AB34" s="52" t="str">
        <f>IF(AND('Mapa de Riesgos'!$Y$66="Media",'Mapa de Riesgos'!$AA$66="Mayor"),CONCATENATE("R9C",'Mapa de Riesgos'!$O$66),"")</f>
        <v/>
      </c>
      <c r="AC34" s="53" t="str">
        <f>IF(AND('Mapa de Riesgos'!$Y$67="Media",'Mapa de Riesgos'!$AA$67="Mayor"),CONCATENATE("R9C",'Mapa de Riesgos'!$O$67),"")</f>
        <v/>
      </c>
      <c r="AD34" s="53" t="str">
        <f>IF(AND('Mapa de Riesgos'!$Y$68="Media",'Mapa de Riesgos'!$AA$68="Mayor"),CONCATENATE("R9C",'Mapa de Riesgos'!$O$68),"")</f>
        <v/>
      </c>
      <c r="AE34" s="53" t="str">
        <f>IF(AND('Mapa de Riesgos'!$Y$69="Media",'Mapa de Riesgos'!$AA$69="Mayor"),CONCATENATE("R9C",'Mapa de Riesgos'!$O$69),"")</f>
        <v/>
      </c>
      <c r="AF34" s="53" t="str">
        <f>IF(AND('Mapa de Riesgos'!$Y$70="Media",'Mapa de Riesgos'!$AA$70="Mayor"),CONCATENATE("R9C",'Mapa de Riesgos'!$O$70),"")</f>
        <v/>
      </c>
      <c r="AG34" s="54" t="str">
        <f>IF(AND('Mapa de Riesgos'!$Y$71="Media",'Mapa de Riesgos'!$AA$71="Mayor"),CONCATENATE("R9C",'Mapa de Riesgos'!$O$71),"")</f>
        <v/>
      </c>
      <c r="AH34" s="55" t="str">
        <f>IF(AND('Mapa de Riesgos'!$Y$66="Media",'Mapa de Riesgos'!$AA$66="Catastrófico"),CONCATENATE("R9C",'Mapa de Riesgos'!$O$66),"")</f>
        <v/>
      </c>
      <c r="AI34" s="56" t="str">
        <f>IF(AND('Mapa de Riesgos'!$Y$67="Media",'Mapa de Riesgos'!$AA$67="Catastrófico"),CONCATENATE("R9C",'Mapa de Riesgos'!$O$67),"")</f>
        <v/>
      </c>
      <c r="AJ34" s="56" t="str">
        <f>IF(AND('Mapa de Riesgos'!$Y$68="Media",'Mapa de Riesgos'!$AA$68="Catastrófico"),CONCATENATE("R9C",'Mapa de Riesgos'!$O$68),"")</f>
        <v/>
      </c>
      <c r="AK34" s="56" t="str">
        <f>IF(AND('Mapa de Riesgos'!$Y$69="Media",'Mapa de Riesgos'!$AA$69="Catastrófico"),CONCATENATE("R9C",'Mapa de Riesgos'!$O$69),"")</f>
        <v/>
      </c>
      <c r="AL34" s="56" t="str">
        <f>IF(AND('Mapa de Riesgos'!$Y$70="Media",'Mapa de Riesgos'!$AA$70="Catastrófico"),CONCATENATE("R9C",'Mapa de Riesgos'!$O$70),"")</f>
        <v/>
      </c>
      <c r="AM34" s="57" t="str">
        <f>IF(AND('Mapa de Riesgos'!$Y$71="Media",'Mapa de Riesgos'!$AA$71="Catastrófico"),CONCATENATE("R9C",'Mapa de Riesgos'!$O$71),"")</f>
        <v/>
      </c>
      <c r="AN34" s="83"/>
      <c r="AO34" s="617"/>
      <c r="AP34" s="618"/>
      <c r="AQ34" s="618"/>
      <c r="AR34" s="618"/>
      <c r="AS34" s="618"/>
      <c r="AT34" s="61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9"/>
      <c r="C35" s="489"/>
      <c r="D35" s="490"/>
      <c r="E35" s="589"/>
      <c r="F35" s="590"/>
      <c r="G35" s="590"/>
      <c r="H35" s="590"/>
      <c r="I35" s="604"/>
      <c r="J35" s="67" t="str">
        <f>IF(AND('Mapa de Riesgos'!$Y$72="Media",'Mapa de Riesgos'!$AA$72="Leve"),CONCATENATE("R10C",'Mapa de Riesgos'!$O$72),"")</f>
        <v/>
      </c>
      <c r="K35" s="68" t="str">
        <f>IF(AND('Mapa de Riesgos'!$Y$73="Media",'Mapa de Riesgos'!$AA$73="Leve"),CONCATENATE("R10C",'Mapa de Riesgos'!$O$73),"")</f>
        <v/>
      </c>
      <c r="L35" s="68" t="str">
        <f>IF(AND('Mapa de Riesgos'!$Y$74="Media",'Mapa de Riesgos'!$AA$74="Leve"),CONCATENATE("R10C",'Mapa de Riesgos'!$O$74),"")</f>
        <v/>
      </c>
      <c r="M35" s="68" t="str">
        <f>IF(AND('Mapa de Riesgos'!$Y$75="Media",'Mapa de Riesgos'!$AA$75="Leve"),CONCATENATE("R10C",'Mapa de Riesgos'!$O$75),"")</f>
        <v/>
      </c>
      <c r="N35" s="68" t="str">
        <f>IF(AND('Mapa de Riesgos'!$Y$76="Media",'Mapa de Riesgos'!$AA$76="Leve"),CONCATENATE("R10C",'Mapa de Riesgos'!$O$76),"")</f>
        <v/>
      </c>
      <c r="O35" s="69" t="str">
        <f>IF(AND('Mapa de Riesgos'!$Y$77="Media",'Mapa de Riesgos'!$AA$77="Leve"),CONCATENATE("R10C",'Mapa de Riesgos'!$O$77),"")</f>
        <v/>
      </c>
      <c r="P35" s="67" t="str">
        <f>IF(AND('Mapa de Riesgos'!$Y$72="Media",'Mapa de Riesgos'!$AA$72="Menor"),CONCATENATE("R10C",'Mapa de Riesgos'!$O$72),"")</f>
        <v/>
      </c>
      <c r="Q35" s="68" t="str">
        <f>IF(AND('Mapa de Riesgos'!$Y$73="Media",'Mapa de Riesgos'!$AA$73="Menor"),CONCATENATE("R10C",'Mapa de Riesgos'!$O$73),"")</f>
        <v/>
      </c>
      <c r="R35" s="68" t="str">
        <f>IF(AND('Mapa de Riesgos'!$Y$74="Media",'Mapa de Riesgos'!$AA$74="Menor"),CONCATENATE("R10C",'Mapa de Riesgos'!$O$74),"")</f>
        <v/>
      </c>
      <c r="S35" s="68" t="str">
        <f>IF(AND('Mapa de Riesgos'!$Y$75="Media",'Mapa de Riesgos'!$AA$75="Menor"),CONCATENATE("R10C",'Mapa de Riesgos'!$O$75),"")</f>
        <v/>
      </c>
      <c r="T35" s="68" t="str">
        <f>IF(AND('Mapa de Riesgos'!$Y$76="Media",'Mapa de Riesgos'!$AA$76="Menor"),CONCATENATE("R10C",'Mapa de Riesgos'!$O$76),"")</f>
        <v/>
      </c>
      <c r="U35" s="69" t="str">
        <f>IF(AND('Mapa de Riesgos'!$Y$77="Media",'Mapa de Riesgos'!$AA$77="Menor"),CONCATENATE("R10C",'Mapa de Riesgos'!$O$77),"")</f>
        <v/>
      </c>
      <c r="V35" s="67" t="str">
        <f>IF(AND('Mapa de Riesgos'!$Y$72="Media",'Mapa de Riesgos'!$AA$72="Moderado"),CONCATENATE("R10C",'Mapa de Riesgos'!$O$72),"")</f>
        <v/>
      </c>
      <c r="W35" s="68" t="str">
        <f>IF(AND('Mapa de Riesgos'!$Y$73="Media",'Mapa de Riesgos'!$AA$73="Moderado"),CONCATENATE("R10C",'Mapa de Riesgos'!$O$73),"")</f>
        <v/>
      </c>
      <c r="X35" s="68" t="str">
        <f>IF(AND('Mapa de Riesgos'!$Y$74="Media",'Mapa de Riesgos'!$AA$74="Moderado"),CONCATENATE("R10C",'Mapa de Riesgos'!$O$74),"")</f>
        <v/>
      </c>
      <c r="Y35" s="68" t="str">
        <f>IF(AND('Mapa de Riesgos'!$Y$75="Media",'Mapa de Riesgos'!$AA$75="Moderado"),CONCATENATE("R10C",'Mapa de Riesgos'!$O$75),"")</f>
        <v/>
      </c>
      <c r="Z35" s="68" t="str">
        <f>IF(AND('Mapa de Riesgos'!$Y$76="Media",'Mapa de Riesgos'!$AA$76="Moderado"),CONCATENATE("R10C",'Mapa de Riesgos'!$O$76),"")</f>
        <v/>
      </c>
      <c r="AA35" s="69" t="str">
        <f>IF(AND('Mapa de Riesgos'!$Y$77="Media",'Mapa de Riesgos'!$AA$77="Moderado"),CONCATENATE("R10C",'Mapa de Riesgos'!$O$77),"")</f>
        <v/>
      </c>
      <c r="AB35" s="58" t="str">
        <f>IF(AND('Mapa de Riesgos'!$Y$72="Media",'Mapa de Riesgos'!$AA$72="Mayor"),CONCATENATE("R10C",'Mapa de Riesgos'!$O$72),"")</f>
        <v/>
      </c>
      <c r="AC35" s="59" t="str">
        <f>IF(AND('Mapa de Riesgos'!$Y$73="Media",'Mapa de Riesgos'!$AA$73="Mayor"),CONCATENATE("R10C",'Mapa de Riesgos'!$O$73),"")</f>
        <v/>
      </c>
      <c r="AD35" s="59" t="str">
        <f>IF(AND('Mapa de Riesgos'!$Y$74="Media",'Mapa de Riesgos'!$AA$74="Mayor"),CONCATENATE("R10C",'Mapa de Riesgos'!$O$74),"")</f>
        <v/>
      </c>
      <c r="AE35" s="59" t="str">
        <f>IF(AND('Mapa de Riesgos'!$Y$75="Media",'Mapa de Riesgos'!$AA$75="Mayor"),CONCATENATE("R10C",'Mapa de Riesgos'!$O$75),"")</f>
        <v/>
      </c>
      <c r="AF35" s="59" t="str">
        <f>IF(AND('Mapa de Riesgos'!$Y$76="Media",'Mapa de Riesgos'!$AA$76="Mayor"),CONCATENATE("R10C",'Mapa de Riesgos'!$O$76),"")</f>
        <v/>
      </c>
      <c r="AG35" s="60" t="str">
        <f>IF(AND('Mapa de Riesgos'!$Y$77="Media",'Mapa de Riesgos'!$AA$77="Mayor"),CONCATENATE("R10C",'Mapa de Riesgos'!$O$77),"")</f>
        <v/>
      </c>
      <c r="AH35" s="61" t="str">
        <f>IF(AND('Mapa de Riesgos'!$Y$72="Media",'Mapa de Riesgos'!$AA$72="Catastrófico"),CONCATENATE("R10C",'Mapa de Riesgos'!$O$72),"")</f>
        <v/>
      </c>
      <c r="AI35" s="62" t="str">
        <f>IF(AND('Mapa de Riesgos'!$Y$73="Media",'Mapa de Riesgos'!$AA$73="Catastrófico"),CONCATENATE("R10C",'Mapa de Riesgos'!$O$73),"")</f>
        <v/>
      </c>
      <c r="AJ35" s="62" t="str">
        <f>IF(AND('Mapa de Riesgos'!$Y$74="Media",'Mapa de Riesgos'!$AA$74="Catastrófico"),CONCATENATE("R10C",'Mapa de Riesgos'!$O$74),"")</f>
        <v/>
      </c>
      <c r="AK35" s="62" t="str">
        <f>IF(AND('Mapa de Riesgos'!$Y$75="Media",'Mapa de Riesgos'!$AA$75="Catastrófico"),CONCATENATE("R10C",'Mapa de Riesgos'!$O$75),"")</f>
        <v/>
      </c>
      <c r="AL35" s="62" t="str">
        <f>IF(AND('Mapa de Riesgos'!$Y$76="Media",'Mapa de Riesgos'!$AA$76="Catastrófico"),CONCATENATE("R10C",'Mapa de Riesgos'!$O$76),"")</f>
        <v/>
      </c>
      <c r="AM35" s="63" t="str">
        <f>IF(AND('Mapa de Riesgos'!$Y$77="Media",'Mapa de Riesgos'!$AA$77="Catastrófico"),CONCATENATE("R10C",'Mapa de Riesgos'!$O$77),"")</f>
        <v/>
      </c>
      <c r="AN35" s="83"/>
      <c r="AO35" s="620"/>
      <c r="AP35" s="621"/>
      <c r="AQ35" s="621"/>
      <c r="AR35" s="621"/>
      <c r="AS35" s="621"/>
      <c r="AT35" s="62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9"/>
      <c r="C36" s="489"/>
      <c r="D36" s="490"/>
      <c r="E36" s="584" t="s">
        <v>110</v>
      </c>
      <c r="F36" s="585"/>
      <c r="G36" s="585"/>
      <c r="H36" s="585"/>
      <c r="I36" s="58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605" t="s">
        <v>78</v>
      </c>
      <c r="AP36" s="606"/>
      <c r="AQ36" s="606"/>
      <c r="AR36" s="606"/>
      <c r="AS36" s="606"/>
      <c r="AT36" s="60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9"/>
      <c r="C37" s="489"/>
      <c r="D37" s="490"/>
      <c r="E37" s="586"/>
      <c r="F37" s="587"/>
      <c r="G37" s="587"/>
      <c r="H37" s="587"/>
      <c r="I37" s="587"/>
      <c r="J37" s="76" t="str">
        <f>IF(AND('Mapa de Riesgos'!$Y$20="Baja",'Mapa de Riesgos'!$AA$20="Leve"),CONCATENATE("R2C",'Mapa de Riesgos'!$O$20),"")</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Riesgos'!$Y$20="Baja",'Mapa de Riesgos'!$AA$20="Menor"),CONCATENATE("R2C",'Mapa de Riesgos'!$O$20),"")</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Riesgos'!$Y$20="Baja",'Mapa de Riesgos'!$AA$20="Moderado"),CONCATENATE("R2C",'Mapa de Riesgos'!$O$20),"")</f>
        <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Riesgos'!$Y$20="Baja",'Mapa de Riesgos'!$AA$20="Mayor"),CONCATENATE("R2C",'Mapa de Riesgos'!$O$20),"")</f>
        <v>R2C1</v>
      </c>
      <c r="AC37" s="53" t="str">
        <f>IF(AND('Mapa de Riesgos'!$Y$21="Baja",'Mapa de Riesgos'!$AA$21="Mayor"),CONCATENATE("R2C",'Mapa de Riesgos'!$O$21),"")</f>
        <v>R2C2</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Riesgos'!$Y$20="Baja",'Mapa de Riesgos'!$AA$20="Catastrófico"),CONCATENATE("R2C",'Mapa de Riesgos'!$O$20),"")</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608"/>
      <c r="AP37" s="609"/>
      <c r="AQ37" s="609"/>
      <c r="AR37" s="609"/>
      <c r="AS37" s="609"/>
      <c r="AT37" s="61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9"/>
      <c r="C38" s="489"/>
      <c r="D38" s="490"/>
      <c r="E38" s="588"/>
      <c r="F38" s="587"/>
      <c r="G38" s="587"/>
      <c r="H38" s="587"/>
      <c r="I38" s="587"/>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Riesgos'!$Y$31="Baja",'Mapa de Riesgos'!$AA$31="Leve"),CONCATENATE("R3C",'Mapa de Riesgos'!$O$31),"")</f>
        <v/>
      </c>
      <c r="N38" s="77" t="str">
        <f>IF(AND('Mapa de Riesgos'!$Y$32="Baja",'Mapa de Riesgos'!$AA$32="Leve"),CONCATENATE("R3C",'Mapa de Riesgos'!$O$32),"")</f>
        <v/>
      </c>
      <c r="O38" s="78" t="str">
        <f>IF(AND('Mapa de Riesgos'!$Y$33="Baja",'Mapa de Riesgos'!$AA$33="Leve"),CONCATENATE("R3C",'Mapa de Riesgos'!$O$33),"")</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Riesgos'!$Y$31="Baja",'Mapa de Riesgos'!$AA$31="Menor"),CONCATENATE("R3C",'Mapa de Riesgos'!$O$31),"")</f>
        <v/>
      </c>
      <c r="T38" s="68" t="str">
        <f>IF(AND('Mapa de Riesgos'!$Y$32="Baja",'Mapa de Riesgos'!$AA$32="Menor"),CONCATENATE("R3C",'Mapa de Riesgos'!$O$32),"")</f>
        <v/>
      </c>
      <c r="U38" s="69" t="str">
        <f>IF(AND('Mapa de Riesgos'!$Y$33="Baja",'Mapa de Riesgos'!$AA$33="Menor"),CONCATENATE("R3C",'Mapa de Riesgos'!$O$33),"")</f>
        <v/>
      </c>
      <c r="V38" s="67" t="str">
        <f>IF(AND('Mapa de Riesgos'!$Y$26="Baja",'Mapa de Riesgos'!$AA$26="Moderado"),CONCATENATE("R3C",'Mapa de Riesgos'!$O$26),"")</f>
        <v>R3C1</v>
      </c>
      <c r="W38" s="68" t="str">
        <f>IF(AND('Mapa de Riesgos'!$Y$27="Baja",'Mapa de Riesgos'!$AA$27="Moderado"),CONCATENATE("R3C",'Mapa de Riesgos'!$O$27),"")</f>
        <v/>
      </c>
      <c r="X38" s="68" t="str">
        <f>IF(AND('Mapa de Riesgos'!$Y$28="Baja",'Mapa de Riesgos'!$AA$28="Moderado"),CONCATENATE("R3C",'Mapa de Riesgos'!$O$28),"")</f>
        <v/>
      </c>
      <c r="Y38" s="68" t="str">
        <f>IF(AND('Mapa de Riesgos'!$Y$31="Baja",'Mapa de Riesgos'!$AA$31="Moderado"),CONCATENATE("R3C",'Mapa de Riesgos'!$O$31),"")</f>
        <v/>
      </c>
      <c r="Z38" s="68" t="str">
        <f>IF(AND('Mapa de Riesgos'!$Y$32="Baja",'Mapa de Riesgos'!$AA$32="Moderado"),CONCATENATE("R3C",'Mapa de Riesgos'!$O$32),"")</f>
        <v/>
      </c>
      <c r="AA38" s="69" t="str">
        <f>IF(AND('Mapa de Riesgos'!$Y$33="Baja",'Mapa de Riesgos'!$AA$33="Moderado"),CONCATENATE("R3C",'Mapa de Riesgos'!$O$33),"")</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Riesgos'!$Y$31="Baja",'Mapa de Riesgos'!$AA$31="Mayor"),CONCATENATE("R3C",'Mapa de Riesgos'!$O$31),"")</f>
        <v/>
      </c>
      <c r="AF38" s="53" t="str">
        <f>IF(AND('Mapa de Riesgos'!$Y$32="Baja",'Mapa de Riesgos'!$AA$32="Mayor"),CONCATENATE("R3C",'Mapa de Riesgos'!$O$32),"")</f>
        <v/>
      </c>
      <c r="AG38" s="54" t="str">
        <f>IF(AND('Mapa de Riesgos'!$Y$33="Baja",'Mapa de Riesgos'!$AA$33="Mayor"),CONCATENATE("R3C",'Mapa de Riesgos'!$O$33),"")</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Riesgos'!$Y$31="Baja",'Mapa de Riesgos'!$AA$31="Catastrófico"),CONCATENATE("R3C",'Mapa de Riesgos'!$O$31),"")</f>
        <v/>
      </c>
      <c r="AL38" s="56" t="str">
        <f>IF(AND('Mapa de Riesgos'!$Y$32="Baja",'Mapa de Riesgos'!$AA$32="Catastrófico"),CONCATENATE("R3C",'Mapa de Riesgos'!$O$32),"")</f>
        <v/>
      </c>
      <c r="AM38" s="57" t="str">
        <f>IF(AND('Mapa de Riesgos'!$Y$33="Baja",'Mapa de Riesgos'!$AA$33="Catastrófico"),CONCATENATE("R3C",'Mapa de Riesgos'!$O$33),"")</f>
        <v/>
      </c>
      <c r="AN38" s="83"/>
      <c r="AO38" s="608"/>
      <c r="AP38" s="609"/>
      <c r="AQ38" s="609"/>
      <c r="AR38" s="609"/>
      <c r="AS38" s="609"/>
      <c r="AT38" s="61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9"/>
      <c r="C39" s="489"/>
      <c r="D39" s="490"/>
      <c r="E39" s="588"/>
      <c r="F39" s="587"/>
      <c r="G39" s="587"/>
      <c r="H39" s="587"/>
      <c r="I39" s="587"/>
      <c r="J39" s="76" t="str">
        <f>IF(AND('Mapa de Riesgos'!$Y$34="Baja",'Mapa de Riesgos'!$AA$34="Leve"),CONCATENATE("R4C",'Mapa de Riesgos'!$O$34),"")</f>
        <v/>
      </c>
      <c r="K39" s="77" t="str">
        <f>IF(AND('Mapa de Riesgos'!$Y$35="Baja",'Mapa de Riesgos'!$AA$35="Leve"),CONCATENATE("R4C",'Mapa de Riesgos'!$O$35),"")</f>
        <v/>
      </c>
      <c r="L39" s="77" t="str">
        <f>IF(AND('Mapa de Riesgos'!$Y$36="Baja",'Mapa de Riesgos'!$AA$36="Leve"),CONCATENATE("R4C",'Mapa de Riesgos'!$O$36),"")</f>
        <v/>
      </c>
      <c r="M39" s="77" t="str">
        <f>IF(AND('Mapa de Riesgos'!$Y$37="Baja",'Mapa de Riesgos'!$AA$37="Leve"),CONCATENATE("R4C",'Mapa de Riesgos'!$O$37),"")</f>
        <v/>
      </c>
      <c r="N39" s="77" t="str">
        <f>IF(AND('Mapa de Riesgos'!$Y$39="Baja",'Mapa de Riesgos'!$AA$39="Leve"),CONCATENATE("R4C",'Mapa de Riesgos'!$O$39),"")</f>
        <v/>
      </c>
      <c r="O39" s="78" t="str">
        <f>IF(AND('Mapa de Riesgos'!$Y$40="Baja",'Mapa de Riesgos'!$AA$40="Leve"),CONCATENATE("R4C",'Mapa de Riesgos'!$O$40),"")</f>
        <v/>
      </c>
      <c r="P39" s="67" t="str">
        <f>IF(AND('Mapa de Riesgos'!$Y$34="Baja",'Mapa de Riesgos'!$AA$34="Menor"),CONCATENATE("R4C",'Mapa de Riesgos'!$O$34),"")</f>
        <v/>
      </c>
      <c r="Q39" s="68" t="str">
        <f>IF(AND('Mapa de Riesgos'!$Y$35="Baja",'Mapa de Riesgos'!$AA$35="Menor"),CONCATENATE("R4C",'Mapa de Riesgos'!$O$35),"")</f>
        <v/>
      </c>
      <c r="R39" s="68" t="str">
        <f>IF(AND('Mapa de Riesgos'!$Y$36="Baja",'Mapa de Riesgos'!$AA$36="Menor"),CONCATENATE("R4C",'Mapa de Riesgos'!$O$36),"")</f>
        <v/>
      </c>
      <c r="S39" s="68" t="str">
        <f>IF(AND('Mapa de Riesgos'!$Y$37="Baja",'Mapa de Riesgos'!$AA$37="Menor"),CONCATENATE("R4C",'Mapa de Riesgos'!$O$37),"")</f>
        <v/>
      </c>
      <c r="T39" s="68" t="str">
        <f>IF(AND('Mapa de Riesgos'!$Y$39="Baja",'Mapa de Riesgos'!$AA$39="Menor"),CONCATENATE("R4C",'Mapa de Riesgos'!$O$39),"")</f>
        <v/>
      </c>
      <c r="U39" s="69" t="str">
        <f>IF(AND('Mapa de Riesgos'!$Y$40="Baja",'Mapa de Riesgos'!$AA$40="Menor"),CONCATENATE("R4C",'Mapa de Riesgos'!$O$40),"")</f>
        <v/>
      </c>
      <c r="V39" s="67" t="str">
        <f>IF(AND('Mapa de Riesgos'!$Y$34="Baja",'Mapa de Riesgos'!$AA$34="Moderado"),CONCATENATE("R4C",'Mapa de Riesgos'!$O$34),"")</f>
        <v/>
      </c>
      <c r="W39" s="68" t="str">
        <f>IF(AND('Mapa de Riesgos'!$Y$35="Baja",'Mapa de Riesgos'!$AA$35="Moderado"),CONCATENATE("R4C",'Mapa de Riesgos'!$O$35),"")</f>
        <v/>
      </c>
      <c r="X39" s="68" t="str">
        <f>IF(AND('Mapa de Riesgos'!$Y$36="Baja",'Mapa de Riesgos'!$AA$36="Moderado"),CONCATENATE("R4C",'Mapa de Riesgos'!$O$36),"")</f>
        <v/>
      </c>
      <c r="Y39" s="68" t="str">
        <f>IF(AND('Mapa de Riesgos'!$Y$37="Baja",'Mapa de Riesgos'!$AA$37="Moderado"),CONCATENATE("R4C",'Mapa de Riesgos'!$O$37),"")</f>
        <v/>
      </c>
      <c r="Z39" s="68" t="str">
        <f>IF(AND('Mapa de Riesgos'!$Y$39="Baja",'Mapa de Riesgos'!$AA$39="Moderado"),CONCATENATE("R4C",'Mapa de Riesgos'!$O$39),"")</f>
        <v/>
      </c>
      <c r="AA39" s="69" t="str">
        <f>IF(AND('Mapa de Riesgos'!$Y$40="Baja",'Mapa de Riesgos'!$AA$40="Moderado"),CONCATENATE("R4C",'Mapa de Riesgos'!$O$40),"")</f>
        <v/>
      </c>
      <c r="AB39" s="52" t="str">
        <f>IF(AND('Mapa de Riesgos'!$Y$34="Baja",'Mapa de Riesgos'!$AA$34="Mayor"),CONCATENATE("R4C",'Mapa de Riesgos'!$O$34),"")</f>
        <v>R4C1</v>
      </c>
      <c r="AC39" s="53" t="str">
        <f>IF(AND('Mapa de Riesgos'!$Y$35="Baja",'Mapa de Riesgos'!$AA$35="Mayor"),CONCATENATE("R4C",'Mapa de Riesgos'!$O$35),"")</f>
        <v/>
      </c>
      <c r="AD39" s="53" t="str">
        <f>IF(AND('Mapa de Riesgos'!$Y$36="Baja",'Mapa de Riesgos'!$AA$36="Mayor"),CONCATENATE("R4C",'Mapa de Riesgos'!$O$36),"")</f>
        <v/>
      </c>
      <c r="AE39" s="53" t="str">
        <f>IF(AND('Mapa de Riesgos'!$Y$37="Baja",'Mapa de Riesgos'!$AA$37="Mayor"),CONCATENATE("R4C",'Mapa de Riesgos'!$O$37),"")</f>
        <v/>
      </c>
      <c r="AF39" s="53" t="str">
        <f>IF(AND('Mapa de Riesgos'!$Y$39="Baja",'Mapa de Riesgos'!$AA$39="Mayor"),CONCATENATE("R4C",'Mapa de Riesgos'!$O$39),"")</f>
        <v/>
      </c>
      <c r="AG39" s="54" t="str">
        <f>IF(AND('Mapa de Riesgos'!$Y$40="Baja",'Mapa de Riesgos'!$AA$40="Mayor"),CONCATENATE("R4C",'Mapa de Riesgos'!$O$40),"")</f>
        <v/>
      </c>
      <c r="AH39" s="55" t="str">
        <f>IF(AND('Mapa de Riesgos'!$Y$34="Baja",'Mapa de Riesgos'!$AA$34="Catastrófico"),CONCATENATE("R4C",'Mapa de Riesgos'!$O$34),"")</f>
        <v/>
      </c>
      <c r="AI39" s="56" t="str">
        <f>IF(AND('Mapa de Riesgos'!$Y$35="Baja",'Mapa de Riesgos'!$AA$35="Catastrófico"),CONCATENATE("R4C",'Mapa de Riesgos'!$O$35),"")</f>
        <v/>
      </c>
      <c r="AJ39" s="56" t="str">
        <f>IF(AND('Mapa de Riesgos'!$Y$36="Baja",'Mapa de Riesgos'!$AA$36="Catastrófico"),CONCATENATE("R4C",'Mapa de Riesgos'!$O$36),"")</f>
        <v/>
      </c>
      <c r="AK39" s="56" t="str">
        <f>IF(AND('Mapa de Riesgos'!$Y$37="Baja",'Mapa de Riesgos'!$AA$37="Catastrófico"),CONCATENATE("R4C",'Mapa de Riesgos'!$O$37),"")</f>
        <v/>
      </c>
      <c r="AL39" s="56" t="str">
        <f>IF(AND('Mapa de Riesgos'!$Y$39="Baja",'Mapa de Riesgos'!$AA$39="Catastrófico"),CONCATENATE("R4C",'Mapa de Riesgos'!$O$39),"")</f>
        <v/>
      </c>
      <c r="AM39" s="57" t="str">
        <f>IF(AND('Mapa de Riesgos'!$Y$40="Baja",'Mapa de Riesgos'!$AA$40="Catastrófico"),CONCATENATE("R4C",'Mapa de Riesgos'!$O$40),"")</f>
        <v/>
      </c>
      <c r="AN39" s="83"/>
      <c r="AO39" s="608"/>
      <c r="AP39" s="609"/>
      <c r="AQ39" s="609"/>
      <c r="AR39" s="609"/>
      <c r="AS39" s="609"/>
      <c r="AT39" s="61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9"/>
      <c r="C40" s="489"/>
      <c r="D40" s="490"/>
      <c r="E40" s="588"/>
      <c r="F40" s="587"/>
      <c r="G40" s="587"/>
      <c r="H40" s="587"/>
      <c r="I40" s="587"/>
      <c r="J40" s="76" t="str">
        <f>IF(AND('Mapa de Riesgos'!$Y$41="Baja",'Mapa de Riesgos'!$AA$41="Leve"),CONCATENATE("R5C",'Mapa de Riesgos'!$O$41),"")</f>
        <v/>
      </c>
      <c r="K40" s="77" t="str">
        <f>IF(AND('Mapa de Riesgos'!$Y$42="Baja",'Mapa de Riesgos'!$AA$42="Leve"),CONCATENATE("R5C",'Mapa de Riesgos'!$O$42),"")</f>
        <v/>
      </c>
      <c r="L40" s="77" t="str">
        <f>IF(AND('Mapa de Riesgos'!$Y$43="Baja",'Mapa de Riesgos'!$AA$43="Leve"),CONCATENATE("R5C",'Mapa de Riesgos'!$O$43),"")</f>
        <v/>
      </c>
      <c r="M40" s="77" t="str">
        <f>IF(AND('Mapa de Riesgos'!$Y$44="Baja",'Mapa de Riesgos'!$AA$44="Leve"),CONCATENATE("R5C",'Mapa de Riesgos'!$O$44),"")</f>
        <v/>
      </c>
      <c r="N40" s="77" t="str">
        <f>IF(AND('Mapa de Riesgos'!$Y$45="Baja",'Mapa de Riesgos'!$AA$45="Leve"),CONCATENATE("R5C",'Mapa de Riesgos'!$O$45),"")</f>
        <v/>
      </c>
      <c r="O40" s="78" t="str">
        <f>IF(AND('Mapa de Riesgos'!$Y$47="Baja",'Mapa de Riesgos'!$AA$47="Leve"),CONCATENATE("R5C",'Mapa de Riesgos'!$O$47),"")</f>
        <v/>
      </c>
      <c r="P40" s="67" t="str">
        <f>IF(AND('Mapa de Riesgos'!$Y$41="Baja",'Mapa de Riesgos'!$AA$41="Menor"),CONCATENATE("R5C",'Mapa de Riesgos'!$O$41),"")</f>
        <v/>
      </c>
      <c r="Q40" s="68" t="str">
        <f>IF(AND('Mapa de Riesgos'!$Y$42="Baja",'Mapa de Riesgos'!$AA$42="Menor"),CONCATENATE("R5C",'Mapa de Riesgos'!$O$42),"")</f>
        <v/>
      </c>
      <c r="R40" s="68" t="str">
        <f>IF(AND('Mapa de Riesgos'!$Y$43="Baja",'Mapa de Riesgos'!$AA$43="Menor"),CONCATENATE("R5C",'Mapa de Riesgos'!$O$43),"")</f>
        <v/>
      </c>
      <c r="S40" s="68" t="str">
        <f>IF(AND('Mapa de Riesgos'!$Y$44="Baja",'Mapa de Riesgos'!$AA$44="Menor"),CONCATENATE("R5C",'Mapa de Riesgos'!$O$44),"")</f>
        <v/>
      </c>
      <c r="T40" s="68" t="str">
        <f>IF(AND('Mapa de Riesgos'!$Y$45="Baja",'Mapa de Riesgos'!$AA$45="Menor"),CONCATENATE("R5C",'Mapa de Riesgos'!$O$45),"")</f>
        <v/>
      </c>
      <c r="U40" s="69" t="str">
        <f>IF(AND('Mapa de Riesgos'!$Y$47="Baja",'Mapa de Riesgos'!$AA$47="Menor"),CONCATENATE("R5C",'Mapa de Riesgos'!$O$47),"")</f>
        <v/>
      </c>
      <c r="V40" s="67" t="str">
        <f>IF(AND('Mapa de Riesgos'!$Y$41="Baja",'Mapa de Riesgos'!$AA$41="Moderado"),CONCATENATE("R5C",'Mapa de Riesgos'!$O$41),"")</f>
        <v>R5C1</v>
      </c>
      <c r="W40" s="68" t="str">
        <f>IF(AND('Mapa de Riesgos'!$Y$42="Baja",'Mapa de Riesgos'!$AA$42="Moderado"),CONCATENATE("R5C",'Mapa de Riesgos'!$O$42),"")</f>
        <v/>
      </c>
      <c r="X40" s="68" t="str">
        <f>IF(AND('Mapa de Riesgos'!$Y$43="Baja",'Mapa de Riesgos'!$AA$43="Moderado"),CONCATENATE("R5C",'Mapa de Riesgos'!$O$43),"")</f>
        <v/>
      </c>
      <c r="Y40" s="68" t="str">
        <f>IF(AND('Mapa de Riesgos'!$Y$44="Baja",'Mapa de Riesgos'!$AA$44="Moderado"),CONCATENATE("R5C",'Mapa de Riesgos'!$O$44),"")</f>
        <v/>
      </c>
      <c r="Z40" s="68" t="str">
        <f>IF(AND('Mapa de Riesgos'!$Y$45="Baja",'Mapa de Riesgos'!$AA$45="Moderado"),CONCATENATE("R5C",'Mapa de Riesgos'!$O$45),"")</f>
        <v/>
      </c>
      <c r="AA40" s="69" t="str">
        <f>IF(AND('Mapa de Riesgos'!$Y$47="Baja",'Mapa de Riesgos'!$AA$47="Moderado"),CONCATENATE("R5C",'Mapa de Riesgos'!$O$47),"")</f>
        <v/>
      </c>
      <c r="AB40" s="52" t="str">
        <f>IF(AND('Mapa de Riesgos'!$Y$41="Baja",'Mapa de Riesgos'!$AA$41="Mayor"),CONCATENATE("R5C",'Mapa de Riesgos'!$O$41),"")</f>
        <v/>
      </c>
      <c r="AC40" s="53" t="str">
        <f>IF(AND('Mapa de Riesgos'!$Y$42="Baja",'Mapa de Riesgos'!$AA$42="Mayor"),CONCATENATE("R5C",'Mapa de Riesgos'!$O$42),"")</f>
        <v/>
      </c>
      <c r="AD40" s="53" t="str">
        <f>IF(AND('Mapa de Riesgos'!$Y$43="Baja",'Mapa de Riesgos'!$AA$43="Mayor"),CONCATENATE("R5C",'Mapa de Riesgos'!$O$43),"")</f>
        <v/>
      </c>
      <c r="AE40" s="53" t="str">
        <f>IF(AND('Mapa de Riesgos'!$Y$44="Baja",'Mapa de Riesgos'!$AA$44="Mayor"),CONCATENATE("R5C",'Mapa de Riesgos'!$O$44),"")</f>
        <v/>
      </c>
      <c r="AF40" s="53" t="str">
        <f>IF(AND('Mapa de Riesgos'!$Y$45="Baja",'Mapa de Riesgos'!$AA$45="Mayor"),CONCATENATE("R5C",'Mapa de Riesgos'!$O$45),"")</f>
        <v/>
      </c>
      <c r="AG40" s="54" t="str">
        <f>IF(AND('Mapa de Riesgos'!$Y$47="Baja",'Mapa de Riesgos'!$AA$47="Mayor"),CONCATENATE("R5C",'Mapa de Riesgos'!$O$47),"")</f>
        <v/>
      </c>
      <c r="AH40" s="55" t="str">
        <f>IF(AND('Mapa de Riesgos'!$Y$41="Baja",'Mapa de Riesgos'!$AA$41="Catastrófico"),CONCATENATE("R5C",'Mapa de Riesgos'!$O$41),"")</f>
        <v/>
      </c>
      <c r="AI40" s="56" t="str">
        <f>IF(AND('Mapa de Riesgos'!$Y$42="Baja",'Mapa de Riesgos'!$AA$42="Catastrófico"),CONCATENATE("R5C",'Mapa de Riesgos'!$O$42),"")</f>
        <v/>
      </c>
      <c r="AJ40" s="56" t="str">
        <f>IF(AND('Mapa de Riesgos'!$Y$43="Baja",'Mapa de Riesgos'!$AA$43="Catastrófico"),CONCATENATE("R5C",'Mapa de Riesgos'!$O$43),"")</f>
        <v/>
      </c>
      <c r="AK40" s="56" t="str">
        <f>IF(AND('Mapa de Riesgos'!$Y$44="Baja",'Mapa de Riesgos'!$AA$44="Catastrófico"),CONCATENATE("R5C",'Mapa de Riesgos'!$O$44),"")</f>
        <v/>
      </c>
      <c r="AL40" s="56" t="str">
        <f>IF(AND('Mapa de Riesgos'!$Y$45="Baja",'Mapa de Riesgos'!$AA$45="Catastrófico"),CONCATENATE("R5C",'Mapa de Riesgos'!$O$45),"")</f>
        <v/>
      </c>
      <c r="AM40" s="57" t="str">
        <f>IF(AND('Mapa de Riesgos'!$Y$47="Baja",'Mapa de Riesgos'!$AA$47="Catastrófico"),CONCATENATE("R5C",'Mapa de Riesgos'!$O$47),"")</f>
        <v/>
      </c>
      <c r="AN40" s="83"/>
      <c r="AO40" s="608"/>
      <c r="AP40" s="609"/>
      <c r="AQ40" s="609"/>
      <c r="AR40" s="609"/>
      <c r="AS40" s="609"/>
      <c r="AT40" s="61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9"/>
      <c r="C41" s="489"/>
      <c r="D41" s="490"/>
      <c r="E41" s="588"/>
      <c r="F41" s="587"/>
      <c r="G41" s="587"/>
      <c r="H41" s="587"/>
      <c r="I41" s="587"/>
      <c r="J41" s="76" t="str">
        <f>IF(AND('Mapa de Riesgos'!$Y$48="Baja",'Mapa de Riesgos'!$AA$48="Leve"),CONCATENATE("R6C",'Mapa de Riesgos'!$O$48),"")</f>
        <v/>
      </c>
      <c r="K41" s="77" t="str">
        <f>IF(AND('Mapa de Riesgos'!$Y$49="Baja",'Mapa de Riesgos'!$AA$49="Leve"),CONCATENATE("R6C",'Mapa de Riesgos'!$O$49),"")</f>
        <v/>
      </c>
      <c r="L41" s="77" t="str">
        <f>IF(AND('Mapa de Riesgos'!$Y$50="Baja",'Mapa de Riesgos'!$AA$50="Leve"),CONCATENATE("R6C",'Mapa de Riesgos'!$O$50),"")</f>
        <v/>
      </c>
      <c r="M41" s="77" t="str">
        <f>IF(AND('Mapa de Riesgos'!$Y$51="Baja",'Mapa de Riesgos'!$AA$51="Leve"),CONCATENATE("R6C",'Mapa de Riesgos'!$O$51),"")</f>
        <v/>
      </c>
      <c r="N41" s="77" t="str">
        <f>IF(AND('Mapa de Riesgos'!$Y$52="Baja",'Mapa de Riesgos'!$AA$52="Leve"),CONCATENATE("R6C",'Mapa de Riesgos'!$O$52),"")</f>
        <v/>
      </c>
      <c r="O41" s="78" t="str">
        <f>IF(AND('Mapa de Riesgos'!$Y$53="Baja",'Mapa de Riesgos'!$AA$53="Leve"),CONCATENATE("R6C",'Mapa de Riesgos'!$O$53),"")</f>
        <v/>
      </c>
      <c r="P41" s="67" t="str">
        <f>IF(AND('Mapa de Riesgos'!$Y$48="Baja",'Mapa de Riesgos'!$AA$48="Menor"),CONCATENATE("R6C",'Mapa de Riesgos'!$O$48),"")</f>
        <v/>
      </c>
      <c r="Q41" s="68" t="str">
        <f>IF(AND('Mapa de Riesgos'!$Y$49="Baja",'Mapa de Riesgos'!$AA$49="Menor"),CONCATENATE("R6C",'Mapa de Riesgos'!$O$49),"")</f>
        <v/>
      </c>
      <c r="R41" s="68" t="str">
        <f>IF(AND('Mapa de Riesgos'!$Y$50="Baja",'Mapa de Riesgos'!$AA$50="Menor"),CONCATENATE("R6C",'Mapa de Riesgos'!$O$50),"")</f>
        <v/>
      </c>
      <c r="S41" s="68" t="str">
        <f>IF(AND('Mapa de Riesgos'!$Y$51="Baja",'Mapa de Riesgos'!$AA$51="Menor"),CONCATENATE("R6C",'Mapa de Riesgos'!$O$51),"")</f>
        <v/>
      </c>
      <c r="T41" s="68" t="str">
        <f>IF(AND('Mapa de Riesgos'!$Y$52="Baja",'Mapa de Riesgos'!$AA$52="Menor"),CONCATENATE("R6C",'Mapa de Riesgos'!$O$52),"")</f>
        <v/>
      </c>
      <c r="U41" s="69" t="str">
        <f>IF(AND('Mapa de Riesgos'!$Y$53="Baja",'Mapa de Riesgos'!$AA$53="Menor"),CONCATENATE("R6C",'Mapa de Riesgos'!$O$53),"")</f>
        <v/>
      </c>
      <c r="V41" s="67" t="str">
        <f>IF(AND('Mapa de Riesgos'!$Y$48="Baja",'Mapa de Riesgos'!$AA$48="Moderado"),CONCATENATE("R6C",'Mapa de Riesgos'!$O$48),"")</f>
        <v>R6C1</v>
      </c>
      <c r="W41" s="68" t="str">
        <f>IF(AND('Mapa de Riesgos'!$Y$49="Baja",'Mapa de Riesgos'!$AA$49="Moderado"),CONCATENATE("R6C",'Mapa de Riesgos'!$O$49),"")</f>
        <v>R6C2</v>
      </c>
      <c r="X41" s="68" t="str">
        <f>IF(AND('Mapa de Riesgos'!$Y$50="Baja",'Mapa de Riesgos'!$AA$50="Moderado"),CONCATENATE("R6C",'Mapa de Riesgos'!$O$50),"")</f>
        <v/>
      </c>
      <c r="Y41" s="68" t="str">
        <f>IF(AND('Mapa de Riesgos'!$Y$51="Baja",'Mapa de Riesgos'!$AA$51="Moderado"),CONCATENATE("R6C",'Mapa de Riesgos'!$O$51),"")</f>
        <v/>
      </c>
      <c r="Z41" s="68" t="str">
        <f>IF(AND('Mapa de Riesgos'!$Y$52="Baja",'Mapa de Riesgos'!$AA$52="Moderado"),CONCATENATE("R6C",'Mapa de Riesgos'!$O$52),"")</f>
        <v/>
      </c>
      <c r="AA41" s="69" t="str">
        <f>IF(AND('Mapa de Riesgos'!$Y$53="Baja",'Mapa de Riesgos'!$AA$53="Moderado"),CONCATENATE("R6C",'Mapa de Riesgos'!$O$53),"")</f>
        <v/>
      </c>
      <c r="AB41" s="52" t="str">
        <f>IF(AND('Mapa de Riesgos'!$Y$48="Baja",'Mapa de Riesgos'!$AA$48="Mayor"),CONCATENATE("R6C",'Mapa de Riesgos'!$O$48),"")</f>
        <v/>
      </c>
      <c r="AC41" s="53" t="str">
        <f>IF(AND('Mapa de Riesgos'!$Y$49="Baja",'Mapa de Riesgos'!$AA$49="Mayor"),CONCATENATE("R6C",'Mapa de Riesgos'!$O$49),"")</f>
        <v/>
      </c>
      <c r="AD41" s="53" t="str">
        <f>IF(AND('Mapa de Riesgos'!$Y$50="Baja",'Mapa de Riesgos'!$AA$50="Mayor"),CONCATENATE("R6C",'Mapa de Riesgos'!$O$50),"")</f>
        <v/>
      </c>
      <c r="AE41" s="53" t="str">
        <f>IF(AND('Mapa de Riesgos'!$Y$51="Baja",'Mapa de Riesgos'!$AA$51="Mayor"),CONCATENATE("R6C",'Mapa de Riesgos'!$O$51),"")</f>
        <v/>
      </c>
      <c r="AF41" s="53" t="str">
        <f>IF(AND('Mapa de Riesgos'!$Y$52="Baja",'Mapa de Riesgos'!$AA$52="Mayor"),CONCATENATE("R6C",'Mapa de Riesgos'!$O$52),"")</f>
        <v/>
      </c>
      <c r="AG41" s="54" t="str">
        <f>IF(AND('Mapa de Riesgos'!$Y$53="Baja",'Mapa de Riesgos'!$AA$53="Mayor"),CONCATENATE("R6C",'Mapa de Riesgos'!$O$53),"")</f>
        <v/>
      </c>
      <c r="AH41" s="55" t="str">
        <f>IF(AND('Mapa de Riesgos'!$Y$48="Baja",'Mapa de Riesgos'!$AA$48="Catastrófico"),CONCATENATE("R6C",'Mapa de Riesgos'!$O$48),"")</f>
        <v/>
      </c>
      <c r="AI41" s="56" t="str">
        <f>IF(AND('Mapa de Riesgos'!$Y$49="Baja",'Mapa de Riesgos'!$AA$49="Catastrófico"),CONCATENATE("R6C",'Mapa de Riesgos'!$O$49),"")</f>
        <v/>
      </c>
      <c r="AJ41" s="56" t="str">
        <f>IF(AND('Mapa de Riesgos'!$Y$50="Baja",'Mapa de Riesgos'!$AA$50="Catastrófico"),CONCATENATE("R6C",'Mapa de Riesgos'!$O$50),"")</f>
        <v/>
      </c>
      <c r="AK41" s="56" t="str">
        <f>IF(AND('Mapa de Riesgos'!$Y$51="Baja",'Mapa de Riesgos'!$AA$51="Catastrófico"),CONCATENATE("R6C",'Mapa de Riesgos'!$O$51),"")</f>
        <v/>
      </c>
      <c r="AL41" s="56" t="str">
        <f>IF(AND('Mapa de Riesgos'!$Y$52="Baja",'Mapa de Riesgos'!$AA$52="Catastrófico"),CONCATENATE("R6C",'Mapa de Riesgos'!$O$52),"")</f>
        <v/>
      </c>
      <c r="AM41" s="57" t="str">
        <f>IF(AND('Mapa de Riesgos'!$Y$53="Baja",'Mapa de Riesgos'!$AA$53="Catastrófico"),CONCATENATE("R6C",'Mapa de Riesgos'!$O$53),"")</f>
        <v/>
      </c>
      <c r="AN41" s="83"/>
      <c r="AO41" s="608"/>
      <c r="AP41" s="609"/>
      <c r="AQ41" s="609"/>
      <c r="AR41" s="609"/>
      <c r="AS41" s="609"/>
      <c r="AT41" s="61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9"/>
      <c r="C42" s="489"/>
      <c r="D42" s="490"/>
      <c r="E42" s="588"/>
      <c r="F42" s="587"/>
      <c r="G42" s="587"/>
      <c r="H42" s="587"/>
      <c r="I42" s="587"/>
      <c r="J42" s="76" t="str">
        <f>IF(AND('Mapa de Riesgos'!$Y$54="Baja",'Mapa de Riesgos'!$AA$54="Leve"),CONCATENATE("R7C",'Mapa de Riesgos'!$O$54),"")</f>
        <v/>
      </c>
      <c r="K42" s="77" t="str">
        <f>IF(AND('Mapa de Riesgos'!$Y$55="Baja",'Mapa de Riesgos'!$AA$55="Leve"),CONCATENATE("R7C",'Mapa de Riesgos'!$O$55),"")</f>
        <v/>
      </c>
      <c r="L42" s="77" t="str">
        <f>IF(AND('Mapa de Riesgos'!$Y$56="Baja",'Mapa de Riesgos'!$AA$56="Leve"),CONCATENATE("R7C",'Mapa de Riesgos'!$O$56),"")</f>
        <v/>
      </c>
      <c r="M42" s="77" t="str">
        <f>IF(AND('Mapa de Riesgos'!$Y$57="Baja",'Mapa de Riesgos'!$AA$57="Leve"),CONCATENATE("R7C",'Mapa de Riesgos'!$O$57),"")</f>
        <v/>
      </c>
      <c r="N42" s="77" t="str">
        <f>IF(AND('Mapa de Riesgos'!$Y$58="Baja",'Mapa de Riesgos'!$AA$58="Leve"),CONCATENATE("R7C",'Mapa de Riesgos'!$O$58),"")</f>
        <v/>
      </c>
      <c r="O42" s="78" t="str">
        <f>IF(AND('Mapa de Riesgos'!$Y$59="Baja",'Mapa de Riesgos'!$AA$59="Leve"),CONCATENATE("R7C",'Mapa de Riesgos'!$O$59),"")</f>
        <v/>
      </c>
      <c r="P42" s="67" t="str">
        <f>IF(AND('Mapa de Riesgos'!$Y$54="Baja",'Mapa de Riesgos'!$AA$54="Menor"),CONCATENATE("R7C",'Mapa de Riesgos'!$O$54),"")</f>
        <v/>
      </c>
      <c r="Q42" s="68" t="str">
        <f>IF(AND('Mapa de Riesgos'!$Y$55="Baja",'Mapa de Riesgos'!$AA$55="Menor"),CONCATENATE("R7C",'Mapa de Riesgos'!$O$55),"")</f>
        <v/>
      </c>
      <c r="R42" s="68" t="str">
        <f>IF(AND('Mapa de Riesgos'!$Y$56="Baja",'Mapa de Riesgos'!$AA$56="Menor"),CONCATENATE("R7C",'Mapa de Riesgos'!$O$56),"")</f>
        <v/>
      </c>
      <c r="S42" s="68" t="str">
        <f>IF(AND('Mapa de Riesgos'!$Y$57="Baja",'Mapa de Riesgos'!$AA$57="Menor"),CONCATENATE("R7C",'Mapa de Riesgos'!$O$57),"")</f>
        <v/>
      </c>
      <c r="T42" s="68" t="str">
        <f>IF(AND('Mapa de Riesgos'!$Y$58="Baja",'Mapa de Riesgos'!$AA$58="Menor"),CONCATENATE("R7C",'Mapa de Riesgos'!$O$58),"")</f>
        <v/>
      </c>
      <c r="U42" s="69" t="str">
        <f>IF(AND('Mapa de Riesgos'!$Y$59="Baja",'Mapa de Riesgos'!$AA$59="Menor"),CONCATENATE("R7C",'Mapa de Riesgos'!$O$59),"")</f>
        <v/>
      </c>
      <c r="V42" s="67" t="str">
        <f>IF(AND('Mapa de Riesgos'!$Y$54="Baja",'Mapa de Riesgos'!$AA$54="Moderado"),CONCATENATE("R7C",'Mapa de Riesgos'!$O$54),"")</f>
        <v>R7C1</v>
      </c>
      <c r="W42" s="68" t="str">
        <f>IF(AND('Mapa de Riesgos'!$Y$55="Baja",'Mapa de Riesgos'!$AA$55="Moderado"),CONCATENATE("R7C",'Mapa de Riesgos'!$O$55),"")</f>
        <v/>
      </c>
      <c r="X42" s="68" t="str">
        <f>IF(AND('Mapa de Riesgos'!$Y$56="Baja",'Mapa de Riesgos'!$AA$56="Moderado"),CONCATENATE("R7C",'Mapa de Riesgos'!$O$56),"")</f>
        <v/>
      </c>
      <c r="Y42" s="68" t="str">
        <f>IF(AND('Mapa de Riesgos'!$Y$57="Baja",'Mapa de Riesgos'!$AA$57="Moderado"),CONCATENATE("R7C",'Mapa de Riesgos'!$O$57),"")</f>
        <v/>
      </c>
      <c r="Z42" s="68" t="str">
        <f>IF(AND('Mapa de Riesgos'!$Y$58="Baja",'Mapa de Riesgos'!$AA$58="Moderado"),CONCATENATE("R7C",'Mapa de Riesgos'!$O$58),"")</f>
        <v/>
      </c>
      <c r="AA42" s="69" t="str">
        <f>IF(AND('Mapa de Riesgos'!$Y$59="Baja",'Mapa de Riesgos'!$AA$59="Moderado"),CONCATENATE("R7C",'Mapa de Riesgos'!$O$59),"")</f>
        <v/>
      </c>
      <c r="AB42" s="52" t="str">
        <f>IF(AND('Mapa de Riesgos'!$Y$54="Baja",'Mapa de Riesgos'!$AA$54="Mayor"),CONCATENATE("R7C",'Mapa de Riesgos'!$O$54),"")</f>
        <v/>
      </c>
      <c r="AC42" s="53" t="str">
        <f>IF(AND('Mapa de Riesgos'!$Y$55="Baja",'Mapa de Riesgos'!$AA$55="Mayor"),CONCATENATE("R7C",'Mapa de Riesgos'!$O$55),"")</f>
        <v/>
      </c>
      <c r="AD42" s="53" t="str">
        <f>IF(AND('Mapa de Riesgos'!$Y$56="Baja",'Mapa de Riesgos'!$AA$56="Mayor"),CONCATENATE("R7C",'Mapa de Riesgos'!$O$56),"")</f>
        <v/>
      </c>
      <c r="AE42" s="53" t="str">
        <f>IF(AND('Mapa de Riesgos'!$Y$57="Baja",'Mapa de Riesgos'!$AA$57="Mayor"),CONCATENATE("R7C",'Mapa de Riesgos'!$O$57),"")</f>
        <v/>
      </c>
      <c r="AF42" s="53" t="str">
        <f>IF(AND('Mapa de Riesgos'!$Y$58="Baja",'Mapa de Riesgos'!$AA$58="Mayor"),CONCATENATE("R7C",'Mapa de Riesgos'!$O$58),"")</f>
        <v/>
      </c>
      <c r="AG42" s="54" t="str">
        <f>IF(AND('Mapa de Riesgos'!$Y$59="Baja",'Mapa de Riesgos'!$AA$59="Mayor"),CONCATENATE("R7C",'Mapa de Riesgos'!$O$59),"")</f>
        <v/>
      </c>
      <c r="AH42" s="55" t="str">
        <f>IF(AND('Mapa de Riesgos'!$Y$54="Baja",'Mapa de Riesgos'!$AA$54="Catastrófico"),CONCATENATE("R7C",'Mapa de Riesgos'!$O$54),"")</f>
        <v/>
      </c>
      <c r="AI42" s="56" t="str">
        <f>IF(AND('Mapa de Riesgos'!$Y$55="Baja",'Mapa de Riesgos'!$AA$55="Catastrófico"),CONCATENATE("R7C",'Mapa de Riesgos'!$O$55),"")</f>
        <v/>
      </c>
      <c r="AJ42" s="56" t="str">
        <f>IF(AND('Mapa de Riesgos'!$Y$56="Baja",'Mapa de Riesgos'!$AA$56="Catastrófico"),CONCATENATE("R7C",'Mapa de Riesgos'!$O$56),"")</f>
        <v/>
      </c>
      <c r="AK42" s="56" t="str">
        <f>IF(AND('Mapa de Riesgos'!$Y$57="Baja",'Mapa de Riesgos'!$AA$57="Catastrófico"),CONCATENATE("R7C",'Mapa de Riesgos'!$O$57),"")</f>
        <v/>
      </c>
      <c r="AL42" s="56" t="str">
        <f>IF(AND('Mapa de Riesgos'!$Y$58="Baja",'Mapa de Riesgos'!$AA$58="Catastrófico"),CONCATENATE("R7C",'Mapa de Riesgos'!$O$58),"")</f>
        <v/>
      </c>
      <c r="AM42" s="57" t="str">
        <f>IF(AND('Mapa de Riesgos'!$Y$59="Baja",'Mapa de Riesgos'!$AA$59="Catastrófico"),CONCATENATE("R7C",'Mapa de Riesgos'!$O$59),"")</f>
        <v/>
      </c>
      <c r="AN42" s="83"/>
      <c r="AO42" s="608"/>
      <c r="AP42" s="609"/>
      <c r="AQ42" s="609"/>
      <c r="AR42" s="609"/>
      <c r="AS42" s="609"/>
      <c r="AT42" s="61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9"/>
      <c r="C43" s="489"/>
      <c r="D43" s="490"/>
      <c r="E43" s="588"/>
      <c r="F43" s="587"/>
      <c r="G43" s="587"/>
      <c r="H43" s="587"/>
      <c r="I43" s="587"/>
      <c r="J43" s="76" t="str">
        <f>IF(AND('Mapa de Riesgos'!$Y$60="Baja",'Mapa de Riesgos'!$AA$60="Leve"),CONCATENATE("R8C",'Mapa de Riesgos'!$O$60),"")</f>
        <v/>
      </c>
      <c r="K43" s="77" t="str">
        <f>IF(AND('Mapa de Riesgos'!$Y$61="Baja",'Mapa de Riesgos'!$AA$61="Leve"),CONCATENATE("R8C",'Mapa de Riesgos'!$O$61),"")</f>
        <v/>
      </c>
      <c r="L43" s="77" t="str">
        <f>IF(AND('Mapa de Riesgos'!$Y$62="Baja",'Mapa de Riesgos'!$AA$62="Leve"),CONCATENATE("R8C",'Mapa de Riesgos'!$O$62),"")</f>
        <v/>
      </c>
      <c r="M43" s="77" t="str">
        <f>IF(AND('Mapa de Riesgos'!$Y$63="Baja",'Mapa de Riesgos'!$AA$63="Leve"),CONCATENATE("R8C",'Mapa de Riesgos'!$O$63),"")</f>
        <v/>
      </c>
      <c r="N43" s="77" t="str">
        <f>IF(AND('Mapa de Riesgos'!$Y$64="Baja",'Mapa de Riesgos'!$AA$64="Leve"),CONCATENATE("R8C",'Mapa de Riesgos'!$O$64),"")</f>
        <v/>
      </c>
      <c r="O43" s="78" t="str">
        <f>IF(AND('Mapa de Riesgos'!$Y$65="Baja",'Mapa de Riesgos'!$AA$65="Leve"),CONCATENATE("R8C",'Mapa de Riesgos'!$O$65),"")</f>
        <v/>
      </c>
      <c r="P43" s="67" t="str">
        <f>IF(AND('Mapa de Riesgos'!$Y$60="Baja",'Mapa de Riesgos'!$AA$60="Menor"),CONCATENATE("R8C",'Mapa de Riesgos'!$O$60),"")</f>
        <v/>
      </c>
      <c r="Q43" s="68" t="str">
        <f>IF(AND('Mapa de Riesgos'!$Y$61="Baja",'Mapa de Riesgos'!$AA$61="Menor"),CONCATENATE("R8C",'Mapa de Riesgos'!$O$61),"")</f>
        <v/>
      </c>
      <c r="R43" s="68" t="str">
        <f>IF(AND('Mapa de Riesgos'!$Y$62="Baja",'Mapa de Riesgos'!$AA$62="Menor"),CONCATENATE("R8C",'Mapa de Riesgos'!$O$62),"")</f>
        <v/>
      </c>
      <c r="S43" s="68" t="str">
        <f>IF(AND('Mapa de Riesgos'!$Y$63="Baja",'Mapa de Riesgos'!$AA$63="Menor"),CONCATENATE("R8C",'Mapa de Riesgos'!$O$63),"")</f>
        <v/>
      </c>
      <c r="T43" s="68" t="str">
        <f>IF(AND('Mapa de Riesgos'!$Y$64="Baja",'Mapa de Riesgos'!$AA$64="Menor"),CONCATENATE("R8C",'Mapa de Riesgos'!$O$64),"")</f>
        <v/>
      </c>
      <c r="U43" s="69" t="str">
        <f>IF(AND('Mapa de Riesgos'!$Y$65="Baja",'Mapa de Riesgos'!$AA$65="Menor"),CONCATENATE("R8C",'Mapa de Riesgos'!$O$65),"")</f>
        <v/>
      </c>
      <c r="V43" s="67" t="str">
        <f>IF(AND('Mapa de Riesgos'!$Y$60="Baja",'Mapa de Riesgos'!$AA$60="Moderado"),CONCATENATE("R8C",'Mapa de Riesgos'!$O$60),"")</f>
        <v/>
      </c>
      <c r="W43" s="68" t="str">
        <f>IF(AND('Mapa de Riesgos'!$Y$61="Baja",'Mapa de Riesgos'!$AA$61="Moderado"),CONCATENATE("R8C",'Mapa de Riesgos'!$O$61),"")</f>
        <v/>
      </c>
      <c r="X43" s="68" t="str">
        <f>IF(AND('Mapa de Riesgos'!$Y$62="Baja",'Mapa de Riesgos'!$AA$62="Moderado"),CONCATENATE("R8C",'Mapa de Riesgos'!$O$62),"")</f>
        <v/>
      </c>
      <c r="Y43" s="68" t="str">
        <f>IF(AND('Mapa de Riesgos'!$Y$63="Baja",'Mapa de Riesgos'!$AA$63="Moderado"),CONCATENATE("R8C",'Mapa de Riesgos'!$O$63),"")</f>
        <v/>
      </c>
      <c r="Z43" s="68" t="str">
        <f>IF(AND('Mapa de Riesgos'!$Y$64="Baja",'Mapa de Riesgos'!$AA$64="Moderado"),CONCATENATE("R8C",'Mapa de Riesgos'!$O$64),"")</f>
        <v/>
      </c>
      <c r="AA43" s="69" t="str">
        <f>IF(AND('Mapa de Riesgos'!$Y$65="Baja",'Mapa de Riesgos'!$AA$65="Moderado"),CONCATENATE("R8C",'Mapa de Riesgos'!$O$65),"")</f>
        <v/>
      </c>
      <c r="AB43" s="52" t="str">
        <f>IF(AND('Mapa de Riesgos'!$Y$60="Baja",'Mapa de Riesgos'!$AA$60="Mayor"),CONCATENATE("R8C",'Mapa de Riesgos'!$O$60),"")</f>
        <v/>
      </c>
      <c r="AC43" s="53" t="str">
        <f>IF(AND('Mapa de Riesgos'!$Y$61="Baja",'Mapa de Riesgos'!$AA$61="Mayor"),CONCATENATE("R8C",'Mapa de Riesgos'!$O$61),"")</f>
        <v/>
      </c>
      <c r="AD43" s="53" t="str">
        <f>IF(AND('Mapa de Riesgos'!$Y$62="Baja",'Mapa de Riesgos'!$AA$62="Mayor"),CONCATENATE("R8C",'Mapa de Riesgos'!$O$62),"")</f>
        <v/>
      </c>
      <c r="AE43" s="53" t="str">
        <f>IF(AND('Mapa de Riesgos'!$Y$63="Baja",'Mapa de Riesgos'!$AA$63="Mayor"),CONCATENATE("R8C",'Mapa de Riesgos'!$O$63),"")</f>
        <v/>
      </c>
      <c r="AF43" s="53" t="str">
        <f>IF(AND('Mapa de Riesgos'!$Y$64="Baja",'Mapa de Riesgos'!$AA$64="Mayor"),CONCATENATE("R8C",'Mapa de Riesgos'!$O$64),"")</f>
        <v/>
      </c>
      <c r="AG43" s="54" t="str">
        <f>IF(AND('Mapa de Riesgos'!$Y$65="Baja",'Mapa de Riesgos'!$AA$65="Mayor"),CONCATENATE("R8C",'Mapa de Riesgos'!$O$65),"")</f>
        <v/>
      </c>
      <c r="AH43" s="55" t="str">
        <f>IF(AND('Mapa de Riesgos'!$Y$60="Baja",'Mapa de Riesgos'!$AA$60="Catastrófico"),CONCATENATE("R8C",'Mapa de Riesgos'!$O$60),"")</f>
        <v/>
      </c>
      <c r="AI43" s="56" t="str">
        <f>IF(AND('Mapa de Riesgos'!$Y$61="Baja",'Mapa de Riesgos'!$AA$61="Catastrófico"),CONCATENATE("R8C",'Mapa de Riesgos'!$O$61),"")</f>
        <v/>
      </c>
      <c r="AJ43" s="56" t="str">
        <f>IF(AND('Mapa de Riesgos'!$Y$62="Baja",'Mapa de Riesgos'!$AA$62="Catastrófico"),CONCATENATE("R8C",'Mapa de Riesgos'!$O$62),"")</f>
        <v/>
      </c>
      <c r="AK43" s="56" t="str">
        <f>IF(AND('Mapa de Riesgos'!$Y$63="Baja",'Mapa de Riesgos'!$AA$63="Catastrófico"),CONCATENATE("R8C",'Mapa de Riesgos'!$O$63),"")</f>
        <v/>
      </c>
      <c r="AL43" s="56" t="str">
        <f>IF(AND('Mapa de Riesgos'!$Y$64="Baja",'Mapa de Riesgos'!$AA$64="Catastrófico"),CONCATENATE("R8C",'Mapa de Riesgos'!$O$64),"")</f>
        <v/>
      </c>
      <c r="AM43" s="57" t="str">
        <f>IF(AND('Mapa de Riesgos'!$Y$65="Baja",'Mapa de Riesgos'!$AA$65="Catastrófico"),CONCATENATE("R8C",'Mapa de Riesgos'!$O$65),"")</f>
        <v/>
      </c>
      <c r="AN43" s="83"/>
      <c r="AO43" s="608"/>
      <c r="AP43" s="609"/>
      <c r="AQ43" s="609"/>
      <c r="AR43" s="609"/>
      <c r="AS43" s="609"/>
      <c r="AT43" s="61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9"/>
      <c r="C44" s="489"/>
      <c r="D44" s="490"/>
      <c r="E44" s="588"/>
      <c r="F44" s="587"/>
      <c r="G44" s="587"/>
      <c r="H44" s="587"/>
      <c r="I44" s="587"/>
      <c r="J44" s="76" t="str">
        <f>IF(AND('Mapa de Riesgos'!$Y$66="Baja",'Mapa de Riesgos'!$AA$66="Leve"),CONCATENATE("R9C",'Mapa de Riesgos'!$O$66),"")</f>
        <v/>
      </c>
      <c r="K44" s="77" t="str">
        <f>IF(AND('Mapa de Riesgos'!$Y$67="Baja",'Mapa de Riesgos'!$AA$67="Leve"),CONCATENATE("R9C",'Mapa de Riesgos'!$O$67),"")</f>
        <v/>
      </c>
      <c r="L44" s="77" t="str">
        <f>IF(AND('Mapa de Riesgos'!$Y$68="Baja",'Mapa de Riesgos'!$AA$68="Leve"),CONCATENATE("R9C",'Mapa de Riesgos'!$O$68),"")</f>
        <v/>
      </c>
      <c r="M44" s="77" t="str">
        <f>IF(AND('Mapa de Riesgos'!$Y$69="Baja",'Mapa de Riesgos'!$AA$69="Leve"),CONCATENATE("R9C",'Mapa de Riesgos'!$O$69),"")</f>
        <v/>
      </c>
      <c r="N44" s="77" t="str">
        <f>IF(AND('Mapa de Riesgos'!$Y$70="Baja",'Mapa de Riesgos'!$AA$70="Leve"),CONCATENATE("R9C",'Mapa de Riesgos'!$O$70),"")</f>
        <v/>
      </c>
      <c r="O44" s="78" t="str">
        <f>IF(AND('Mapa de Riesgos'!$Y$71="Baja",'Mapa de Riesgos'!$AA$71="Leve"),CONCATENATE("R9C",'Mapa de Riesgos'!$O$71),"")</f>
        <v/>
      </c>
      <c r="P44" s="67" t="str">
        <f>IF(AND('Mapa de Riesgos'!$Y$66="Baja",'Mapa de Riesgos'!$AA$66="Menor"),CONCATENATE("R9C",'Mapa de Riesgos'!$O$66),"")</f>
        <v/>
      </c>
      <c r="Q44" s="68" t="str">
        <f>IF(AND('Mapa de Riesgos'!$Y$67="Baja",'Mapa de Riesgos'!$AA$67="Menor"),CONCATENATE("R9C",'Mapa de Riesgos'!$O$67),"")</f>
        <v/>
      </c>
      <c r="R44" s="68" t="str">
        <f>IF(AND('Mapa de Riesgos'!$Y$68="Baja",'Mapa de Riesgos'!$AA$68="Menor"),CONCATENATE("R9C",'Mapa de Riesgos'!$O$68),"")</f>
        <v/>
      </c>
      <c r="S44" s="68" t="str">
        <f>IF(AND('Mapa de Riesgos'!$Y$69="Baja",'Mapa de Riesgos'!$AA$69="Menor"),CONCATENATE("R9C",'Mapa de Riesgos'!$O$69),"")</f>
        <v/>
      </c>
      <c r="T44" s="68" t="str">
        <f>IF(AND('Mapa de Riesgos'!$Y$70="Baja",'Mapa de Riesgos'!$AA$70="Menor"),CONCATENATE("R9C",'Mapa de Riesgos'!$O$70),"")</f>
        <v/>
      </c>
      <c r="U44" s="69" t="str">
        <f>IF(AND('Mapa de Riesgos'!$Y$71="Baja",'Mapa de Riesgos'!$AA$71="Menor"),CONCATENATE("R9C",'Mapa de Riesgos'!$O$71),"")</f>
        <v/>
      </c>
      <c r="V44" s="67" t="str">
        <f>IF(AND('Mapa de Riesgos'!$Y$66="Baja",'Mapa de Riesgos'!$AA$66="Moderado"),CONCATENATE("R9C",'Mapa de Riesgos'!$O$66),"")</f>
        <v>R9C1</v>
      </c>
      <c r="W44" s="68" t="str">
        <f>IF(AND('Mapa de Riesgos'!$Y$67="Baja",'Mapa de Riesgos'!$AA$67="Moderado"),CONCATENATE("R9C",'Mapa de Riesgos'!$O$67),"")</f>
        <v/>
      </c>
      <c r="X44" s="68" t="str">
        <f>IF(AND('Mapa de Riesgos'!$Y$68="Baja",'Mapa de Riesgos'!$AA$68="Moderado"),CONCATENATE("R9C",'Mapa de Riesgos'!$O$68),"")</f>
        <v/>
      </c>
      <c r="Y44" s="68" t="str">
        <f>IF(AND('Mapa de Riesgos'!$Y$69="Baja",'Mapa de Riesgos'!$AA$69="Moderado"),CONCATENATE("R9C",'Mapa de Riesgos'!$O$69),"")</f>
        <v/>
      </c>
      <c r="Z44" s="68" t="str">
        <f>IF(AND('Mapa de Riesgos'!$Y$70="Baja",'Mapa de Riesgos'!$AA$70="Moderado"),CONCATENATE("R9C",'Mapa de Riesgos'!$O$70),"")</f>
        <v/>
      </c>
      <c r="AA44" s="69" t="str">
        <f>IF(AND('Mapa de Riesgos'!$Y$71="Baja",'Mapa de Riesgos'!$AA$71="Moderado"),CONCATENATE("R9C",'Mapa de Riesgos'!$O$71),"")</f>
        <v/>
      </c>
      <c r="AB44" s="52" t="str">
        <f>IF(AND('Mapa de Riesgos'!$Y$66="Baja",'Mapa de Riesgos'!$AA$66="Mayor"),CONCATENATE("R9C",'Mapa de Riesgos'!$O$66),"")</f>
        <v/>
      </c>
      <c r="AC44" s="53" t="str">
        <f>IF(AND('Mapa de Riesgos'!$Y$67="Baja",'Mapa de Riesgos'!$AA$67="Mayor"),CONCATENATE("R9C",'Mapa de Riesgos'!$O$67),"")</f>
        <v/>
      </c>
      <c r="AD44" s="53" t="str">
        <f>IF(AND('Mapa de Riesgos'!$Y$68="Baja",'Mapa de Riesgos'!$AA$68="Mayor"),CONCATENATE("R9C",'Mapa de Riesgos'!$O$68),"")</f>
        <v/>
      </c>
      <c r="AE44" s="53" t="str">
        <f>IF(AND('Mapa de Riesgos'!$Y$69="Baja",'Mapa de Riesgos'!$AA$69="Mayor"),CONCATENATE("R9C",'Mapa de Riesgos'!$O$69),"")</f>
        <v/>
      </c>
      <c r="AF44" s="53" t="str">
        <f>IF(AND('Mapa de Riesgos'!$Y$70="Baja",'Mapa de Riesgos'!$AA$70="Mayor"),CONCATENATE("R9C",'Mapa de Riesgos'!$O$70),"")</f>
        <v/>
      </c>
      <c r="AG44" s="54" t="str">
        <f>IF(AND('Mapa de Riesgos'!$Y$71="Baja",'Mapa de Riesgos'!$AA$71="Mayor"),CONCATENATE("R9C",'Mapa de Riesgos'!$O$71),"")</f>
        <v/>
      </c>
      <c r="AH44" s="55" t="str">
        <f>IF(AND('Mapa de Riesgos'!$Y$66="Baja",'Mapa de Riesgos'!$AA$66="Catastrófico"),CONCATENATE("R9C",'Mapa de Riesgos'!$O$66),"")</f>
        <v/>
      </c>
      <c r="AI44" s="56" t="str">
        <f>IF(AND('Mapa de Riesgos'!$Y$67="Baja",'Mapa de Riesgos'!$AA$67="Catastrófico"),CONCATENATE("R9C",'Mapa de Riesgos'!$O$67),"")</f>
        <v/>
      </c>
      <c r="AJ44" s="56" t="str">
        <f>IF(AND('Mapa de Riesgos'!$Y$68="Baja",'Mapa de Riesgos'!$AA$68="Catastrófico"),CONCATENATE("R9C",'Mapa de Riesgos'!$O$68),"")</f>
        <v/>
      </c>
      <c r="AK44" s="56" t="str">
        <f>IF(AND('Mapa de Riesgos'!$Y$69="Baja",'Mapa de Riesgos'!$AA$69="Catastrófico"),CONCATENATE("R9C",'Mapa de Riesgos'!$O$69),"")</f>
        <v/>
      </c>
      <c r="AL44" s="56" t="str">
        <f>IF(AND('Mapa de Riesgos'!$Y$70="Baja",'Mapa de Riesgos'!$AA$70="Catastrófico"),CONCATENATE("R9C",'Mapa de Riesgos'!$O$70),"")</f>
        <v/>
      </c>
      <c r="AM44" s="57" t="str">
        <f>IF(AND('Mapa de Riesgos'!$Y$71="Baja",'Mapa de Riesgos'!$AA$71="Catastrófico"),CONCATENATE("R9C",'Mapa de Riesgos'!$O$71),"")</f>
        <v/>
      </c>
      <c r="AN44" s="83"/>
      <c r="AO44" s="608"/>
      <c r="AP44" s="609"/>
      <c r="AQ44" s="609"/>
      <c r="AR44" s="609"/>
      <c r="AS44" s="609"/>
      <c r="AT44" s="61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9"/>
      <c r="C45" s="489"/>
      <c r="D45" s="490"/>
      <c r="E45" s="589"/>
      <c r="F45" s="590"/>
      <c r="G45" s="590"/>
      <c r="H45" s="590"/>
      <c r="I45" s="590"/>
      <c r="J45" s="79" t="str">
        <f>IF(AND('Mapa de Riesgos'!$Y$72="Baja",'Mapa de Riesgos'!$AA$72="Leve"),CONCATENATE("R10C",'Mapa de Riesgos'!$O$72),"")</f>
        <v/>
      </c>
      <c r="K45" s="80" t="str">
        <f>IF(AND('Mapa de Riesgos'!$Y$73="Baja",'Mapa de Riesgos'!$AA$73="Leve"),CONCATENATE("R10C",'Mapa de Riesgos'!$O$73),"")</f>
        <v/>
      </c>
      <c r="L45" s="80" t="str">
        <f>IF(AND('Mapa de Riesgos'!$Y$74="Baja",'Mapa de Riesgos'!$AA$74="Leve"),CONCATENATE("R10C",'Mapa de Riesgos'!$O$74),"")</f>
        <v/>
      </c>
      <c r="M45" s="80" t="str">
        <f>IF(AND('Mapa de Riesgos'!$Y$75="Baja",'Mapa de Riesgos'!$AA$75="Leve"),CONCATENATE("R10C",'Mapa de Riesgos'!$O$75),"")</f>
        <v/>
      </c>
      <c r="N45" s="80" t="str">
        <f>IF(AND('Mapa de Riesgos'!$Y$76="Baja",'Mapa de Riesgos'!$AA$76="Leve"),CONCATENATE("R10C",'Mapa de Riesgos'!$O$76),"")</f>
        <v/>
      </c>
      <c r="O45" s="81" t="str">
        <f>IF(AND('Mapa de Riesgos'!$Y$77="Baja",'Mapa de Riesgos'!$AA$77="Leve"),CONCATENATE("R10C",'Mapa de Riesgos'!$O$77),"")</f>
        <v/>
      </c>
      <c r="P45" s="67" t="str">
        <f>IF(AND('Mapa de Riesgos'!$Y$72="Baja",'Mapa de Riesgos'!$AA$72="Menor"),CONCATENATE("R10C",'Mapa de Riesgos'!$O$72),"")</f>
        <v/>
      </c>
      <c r="Q45" s="68" t="str">
        <f>IF(AND('Mapa de Riesgos'!$Y$73="Baja",'Mapa de Riesgos'!$AA$73="Menor"),CONCATENATE("R10C",'Mapa de Riesgos'!$O$73),"")</f>
        <v/>
      </c>
      <c r="R45" s="68" t="str">
        <f>IF(AND('Mapa de Riesgos'!$Y$74="Baja",'Mapa de Riesgos'!$AA$74="Menor"),CONCATENATE("R10C",'Mapa de Riesgos'!$O$74),"")</f>
        <v/>
      </c>
      <c r="S45" s="68" t="str">
        <f>IF(AND('Mapa de Riesgos'!$Y$75="Baja",'Mapa de Riesgos'!$AA$75="Menor"),CONCATENATE("R10C",'Mapa de Riesgos'!$O$75),"")</f>
        <v/>
      </c>
      <c r="T45" s="68" t="str">
        <f>IF(AND('Mapa de Riesgos'!$Y$76="Baja",'Mapa de Riesgos'!$AA$76="Menor"),CONCATENATE("R10C",'Mapa de Riesgos'!$O$76),"")</f>
        <v/>
      </c>
      <c r="U45" s="69" t="str">
        <f>IF(AND('Mapa de Riesgos'!$Y$77="Baja",'Mapa de Riesgos'!$AA$77="Menor"),CONCATENATE("R10C",'Mapa de Riesgos'!$O$77),"")</f>
        <v/>
      </c>
      <c r="V45" s="70" t="str">
        <f>IF(AND('Mapa de Riesgos'!$Y$72="Baja",'Mapa de Riesgos'!$AA$72="Moderado"),CONCATENATE("R10C",'Mapa de Riesgos'!$O$72),"")</f>
        <v>R10C1</v>
      </c>
      <c r="W45" s="71" t="str">
        <f>IF(AND('Mapa de Riesgos'!$Y$73="Baja",'Mapa de Riesgos'!$AA$73="Moderado"),CONCATENATE("R10C",'Mapa de Riesgos'!$O$73),"")</f>
        <v/>
      </c>
      <c r="X45" s="71" t="str">
        <f>IF(AND('Mapa de Riesgos'!$Y$74="Baja",'Mapa de Riesgos'!$AA$74="Moderado"),CONCATENATE("R10C",'Mapa de Riesgos'!$O$74),"")</f>
        <v/>
      </c>
      <c r="Y45" s="71" t="str">
        <f>IF(AND('Mapa de Riesgos'!$Y$75="Baja",'Mapa de Riesgos'!$AA$75="Moderado"),CONCATENATE("R10C",'Mapa de Riesgos'!$O$75),"")</f>
        <v/>
      </c>
      <c r="Z45" s="71" t="str">
        <f>IF(AND('Mapa de Riesgos'!$Y$76="Baja",'Mapa de Riesgos'!$AA$76="Moderado"),CONCATENATE("R10C",'Mapa de Riesgos'!$O$76),"")</f>
        <v/>
      </c>
      <c r="AA45" s="72" t="str">
        <f>IF(AND('Mapa de Riesgos'!$Y$77="Baja",'Mapa de Riesgos'!$AA$77="Moderado"),CONCATENATE("R10C",'Mapa de Riesgos'!$O$77),"")</f>
        <v/>
      </c>
      <c r="AB45" s="58" t="str">
        <f>IF(AND('Mapa de Riesgos'!$Y$72="Baja",'Mapa de Riesgos'!$AA$72="Mayor"),CONCATENATE("R10C",'Mapa de Riesgos'!$O$72),"")</f>
        <v/>
      </c>
      <c r="AC45" s="59" t="str">
        <f>IF(AND('Mapa de Riesgos'!$Y$73="Baja",'Mapa de Riesgos'!$AA$73="Mayor"),CONCATENATE("R10C",'Mapa de Riesgos'!$O$73),"")</f>
        <v/>
      </c>
      <c r="AD45" s="59" t="str">
        <f>IF(AND('Mapa de Riesgos'!$Y$74="Baja",'Mapa de Riesgos'!$AA$74="Mayor"),CONCATENATE("R10C",'Mapa de Riesgos'!$O$74),"")</f>
        <v/>
      </c>
      <c r="AE45" s="59" t="str">
        <f>IF(AND('Mapa de Riesgos'!$Y$75="Baja",'Mapa de Riesgos'!$AA$75="Mayor"),CONCATENATE("R10C",'Mapa de Riesgos'!$O$75),"")</f>
        <v/>
      </c>
      <c r="AF45" s="59" t="str">
        <f>IF(AND('Mapa de Riesgos'!$Y$76="Baja",'Mapa de Riesgos'!$AA$76="Mayor"),CONCATENATE("R10C",'Mapa de Riesgos'!$O$76),"")</f>
        <v/>
      </c>
      <c r="AG45" s="60" t="str">
        <f>IF(AND('Mapa de Riesgos'!$Y$77="Baja",'Mapa de Riesgos'!$AA$77="Mayor"),CONCATENATE("R10C",'Mapa de Riesgos'!$O$77),"")</f>
        <v/>
      </c>
      <c r="AH45" s="61" t="str">
        <f>IF(AND('Mapa de Riesgos'!$Y$72="Baja",'Mapa de Riesgos'!$AA$72="Catastrófico"),CONCATENATE("R10C",'Mapa de Riesgos'!$O$72),"")</f>
        <v/>
      </c>
      <c r="AI45" s="62" t="str">
        <f>IF(AND('Mapa de Riesgos'!$Y$73="Baja",'Mapa de Riesgos'!$AA$73="Catastrófico"),CONCATENATE("R10C",'Mapa de Riesgos'!$O$73),"")</f>
        <v/>
      </c>
      <c r="AJ45" s="62" t="str">
        <f>IF(AND('Mapa de Riesgos'!$Y$74="Baja",'Mapa de Riesgos'!$AA$74="Catastrófico"),CONCATENATE("R10C",'Mapa de Riesgos'!$O$74),"")</f>
        <v/>
      </c>
      <c r="AK45" s="62" t="str">
        <f>IF(AND('Mapa de Riesgos'!$Y$75="Baja",'Mapa de Riesgos'!$AA$75="Catastrófico"),CONCATENATE("R10C",'Mapa de Riesgos'!$O$75),"")</f>
        <v/>
      </c>
      <c r="AL45" s="62" t="str">
        <f>IF(AND('Mapa de Riesgos'!$Y$76="Baja",'Mapa de Riesgos'!$AA$76="Catastrófico"),CONCATENATE("R10C",'Mapa de Riesgos'!$O$76),"")</f>
        <v/>
      </c>
      <c r="AM45" s="63" t="str">
        <f>IF(AND('Mapa de Riesgos'!$Y$77="Baja",'Mapa de Riesgos'!$AA$77="Catastrófico"),CONCATENATE("R10C",'Mapa de Riesgos'!$O$77),"")</f>
        <v/>
      </c>
      <c r="AN45" s="83"/>
      <c r="AO45" s="611"/>
      <c r="AP45" s="612"/>
      <c r="AQ45" s="612"/>
      <c r="AR45" s="612"/>
      <c r="AS45" s="612"/>
      <c r="AT45" s="613"/>
    </row>
    <row r="46" spans="1:80" ht="46.5" customHeight="1" x14ac:dyDescent="0.35">
      <c r="A46" s="83"/>
      <c r="B46" s="489"/>
      <c r="C46" s="489"/>
      <c r="D46" s="490"/>
      <c r="E46" s="584" t="s">
        <v>109</v>
      </c>
      <c r="F46" s="585"/>
      <c r="G46" s="585"/>
      <c r="H46" s="585"/>
      <c r="I46" s="60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9"/>
      <c r="C47" s="489"/>
      <c r="D47" s="490"/>
      <c r="E47" s="586"/>
      <c r="F47" s="587"/>
      <c r="G47" s="587"/>
      <c r="H47" s="587"/>
      <c r="I47" s="603"/>
      <c r="J47" s="76" t="str">
        <f>IF(AND('Mapa de Riesgos'!$Y$20="Muy Baja",'Mapa de Riesgos'!$AA$20="Leve"),CONCATENATE("R2C",'Mapa de Riesgos'!$O$20),"")</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Riesgos'!$Y$20="Muy Baja",'Mapa de Riesgos'!$AA$20="Menor"),CONCATENATE("R2C",'Mapa de Riesgos'!$O$20),"")</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Riesgos'!$Y$20="Muy Baja",'Mapa de Riesgos'!$AA$20="Moderado"),CONCATENATE("R2C",'Mapa de Riesgos'!$O$20),"")</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Riesgos'!$Y$20="Muy Baja",'Mapa de Riesgos'!$AA$20="Mayor"),CONCATENATE("R2C",'Mapa de Riesgos'!$O$20),"")</f>
        <v/>
      </c>
      <c r="AC47" s="53" t="str">
        <f>IF(AND('Mapa de Riesgos'!$Y$21="Muy Baja",'Mapa de Riesgos'!$AA$21="Mayor"),CONCATENATE("R2C",'Mapa de Riesgos'!$O$21),"")</f>
        <v/>
      </c>
      <c r="AD47" s="53" t="str">
        <f>IF(AND('Mapa de Riesgos'!$Y$22="Muy Baja",'Mapa de Riesgos'!$AA$22="Mayor"),CONCATENATE("R2C",'Mapa de Riesgos'!$O$22),"")</f>
        <v>R2C3</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9"/>
      <c r="C48" s="489"/>
      <c r="D48" s="490"/>
      <c r="E48" s="586"/>
      <c r="F48" s="587"/>
      <c r="G48" s="587"/>
      <c r="H48" s="587"/>
      <c r="I48" s="603"/>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Riesgos'!$Y$31="Muy Baja",'Mapa de Riesgos'!$AA$31="Leve"),CONCATENATE("R3C",'Mapa de Riesgos'!$O$31),"")</f>
        <v/>
      </c>
      <c r="N48" s="77" t="str">
        <f>IF(AND('Mapa de Riesgos'!$Y$32="Muy Baja",'Mapa de Riesgos'!$AA$32="Leve"),CONCATENATE("R3C",'Mapa de Riesgos'!$O$32),"")</f>
        <v/>
      </c>
      <c r="O48" s="78" t="str">
        <f>IF(AND('Mapa de Riesgos'!$Y$33="Muy Baja",'Mapa de Riesgos'!$AA$33="Leve"),CONCATENATE("R3C",'Mapa de Riesgos'!$O$33),"")</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Riesgos'!$Y$31="Muy Baja",'Mapa de Riesgos'!$AA$31="Menor"),CONCATENATE("R3C",'Mapa de Riesgos'!$O$31),"")</f>
        <v/>
      </c>
      <c r="T48" s="77" t="str">
        <f>IF(AND('Mapa de Riesgos'!$Y$32="Muy Baja",'Mapa de Riesgos'!$AA$32="Menor"),CONCATENATE("R3C",'Mapa de Riesgos'!$O$32),"")</f>
        <v/>
      </c>
      <c r="U48" s="78" t="str">
        <f>IF(AND('Mapa de Riesgos'!$Y$33="Muy Baja",'Mapa de Riesgos'!$AA$33="Menor"),CONCATENATE("R3C",'Mapa de Riesgos'!$O$33),"")</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Riesgos'!$Y$31="Muy Baja",'Mapa de Riesgos'!$AA$31="Moderado"),CONCATENATE("R3C",'Mapa de Riesgos'!$O$31),"")</f>
        <v/>
      </c>
      <c r="Z48" s="68" t="str">
        <f>IF(AND('Mapa de Riesgos'!$Y$32="Muy Baja",'Mapa de Riesgos'!$AA$32="Moderado"),CONCATENATE("R3C",'Mapa de Riesgos'!$O$32),"")</f>
        <v/>
      </c>
      <c r="AA48" s="69" t="str">
        <f>IF(AND('Mapa de Riesgos'!$Y$33="Muy Baja",'Mapa de Riesgos'!$AA$33="Moderado"),CONCATENATE("R3C",'Mapa de Riesgos'!$O$33),"")</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Riesgos'!$Y$31="Muy Baja",'Mapa de Riesgos'!$AA$31="Mayor"),CONCATENATE("R3C",'Mapa de Riesgos'!$O$31),"")</f>
        <v/>
      </c>
      <c r="AF48" s="53" t="str">
        <f>IF(AND('Mapa de Riesgos'!$Y$32="Muy Baja",'Mapa de Riesgos'!$AA$32="Mayor"),CONCATENATE("R3C",'Mapa de Riesgos'!$O$32),"")</f>
        <v/>
      </c>
      <c r="AG48" s="54" t="str">
        <f>IF(AND('Mapa de Riesgos'!$Y$33="Muy Baja",'Mapa de Riesgos'!$AA$33="Mayor"),CONCATENATE("R3C",'Mapa de Riesgos'!$O$33),"")</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Riesgos'!$Y$31="Muy Baja",'Mapa de Riesgos'!$AA$31="Catastrófico"),CONCATENATE("R3C",'Mapa de Riesgos'!$O$31),"")</f>
        <v/>
      </c>
      <c r="AL48" s="56" t="str">
        <f>IF(AND('Mapa de Riesgos'!$Y$32="Muy Baja",'Mapa de Riesgos'!$AA$32="Catastrófico"),CONCATENATE("R3C",'Mapa de Riesgos'!$O$32),"")</f>
        <v/>
      </c>
      <c r="AM48" s="57" t="str">
        <f>IF(AND('Mapa de Riesgos'!$Y$33="Muy Baja",'Mapa de Riesgos'!$AA$33="Catastrófico"),CONCATENATE("R3C",'Mapa de Riesgos'!$O$33),"")</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9"/>
      <c r="C49" s="489"/>
      <c r="D49" s="490"/>
      <c r="E49" s="588"/>
      <c r="F49" s="587"/>
      <c r="G49" s="587"/>
      <c r="H49" s="587"/>
      <c r="I49" s="603"/>
      <c r="J49" s="76" t="str">
        <f>IF(AND('Mapa de Riesgos'!$Y$34="Muy Baja",'Mapa de Riesgos'!$AA$34="Leve"),CONCATENATE("R4C",'Mapa de Riesgos'!$O$34),"")</f>
        <v/>
      </c>
      <c r="K49" s="77" t="str">
        <f>IF(AND('Mapa de Riesgos'!$Y$35="Muy Baja",'Mapa de Riesgos'!$AA$35="Leve"),CONCATENATE("R4C",'Mapa de Riesgos'!$O$35),"")</f>
        <v/>
      </c>
      <c r="L49" s="77" t="str">
        <f>IF(AND('Mapa de Riesgos'!$Y$36="Muy Baja",'Mapa de Riesgos'!$AA$36="Leve"),CONCATENATE("R4C",'Mapa de Riesgos'!$O$36),"")</f>
        <v/>
      </c>
      <c r="M49" s="77" t="str">
        <f>IF(AND('Mapa de Riesgos'!$Y$37="Muy Baja",'Mapa de Riesgos'!$AA$37="Leve"),CONCATENATE("R4C",'Mapa de Riesgos'!$O$37),"")</f>
        <v/>
      </c>
      <c r="N49" s="77" t="str">
        <f>IF(AND('Mapa de Riesgos'!$Y$39="Muy Baja",'Mapa de Riesgos'!$AA$39="Leve"),CONCATENATE("R4C",'Mapa de Riesgos'!$O$39),"")</f>
        <v/>
      </c>
      <c r="O49" s="78" t="str">
        <f>IF(AND('Mapa de Riesgos'!$Y$40="Muy Baja",'Mapa de Riesgos'!$AA$40="Leve"),CONCATENATE("R4C",'Mapa de Riesgos'!$O$40),"")</f>
        <v/>
      </c>
      <c r="P49" s="76" t="str">
        <f>IF(AND('Mapa de Riesgos'!$Y$34="Muy Baja",'Mapa de Riesgos'!$AA$34="Menor"),CONCATENATE("R4C",'Mapa de Riesgos'!$O$34),"")</f>
        <v/>
      </c>
      <c r="Q49" s="77" t="str">
        <f>IF(AND('Mapa de Riesgos'!$Y$35="Muy Baja",'Mapa de Riesgos'!$AA$35="Menor"),CONCATENATE("R4C",'Mapa de Riesgos'!$O$35),"")</f>
        <v/>
      </c>
      <c r="R49" s="77" t="str">
        <f>IF(AND('Mapa de Riesgos'!$Y$36="Muy Baja",'Mapa de Riesgos'!$AA$36="Menor"),CONCATENATE("R4C",'Mapa de Riesgos'!$O$36),"")</f>
        <v/>
      </c>
      <c r="S49" s="77" t="str">
        <f>IF(AND('Mapa de Riesgos'!$Y$37="Muy Baja",'Mapa de Riesgos'!$AA$37="Menor"),CONCATENATE("R4C",'Mapa de Riesgos'!$O$37),"")</f>
        <v/>
      </c>
      <c r="T49" s="77" t="str">
        <f>IF(AND('Mapa de Riesgos'!$Y$39="Muy Baja",'Mapa de Riesgos'!$AA$39="Menor"),CONCATENATE("R4C",'Mapa de Riesgos'!$O$39),"")</f>
        <v/>
      </c>
      <c r="U49" s="78" t="str">
        <f>IF(AND('Mapa de Riesgos'!$Y$40="Muy Baja",'Mapa de Riesgos'!$AA$40="Menor"),CONCATENATE("R4C",'Mapa de Riesgos'!$O$40),"")</f>
        <v/>
      </c>
      <c r="V49" s="67" t="str">
        <f>IF(AND('Mapa de Riesgos'!$Y$34="Muy Baja",'Mapa de Riesgos'!$AA$34="Moderado"),CONCATENATE("R4C",'Mapa de Riesgos'!$O$34),"")</f>
        <v/>
      </c>
      <c r="W49" s="68" t="str">
        <f>IF(AND('Mapa de Riesgos'!$Y$35="Muy Baja",'Mapa de Riesgos'!$AA$35="Moderado"),CONCATENATE("R4C",'Mapa de Riesgos'!$O$35),"")</f>
        <v/>
      </c>
      <c r="X49" s="68" t="str">
        <f>IF(AND('Mapa de Riesgos'!$Y$36="Muy Baja",'Mapa de Riesgos'!$AA$36="Moderado"),CONCATENATE("R4C",'Mapa de Riesgos'!$O$36),"")</f>
        <v/>
      </c>
      <c r="Y49" s="68" t="str">
        <f>IF(AND('Mapa de Riesgos'!$Y$37="Muy Baja",'Mapa de Riesgos'!$AA$37="Moderado"),CONCATENATE("R4C",'Mapa de Riesgos'!$O$37),"")</f>
        <v/>
      </c>
      <c r="Z49" s="68" t="str">
        <f>IF(AND('Mapa de Riesgos'!$Y$39="Muy Baja",'Mapa de Riesgos'!$AA$39="Moderado"),CONCATENATE("R4C",'Mapa de Riesgos'!$O$39),"")</f>
        <v/>
      </c>
      <c r="AA49" s="69" t="str">
        <f>IF(AND('Mapa de Riesgos'!$Y$40="Muy Baja",'Mapa de Riesgos'!$AA$40="Moderado"),CONCATENATE("R4C",'Mapa de Riesgos'!$O$40),"")</f>
        <v/>
      </c>
      <c r="AB49" s="52" t="str">
        <f>IF(AND('Mapa de Riesgos'!$Y$34="Muy Baja",'Mapa de Riesgos'!$AA$34="Mayor"),CONCATENATE("R4C",'Mapa de Riesgos'!$O$34),"")</f>
        <v/>
      </c>
      <c r="AC49" s="53" t="str">
        <f>IF(AND('Mapa de Riesgos'!$Y$35="Muy Baja",'Mapa de Riesgos'!$AA$35="Mayor"),CONCATENATE("R4C",'Mapa de Riesgos'!$O$35),"")</f>
        <v/>
      </c>
      <c r="AD49" s="53" t="str">
        <f>IF(AND('Mapa de Riesgos'!$Y$36="Muy Baja",'Mapa de Riesgos'!$AA$36="Mayor"),CONCATENATE("R4C",'Mapa de Riesgos'!$O$36),"")</f>
        <v/>
      </c>
      <c r="AE49" s="53" t="str">
        <f>IF(AND('Mapa de Riesgos'!$Y$37="Muy Baja",'Mapa de Riesgos'!$AA$37="Mayor"),CONCATENATE("R4C",'Mapa de Riesgos'!$O$37),"")</f>
        <v/>
      </c>
      <c r="AF49" s="53" t="str">
        <f>IF(AND('Mapa de Riesgos'!$Y$39="Muy Baja",'Mapa de Riesgos'!$AA$39="Mayor"),CONCATENATE("R4C",'Mapa de Riesgos'!$O$39),"")</f>
        <v/>
      </c>
      <c r="AG49" s="54" t="str">
        <f>IF(AND('Mapa de Riesgos'!$Y$40="Muy Baja",'Mapa de Riesgos'!$AA$40="Mayor"),CONCATENATE("R4C",'Mapa de Riesgos'!$O$40),"")</f>
        <v/>
      </c>
      <c r="AH49" s="55" t="str">
        <f>IF(AND('Mapa de Riesgos'!$Y$34="Muy Baja",'Mapa de Riesgos'!$AA$34="Catastrófico"),CONCATENATE("R4C",'Mapa de Riesgos'!$O$34),"")</f>
        <v/>
      </c>
      <c r="AI49" s="56" t="str">
        <f>IF(AND('Mapa de Riesgos'!$Y$35="Muy Baja",'Mapa de Riesgos'!$AA$35="Catastrófico"),CONCATENATE("R4C",'Mapa de Riesgos'!$O$35),"")</f>
        <v/>
      </c>
      <c r="AJ49" s="56" t="str">
        <f>IF(AND('Mapa de Riesgos'!$Y$36="Muy Baja",'Mapa de Riesgos'!$AA$36="Catastrófico"),CONCATENATE("R4C",'Mapa de Riesgos'!$O$36),"")</f>
        <v/>
      </c>
      <c r="AK49" s="56" t="str">
        <f>IF(AND('Mapa de Riesgos'!$Y$37="Muy Baja",'Mapa de Riesgos'!$AA$37="Catastrófico"),CONCATENATE("R4C",'Mapa de Riesgos'!$O$37),"")</f>
        <v/>
      </c>
      <c r="AL49" s="56" t="str">
        <f>IF(AND('Mapa de Riesgos'!$Y$39="Muy Baja",'Mapa de Riesgos'!$AA$39="Catastrófico"),CONCATENATE("R4C",'Mapa de Riesgos'!$O$39),"")</f>
        <v/>
      </c>
      <c r="AM49" s="57" t="str">
        <f>IF(AND('Mapa de Riesgos'!$Y$40="Muy Baja",'Mapa de Riesgos'!$AA$40="Catastrófico"),CONCATENATE("R4C",'Mapa de Riesgos'!$O$40),"")</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9"/>
      <c r="C50" s="489"/>
      <c r="D50" s="490"/>
      <c r="E50" s="588"/>
      <c r="F50" s="587"/>
      <c r="G50" s="587"/>
      <c r="H50" s="587"/>
      <c r="I50" s="603"/>
      <c r="J50" s="76" t="str">
        <f>IF(AND('Mapa de Riesgos'!$Y$41="Muy Baja",'Mapa de Riesgos'!$AA$41="Leve"),CONCATENATE("R5C",'Mapa de Riesgos'!$O$41),"")</f>
        <v/>
      </c>
      <c r="K50" s="77" t="str">
        <f>IF(AND('Mapa de Riesgos'!$Y$42="Muy Baja",'Mapa de Riesgos'!$AA$42="Leve"),CONCATENATE("R5C",'Mapa de Riesgos'!$O$42),"")</f>
        <v/>
      </c>
      <c r="L50" s="77" t="str">
        <f>IF(AND('Mapa de Riesgos'!$Y$43="Muy Baja",'Mapa de Riesgos'!$AA$43="Leve"),CONCATENATE("R5C",'Mapa de Riesgos'!$O$43),"")</f>
        <v/>
      </c>
      <c r="M50" s="77" t="str">
        <f>IF(AND('Mapa de Riesgos'!$Y$44="Muy Baja",'Mapa de Riesgos'!$AA$44="Leve"),CONCATENATE("R5C",'Mapa de Riesgos'!$O$44),"")</f>
        <v/>
      </c>
      <c r="N50" s="77" t="str">
        <f>IF(AND('Mapa de Riesgos'!$Y$45="Muy Baja",'Mapa de Riesgos'!$AA$45="Leve"),CONCATENATE("R5C",'Mapa de Riesgos'!$O$45),"")</f>
        <v/>
      </c>
      <c r="O50" s="78" t="str">
        <f>IF(AND('Mapa de Riesgos'!$Y$47="Muy Baja",'Mapa de Riesgos'!$AA$47="Leve"),CONCATENATE("R5C",'Mapa de Riesgos'!$O$47),"")</f>
        <v/>
      </c>
      <c r="P50" s="76" t="str">
        <f>IF(AND('Mapa de Riesgos'!$Y$41="Muy Baja",'Mapa de Riesgos'!$AA$41="Menor"),CONCATENATE("R5C",'Mapa de Riesgos'!$O$41),"")</f>
        <v/>
      </c>
      <c r="Q50" s="77" t="str">
        <f>IF(AND('Mapa de Riesgos'!$Y$42="Muy Baja",'Mapa de Riesgos'!$AA$42="Menor"),CONCATENATE("R5C",'Mapa de Riesgos'!$O$42),"")</f>
        <v/>
      </c>
      <c r="R50" s="77" t="str">
        <f>IF(AND('Mapa de Riesgos'!$Y$43="Muy Baja",'Mapa de Riesgos'!$AA$43="Menor"),CONCATENATE("R5C",'Mapa de Riesgos'!$O$43),"")</f>
        <v/>
      </c>
      <c r="S50" s="77" t="str">
        <f>IF(AND('Mapa de Riesgos'!$Y$44="Muy Baja",'Mapa de Riesgos'!$AA$44="Menor"),CONCATENATE("R5C",'Mapa de Riesgos'!$O$44),"")</f>
        <v/>
      </c>
      <c r="T50" s="77" t="str">
        <f>IF(AND('Mapa de Riesgos'!$Y$45="Muy Baja",'Mapa de Riesgos'!$AA$45="Menor"),CONCATENATE("R5C",'Mapa de Riesgos'!$O$45),"")</f>
        <v/>
      </c>
      <c r="U50" s="78" t="str">
        <f>IF(AND('Mapa de Riesgos'!$Y$47="Muy Baja",'Mapa de Riesgos'!$AA$47="Menor"),CONCATENATE("R5C",'Mapa de Riesgos'!$O$47),"")</f>
        <v/>
      </c>
      <c r="V50" s="67" t="str">
        <f>IF(AND('Mapa de Riesgos'!$Y$41="Muy Baja",'Mapa de Riesgos'!$AA$41="Moderado"),CONCATENATE("R5C",'Mapa de Riesgos'!$O$41),"")</f>
        <v/>
      </c>
      <c r="W50" s="68" t="str">
        <f>IF(AND('Mapa de Riesgos'!$Y$42="Muy Baja",'Mapa de Riesgos'!$AA$42="Moderado"),CONCATENATE("R5C",'Mapa de Riesgos'!$O$42),"")</f>
        <v/>
      </c>
      <c r="X50" s="68" t="str">
        <f>IF(AND('Mapa de Riesgos'!$Y$43="Muy Baja",'Mapa de Riesgos'!$AA$43="Moderado"),CONCATENATE("R5C",'Mapa de Riesgos'!$O$43),"")</f>
        <v/>
      </c>
      <c r="Y50" s="68" t="str">
        <f>IF(AND('Mapa de Riesgos'!$Y$44="Muy Baja",'Mapa de Riesgos'!$AA$44="Moderado"),CONCATENATE("R5C",'Mapa de Riesgos'!$O$44),"")</f>
        <v/>
      </c>
      <c r="Z50" s="68" t="str">
        <f>IF(AND('Mapa de Riesgos'!$Y$45="Muy Baja",'Mapa de Riesgos'!$AA$45="Moderado"),CONCATENATE("R5C",'Mapa de Riesgos'!$O$45),"")</f>
        <v/>
      </c>
      <c r="AA50" s="69" t="str">
        <f>IF(AND('Mapa de Riesgos'!$Y$47="Muy Baja",'Mapa de Riesgos'!$AA$47="Moderado"),CONCATENATE("R5C",'Mapa de Riesgos'!$O$47),"")</f>
        <v/>
      </c>
      <c r="AB50" s="52" t="str">
        <f>IF(AND('Mapa de Riesgos'!$Y$41="Muy Baja",'Mapa de Riesgos'!$AA$41="Mayor"),CONCATENATE("R5C",'Mapa de Riesgos'!$O$41),"")</f>
        <v/>
      </c>
      <c r="AC50" s="53" t="str">
        <f>IF(AND('Mapa de Riesgos'!$Y$42="Muy Baja",'Mapa de Riesgos'!$AA$42="Mayor"),CONCATENATE("R5C",'Mapa de Riesgos'!$O$42),"")</f>
        <v/>
      </c>
      <c r="AD50" s="53" t="str">
        <f>IF(AND('Mapa de Riesgos'!$Y$43="Muy Baja",'Mapa de Riesgos'!$AA$43="Mayor"),CONCATENATE("R5C",'Mapa de Riesgos'!$O$43),"")</f>
        <v/>
      </c>
      <c r="AE50" s="53" t="str">
        <f>IF(AND('Mapa de Riesgos'!$Y$44="Muy Baja",'Mapa de Riesgos'!$AA$44="Mayor"),CONCATENATE("R5C",'Mapa de Riesgos'!$O$44),"")</f>
        <v/>
      </c>
      <c r="AF50" s="53" t="str">
        <f>IF(AND('Mapa de Riesgos'!$Y$45="Muy Baja",'Mapa de Riesgos'!$AA$45="Mayor"),CONCATENATE("R5C",'Mapa de Riesgos'!$O$45),"")</f>
        <v/>
      </c>
      <c r="AG50" s="54" t="str">
        <f>IF(AND('Mapa de Riesgos'!$Y$47="Muy Baja",'Mapa de Riesgos'!$AA$47="Mayor"),CONCATENATE("R5C",'Mapa de Riesgos'!$O$47),"")</f>
        <v/>
      </c>
      <c r="AH50" s="55" t="str">
        <f>IF(AND('Mapa de Riesgos'!$Y$41="Muy Baja",'Mapa de Riesgos'!$AA$41="Catastrófico"),CONCATENATE("R5C",'Mapa de Riesgos'!$O$41),"")</f>
        <v/>
      </c>
      <c r="AI50" s="56" t="str">
        <f>IF(AND('Mapa de Riesgos'!$Y$42="Muy Baja",'Mapa de Riesgos'!$AA$42="Catastrófico"),CONCATENATE("R5C",'Mapa de Riesgos'!$O$42),"")</f>
        <v/>
      </c>
      <c r="AJ50" s="56" t="str">
        <f>IF(AND('Mapa de Riesgos'!$Y$43="Muy Baja",'Mapa de Riesgos'!$AA$43="Catastrófico"),CONCATENATE("R5C",'Mapa de Riesgos'!$O$43),"")</f>
        <v/>
      </c>
      <c r="AK50" s="56" t="str">
        <f>IF(AND('Mapa de Riesgos'!$Y$44="Muy Baja",'Mapa de Riesgos'!$AA$44="Catastrófico"),CONCATENATE("R5C",'Mapa de Riesgos'!$O$44),"")</f>
        <v/>
      </c>
      <c r="AL50" s="56" t="str">
        <f>IF(AND('Mapa de Riesgos'!$Y$45="Muy Baja",'Mapa de Riesgos'!$AA$45="Catastrófico"),CONCATENATE("R5C",'Mapa de Riesgos'!$O$45),"")</f>
        <v/>
      </c>
      <c r="AM50" s="57" t="str">
        <f>IF(AND('Mapa de Riesgos'!$Y$47="Muy Baja",'Mapa de Riesgos'!$AA$47="Catastrófico"),CONCATENATE("R5C",'Mapa de Riesgos'!$O$47),"")</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9"/>
      <c r="C51" s="489"/>
      <c r="D51" s="490"/>
      <c r="E51" s="588"/>
      <c r="F51" s="587"/>
      <c r="G51" s="587"/>
      <c r="H51" s="587"/>
      <c r="I51" s="603"/>
      <c r="J51" s="76" t="str">
        <f>IF(AND('Mapa de Riesgos'!$Y$48="Muy Baja",'Mapa de Riesgos'!$AA$48="Leve"),CONCATENATE("R6C",'Mapa de Riesgos'!$O$48),"")</f>
        <v/>
      </c>
      <c r="K51" s="77" t="str">
        <f>IF(AND('Mapa de Riesgos'!$Y$49="Muy Baja",'Mapa de Riesgos'!$AA$49="Leve"),CONCATENATE("R6C",'Mapa de Riesgos'!$O$49),"")</f>
        <v/>
      </c>
      <c r="L51" s="77" t="str">
        <f>IF(AND('Mapa de Riesgos'!$Y$50="Muy Baja",'Mapa de Riesgos'!$AA$50="Leve"),CONCATENATE("R6C",'Mapa de Riesgos'!$O$50),"")</f>
        <v/>
      </c>
      <c r="M51" s="77" t="str">
        <f>IF(AND('Mapa de Riesgos'!$Y$51="Muy Baja",'Mapa de Riesgos'!$AA$51="Leve"),CONCATENATE("R6C",'Mapa de Riesgos'!$O$51),"")</f>
        <v/>
      </c>
      <c r="N51" s="77" t="str">
        <f>IF(AND('Mapa de Riesgos'!$Y$52="Muy Baja",'Mapa de Riesgos'!$AA$52="Leve"),CONCATENATE("R6C",'Mapa de Riesgos'!$O$52),"")</f>
        <v/>
      </c>
      <c r="O51" s="78" t="str">
        <f>IF(AND('Mapa de Riesgos'!$Y$53="Muy Baja",'Mapa de Riesgos'!$AA$53="Leve"),CONCATENATE("R6C",'Mapa de Riesgos'!$O$53),"")</f>
        <v/>
      </c>
      <c r="P51" s="76" t="str">
        <f>IF(AND('Mapa de Riesgos'!$Y$48="Muy Baja",'Mapa de Riesgos'!$AA$48="Menor"),CONCATENATE("R6C",'Mapa de Riesgos'!$O$48),"")</f>
        <v/>
      </c>
      <c r="Q51" s="77" t="str">
        <f>IF(AND('Mapa de Riesgos'!$Y$49="Muy Baja",'Mapa de Riesgos'!$AA$49="Menor"),CONCATENATE("R6C",'Mapa de Riesgos'!$O$49),"")</f>
        <v/>
      </c>
      <c r="R51" s="77" t="str">
        <f>IF(AND('Mapa de Riesgos'!$Y$50="Muy Baja",'Mapa de Riesgos'!$AA$50="Menor"),CONCATENATE("R6C",'Mapa de Riesgos'!$O$50),"")</f>
        <v/>
      </c>
      <c r="S51" s="77" t="str">
        <f>IF(AND('Mapa de Riesgos'!$Y$51="Muy Baja",'Mapa de Riesgos'!$AA$51="Menor"),CONCATENATE("R6C",'Mapa de Riesgos'!$O$51),"")</f>
        <v/>
      </c>
      <c r="T51" s="77" t="str">
        <f>IF(AND('Mapa de Riesgos'!$Y$52="Muy Baja",'Mapa de Riesgos'!$AA$52="Menor"),CONCATENATE("R6C",'Mapa de Riesgos'!$O$52),"")</f>
        <v/>
      </c>
      <c r="U51" s="78" t="str">
        <f>IF(AND('Mapa de Riesgos'!$Y$53="Muy Baja",'Mapa de Riesgos'!$AA$53="Menor"),CONCATENATE("R6C",'Mapa de Riesgos'!$O$53),"")</f>
        <v/>
      </c>
      <c r="V51" s="67" t="str">
        <f>IF(AND('Mapa de Riesgos'!$Y$48="Muy Baja",'Mapa de Riesgos'!$AA$48="Moderado"),CONCATENATE("R6C",'Mapa de Riesgos'!$O$48),"")</f>
        <v/>
      </c>
      <c r="W51" s="68" t="str">
        <f>IF(AND('Mapa de Riesgos'!$Y$49="Muy Baja",'Mapa de Riesgos'!$AA$49="Moderado"),CONCATENATE("R6C",'Mapa de Riesgos'!$O$49),"")</f>
        <v/>
      </c>
      <c r="X51" s="68" t="str">
        <f>IF(AND('Mapa de Riesgos'!$Y$50="Muy Baja",'Mapa de Riesgos'!$AA$50="Moderado"),CONCATENATE("R6C",'Mapa de Riesgos'!$O$50),"")</f>
        <v/>
      </c>
      <c r="Y51" s="68" t="str">
        <f>IF(AND('Mapa de Riesgos'!$Y$51="Muy Baja",'Mapa de Riesgos'!$AA$51="Moderado"),CONCATENATE("R6C",'Mapa de Riesgos'!$O$51),"")</f>
        <v/>
      </c>
      <c r="Z51" s="68" t="str">
        <f>IF(AND('Mapa de Riesgos'!$Y$52="Muy Baja",'Mapa de Riesgos'!$AA$52="Moderado"),CONCATENATE("R6C",'Mapa de Riesgos'!$O$52),"")</f>
        <v/>
      </c>
      <c r="AA51" s="69" t="str">
        <f>IF(AND('Mapa de Riesgos'!$Y$53="Muy Baja",'Mapa de Riesgos'!$AA$53="Moderado"),CONCATENATE("R6C",'Mapa de Riesgos'!$O$53),"")</f>
        <v/>
      </c>
      <c r="AB51" s="52" t="str">
        <f>IF(AND('Mapa de Riesgos'!$Y$48="Muy Baja",'Mapa de Riesgos'!$AA$48="Mayor"),CONCATENATE("R6C",'Mapa de Riesgos'!$O$48),"")</f>
        <v/>
      </c>
      <c r="AC51" s="53" t="str">
        <f>IF(AND('Mapa de Riesgos'!$Y$49="Muy Baja",'Mapa de Riesgos'!$AA$49="Mayor"),CONCATENATE("R6C",'Mapa de Riesgos'!$O$49),"")</f>
        <v/>
      </c>
      <c r="AD51" s="53" t="str">
        <f>IF(AND('Mapa de Riesgos'!$Y$50="Muy Baja",'Mapa de Riesgos'!$AA$50="Mayor"),CONCATENATE("R6C",'Mapa de Riesgos'!$O$50),"")</f>
        <v/>
      </c>
      <c r="AE51" s="53" t="str">
        <f>IF(AND('Mapa de Riesgos'!$Y$51="Muy Baja",'Mapa de Riesgos'!$AA$51="Mayor"),CONCATENATE("R6C",'Mapa de Riesgos'!$O$51),"")</f>
        <v/>
      </c>
      <c r="AF51" s="53" t="str">
        <f>IF(AND('Mapa de Riesgos'!$Y$52="Muy Baja",'Mapa de Riesgos'!$AA$52="Mayor"),CONCATENATE("R6C",'Mapa de Riesgos'!$O$52),"")</f>
        <v/>
      </c>
      <c r="AG51" s="54" t="str">
        <f>IF(AND('Mapa de Riesgos'!$Y$53="Muy Baja",'Mapa de Riesgos'!$AA$53="Mayor"),CONCATENATE("R6C",'Mapa de Riesgos'!$O$53),"")</f>
        <v/>
      </c>
      <c r="AH51" s="55" t="str">
        <f>IF(AND('Mapa de Riesgos'!$Y$48="Muy Baja",'Mapa de Riesgos'!$AA$48="Catastrófico"),CONCATENATE("R6C",'Mapa de Riesgos'!$O$48),"")</f>
        <v/>
      </c>
      <c r="AI51" s="56" t="str">
        <f>IF(AND('Mapa de Riesgos'!$Y$49="Muy Baja",'Mapa de Riesgos'!$AA$49="Catastrófico"),CONCATENATE("R6C",'Mapa de Riesgos'!$O$49),"")</f>
        <v/>
      </c>
      <c r="AJ51" s="56" t="str">
        <f>IF(AND('Mapa de Riesgos'!$Y$50="Muy Baja",'Mapa de Riesgos'!$AA$50="Catastrófico"),CONCATENATE("R6C",'Mapa de Riesgos'!$O$50),"")</f>
        <v/>
      </c>
      <c r="AK51" s="56" t="str">
        <f>IF(AND('Mapa de Riesgos'!$Y$51="Muy Baja",'Mapa de Riesgos'!$AA$51="Catastrófico"),CONCATENATE("R6C",'Mapa de Riesgos'!$O$51),"")</f>
        <v/>
      </c>
      <c r="AL51" s="56" t="str">
        <f>IF(AND('Mapa de Riesgos'!$Y$52="Muy Baja",'Mapa de Riesgos'!$AA$52="Catastrófico"),CONCATENATE("R6C",'Mapa de Riesgos'!$O$52),"")</f>
        <v/>
      </c>
      <c r="AM51" s="57" t="str">
        <f>IF(AND('Mapa de Riesgos'!$Y$53="Muy Baja",'Mapa de Riesgos'!$AA$53="Catastrófico"),CONCATENATE("R6C",'Mapa de Riesgos'!$O$53),"")</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9"/>
      <c r="C52" s="489"/>
      <c r="D52" s="490"/>
      <c r="E52" s="588"/>
      <c r="F52" s="587"/>
      <c r="G52" s="587"/>
      <c r="H52" s="587"/>
      <c r="I52" s="603"/>
      <c r="J52" s="76" t="str">
        <f>IF(AND('Mapa de Riesgos'!$Y$54="Muy Baja",'Mapa de Riesgos'!$AA$54="Leve"),CONCATENATE("R7C",'Mapa de Riesgos'!$O$54),"")</f>
        <v/>
      </c>
      <c r="K52" s="77" t="str">
        <f>IF(AND('Mapa de Riesgos'!$Y$55="Muy Baja",'Mapa de Riesgos'!$AA$55="Leve"),CONCATENATE("R7C",'Mapa de Riesgos'!$O$55),"")</f>
        <v/>
      </c>
      <c r="L52" s="77" t="str">
        <f>IF(AND('Mapa de Riesgos'!$Y$56="Muy Baja",'Mapa de Riesgos'!$AA$56="Leve"),CONCATENATE("R7C",'Mapa de Riesgos'!$O$56),"")</f>
        <v/>
      </c>
      <c r="M52" s="77" t="str">
        <f>IF(AND('Mapa de Riesgos'!$Y$57="Muy Baja",'Mapa de Riesgos'!$AA$57="Leve"),CONCATENATE("R7C",'Mapa de Riesgos'!$O$57),"")</f>
        <v/>
      </c>
      <c r="N52" s="77" t="str">
        <f>IF(AND('Mapa de Riesgos'!$Y$58="Muy Baja",'Mapa de Riesgos'!$AA$58="Leve"),CONCATENATE("R7C",'Mapa de Riesgos'!$O$58),"")</f>
        <v/>
      </c>
      <c r="O52" s="78" t="str">
        <f>IF(AND('Mapa de Riesgos'!$Y$59="Muy Baja",'Mapa de Riesgos'!$AA$59="Leve"),CONCATENATE("R7C",'Mapa de Riesgos'!$O$59),"")</f>
        <v/>
      </c>
      <c r="P52" s="76" t="str">
        <f>IF(AND('Mapa de Riesgos'!$Y$54="Muy Baja",'Mapa de Riesgos'!$AA$54="Menor"),CONCATENATE("R7C",'Mapa de Riesgos'!$O$54),"")</f>
        <v/>
      </c>
      <c r="Q52" s="77" t="str">
        <f>IF(AND('Mapa de Riesgos'!$Y$55="Muy Baja",'Mapa de Riesgos'!$AA$55="Menor"),CONCATENATE("R7C",'Mapa de Riesgos'!$O$55),"")</f>
        <v/>
      </c>
      <c r="R52" s="77" t="str">
        <f>IF(AND('Mapa de Riesgos'!$Y$56="Muy Baja",'Mapa de Riesgos'!$AA$56="Menor"),CONCATENATE("R7C",'Mapa de Riesgos'!$O$56),"")</f>
        <v/>
      </c>
      <c r="S52" s="77" t="str">
        <f>IF(AND('Mapa de Riesgos'!$Y$57="Muy Baja",'Mapa de Riesgos'!$AA$57="Menor"),CONCATENATE("R7C",'Mapa de Riesgos'!$O$57),"")</f>
        <v/>
      </c>
      <c r="T52" s="77" t="str">
        <f>IF(AND('Mapa de Riesgos'!$Y$58="Muy Baja",'Mapa de Riesgos'!$AA$58="Menor"),CONCATENATE("R7C",'Mapa de Riesgos'!$O$58),"")</f>
        <v/>
      </c>
      <c r="U52" s="78" t="str">
        <f>IF(AND('Mapa de Riesgos'!$Y$59="Muy Baja",'Mapa de Riesgos'!$AA$59="Menor"),CONCATENATE("R7C",'Mapa de Riesgos'!$O$59),"")</f>
        <v/>
      </c>
      <c r="V52" s="67" t="str">
        <f>IF(AND('Mapa de Riesgos'!$Y$54="Muy Baja",'Mapa de Riesgos'!$AA$54="Moderado"),CONCATENATE("R7C",'Mapa de Riesgos'!$O$54),"")</f>
        <v/>
      </c>
      <c r="W52" s="68" t="str">
        <f>IF(AND('Mapa de Riesgos'!$Y$55="Muy Baja",'Mapa de Riesgos'!$AA$55="Moderado"),CONCATENATE("R7C",'Mapa de Riesgos'!$O$55),"")</f>
        <v/>
      </c>
      <c r="X52" s="68" t="str">
        <f>IF(AND('Mapa de Riesgos'!$Y$56="Muy Baja",'Mapa de Riesgos'!$AA$56="Moderado"),CONCATENATE("R7C",'Mapa de Riesgos'!$O$56),"")</f>
        <v/>
      </c>
      <c r="Y52" s="68" t="str">
        <f>IF(AND('Mapa de Riesgos'!$Y$57="Muy Baja",'Mapa de Riesgos'!$AA$57="Moderado"),CONCATENATE("R7C",'Mapa de Riesgos'!$O$57),"")</f>
        <v/>
      </c>
      <c r="Z52" s="68" t="str">
        <f>IF(AND('Mapa de Riesgos'!$Y$58="Muy Baja",'Mapa de Riesgos'!$AA$58="Moderado"),CONCATENATE("R7C",'Mapa de Riesgos'!$O$58),"")</f>
        <v/>
      </c>
      <c r="AA52" s="69" t="str">
        <f>IF(AND('Mapa de Riesgos'!$Y$59="Muy Baja",'Mapa de Riesgos'!$AA$59="Moderado"),CONCATENATE("R7C",'Mapa de Riesgos'!$O$59),"")</f>
        <v/>
      </c>
      <c r="AB52" s="52" t="str">
        <f>IF(AND('Mapa de Riesgos'!$Y$54="Muy Baja",'Mapa de Riesgos'!$AA$54="Mayor"),CONCATENATE("R7C",'Mapa de Riesgos'!$O$54),"")</f>
        <v/>
      </c>
      <c r="AC52" s="53" t="str">
        <f>IF(AND('Mapa de Riesgos'!$Y$55="Muy Baja",'Mapa de Riesgos'!$AA$55="Mayor"),CONCATENATE("R7C",'Mapa de Riesgos'!$O$55),"")</f>
        <v/>
      </c>
      <c r="AD52" s="53" t="str">
        <f>IF(AND('Mapa de Riesgos'!$Y$56="Muy Baja",'Mapa de Riesgos'!$AA$56="Mayor"),CONCATENATE("R7C",'Mapa de Riesgos'!$O$56),"")</f>
        <v/>
      </c>
      <c r="AE52" s="53" t="str">
        <f>IF(AND('Mapa de Riesgos'!$Y$57="Muy Baja",'Mapa de Riesgos'!$AA$57="Mayor"),CONCATENATE("R7C",'Mapa de Riesgos'!$O$57),"")</f>
        <v/>
      </c>
      <c r="AF52" s="53" t="str">
        <f>IF(AND('Mapa de Riesgos'!$Y$58="Muy Baja",'Mapa de Riesgos'!$AA$58="Mayor"),CONCATENATE("R7C",'Mapa de Riesgos'!$O$58),"")</f>
        <v/>
      </c>
      <c r="AG52" s="54" t="str">
        <f>IF(AND('Mapa de Riesgos'!$Y$59="Muy Baja",'Mapa de Riesgos'!$AA$59="Mayor"),CONCATENATE("R7C",'Mapa de Riesgos'!$O$59),"")</f>
        <v/>
      </c>
      <c r="AH52" s="55" t="str">
        <f>IF(AND('Mapa de Riesgos'!$Y$54="Muy Baja",'Mapa de Riesgos'!$AA$54="Catastrófico"),CONCATENATE("R7C",'Mapa de Riesgos'!$O$54),"")</f>
        <v/>
      </c>
      <c r="AI52" s="56" t="str">
        <f>IF(AND('Mapa de Riesgos'!$Y$55="Muy Baja",'Mapa de Riesgos'!$AA$55="Catastrófico"),CONCATENATE("R7C",'Mapa de Riesgos'!$O$55),"")</f>
        <v/>
      </c>
      <c r="AJ52" s="56" t="str">
        <f>IF(AND('Mapa de Riesgos'!$Y$56="Muy Baja",'Mapa de Riesgos'!$AA$56="Catastrófico"),CONCATENATE("R7C",'Mapa de Riesgos'!$O$56),"")</f>
        <v/>
      </c>
      <c r="AK52" s="56" t="str">
        <f>IF(AND('Mapa de Riesgos'!$Y$57="Muy Baja",'Mapa de Riesgos'!$AA$57="Catastrófico"),CONCATENATE("R7C",'Mapa de Riesgos'!$O$57),"")</f>
        <v/>
      </c>
      <c r="AL52" s="56" t="str">
        <f>IF(AND('Mapa de Riesgos'!$Y$58="Muy Baja",'Mapa de Riesgos'!$AA$58="Catastrófico"),CONCATENATE("R7C",'Mapa de Riesgos'!$O$58),"")</f>
        <v/>
      </c>
      <c r="AM52" s="57" t="str">
        <f>IF(AND('Mapa de Riesgos'!$Y$59="Muy Baja",'Mapa de Riesgos'!$AA$59="Catastrófico"),CONCATENATE("R7C",'Mapa de Riesgos'!$O$59),"")</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9"/>
      <c r="C53" s="489"/>
      <c r="D53" s="490"/>
      <c r="E53" s="588"/>
      <c r="F53" s="587"/>
      <c r="G53" s="587"/>
      <c r="H53" s="587"/>
      <c r="I53" s="603"/>
      <c r="J53" s="76" t="str">
        <f>IF(AND('Mapa de Riesgos'!$Y$60="Muy Baja",'Mapa de Riesgos'!$AA$60="Leve"),CONCATENATE("R8C",'Mapa de Riesgos'!$O$60),"")</f>
        <v/>
      </c>
      <c r="K53" s="77" t="str">
        <f>IF(AND('Mapa de Riesgos'!$Y$61="Muy Baja",'Mapa de Riesgos'!$AA$61="Leve"),CONCATENATE("R8C",'Mapa de Riesgos'!$O$61),"")</f>
        <v/>
      </c>
      <c r="L53" s="77" t="str">
        <f>IF(AND('Mapa de Riesgos'!$Y$62="Muy Baja",'Mapa de Riesgos'!$AA$62="Leve"),CONCATENATE("R8C",'Mapa de Riesgos'!$O$62),"")</f>
        <v/>
      </c>
      <c r="M53" s="77" t="str">
        <f>IF(AND('Mapa de Riesgos'!$Y$63="Muy Baja",'Mapa de Riesgos'!$AA$63="Leve"),CONCATENATE("R8C",'Mapa de Riesgos'!$O$63),"")</f>
        <v/>
      </c>
      <c r="N53" s="77" t="str">
        <f>IF(AND('Mapa de Riesgos'!$Y$64="Muy Baja",'Mapa de Riesgos'!$AA$64="Leve"),CONCATENATE("R8C",'Mapa de Riesgos'!$O$64),"")</f>
        <v/>
      </c>
      <c r="O53" s="78" t="str">
        <f>IF(AND('Mapa de Riesgos'!$Y$65="Muy Baja",'Mapa de Riesgos'!$AA$65="Leve"),CONCATENATE("R8C",'Mapa de Riesgos'!$O$65),"")</f>
        <v/>
      </c>
      <c r="P53" s="76" t="str">
        <f>IF(AND('Mapa de Riesgos'!$Y$60="Muy Baja",'Mapa de Riesgos'!$AA$60="Menor"),CONCATENATE("R8C",'Mapa de Riesgos'!$O$60),"")</f>
        <v/>
      </c>
      <c r="Q53" s="77" t="str">
        <f>IF(AND('Mapa de Riesgos'!$Y$61="Muy Baja",'Mapa de Riesgos'!$AA$61="Menor"),CONCATENATE("R8C",'Mapa de Riesgos'!$O$61),"")</f>
        <v/>
      </c>
      <c r="R53" s="77" t="str">
        <f>IF(AND('Mapa de Riesgos'!$Y$62="Muy Baja",'Mapa de Riesgos'!$AA$62="Menor"),CONCATENATE("R8C",'Mapa de Riesgos'!$O$62),"")</f>
        <v/>
      </c>
      <c r="S53" s="77" t="str">
        <f>IF(AND('Mapa de Riesgos'!$Y$63="Muy Baja",'Mapa de Riesgos'!$AA$63="Menor"),CONCATENATE("R8C",'Mapa de Riesgos'!$O$63),"")</f>
        <v/>
      </c>
      <c r="T53" s="77" t="str">
        <f>IF(AND('Mapa de Riesgos'!$Y$64="Muy Baja",'Mapa de Riesgos'!$AA$64="Menor"),CONCATENATE("R8C",'Mapa de Riesgos'!$O$64),"")</f>
        <v/>
      </c>
      <c r="U53" s="78" t="str">
        <f>IF(AND('Mapa de Riesgos'!$Y$65="Muy Baja",'Mapa de Riesgos'!$AA$65="Menor"),CONCATENATE("R8C",'Mapa de Riesgos'!$O$65),"")</f>
        <v/>
      </c>
      <c r="V53" s="67" t="str">
        <f>IF(AND('Mapa de Riesgos'!$Y$60="Muy Baja",'Mapa de Riesgos'!$AA$60="Moderado"),CONCATENATE("R8C",'Mapa de Riesgos'!$O$60),"")</f>
        <v>R8C1</v>
      </c>
      <c r="W53" s="68" t="str">
        <f>IF(AND('Mapa de Riesgos'!$Y$61="Muy Baja",'Mapa de Riesgos'!$AA$61="Moderado"),CONCATENATE("R8C",'Mapa de Riesgos'!$O$61),"")</f>
        <v/>
      </c>
      <c r="X53" s="68" t="str">
        <f>IF(AND('Mapa de Riesgos'!$Y$62="Muy Baja",'Mapa de Riesgos'!$AA$62="Moderado"),CONCATENATE("R8C",'Mapa de Riesgos'!$O$62),"")</f>
        <v/>
      </c>
      <c r="Y53" s="68" t="str">
        <f>IF(AND('Mapa de Riesgos'!$Y$63="Muy Baja",'Mapa de Riesgos'!$AA$63="Moderado"),CONCATENATE("R8C",'Mapa de Riesgos'!$O$63),"")</f>
        <v/>
      </c>
      <c r="Z53" s="68" t="str">
        <f>IF(AND('Mapa de Riesgos'!$Y$64="Muy Baja",'Mapa de Riesgos'!$AA$64="Moderado"),CONCATENATE("R8C",'Mapa de Riesgos'!$O$64),"")</f>
        <v/>
      </c>
      <c r="AA53" s="69" t="str">
        <f>IF(AND('Mapa de Riesgos'!$Y$65="Muy Baja",'Mapa de Riesgos'!$AA$65="Moderado"),CONCATENATE("R8C",'Mapa de Riesgos'!$O$65),"")</f>
        <v/>
      </c>
      <c r="AB53" s="52" t="str">
        <f>IF(AND('Mapa de Riesgos'!$Y$60="Muy Baja",'Mapa de Riesgos'!$AA$60="Mayor"),CONCATENATE("R8C",'Mapa de Riesgos'!$O$60),"")</f>
        <v/>
      </c>
      <c r="AC53" s="53" t="str">
        <f>IF(AND('Mapa de Riesgos'!$Y$61="Muy Baja",'Mapa de Riesgos'!$AA$61="Mayor"),CONCATENATE("R8C",'Mapa de Riesgos'!$O$61),"")</f>
        <v/>
      </c>
      <c r="AD53" s="53" t="str">
        <f>IF(AND('Mapa de Riesgos'!$Y$62="Muy Baja",'Mapa de Riesgos'!$AA$62="Mayor"),CONCATENATE("R8C",'Mapa de Riesgos'!$O$62),"")</f>
        <v/>
      </c>
      <c r="AE53" s="53" t="str">
        <f>IF(AND('Mapa de Riesgos'!$Y$63="Muy Baja",'Mapa de Riesgos'!$AA$63="Mayor"),CONCATENATE("R8C",'Mapa de Riesgos'!$O$63),"")</f>
        <v/>
      </c>
      <c r="AF53" s="53" t="str">
        <f>IF(AND('Mapa de Riesgos'!$Y$64="Muy Baja",'Mapa de Riesgos'!$AA$64="Mayor"),CONCATENATE("R8C",'Mapa de Riesgos'!$O$64),"")</f>
        <v/>
      </c>
      <c r="AG53" s="54" t="str">
        <f>IF(AND('Mapa de Riesgos'!$Y$65="Muy Baja",'Mapa de Riesgos'!$AA$65="Mayor"),CONCATENATE("R8C",'Mapa de Riesgos'!$O$65),"")</f>
        <v/>
      </c>
      <c r="AH53" s="55" t="str">
        <f>IF(AND('Mapa de Riesgos'!$Y$60="Muy Baja",'Mapa de Riesgos'!$AA$60="Catastrófico"),CONCATENATE("R8C",'Mapa de Riesgos'!$O$60),"")</f>
        <v/>
      </c>
      <c r="AI53" s="56" t="str">
        <f>IF(AND('Mapa de Riesgos'!$Y$61="Muy Baja",'Mapa de Riesgos'!$AA$61="Catastrófico"),CONCATENATE("R8C",'Mapa de Riesgos'!$O$61),"")</f>
        <v/>
      </c>
      <c r="AJ53" s="56" t="str">
        <f>IF(AND('Mapa de Riesgos'!$Y$62="Muy Baja",'Mapa de Riesgos'!$AA$62="Catastrófico"),CONCATENATE("R8C",'Mapa de Riesgos'!$O$62),"")</f>
        <v/>
      </c>
      <c r="AK53" s="56" t="str">
        <f>IF(AND('Mapa de Riesgos'!$Y$63="Muy Baja",'Mapa de Riesgos'!$AA$63="Catastrófico"),CONCATENATE("R8C",'Mapa de Riesgos'!$O$63),"")</f>
        <v/>
      </c>
      <c r="AL53" s="56" t="str">
        <f>IF(AND('Mapa de Riesgos'!$Y$64="Muy Baja",'Mapa de Riesgos'!$AA$64="Catastrófico"),CONCATENATE("R8C",'Mapa de Riesgos'!$O$64),"")</f>
        <v/>
      </c>
      <c r="AM53" s="57" t="str">
        <f>IF(AND('Mapa de Riesgos'!$Y$65="Muy Baja",'Mapa de Riesgos'!$AA$65="Catastrófico"),CONCATENATE("R8C",'Mapa de Riesgos'!$O$65),"")</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9"/>
      <c r="C54" s="489"/>
      <c r="D54" s="490"/>
      <c r="E54" s="588"/>
      <c r="F54" s="587"/>
      <c r="G54" s="587"/>
      <c r="H54" s="587"/>
      <c r="I54" s="603"/>
      <c r="J54" s="76" t="str">
        <f>IF(AND('Mapa de Riesgos'!$Y$66="Muy Baja",'Mapa de Riesgos'!$AA$66="Leve"),CONCATENATE("R9C",'Mapa de Riesgos'!$O$66),"")</f>
        <v/>
      </c>
      <c r="K54" s="77" t="str">
        <f>IF(AND('Mapa de Riesgos'!$Y$67="Muy Baja",'Mapa de Riesgos'!$AA$67="Leve"),CONCATENATE("R9C",'Mapa de Riesgos'!$O$67),"")</f>
        <v/>
      </c>
      <c r="L54" s="77" t="str">
        <f>IF(AND('Mapa de Riesgos'!$Y$68="Muy Baja",'Mapa de Riesgos'!$AA$68="Leve"),CONCATENATE("R9C",'Mapa de Riesgos'!$O$68),"")</f>
        <v/>
      </c>
      <c r="M54" s="77" t="str">
        <f>IF(AND('Mapa de Riesgos'!$Y$69="Muy Baja",'Mapa de Riesgos'!$AA$69="Leve"),CONCATENATE("R9C",'Mapa de Riesgos'!$O$69),"")</f>
        <v/>
      </c>
      <c r="N54" s="77" t="str">
        <f>IF(AND('Mapa de Riesgos'!$Y$70="Muy Baja",'Mapa de Riesgos'!$AA$70="Leve"),CONCATENATE("R9C",'Mapa de Riesgos'!$O$70),"")</f>
        <v/>
      </c>
      <c r="O54" s="78" t="str">
        <f>IF(AND('Mapa de Riesgos'!$Y$71="Muy Baja",'Mapa de Riesgos'!$AA$71="Leve"),CONCATENATE("R9C",'Mapa de Riesgos'!$O$71),"")</f>
        <v/>
      </c>
      <c r="P54" s="76" t="str">
        <f>IF(AND('Mapa de Riesgos'!$Y$66="Muy Baja",'Mapa de Riesgos'!$AA$66="Menor"),CONCATENATE("R9C",'Mapa de Riesgos'!$O$66),"")</f>
        <v/>
      </c>
      <c r="Q54" s="77" t="str">
        <f>IF(AND('Mapa de Riesgos'!$Y$67="Muy Baja",'Mapa de Riesgos'!$AA$67="Menor"),CONCATENATE("R9C",'Mapa de Riesgos'!$O$67),"")</f>
        <v/>
      </c>
      <c r="R54" s="77" t="str">
        <f>IF(AND('Mapa de Riesgos'!$Y$68="Muy Baja",'Mapa de Riesgos'!$AA$68="Menor"),CONCATENATE("R9C",'Mapa de Riesgos'!$O$68),"")</f>
        <v/>
      </c>
      <c r="S54" s="77" t="str">
        <f>IF(AND('Mapa de Riesgos'!$Y$69="Muy Baja",'Mapa de Riesgos'!$AA$69="Menor"),CONCATENATE("R9C",'Mapa de Riesgos'!$O$69),"")</f>
        <v/>
      </c>
      <c r="T54" s="77" t="str">
        <f>IF(AND('Mapa de Riesgos'!$Y$70="Muy Baja",'Mapa de Riesgos'!$AA$70="Menor"),CONCATENATE("R9C",'Mapa de Riesgos'!$O$70),"")</f>
        <v/>
      </c>
      <c r="U54" s="78" t="str">
        <f>IF(AND('Mapa de Riesgos'!$Y$71="Muy Baja",'Mapa de Riesgos'!$AA$71="Menor"),CONCATENATE("R9C",'Mapa de Riesgos'!$O$71),"")</f>
        <v/>
      </c>
      <c r="V54" s="67" t="str">
        <f>IF(AND('Mapa de Riesgos'!$Y$66="Muy Baja",'Mapa de Riesgos'!$AA$66="Moderado"),CONCATENATE("R9C",'Mapa de Riesgos'!$O$66),"")</f>
        <v/>
      </c>
      <c r="W54" s="68" t="str">
        <f>IF(AND('Mapa de Riesgos'!$Y$67="Muy Baja",'Mapa de Riesgos'!$AA$67="Moderado"),CONCATENATE("R9C",'Mapa de Riesgos'!$O$67),"")</f>
        <v/>
      </c>
      <c r="X54" s="68" t="str">
        <f>IF(AND('Mapa de Riesgos'!$Y$68="Muy Baja",'Mapa de Riesgos'!$AA$68="Moderado"),CONCATENATE("R9C",'Mapa de Riesgos'!$O$68),"")</f>
        <v/>
      </c>
      <c r="Y54" s="68" t="str">
        <f>IF(AND('Mapa de Riesgos'!$Y$69="Muy Baja",'Mapa de Riesgos'!$AA$69="Moderado"),CONCATENATE("R9C",'Mapa de Riesgos'!$O$69),"")</f>
        <v/>
      </c>
      <c r="Z54" s="68" t="str">
        <f>IF(AND('Mapa de Riesgos'!$Y$70="Muy Baja",'Mapa de Riesgos'!$AA$70="Moderado"),CONCATENATE("R9C",'Mapa de Riesgos'!$O$70),"")</f>
        <v/>
      </c>
      <c r="AA54" s="69" t="str">
        <f>IF(AND('Mapa de Riesgos'!$Y$71="Muy Baja",'Mapa de Riesgos'!$AA$71="Moderado"),CONCATENATE("R9C",'Mapa de Riesgos'!$O$71),"")</f>
        <v/>
      </c>
      <c r="AB54" s="52" t="str">
        <f>IF(AND('Mapa de Riesgos'!$Y$66="Muy Baja",'Mapa de Riesgos'!$AA$66="Mayor"),CONCATENATE("R9C",'Mapa de Riesgos'!$O$66),"")</f>
        <v/>
      </c>
      <c r="AC54" s="53" t="str">
        <f>IF(AND('Mapa de Riesgos'!$Y$67="Muy Baja",'Mapa de Riesgos'!$AA$67="Mayor"),CONCATENATE("R9C",'Mapa de Riesgos'!$O$67),"")</f>
        <v/>
      </c>
      <c r="AD54" s="53" t="str">
        <f>IF(AND('Mapa de Riesgos'!$Y$68="Muy Baja",'Mapa de Riesgos'!$AA$68="Mayor"),CONCATENATE("R9C",'Mapa de Riesgos'!$O$68),"")</f>
        <v/>
      </c>
      <c r="AE54" s="53" t="str">
        <f>IF(AND('Mapa de Riesgos'!$Y$69="Muy Baja",'Mapa de Riesgos'!$AA$69="Mayor"),CONCATENATE("R9C",'Mapa de Riesgos'!$O$69),"")</f>
        <v/>
      </c>
      <c r="AF54" s="53" t="str">
        <f>IF(AND('Mapa de Riesgos'!$Y$70="Muy Baja",'Mapa de Riesgos'!$AA$70="Mayor"),CONCATENATE("R9C",'Mapa de Riesgos'!$O$70),"")</f>
        <v/>
      </c>
      <c r="AG54" s="54" t="str">
        <f>IF(AND('Mapa de Riesgos'!$Y$71="Muy Baja",'Mapa de Riesgos'!$AA$71="Mayor"),CONCATENATE("R9C",'Mapa de Riesgos'!$O$71),"")</f>
        <v/>
      </c>
      <c r="AH54" s="55" t="str">
        <f>IF(AND('Mapa de Riesgos'!$Y$66="Muy Baja",'Mapa de Riesgos'!$AA$66="Catastrófico"),CONCATENATE("R9C",'Mapa de Riesgos'!$O$66),"")</f>
        <v/>
      </c>
      <c r="AI54" s="56" t="str">
        <f>IF(AND('Mapa de Riesgos'!$Y$67="Muy Baja",'Mapa de Riesgos'!$AA$67="Catastrófico"),CONCATENATE("R9C",'Mapa de Riesgos'!$O$67),"")</f>
        <v/>
      </c>
      <c r="AJ54" s="56" t="str">
        <f>IF(AND('Mapa de Riesgos'!$Y$68="Muy Baja",'Mapa de Riesgos'!$AA$68="Catastrófico"),CONCATENATE("R9C",'Mapa de Riesgos'!$O$68),"")</f>
        <v/>
      </c>
      <c r="AK54" s="56" t="str">
        <f>IF(AND('Mapa de Riesgos'!$Y$69="Muy Baja",'Mapa de Riesgos'!$AA$69="Catastrófico"),CONCATENATE("R9C",'Mapa de Riesgos'!$O$69),"")</f>
        <v/>
      </c>
      <c r="AL54" s="56" t="str">
        <f>IF(AND('Mapa de Riesgos'!$Y$70="Muy Baja",'Mapa de Riesgos'!$AA$70="Catastrófico"),CONCATENATE("R9C",'Mapa de Riesgos'!$O$70),"")</f>
        <v/>
      </c>
      <c r="AM54" s="57" t="str">
        <f>IF(AND('Mapa de Riesgos'!$Y$71="Muy Baja",'Mapa de Riesgos'!$AA$71="Catastrófico"),CONCATENATE("R9C",'Mapa de Riesgos'!$O$71),"")</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9"/>
      <c r="C55" s="489"/>
      <c r="D55" s="490"/>
      <c r="E55" s="589"/>
      <c r="F55" s="590"/>
      <c r="G55" s="590"/>
      <c r="H55" s="590"/>
      <c r="I55" s="604"/>
      <c r="J55" s="79" t="str">
        <f>IF(AND('Mapa de Riesgos'!$Y$72="Muy Baja",'Mapa de Riesgos'!$AA$72="Leve"),CONCATENATE("R10C",'Mapa de Riesgos'!$O$72),"")</f>
        <v/>
      </c>
      <c r="K55" s="80" t="str">
        <f>IF(AND('Mapa de Riesgos'!$Y$73="Muy Baja",'Mapa de Riesgos'!$AA$73="Leve"),CONCATENATE("R10C",'Mapa de Riesgos'!$O$73),"")</f>
        <v/>
      </c>
      <c r="L55" s="80" t="str">
        <f>IF(AND('Mapa de Riesgos'!$Y$74="Muy Baja",'Mapa de Riesgos'!$AA$74="Leve"),CONCATENATE("R10C",'Mapa de Riesgos'!$O$74),"")</f>
        <v/>
      </c>
      <c r="M55" s="80" t="str">
        <f>IF(AND('Mapa de Riesgos'!$Y$75="Muy Baja",'Mapa de Riesgos'!$AA$75="Leve"),CONCATENATE("R10C",'Mapa de Riesgos'!$O$75),"")</f>
        <v/>
      </c>
      <c r="N55" s="80" t="str">
        <f>IF(AND('Mapa de Riesgos'!$Y$76="Muy Baja",'Mapa de Riesgos'!$AA$76="Leve"),CONCATENATE("R10C",'Mapa de Riesgos'!$O$76),"")</f>
        <v/>
      </c>
      <c r="O55" s="81" t="str">
        <f>IF(AND('Mapa de Riesgos'!$Y$77="Muy Baja",'Mapa de Riesgos'!$AA$77="Leve"),CONCATENATE("R10C",'Mapa de Riesgos'!$O$77),"")</f>
        <v/>
      </c>
      <c r="P55" s="79" t="str">
        <f>IF(AND('Mapa de Riesgos'!$Y$72="Muy Baja",'Mapa de Riesgos'!$AA$72="Menor"),CONCATENATE("R10C",'Mapa de Riesgos'!$O$72),"")</f>
        <v/>
      </c>
      <c r="Q55" s="80" t="str">
        <f>IF(AND('Mapa de Riesgos'!$Y$73="Muy Baja",'Mapa de Riesgos'!$AA$73="Menor"),CONCATENATE("R10C",'Mapa de Riesgos'!$O$73),"")</f>
        <v/>
      </c>
      <c r="R55" s="80" t="str">
        <f>IF(AND('Mapa de Riesgos'!$Y$74="Muy Baja",'Mapa de Riesgos'!$AA$74="Menor"),CONCATENATE("R10C",'Mapa de Riesgos'!$O$74),"")</f>
        <v/>
      </c>
      <c r="S55" s="80" t="str">
        <f>IF(AND('Mapa de Riesgos'!$Y$75="Muy Baja",'Mapa de Riesgos'!$AA$75="Menor"),CONCATENATE("R10C",'Mapa de Riesgos'!$O$75),"")</f>
        <v/>
      </c>
      <c r="T55" s="80" t="str">
        <f>IF(AND('Mapa de Riesgos'!$Y$76="Muy Baja",'Mapa de Riesgos'!$AA$76="Menor"),CONCATENATE("R10C",'Mapa de Riesgos'!$O$76),"")</f>
        <v/>
      </c>
      <c r="U55" s="81" t="str">
        <f>IF(AND('Mapa de Riesgos'!$Y$77="Muy Baja",'Mapa de Riesgos'!$AA$77="Menor"),CONCATENATE("R10C",'Mapa de Riesgos'!$O$77),"")</f>
        <v/>
      </c>
      <c r="V55" s="70" t="str">
        <f>IF(AND('Mapa de Riesgos'!$Y$72="Muy Baja",'Mapa de Riesgos'!$AA$72="Moderado"),CONCATENATE("R10C",'Mapa de Riesgos'!$O$72),"")</f>
        <v/>
      </c>
      <c r="W55" s="71" t="str">
        <f>IF(AND('Mapa de Riesgos'!$Y$73="Muy Baja",'Mapa de Riesgos'!$AA$73="Moderado"),CONCATENATE("R10C",'Mapa de Riesgos'!$O$73),"")</f>
        <v/>
      </c>
      <c r="X55" s="71" t="str">
        <f>IF(AND('Mapa de Riesgos'!$Y$74="Muy Baja",'Mapa de Riesgos'!$AA$74="Moderado"),CONCATENATE("R10C",'Mapa de Riesgos'!$O$74),"")</f>
        <v/>
      </c>
      <c r="Y55" s="71" t="str">
        <f>IF(AND('Mapa de Riesgos'!$Y$75="Muy Baja",'Mapa de Riesgos'!$AA$75="Moderado"),CONCATENATE("R10C",'Mapa de Riesgos'!$O$75),"")</f>
        <v/>
      </c>
      <c r="Z55" s="71" t="str">
        <f>IF(AND('Mapa de Riesgos'!$Y$76="Muy Baja",'Mapa de Riesgos'!$AA$76="Moderado"),CONCATENATE("R10C",'Mapa de Riesgos'!$O$76),"")</f>
        <v/>
      </c>
      <c r="AA55" s="72" t="str">
        <f>IF(AND('Mapa de Riesgos'!$Y$77="Muy Baja",'Mapa de Riesgos'!$AA$77="Moderado"),CONCATENATE("R10C",'Mapa de Riesgos'!$O$77),"")</f>
        <v/>
      </c>
      <c r="AB55" s="58" t="str">
        <f>IF(AND('Mapa de Riesgos'!$Y$72="Muy Baja",'Mapa de Riesgos'!$AA$72="Mayor"),CONCATENATE("R10C",'Mapa de Riesgos'!$O$72),"")</f>
        <v/>
      </c>
      <c r="AC55" s="59" t="str">
        <f>IF(AND('Mapa de Riesgos'!$Y$73="Muy Baja",'Mapa de Riesgos'!$AA$73="Mayor"),CONCATENATE("R10C",'Mapa de Riesgos'!$O$73),"")</f>
        <v/>
      </c>
      <c r="AD55" s="59" t="str">
        <f>IF(AND('Mapa de Riesgos'!$Y$74="Muy Baja",'Mapa de Riesgos'!$AA$74="Mayor"),CONCATENATE("R10C",'Mapa de Riesgos'!$O$74),"")</f>
        <v/>
      </c>
      <c r="AE55" s="59" t="str">
        <f>IF(AND('Mapa de Riesgos'!$Y$75="Muy Baja",'Mapa de Riesgos'!$AA$75="Mayor"),CONCATENATE("R10C",'Mapa de Riesgos'!$O$75),"")</f>
        <v/>
      </c>
      <c r="AF55" s="59" t="str">
        <f>IF(AND('Mapa de Riesgos'!$Y$76="Muy Baja",'Mapa de Riesgos'!$AA$76="Mayor"),CONCATENATE("R10C",'Mapa de Riesgos'!$O$76),"")</f>
        <v/>
      </c>
      <c r="AG55" s="60" t="str">
        <f>IF(AND('Mapa de Riesgos'!$Y$77="Muy Baja",'Mapa de Riesgos'!$AA$77="Mayor"),CONCATENATE("R10C",'Mapa de Riesgos'!$O$77),"")</f>
        <v/>
      </c>
      <c r="AH55" s="61" t="str">
        <f>IF(AND('Mapa de Riesgos'!$Y$72="Muy Baja",'Mapa de Riesgos'!$AA$72="Catastrófico"),CONCATENATE("R10C",'Mapa de Riesgos'!$O$72),"")</f>
        <v/>
      </c>
      <c r="AI55" s="62" t="str">
        <f>IF(AND('Mapa de Riesgos'!$Y$73="Muy Baja",'Mapa de Riesgos'!$AA$73="Catastrófico"),CONCATENATE("R10C",'Mapa de Riesgos'!$O$73),"")</f>
        <v/>
      </c>
      <c r="AJ55" s="62" t="str">
        <f>IF(AND('Mapa de Riesgos'!$Y$74="Muy Baja",'Mapa de Riesgos'!$AA$74="Catastrófico"),CONCATENATE("R10C",'Mapa de Riesgos'!$O$74),"")</f>
        <v/>
      </c>
      <c r="AK55" s="62" t="str">
        <f>IF(AND('Mapa de Riesgos'!$Y$75="Muy Baja",'Mapa de Riesgos'!$AA$75="Catastrófico"),CONCATENATE("R10C",'Mapa de Riesgos'!$O$75),"")</f>
        <v/>
      </c>
      <c r="AL55" s="62" t="str">
        <f>IF(AND('Mapa de Riesgos'!$Y$76="Muy Baja",'Mapa de Riesgos'!$AA$76="Catastrófico"),CONCATENATE("R10C",'Mapa de Riesgos'!$O$76),"")</f>
        <v/>
      </c>
      <c r="AM55" s="63" t="str">
        <f>IF(AND('Mapa de Riesgos'!$Y$77="Muy Baja",'Mapa de Riesgos'!$AA$77="Catastrófico"),CONCATENATE("R10C",'Mapa de Riesgos'!$O$77),"")</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84" t="s">
        <v>108</v>
      </c>
      <c r="K56" s="585"/>
      <c r="L56" s="585"/>
      <c r="M56" s="585"/>
      <c r="N56" s="585"/>
      <c r="O56" s="602"/>
      <c r="P56" s="584" t="s">
        <v>107</v>
      </c>
      <c r="Q56" s="585"/>
      <c r="R56" s="585"/>
      <c r="S56" s="585"/>
      <c r="T56" s="585"/>
      <c r="U56" s="602"/>
      <c r="V56" s="584" t="s">
        <v>106</v>
      </c>
      <c r="W56" s="585"/>
      <c r="X56" s="585"/>
      <c r="Y56" s="585"/>
      <c r="Z56" s="585"/>
      <c r="AA56" s="602"/>
      <c r="AB56" s="584" t="s">
        <v>105</v>
      </c>
      <c r="AC56" s="623"/>
      <c r="AD56" s="585"/>
      <c r="AE56" s="585"/>
      <c r="AF56" s="585"/>
      <c r="AG56" s="602"/>
      <c r="AH56" s="584" t="s">
        <v>104</v>
      </c>
      <c r="AI56" s="585"/>
      <c r="AJ56" s="585"/>
      <c r="AK56" s="585"/>
      <c r="AL56" s="585"/>
      <c r="AM56" s="60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88"/>
      <c r="K57" s="587"/>
      <c r="L57" s="587"/>
      <c r="M57" s="587"/>
      <c r="N57" s="587"/>
      <c r="O57" s="603"/>
      <c r="P57" s="588"/>
      <c r="Q57" s="587"/>
      <c r="R57" s="587"/>
      <c r="S57" s="587"/>
      <c r="T57" s="587"/>
      <c r="U57" s="603"/>
      <c r="V57" s="588"/>
      <c r="W57" s="587"/>
      <c r="X57" s="587"/>
      <c r="Y57" s="587"/>
      <c r="Z57" s="587"/>
      <c r="AA57" s="603"/>
      <c r="AB57" s="588"/>
      <c r="AC57" s="587"/>
      <c r="AD57" s="587"/>
      <c r="AE57" s="587"/>
      <c r="AF57" s="587"/>
      <c r="AG57" s="603"/>
      <c r="AH57" s="588"/>
      <c r="AI57" s="587"/>
      <c r="AJ57" s="587"/>
      <c r="AK57" s="587"/>
      <c r="AL57" s="587"/>
      <c r="AM57" s="60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88"/>
      <c r="K58" s="587"/>
      <c r="L58" s="587"/>
      <c r="M58" s="587"/>
      <c r="N58" s="587"/>
      <c r="O58" s="603"/>
      <c r="P58" s="588"/>
      <c r="Q58" s="587"/>
      <c r="R58" s="587"/>
      <c r="S58" s="587"/>
      <c r="T58" s="587"/>
      <c r="U58" s="603"/>
      <c r="V58" s="588"/>
      <c r="W58" s="587"/>
      <c r="X58" s="587"/>
      <c r="Y58" s="587"/>
      <c r="Z58" s="587"/>
      <c r="AA58" s="603"/>
      <c r="AB58" s="588"/>
      <c r="AC58" s="587"/>
      <c r="AD58" s="587"/>
      <c r="AE58" s="587"/>
      <c r="AF58" s="587"/>
      <c r="AG58" s="603"/>
      <c r="AH58" s="588"/>
      <c r="AI58" s="587"/>
      <c r="AJ58" s="587"/>
      <c r="AK58" s="587"/>
      <c r="AL58" s="587"/>
      <c r="AM58" s="60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88"/>
      <c r="K59" s="587"/>
      <c r="L59" s="587"/>
      <c r="M59" s="587"/>
      <c r="N59" s="587"/>
      <c r="O59" s="603"/>
      <c r="P59" s="588"/>
      <c r="Q59" s="587"/>
      <c r="R59" s="587"/>
      <c r="S59" s="587"/>
      <c r="T59" s="587"/>
      <c r="U59" s="603"/>
      <c r="V59" s="588"/>
      <c r="W59" s="587"/>
      <c r="X59" s="587"/>
      <c r="Y59" s="587"/>
      <c r="Z59" s="587"/>
      <c r="AA59" s="603"/>
      <c r="AB59" s="588"/>
      <c r="AC59" s="587"/>
      <c r="AD59" s="587"/>
      <c r="AE59" s="587"/>
      <c r="AF59" s="587"/>
      <c r="AG59" s="603"/>
      <c r="AH59" s="588"/>
      <c r="AI59" s="587"/>
      <c r="AJ59" s="587"/>
      <c r="AK59" s="587"/>
      <c r="AL59" s="587"/>
      <c r="AM59" s="60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88"/>
      <c r="K60" s="587"/>
      <c r="L60" s="587"/>
      <c r="M60" s="587"/>
      <c r="N60" s="587"/>
      <c r="O60" s="603"/>
      <c r="P60" s="588"/>
      <c r="Q60" s="587"/>
      <c r="R60" s="587"/>
      <c r="S60" s="587"/>
      <c r="T60" s="587"/>
      <c r="U60" s="603"/>
      <c r="V60" s="588"/>
      <c r="W60" s="587"/>
      <c r="X60" s="587"/>
      <c r="Y60" s="587"/>
      <c r="Z60" s="587"/>
      <c r="AA60" s="603"/>
      <c r="AB60" s="588"/>
      <c r="AC60" s="587"/>
      <c r="AD60" s="587"/>
      <c r="AE60" s="587"/>
      <c r="AF60" s="587"/>
      <c r="AG60" s="603"/>
      <c r="AH60" s="588"/>
      <c r="AI60" s="587"/>
      <c r="AJ60" s="587"/>
      <c r="AK60" s="587"/>
      <c r="AL60" s="587"/>
      <c r="AM60" s="60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89"/>
      <c r="K61" s="590"/>
      <c r="L61" s="590"/>
      <c r="M61" s="590"/>
      <c r="N61" s="590"/>
      <c r="O61" s="604"/>
      <c r="P61" s="589"/>
      <c r="Q61" s="590"/>
      <c r="R61" s="590"/>
      <c r="S61" s="590"/>
      <c r="T61" s="590"/>
      <c r="U61" s="604"/>
      <c r="V61" s="589"/>
      <c r="W61" s="590"/>
      <c r="X61" s="590"/>
      <c r="Y61" s="590"/>
      <c r="Z61" s="590"/>
      <c r="AA61" s="604"/>
      <c r="AB61" s="589"/>
      <c r="AC61" s="590"/>
      <c r="AD61" s="590"/>
      <c r="AE61" s="590"/>
      <c r="AF61" s="590"/>
      <c r="AG61" s="604"/>
      <c r="AH61" s="589"/>
      <c r="AI61" s="590"/>
      <c r="AJ61" s="590"/>
      <c r="AK61" s="590"/>
      <c r="AL61" s="590"/>
      <c r="AM61" s="60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624" t="s">
        <v>51</v>
      </c>
      <c r="C1" s="624"/>
      <c r="D1" s="62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48</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47</v>
      </c>
      <c r="C4" s="14" t="s">
        <v>98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49</v>
      </c>
      <c r="C5" s="17" t="s">
        <v>99</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103</v>
      </c>
      <c r="C6" s="17" t="s">
        <v>100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50</v>
      </c>
      <c r="C8" s="17" t="s">
        <v>102</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25" t="s">
        <v>59</v>
      </c>
      <c r="C1" s="625"/>
      <c r="D1" s="62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52</v>
      </c>
      <c r="D3" s="36" t="s">
        <v>53</v>
      </c>
      <c r="E3" s="83"/>
      <c r="F3" s="83"/>
      <c r="G3" s="83"/>
      <c r="H3" s="83"/>
      <c r="I3" s="83"/>
      <c r="J3" s="83"/>
      <c r="K3" s="83"/>
      <c r="L3" s="83"/>
      <c r="M3" s="83"/>
      <c r="N3" s="83"/>
      <c r="O3" s="83"/>
      <c r="P3" s="83"/>
      <c r="Q3" s="83"/>
      <c r="R3" s="83"/>
      <c r="S3" s="83"/>
      <c r="T3" s="83"/>
      <c r="U3" s="83"/>
    </row>
    <row r="4" spans="1:21" ht="33.75" x14ac:dyDescent="0.25">
      <c r="A4" s="100" t="s">
        <v>79</v>
      </c>
      <c r="B4" s="39" t="s">
        <v>97</v>
      </c>
      <c r="C4" s="44" t="s">
        <v>153</v>
      </c>
      <c r="D4" s="37" t="s">
        <v>93</v>
      </c>
      <c r="E4" s="83"/>
      <c r="F4" s="83"/>
      <c r="G4" s="83"/>
      <c r="H4" s="83"/>
      <c r="I4" s="83"/>
      <c r="J4" s="83"/>
      <c r="K4" s="83"/>
      <c r="L4" s="83"/>
      <c r="M4" s="83"/>
      <c r="N4" s="83"/>
      <c r="O4" s="83"/>
      <c r="P4" s="83"/>
      <c r="Q4" s="83"/>
      <c r="R4" s="83"/>
      <c r="S4" s="83"/>
      <c r="T4" s="83"/>
      <c r="U4" s="83"/>
    </row>
    <row r="5" spans="1:21" ht="67.5" x14ac:dyDescent="0.25">
      <c r="A5" s="100" t="s">
        <v>80</v>
      </c>
      <c r="B5" s="40" t="s">
        <v>55</v>
      </c>
      <c r="C5" s="45" t="s">
        <v>89</v>
      </c>
      <c r="D5" s="38" t="s">
        <v>94</v>
      </c>
      <c r="E5" s="83"/>
      <c r="F5" s="83"/>
      <c r="G5" s="83"/>
      <c r="H5" s="83"/>
      <c r="I5" s="83"/>
      <c r="J5" s="83"/>
      <c r="K5" s="83"/>
      <c r="L5" s="83"/>
      <c r="M5" s="83"/>
      <c r="N5" s="83"/>
      <c r="O5" s="83"/>
      <c r="P5" s="83"/>
      <c r="Q5" s="83"/>
      <c r="R5" s="83"/>
      <c r="S5" s="83"/>
      <c r="T5" s="83"/>
      <c r="U5" s="83"/>
    </row>
    <row r="6" spans="1:21" ht="67.5" x14ac:dyDescent="0.25">
      <c r="A6" s="100" t="s">
        <v>77</v>
      </c>
      <c r="B6" s="41" t="s">
        <v>56</v>
      </c>
      <c r="C6" s="45" t="s">
        <v>90</v>
      </c>
      <c r="D6" s="38" t="s">
        <v>96</v>
      </c>
      <c r="E6" s="83"/>
      <c r="F6" s="83"/>
      <c r="G6" s="83"/>
      <c r="H6" s="83"/>
      <c r="I6" s="83"/>
      <c r="J6" s="83"/>
      <c r="K6" s="83"/>
      <c r="L6" s="83"/>
      <c r="M6" s="83"/>
      <c r="N6" s="83"/>
      <c r="O6" s="83"/>
      <c r="P6" s="83"/>
      <c r="Q6" s="83"/>
      <c r="R6" s="83"/>
      <c r="S6" s="83"/>
      <c r="T6" s="83"/>
      <c r="U6" s="83"/>
    </row>
    <row r="7" spans="1:21" ht="101.25" x14ac:dyDescent="0.25">
      <c r="A7" s="100" t="s">
        <v>7</v>
      </c>
      <c r="B7" s="42" t="s">
        <v>57</v>
      </c>
      <c r="C7" s="45" t="s">
        <v>91</v>
      </c>
      <c r="D7" s="38" t="s">
        <v>95</v>
      </c>
      <c r="E7" s="83"/>
      <c r="F7" s="83"/>
      <c r="G7" s="83"/>
      <c r="H7" s="83"/>
      <c r="I7" s="83"/>
      <c r="J7" s="83"/>
      <c r="K7" s="83"/>
      <c r="L7" s="83"/>
      <c r="M7" s="83"/>
      <c r="N7" s="83"/>
      <c r="O7" s="83"/>
      <c r="P7" s="83"/>
      <c r="Q7" s="83"/>
      <c r="R7" s="83"/>
      <c r="S7" s="83"/>
      <c r="T7" s="83"/>
      <c r="U7" s="83"/>
    </row>
    <row r="8" spans="1:21" ht="67.5" x14ac:dyDescent="0.25">
      <c r="A8" s="100" t="s">
        <v>81</v>
      </c>
      <c r="B8" s="43" t="s">
        <v>58</v>
      </c>
      <c r="C8" s="45" t="s">
        <v>92</v>
      </c>
      <c r="D8" s="38" t="s">
        <v>114</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87</v>
      </c>
      <c r="C11" s="100" t="s">
        <v>141</v>
      </c>
      <c r="D11" s="100" t="s">
        <v>148</v>
      </c>
      <c r="E11" s="83"/>
      <c r="F11" s="83"/>
      <c r="G11" s="83"/>
      <c r="H11" s="83"/>
      <c r="I11" s="83"/>
      <c r="J11" s="83"/>
      <c r="K11" s="83"/>
      <c r="L11" s="83"/>
      <c r="M11" s="83"/>
      <c r="N11" s="83"/>
      <c r="O11" s="83"/>
      <c r="P11" s="83"/>
      <c r="Q11" s="83"/>
      <c r="R11" s="83"/>
      <c r="S11" s="83"/>
      <c r="T11" s="83"/>
      <c r="U11" s="83"/>
    </row>
    <row r="12" spans="1:21" x14ac:dyDescent="0.25">
      <c r="A12" s="100"/>
      <c r="B12" s="100" t="s">
        <v>85</v>
      </c>
      <c r="C12" s="100" t="s">
        <v>145</v>
      </c>
      <c r="D12" s="100" t="s">
        <v>149</v>
      </c>
      <c r="E12" s="83"/>
      <c r="F12" s="83"/>
      <c r="G12" s="83"/>
      <c r="H12" s="83"/>
      <c r="I12" s="83"/>
      <c r="J12" s="83"/>
      <c r="K12" s="83"/>
      <c r="L12" s="83"/>
      <c r="M12" s="83"/>
      <c r="N12" s="83"/>
      <c r="O12" s="83"/>
      <c r="P12" s="83"/>
      <c r="Q12" s="83"/>
      <c r="R12" s="83"/>
      <c r="S12" s="83"/>
      <c r="T12" s="83"/>
      <c r="U12" s="83"/>
    </row>
    <row r="13" spans="1:21" x14ac:dyDescent="0.25">
      <c r="A13" s="100"/>
      <c r="B13" s="100"/>
      <c r="C13" s="100" t="s">
        <v>144</v>
      </c>
      <c r="D13" s="100" t="s">
        <v>150</v>
      </c>
      <c r="E13" s="83"/>
      <c r="F13" s="83"/>
      <c r="G13" s="83"/>
      <c r="H13" s="83"/>
      <c r="I13" s="83"/>
      <c r="J13" s="83"/>
      <c r="K13" s="83"/>
      <c r="L13" s="83"/>
      <c r="M13" s="83"/>
      <c r="N13" s="83"/>
      <c r="O13" s="83"/>
      <c r="P13" s="83"/>
      <c r="Q13" s="83"/>
      <c r="R13" s="83"/>
      <c r="S13" s="83"/>
      <c r="T13" s="83"/>
      <c r="U13" s="83"/>
    </row>
    <row r="14" spans="1:21" x14ac:dyDescent="0.25">
      <c r="A14" s="100"/>
      <c r="B14" s="100"/>
      <c r="C14" s="100" t="s">
        <v>146</v>
      </c>
      <c r="D14" s="100" t="s">
        <v>151</v>
      </c>
      <c r="E14" s="83"/>
      <c r="F14" s="83"/>
      <c r="G14" s="83"/>
      <c r="H14" s="83"/>
      <c r="I14" s="83"/>
      <c r="J14" s="83"/>
      <c r="K14" s="83"/>
      <c r="L14" s="83"/>
      <c r="M14" s="83"/>
      <c r="N14" s="83"/>
      <c r="O14" s="83"/>
      <c r="P14" s="83"/>
      <c r="Q14" s="83"/>
      <c r="R14" s="83"/>
      <c r="S14" s="83"/>
      <c r="T14" s="83"/>
      <c r="U14" s="83"/>
    </row>
    <row r="15" spans="1:21" x14ac:dyDescent="0.25">
      <c r="A15" s="100"/>
      <c r="B15" s="100"/>
      <c r="C15" s="100" t="s">
        <v>147</v>
      </c>
      <c r="D15" s="100" t="s">
        <v>152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84</v>
      </c>
      <c r="C209" s="30" t="s">
        <v>140</v>
      </c>
      <c r="D209" s="33" t="s">
        <v>84</v>
      </c>
      <c r="E209" s="33" t="s">
        <v>140</v>
      </c>
    </row>
    <row r="210" spans="1:8" ht="21" x14ac:dyDescent="0.35">
      <c r="A210" s="83"/>
      <c r="B210" s="31" t="s">
        <v>86</v>
      </c>
      <c r="C210" s="31" t="s">
        <v>54</v>
      </c>
      <c r="D210" t="s">
        <v>86</v>
      </c>
      <c r="F210" t="str">
        <f>IF(NOT(ISBLANK(D210)),D210,IF(NOT(ISBLANK(E210)),"     "&amp;E210,FALSE))</f>
        <v>Afectación Económica o presupuestal</v>
      </c>
      <c r="G210" t="s">
        <v>86</v>
      </c>
      <c r="H210" t="str">
        <f>IF(NOT(ISERROR(MATCH(G210,_xlfn.ANCHORARRAY(B221),0))),F223&amp;"Por favor no seleccionar los criterios de impacto",G210)</f>
        <v>❌Por favor no seleccionar los criterios de impacto</v>
      </c>
    </row>
    <row r="211" spans="1:8" ht="21" x14ac:dyDescent="0.35">
      <c r="A211" s="83"/>
      <c r="B211" s="31" t="s">
        <v>86</v>
      </c>
      <c r="C211" s="31" t="s">
        <v>89</v>
      </c>
      <c r="E211" t="s">
        <v>54</v>
      </c>
      <c r="F211" t="str">
        <f t="shared" ref="F211:F221" si="0">IF(NOT(ISBLANK(D211)),D211,IF(NOT(ISBLANK(E211)),"     "&amp;E211,FALSE))</f>
        <v xml:space="preserve">     Afectación menor a 10 SMLMV .</v>
      </c>
    </row>
    <row r="212" spans="1:8" ht="21" x14ac:dyDescent="0.35">
      <c r="A212" s="83"/>
      <c r="B212" s="31" t="s">
        <v>86</v>
      </c>
      <c r="C212" s="31" t="s">
        <v>90</v>
      </c>
      <c r="E212" t="s">
        <v>89</v>
      </c>
      <c r="F212" t="str">
        <f t="shared" si="0"/>
        <v xml:space="preserve">     Entre 10 y 50 SMLMV </v>
      </c>
    </row>
    <row r="213" spans="1:8" ht="21" x14ac:dyDescent="0.35">
      <c r="A213" s="83"/>
      <c r="B213" s="31" t="s">
        <v>86</v>
      </c>
      <c r="C213" s="31" t="s">
        <v>91</v>
      </c>
      <c r="E213" t="s">
        <v>90</v>
      </c>
      <c r="F213" t="str">
        <f t="shared" si="0"/>
        <v xml:space="preserve">     Entre 50 y 100 SMLMV </v>
      </c>
    </row>
    <row r="214" spans="1:8" ht="21" x14ac:dyDescent="0.35">
      <c r="A214" s="83"/>
      <c r="B214" s="31" t="s">
        <v>86</v>
      </c>
      <c r="C214" s="31" t="s">
        <v>92</v>
      </c>
      <c r="E214" t="s">
        <v>91</v>
      </c>
      <c r="F214" t="str">
        <f t="shared" si="0"/>
        <v xml:space="preserve">     Entre 100 y 500 SMLMV </v>
      </c>
    </row>
    <row r="215" spans="1:8" ht="21" x14ac:dyDescent="0.35">
      <c r="A215" s="83"/>
      <c r="B215" s="31" t="s">
        <v>53</v>
      </c>
      <c r="C215" s="31" t="s">
        <v>93</v>
      </c>
      <c r="E215" t="s">
        <v>92</v>
      </c>
      <c r="F215" t="str">
        <f t="shared" si="0"/>
        <v xml:space="preserve">     Mayor a 500 SMLMV </v>
      </c>
    </row>
    <row r="216" spans="1:8" ht="21" x14ac:dyDescent="0.35">
      <c r="A216" s="83"/>
      <c r="B216" s="31" t="s">
        <v>53</v>
      </c>
      <c r="C216" s="31" t="s">
        <v>94</v>
      </c>
      <c r="D216" t="s">
        <v>53</v>
      </c>
      <c r="F216" t="str">
        <f t="shared" si="0"/>
        <v>Pérdida Reputacional</v>
      </c>
    </row>
    <row r="217" spans="1:8" ht="21" x14ac:dyDescent="0.35">
      <c r="A217" s="83"/>
      <c r="B217" s="31" t="s">
        <v>53</v>
      </c>
      <c r="C217" s="31" t="s">
        <v>96</v>
      </c>
      <c r="E217" t="s">
        <v>93</v>
      </c>
      <c r="F217" t="str">
        <f t="shared" si="0"/>
        <v xml:space="preserve">     El riesgo afecta la imagen de alguna área de la organización</v>
      </c>
    </row>
    <row r="218" spans="1:8" ht="21" x14ac:dyDescent="0.35">
      <c r="A218" s="83"/>
      <c r="B218" s="31" t="s">
        <v>53</v>
      </c>
      <c r="C218" s="31" t="s">
        <v>95</v>
      </c>
      <c r="E218" t="s">
        <v>94</v>
      </c>
      <c r="F218" t="str">
        <f t="shared" si="0"/>
        <v xml:space="preserve">     El riesgo afecta la imagen de la entidad internamente, de conocimiento general, nivel interno, de junta dircetiva y accionistas y/o de provedores</v>
      </c>
    </row>
    <row r="219" spans="1:8" ht="21" x14ac:dyDescent="0.35">
      <c r="A219" s="83"/>
      <c r="B219" s="31" t="s">
        <v>53</v>
      </c>
      <c r="C219" s="31" t="s">
        <v>114</v>
      </c>
      <c r="E219" t="s">
        <v>96</v>
      </c>
      <c r="F219" t="str">
        <f t="shared" si="0"/>
        <v xml:space="preserve">     El riesgo afecta la imagen de la entidad con algunos usuarios de relevancia frente al logro de los objetivos</v>
      </c>
    </row>
    <row r="220" spans="1:8" x14ac:dyDescent="0.25">
      <c r="A220" s="83"/>
      <c r="B220" s="32"/>
      <c r="C220" s="32"/>
      <c r="E220" t="s">
        <v>95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114</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142</v>
      </c>
    </row>
    <row r="224" spans="1:8" x14ac:dyDescent="0.25">
      <c r="B224" s="22"/>
      <c r="C224" s="22"/>
      <c r="F224" s="35" t="s">
        <v>143</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26" t="s">
        <v>74</v>
      </c>
      <c r="C1" s="627"/>
      <c r="D1" s="627"/>
      <c r="E1" s="627"/>
      <c r="F1" s="628"/>
    </row>
    <row r="2" spans="2:6" ht="16.5" thickBot="1" x14ac:dyDescent="0.3">
      <c r="B2" s="86"/>
      <c r="C2" s="86"/>
      <c r="D2" s="86"/>
      <c r="E2" s="86"/>
      <c r="F2" s="86"/>
    </row>
    <row r="3" spans="2:6" ht="16.5" thickBot="1" x14ac:dyDescent="0.25">
      <c r="B3" s="630" t="s">
        <v>60</v>
      </c>
      <c r="C3" s="631"/>
      <c r="D3" s="631"/>
      <c r="E3" s="98" t="s">
        <v>61</v>
      </c>
      <c r="F3" s="99" t="s">
        <v>62</v>
      </c>
    </row>
    <row r="4" spans="2:6" ht="31.5" x14ac:dyDescent="0.2">
      <c r="B4" s="632" t="s">
        <v>63</v>
      </c>
      <c r="C4" s="634" t="s">
        <v>13</v>
      </c>
      <c r="D4" s="87" t="s">
        <v>14</v>
      </c>
      <c r="E4" s="88" t="s">
        <v>64</v>
      </c>
      <c r="F4" s="89">
        <v>0.25</v>
      </c>
    </row>
    <row r="5" spans="2:6" ht="47.25" x14ac:dyDescent="0.2">
      <c r="B5" s="633"/>
      <c r="C5" s="635"/>
      <c r="D5" s="90" t="s">
        <v>15</v>
      </c>
      <c r="E5" s="91" t="s">
        <v>65</v>
      </c>
      <c r="F5" s="92">
        <v>0.15</v>
      </c>
    </row>
    <row r="6" spans="2:6" ht="47.25" x14ac:dyDescent="0.2">
      <c r="B6" s="633"/>
      <c r="C6" s="635"/>
      <c r="D6" s="90" t="s">
        <v>16</v>
      </c>
      <c r="E6" s="91" t="s">
        <v>66</v>
      </c>
      <c r="F6" s="92">
        <v>0.1</v>
      </c>
    </row>
    <row r="7" spans="2:6" ht="63" x14ac:dyDescent="0.2">
      <c r="B7" s="633"/>
      <c r="C7" s="635" t="s">
        <v>17</v>
      </c>
      <c r="D7" s="90" t="s">
        <v>10</v>
      </c>
      <c r="E7" s="91" t="s">
        <v>67</v>
      </c>
      <c r="F7" s="92">
        <v>0.25</v>
      </c>
    </row>
    <row r="8" spans="2:6" ht="31.5" x14ac:dyDescent="0.2">
      <c r="B8" s="633"/>
      <c r="C8" s="635"/>
      <c r="D8" s="90" t="s">
        <v>9</v>
      </c>
      <c r="E8" s="91" t="s">
        <v>68</v>
      </c>
      <c r="F8" s="92">
        <v>0.15</v>
      </c>
    </row>
    <row r="9" spans="2:6" ht="47.25" x14ac:dyDescent="0.2">
      <c r="B9" s="633" t="s">
        <v>157</v>
      </c>
      <c r="C9" s="635" t="s">
        <v>18</v>
      </c>
      <c r="D9" s="90" t="s">
        <v>19</v>
      </c>
      <c r="E9" s="91" t="s">
        <v>69</v>
      </c>
      <c r="F9" s="93" t="s">
        <v>70</v>
      </c>
    </row>
    <row r="10" spans="2:6" ht="63" x14ac:dyDescent="0.2">
      <c r="B10" s="633"/>
      <c r="C10" s="635"/>
      <c r="D10" s="90" t="s">
        <v>20</v>
      </c>
      <c r="E10" s="91" t="s">
        <v>71</v>
      </c>
      <c r="F10" s="93" t="s">
        <v>70</v>
      </c>
    </row>
    <row r="11" spans="2:6" ht="47.25" x14ac:dyDescent="0.2">
      <c r="B11" s="633"/>
      <c r="C11" s="635" t="s">
        <v>21</v>
      </c>
      <c r="D11" s="90" t="s">
        <v>22</v>
      </c>
      <c r="E11" s="91" t="s">
        <v>72</v>
      </c>
      <c r="F11" s="93" t="s">
        <v>70</v>
      </c>
    </row>
    <row r="12" spans="2:6" ht="47.25" x14ac:dyDescent="0.2">
      <c r="B12" s="633"/>
      <c r="C12" s="635"/>
      <c r="D12" s="90" t="s">
        <v>23</v>
      </c>
      <c r="E12" s="91" t="s">
        <v>73</v>
      </c>
      <c r="F12" s="93" t="s">
        <v>70</v>
      </c>
    </row>
    <row r="13" spans="2:6" ht="31.5" x14ac:dyDescent="0.2">
      <c r="B13" s="633"/>
      <c r="C13" s="635" t="s">
        <v>24</v>
      </c>
      <c r="D13" s="90" t="s">
        <v>115</v>
      </c>
      <c r="E13" s="91" t="s">
        <v>118</v>
      </c>
      <c r="F13" s="93" t="s">
        <v>70</v>
      </c>
    </row>
    <row r="14" spans="2:6" ht="32.25" thickBot="1" x14ac:dyDescent="0.25">
      <c r="B14" s="636"/>
      <c r="C14" s="637"/>
      <c r="D14" s="94" t="s">
        <v>116</v>
      </c>
      <c r="E14" s="95" t="s">
        <v>117</v>
      </c>
      <c r="F14" s="96" t="s">
        <v>70</v>
      </c>
    </row>
    <row r="15" spans="2:6" ht="49.5" customHeight="1" x14ac:dyDescent="0.2">
      <c r="B15" s="629" t="s">
        <v>154</v>
      </c>
      <c r="C15" s="629"/>
      <c r="D15" s="629"/>
      <c r="E15" s="629"/>
      <c r="F15" s="62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RowHeight="15" x14ac:dyDescent="0.25"/>
  <sheetData>
    <row r="2" spans="2:5" x14ac:dyDescent="0.25">
      <c r="B2" t="s">
        <v>31</v>
      </c>
      <c r="E2" t="s">
        <v>129</v>
      </c>
    </row>
    <row r="3" spans="2:5" x14ac:dyDescent="0.25">
      <c r="B3" t="s">
        <v>32</v>
      </c>
      <c r="E3" t="s">
        <v>128</v>
      </c>
    </row>
    <row r="4" spans="2:5" x14ac:dyDescent="0.25">
      <c r="B4" t="s">
        <v>133</v>
      </c>
      <c r="E4" t="s">
        <v>130</v>
      </c>
    </row>
    <row r="5" spans="2:5" x14ac:dyDescent="0.25">
      <c r="B5" t="s">
        <v>132</v>
      </c>
    </row>
    <row r="8" spans="2:5" x14ac:dyDescent="0.25">
      <c r="B8" t="s">
        <v>82</v>
      </c>
    </row>
    <row r="9" spans="2:5" x14ac:dyDescent="0.25">
      <c r="B9" t="s">
        <v>36</v>
      </c>
    </row>
    <row r="10" spans="2:5" x14ac:dyDescent="0.25">
      <c r="B10" t="s">
        <v>37</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Yanneth Holguin Martinez</cp:lastModifiedBy>
  <cp:lastPrinted>2020-05-13T01:12:22Z</cp:lastPrinted>
  <dcterms:created xsi:type="dcterms:W3CDTF">2020-03-24T23:12:47Z</dcterms:created>
  <dcterms:modified xsi:type="dcterms:W3CDTF">2025-04-24T22:01:43Z</dcterms:modified>
</cp:coreProperties>
</file>