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5\Planes de Acción Diciembre 2024\"/>
    </mc:Choice>
  </mc:AlternateContent>
  <xr:revisionPtr revIDLastSave="0" documentId="13_ncr:1_{B2EF2670-4FFC-4F4C-BE6D-C2204C0A29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68" i="1" l="1"/>
  <c r="BF68" i="1"/>
  <c r="Z16" i="1"/>
  <c r="AN16" i="1"/>
  <c r="AN12" i="1"/>
  <c r="BC12" i="1"/>
  <c r="BD12" i="1" s="1"/>
  <c r="AN13" i="1"/>
  <c r="BC13" i="1"/>
  <c r="AN14" i="1"/>
  <c r="BC14" i="1"/>
  <c r="AN15" i="1"/>
  <c r="BC15" i="1"/>
  <c r="BC16" i="1"/>
  <c r="AN17" i="1"/>
  <c r="BC17" i="1"/>
  <c r="AN18" i="1"/>
  <c r="BC18" i="1"/>
  <c r="P19" i="1"/>
  <c r="Q19" i="1"/>
  <c r="AN19" i="1"/>
  <c r="BC19" i="1"/>
  <c r="P20" i="1"/>
  <c r="Q20" i="1"/>
  <c r="AN20" i="1"/>
  <c r="BC20" i="1"/>
  <c r="P37" i="1"/>
  <c r="Q37" i="1"/>
  <c r="AN37" i="1"/>
  <c r="BC37" i="1"/>
  <c r="P78" i="1"/>
  <c r="Q78" i="1"/>
  <c r="AN78" i="1"/>
  <c r="BC78" i="1"/>
  <c r="BD37" i="1" l="1"/>
  <c r="BD18" i="1"/>
  <c r="BD78" i="1"/>
  <c r="BD14" i="1"/>
  <c r="BD15" i="1"/>
  <c r="BD19" i="1"/>
  <c r="BD20" i="1"/>
  <c r="BD13" i="1"/>
  <c r="BD16" i="1"/>
  <c r="BD17" i="1"/>
  <c r="AE68" i="1" l="1"/>
  <c r="Z68" i="1"/>
  <c r="Z77" i="1"/>
  <c r="BF79" i="1"/>
  <c r="BE79" i="1"/>
  <c r="AO79" i="1"/>
  <c r="AT68" i="1" l="1"/>
  <c r="AO68" i="1"/>
  <c r="BF56" i="1"/>
  <c r="BE56" i="1"/>
  <c r="AO28" i="1"/>
  <c r="Z28" i="1"/>
  <c r="U28" i="1"/>
  <c r="T28" i="1"/>
  <c r="O21" i="1" l="1"/>
  <c r="AN54" i="1" l="1"/>
  <c r="AO36" i="1" l="1"/>
  <c r="Z29" i="1"/>
  <c r="U29" i="1"/>
  <c r="T29" i="1"/>
  <c r="AN30" i="1"/>
  <c r="BC30" i="1"/>
  <c r="BD30" i="1" l="1"/>
  <c r="Z76" i="1"/>
  <c r="AA80" i="1" l="1"/>
  <c r="AB80" i="1"/>
  <c r="AC80" i="1"/>
  <c r="AD80" i="1"/>
  <c r="AF80" i="1"/>
  <c r="AG80" i="1"/>
  <c r="AH80" i="1"/>
  <c r="AI80" i="1"/>
  <c r="AJ80" i="1"/>
  <c r="AK80" i="1"/>
  <c r="AL80" i="1"/>
  <c r="AM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G80" i="1"/>
  <c r="AO80" i="1" l="1"/>
  <c r="Z79" i="1"/>
  <c r="Z80" i="1" s="1"/>
  <c r="AN75" i="1"/>
  <c r="BC75" i="1"/>
  <c r="AN73" i="1"/>
  <c r="BC73" i="1"/>
  <c r="AN69" i="1"/>
  <c r="BC69" i="1"/>
  <c r="AN65" i="1"/>
  <c r="BC65" i="1"/>
  <c r="AN56" i="1"/>
  <c r="BC56" i="1"/>
  <c r="AN55" i="1"/>
  <c r="BC55" i="1"/>
  <c r="O54" i="1"/>
  <c r="AE53" i="1"/>
  <c r="AE80" i="1" s="1"/>
  <c r="AN52" i="1"/>
  <c r="BC52" i="1"/>
  <c r="BF80" i="1"/>
  <c r="BE80" i="1"/>
  <c r="AN29" i="1"/>
  <c r="BC29" i="1"/>
  <c r="AN31" i="1"/>
  <c r="BC31" i="1"/>
  <c r="AN32" i="1"/>
  <c r="BC32" i="1"/>
  <c r="AN25" i="1"/>
  <c r="BC25" i="1"/>
  <c r="AN27" i="1"/>
  <c r="BC27" i="1"/>
  <c r="BD65" i="1" l="1"/>
  <c r="BD52" i="1"/>
  <c r="BD75" i="1"/>
  <c r="BD73" i="1"/>
  <c r="BD29" i="1"/>
  <c r="BD55" i="1"/>
  <c r="BD25" i="1"/>
  <c r="BD69" i="1"/>
  <c r="BD56" i="1"/>
  <c r="BD31" i="1"/>
  <c r="BD32" i="1"/>
  <c r="BD27" i="1"/>
  <c r="AN22" i="1" l="1"/>
  <c r="AN23" i="1"/>
  <c r="AN24" i="1"/>
  <c r="BC22" i="1"/>
  <c r="BC23" i="1"/>
  <c r="BC24" i="1"/>
  <c r="AN26" i="1"/>
  <c r="BC26" i="1"/>
  <c r="AN28" i="1"/>
  <c r="BC28" i="1"/>
  <c r="AN33" i="1"/>
  <c r="BC33" i="1"/>
  <c r="BD26" i="1" l="1"/>
  <c r="BD33" i="1"/>
  <c r="BD28" i="1"/>
  <c r="BD24" i="1"/>
  <c r="BD22" i="1"/>
  <c r="BD23" i="1"/>
  <c r="Q21" i="1" l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3" i="1"/>
  <c r="Q54" i="1"/>
  <c r="Q57" i="1"/>
  <c r="Q58" i="1"/>
  <c r="Q59" i="1"/>
  <c r="Q60" i="1"/>
  <c r="Q61" i="1"/>
  <c r="Q62" i="1"/>
  <c r="Q63" i="1"/>
  <c r="Q64" i="1"/>
  <c r="Q66" i="1"/>
  <c r="Q67" i="1"/>
  <c r="Q68" i="1"/>
  <c r="Q70" i="1"/>
  <c r="Q71" i="1"/>
  <c r="Q72" i="1"/>
  <c r="Q74" i="1"/>
  <c r="Q76" i="1"/>
  <c r="Q77" i="1"/>
  <c r="Q79" i="1"/>
  <c r="BC21" i="1" l="1"/>
  <c r="BC34" i="1"/>
  <c r="BC35" i="1"/>
  <c r="BC36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3" i="1"/>
  <c r="BC54" i="1"/>
  <c r="BC57" i="1"/>
  <c r="BC58" i="1"/>
  <c r="BC59" i="1"/>
  <c r="BC60" i="1"/>
  <c r="BC61" i="1"/>
  <c r="BC62" i="1"/>
  <c r="BC63" i="1"/>
  <c r="BC64" i="1"/>
  <c r="BC66" i="1"/>
  <c r="BC67" i="1"/>
  <c r="BC68" i="1"/>
  <c r="BC70" i="1"/>
  <c r="BC71" i="1"/>
  <c r="BC72" i="1"/>
  <c r="BC74" i="1"/>
  <c r="BC76" i="1"/>
  <c r="BC77" i="1"/>
  <c r="BC79" i="1"/>
  <c r="AN21" i="1"/>
  <c r="AN34" i="1"/>
  <c r="AN35" i="1"/>
  <c r="AN36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3" i="1"/>
  <c r="AN57" i="1"/>
  <c r="AN58" i="1"/>
  <c r="AN59" i="1"/>
  <c r="AN60" i="1"/>
  <c r="AN61" i="1"/>
  <c r="AN62" i="1"/>
  <c r="AN63" i="1"/>
  <c r="AN64" i="1"/>
  <c r="AN66" i="1"/>
  <c r="AN67" i="1"/>
  <c r="AN68" i="1"/>
  <c r="AN70" i="1"/>
  <c r="AN71" i="1"/>
  <c r="AN72" i="1"/>
  <c r="AN74" i="1"/>
  <c r="AN76" i="1"/>
  <c r="AN77" i="1"/>
  <c r="AN79" i="1"/>
  <c r="P79" i="1"/>
  <c r="P77" i="1"/>
  <c r="P76" i="1"/>
  <c r="P74" i="1"/>
  <c r="P72" i="1"/>
  <c r="P71" i="1"/>
  <c r="P70" i="1"/>
  <c r="P68" i="1"/>
  <c r="P67" i="1"/>
  <c r="P66" i="1"/>
  <c r="P64" i="1"/>
  <c r="P63" i="1"/>
  <c r="P62" i="1"/>
  <c r="P61" i="1"/>
  <c r="P60" i="1"/>
  <c r="P59" i="1"/>
  <c r="P58" i="1"/>
  <c r="P57" i="1"/>
  <c r="P54" i="1"/>
  <c r="P53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6" i="1"/>
  <c r="P35" i="1"/>
  <c r="P34" i="1"/>
  <c r="P21" i="1"/>
  <c r="BC80" i="1" l="1"/>
  <c r="AN80" i="1"/>
  <c r="BD41" i="1"/>
  <c r="BD60" i="1"/>
  <c r="BD77" i="1"/>
  <c r="BD71" i="1"/>
  <c r="BD66" i="1"/>
  <c r="BD61" i="1"/>
  <c r="BD57" i="1"/>
  <c r="BD50" i="1"/>
  <c r="BD46" i="1"/>
  <c r="BD42" i="1"/>
  <c r="BD38" i="1"/>
  <c r="BD34" i="1"/>
  <c r="BD76" i="1"/>
  <c r="BD70" i="1"/>
  <c r="BD64" i="1"/>
  <c r="BD54" i="1"/>
  <c r="BD49" i="1"/>
  <c r="BD45" i="1"/>
  <c r="BD21" i="1"/>
  <c r="BD72" i="1"/>
  <c r="BD67" i="1"/>
  <c r="BD62" i="1"/>
  <c r="BD58" i="1"/>
  <c r="BD51" i="1"/>
  <c r="BD47" i="1"/>
  <c r="BD43" i="1"/>
  <c r="BD39" i="1"/>
  <c r="BD35" i="1"/>
  <c r="BD79" i="1"/>
  <c r="BD74" i="1"/>
  <c r="BD68" i="1"/>
  <c r="BD63" i="1"/>
  <c r="BD59" i="1"/>
  <c r="BD53" i="1"/>
  <c r="BD48" i="1"/>
  <c r="BD44" i="1"/>
  <c r="BD40" i="1"/>
  <c r="B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Si es todo el municipio diligenciar "Municipio de Bucaramanga".
De lo contratio relacionar la comuna o barrio específico.</t>
        </r>
      </text>
    </comment>
    <comment ref="W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<sst xmlns="http://schemas.openxmlformats.org/spreadsheetml/2006/main" count="830" uniqueCount="353">
  <si>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</si>
  <si>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</si>
  <si>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</si>
  <si>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</si>
  <si>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</si>
  <si>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</si>
  <si>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</si>
  <si>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</si>
  <si>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</si>
  <si>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</si>
  <si>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</si>
  <si>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</si>
  <si>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</si>
  <si>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</si>
  <si>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</si>
  <si>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</si>
  <si>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</si>
  <si>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</si>
  <si>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</si>
  <si>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</si>
  <si>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</si>
  <si>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</si>
  <si>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</si>
  <si>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</si>
  <si>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</si>
  <si>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</si>
  <si>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</si>
  <si>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</si>
  <si>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</si>
  <si>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</si>
  <si>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</si>
  <si>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</si>
  <si>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</si>
  <si>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</si>
  <si>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</si>
  <si>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</si>
  <si>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</si>
  <si>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</si>
  <si>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</si>
  <si>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</si>
  <si>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</si>
  <si>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</si>
  <si>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</si>
  <si>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</si>
  <si>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</si>
  <si>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</si>
  <si>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</si>
  <si>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</si>
  <si>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</si>
  <si>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</si>
  <si>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</si>
  <si>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</si>
  <si>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</si>
  <si>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</si>
  <si>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</si>
  <si>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</si>
  <si>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</si>
  <si>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</si>
  <si>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</si>
  <si>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</si>
  <si>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</si>
  <si>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</si>
  <si>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</si>
  <si>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</si>
  <si>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</si>
  <si>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</si>
  <si>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</si>
  <si>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</si>
  <si>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</si>
  <si>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</si>
  <si>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</si>
  <si>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que protege</t>
  </si>
  <si>
    <t>Minas y energía.</t>
  </si>
  <si>
    <t>2102</t>
  </si>
  <si>
    <t>Consolidación productiva del sector de energía eléctrica (2102)</t>
  </si>
  <si>
    <t>2102069</t>
  </si>
  <si>
    <t>Garantizar 51.229 lámparas de alumbrado público para la prestación del servicio de alumbrado público en el Municipio de Bucaramanga</t>
  </si>
  <si>
    <t>Lámparas de alumbrado público en funcionamiento
 (210206900)</t>
  </si>
  <si>
    <t>Número</t>
  </si>
  <si>
    <t>2102008</t>
  </si>
  <si>
    <t>Elaborar 2 Documentos de estudio técnico para  mejorar la prestacion de servicio de alumbrado público.</t>
  </si>
  <si>
    <t>Número de documentos 
 (210200800)</t>
  </si>
  <si>
    <t>2106</t>
  </si>
  <si>
    <t>2106029</t>
  </si>
  <si>
    <t>Implementar un sistema de gestión y monitoreo de la información del alumbrado público  acorde a RETILAP.</t>
  </si>
  <si>
    <t>Territorio seguro y sostenible</t>
  </si>
  <si>
    <t>Vivienda Ciudad y Territorio</t>
  </si>
  <si>
    <t>4002</t>
  </si>
  <si>
    <t>Ordenamiento Territorial y Desarrollo urbano. (4002).</t>
  </si>
  <si>
    <t>4002020</t>
  </si>
  <si>
    <t>Adecuar 300,000 metros cuadrados de espacio púbico. (4002020)</t>
  </si>
  <si>
    <t>Espacio público adecuado (400202000).</t>
  </si>
  <si>
    <t>Metros cuadrados</t>
  </si>
  <si>
    <t>4002021</t>
  </si>
  <si>
    <t>Construir 2 parques nuevos en el municipio</t>
  </si>
  <si>
    <t>Parques construidos (400202100)</t>
  </si>
  <si>
    <t>4002022</t>
  </si>
  <si>
    <t>Mantener 100 parques en el municipio</t>
  </si>
  <si>
    <t>Parques mantenidos (400202200)</t>
  </si>
  <si>
    <t>4002026</t>
  </si>
  <si>
    <t>Mantener 1,605,851 metros cuadrados de zonas verdes</t>
  </si>
  <si>
    <t>Zonas verdes mantenidas (400202600)</t>
  </si>
  <si>
    <t>Consolidación productiva del sector de energía eléctrica
(2102)</t>
  </si>
  <si>
    <t>2102062</t>
  </si>
  <si>
    <t>Apoyar la implementacion de proyectos de fuentes no convencionales de energía que beneficie a 50.000 personas</t>
  </si>
  <si>
    <t xml:space="preserve">Usuarios beneficiados
(210206200)
</t>
  </si>
  <si>
    <t>4003</t>
  </si>
  <si>
    <t>Acceso de la población a los servicios de agua potable y saneamiento básico.
(4003)</t>
  </si>
  <si>
    <t>4003015</t>
  </si>
  <si>
    <t>Construir 1 acueducto en el sector rural del municipio</t>
  </si>
  <si>
    <t>Acueductos construidos (400301500).</t>
  </si>
  <si>
    <t>4003017</t>
  </si>
  <si>
    <t>Optimizar 2 acueductos en el sector rural o en barrios legalizados del municipio</t>
  </si>
  <si>
    <t>Acueductos optimizados (400301700).</t>
  </si>
  <si>
    <t>4003020</t>
  </si>
  <si>
    <t>Optimizar 4 alcantarillados en barrios legalizados del municipio</t>
  </si>
  <si>
    <t>Alcantarillado optimizados (400302000).</t>
  </si>
  <si>
    <t>4003044</t>
  </si>
  <si>
    <t>Constuir 80 unidades sanitarias con saneamiento básico para vivienda rural</t>
  </si>
  <si>
    <t>Unidades sanitarias con saneamiento básico construidas para vivienda rural. (400304402)</t>
  </si>
  <si>
    <t>4003040</t>
  </si>
  <si>
    <t>Apoyar financieramiente 1 proyecto para el cierre financiero del sistema de tratamiento de aguas residuales en el municipio de Bucaramanga</t>
  </si>
  <si>
    <t>Proyectos apoyados financieramente (400304000)</t>
  </si>
  <si>
    <t xml:space="preserve">Adecuar 1000 metros cuadrado de equipamientos comunitarios complementarios para los programas y/o proyectos de soluciones de vivienda en espacio público del municipio </t>
  </si>
  <si>
    <t>Territorio seguro que progresa</t>
  </si>
  <si>
    <t>Agricultura y desarrollo rural</t>
  </si>
  <si>
    <t>1709</t>
  </si>
  <si>
    <t>Infraestructura productiva y comercialización (1709)</t>
  </si>
  <si>
    <t>1709078</t>
  </si>
  <si>
    <t>Adecuar 1 Plaza de mercado</t>
  </si>
  <si>
    <t>Plazas de mercado adecuadas 
 (170907800)</t>
  </si>
  <si>
    <t>Transporte.</t>
  </si>
  <si>
    <t>2401</t>
  </si>
  <si>
    <t>Infraestructura red vial primaria (2401).</t>
  </si>
  <si>
    <t>2401008</t>
  </si>
  <si>
    <t xml:space="preserve">Mejorar 1 Vía primaria de los corredores estratégicos del municipio. </t>
  </si>
  <si>
    <t>Vía primaria mejorada (240100800)</t>
  </si>
  <si>
    <t>Kilómetros</t>
  </si>
  <si>
    <t>2402</t>
  </si>
  <si>
    <t>Infraestructura red vial regional (2402)</t>
  </si>
  <si>
    <t>2402120</t>
  </si>
  <si>
    <t>Realizar mantenimiento a 10 puentes peatonales</t>
  </si>
  <si>
    <t>Puente peatonal con mantenimiento (240212000)</t>
  </si>
  <si>
    <t>2402119</t>
  </si>
  <si>
    <t xml:space="preserve">Construir 1 Puente en vía urbana existente de la ciudad </t>
  </si>
  <si>
    <t>Puente construido en vía urbana existente (240211900)</t>
  </si>
  <si>
    <t>2401039</t>
  </si>
  <si>
    <t>Construir 2 puentes peatonales en la red vial de la ciudad</t>
  </si>
  <si>
    <t>Puente peatonal construido (240103900)</t>
  </si>
  <si>
    <t>2402083</t>
  </si>
  <si>
    <t>Realizar mantenimiento a 5 Puentes vehiculares de la red vial urbana</t>
  </si>
  <si>
    <t>Puente de la red vial urbana con mantenimiento (240208300)</t>
  </si>
  <si>
    <t>2402044</t>
  </si>
  <si>
    <t>Construir 1 Puente vehicular en vía terciaria de la ciudad</t>
  </si>
  <si>
    <t>Puente construido en vía terciaria (240204400)</t>
  </si>
  <si>
    <t>2402118</t>
  </si>
  <si>
    <t>Realizar 4 Estudios de preinversión para la red vial regional</t>
  </si>
  <si>
    <t>Estudios de preinversión para la red vial regional (240211800)</t>
  </si>
  <si>
    <t>2402113</t>
  </si>
  <si>
    <t xml:space="preserve">Construir 1 Vía urbana en la ciudad. </t>
  </si>
  <si>
    <t>Vía urbana construida (240211300)</t>
  </si>
  <si>
    <t>Kiómetros</t>
  </si>
  <si>
    <t>2402114</t>
  </si>
  <si>
    <t>Mejorar 20 Km de Vías urbanas del municipio</t>
  </si>
  <si>
    <t>Vía urbana mejorada (240211400)</t>
  </si>
  <si>
    <t>2402115</t>
  </si>
  <si>
    <t>Realizar mantenimiento periódico o rutinario a 80 Km de vías urbanas</t>
  </si>
  <si>
    <t>Vía urbana con mantenimiento periódico o rutinario (240211500)</t>
  </si>
  <si>
    <t>2402042</t>
  </si>
  <si>
    <t>Construir 5.000 metros líneales de placa huella en la zona rural</t>
  </si>
  <si>
    <t>Placa huella construida (240204200)</t>
  </si>
  <si>
    <t>Metros lineales</t>
  </si>
  <si>
    <t>2402112</t>
  </si>
  <si>
    <t xml:space="preserve">Realizar el mantenimiento periódico o rutinario a 110 Km de Vías terciarias de la malla vial rural de la ciudad por año. </t>
  </si>
  <si>
    <t>Vía terciaria con mantenimiento periódico o rutinario (240211200)</t>
  </si>
  <si>
    <t>2402070</t>
  </si>
  <si>
    <t>Construir 1 Paso deprimido en vía urbana de la ciudad</t>
  </si>
  <si>
    <t>Paso deprimido construido en vía urbana (24020700)</t>
  </si>
  <si>
    <t>2402062</t>
  </si>
  <si>
    <t>Construir 1 intercambiador en vía urbana de la ciudad</t>
  </si>
  <si>
    <t>Intercambiador construido en vía urbana (240206200)</t>
  </si>
  <si>
    <t>2402094</t>
  </si>
  <si>
    <t>Realizar mantenimiento y/o adecuación y/o reubicación a 10.000 mts de ciclo infraestructuras urbanas del municipio</t>
  </si>
  <si>
    <t>Ciclo infraestructura urbana con mantenimiento (240209400)</t>
  </si>
  <si>
    <t>2101</t>
  </si>
  <si>
    <t>Acceso al servicio público domiciliario de gas combustible. (2101)</t>
  </si>
  <si>
    <t>2101016</t>
  </si>
  <si>
    <t xml:space="preserve">Conectar a 200 viviendas con redes domiciliarias de gas combustible en el municipio. </t>
  </si>
  <si>
    <t>Viviendas conectadas a la red local de gas combustible
(210101600)</t>
  </si>
  <si>
    <t>Acceso de la población a los servicios de agua potable y saneamiento básico (4003).</t>
  </si>
  <si>
    <t>4003047</t>
  </si>
  <si>
    <t>Beneficiar a 289.645 usuarios con subsidios al consumo en los servicios públicos domiciliarios de acueducto, alcantarillado y aseo en los estratos 1, 2 y 3.</t>
  </si>
  <si>
    <t>Usuarios beneficiados con subsidios al consumo (400304700)</t>
  </si>
  <si>
    <t>4003048</t>
  </si>
  <si>
    <t>Transportar y entregar 18.000 metros cúbicos de Agua potable en carrotanques para garantizar el mínimo vital de agua en zonas sin cobertura del municipio.</t>
  </si>
  <si>
    <t>Agua transportada y entregada. 
 (400304800)</t>
  </si>
  <si>
    <t>Metros cúbicos</t>
  </si>
  <si>
    <t>Territorio seguro que integra</t>
  </si>
  <si>
    <t>Deporte y recreación</t>
  </si>
  <si>
    <t>4302</t>
  </si>
  <si>
    <t>Formacion y preparacion de deportistas (4302)</t>
  </si>
  <si>
    <t>4302015</t>
  </si>
  <si>
    <t xml:space="preserve">Construir y dotar (1) pista </t>
  </si>
  <si>
    <t xml:space="preserve"> Pistas construidas y dotadas (430201500)</t>
  </si>
  <si>
    <t>4301</t>
  </si>
  <si>
    <t>Fomento a la recreación, la actividad física y el deporte (4301).</t>
  </si>
  <si>
    <t>4301011</t>
  </si>
  <si>
    <t>Realizar adecuaciones a 4 parques recreativos que tenga en cuenta un enfoque en nuevas disciplinas deportivas.</t>
  </si>
  <si>
    <t>Parques adecuados (430101100)</t>
  </si>
  <si>
    <t>Cultura.</t>
  </si>
  <si>
    <t>3302</t>
  </si>
  <si>
    <t>Gestión, protección y salvaguardia del patrimonio cultural colombiano. (3302)</t>
  </si>
  <si>
    <t>3302073</t>
  </si>
  <si>
    <t xml:space="preserve">Brindar 2 servicios de restauración del patrimonio cultural material inmueble de bienes de patrimonio cultural  en el municipio de Bucaramanga
</t>
  </si>
  <si>
    <t>Servicios de restauración del patrimonio cultural material inmueble 
(330207300)</t>
  </si>
  <si>
    <t>Territorio seguro que genera valor</t>
  </si>
  <si>
    <t>Gobierno territorial</t>
  </si>
  <si>
    <t>4502</t>
  </si>
  <si>
    <t>Fortalecimiento del buen gobierno para el respeto y garantía de los derechos humanos (4502)</t>
  </si>
  <si>
    <t>4502007</t>
  </si>
  <si>
    <t>"Construir tres (03) salones comunales en el Municipio de Bucaramanga (4502007)."</t>
  </si>
  <si>
    <t>Salones comunales construidos (450200700) </t>
  </si>
  <si>
    <t>0 </t>
  </si>
  <si>
    <t>4502003</t>
  </si>
  <si>
    <t>Adecuar diez (10) salones comunales en el Municipio de Bucaramanga (4502003).</t>
  </si>
  <si>
    <t>Salones comunales adecuados (450200300) </t>
  </si>
  <si>
    <t>4599</t>
  </si>
  <si>
    <t>Fortalecimiento a la gestión y dirección de la administración pública territorial (4599)</t>
  </si>
  <si>
    <t>4599031</t>
  </si>
  <si>
    <t>Asistir técnicamente a nueve (9) dependencias de la administración municipal para el diseño, seguimiento y ejecución de  proyectos estratégicos de la ciudad en el área de infraestructura</t>
  </si>
  <si>
    <t>Entidades, organismos y dependencias asistidos técnicamente (459903100).</t>
  </si>
  <si>
    <t>4599011</t>
  </si>
  <si>
    <t>Adecuar cinco (05) sedes de bienes inmuebles que son propiedad municipal para fortalecer los procesos administrativos y promover el desarrollo de capacidades dentro de la administración</t>
  </si>
  <si>
    <t>Sedes adecuadas (459901100) </t>
  </si>
  <si>
    <t>4599006</t>
  </si>
  <si>
    <t>Elaborar (04) estudios de preinversión para la  realización de documentos en las fases de pre-factibilidad, factibilidad o definitivos para la consolidación de la infraestructura social en el municipio</t>
  </si>
  <si>
    <t>Estudios de preinversión elaborados (459900600)</t>
  </si>
  <si>
    <t>2102010</t>
  </si>
  <si>
    <t xml:space="preserve">Implementar 4.100 metros de redes de alumbrado público (artístico y/o navideño) en el sector comercial, parques o lugares de desarrollo turístico.  </t>
  </si>
  <si>
    <t>Redes de alumbrado público ampliadas (210201000)</t>
  </si>
  <si>
    <t>Metros</t>
  </si>
  <si>
    <t>4599002</t>
  </si>
  <si>
    <t>Ejecutar el 100% del programa de saneamiento fiscal y financiero para el fortalecimiento de las finanzas del municipio</t>
  </si>
  <si>
    <t>Programa de sanemiento fiscal y financiero ejecutado (459900200).</t>
  </si>
  <si>
    <t>Porcentaje</t>
  </si>
  <si>
    <t>Secretaría de Infraestructura-Alumbrado Público</t>
  </si>
  <si>
    <t>Secretaría de Infraestructura</t>
  </si>
  <si>
    <t>6,11,13</t>
  </si>
  <si>
    <t>6,10,11</t>
  </si>
  <si>
    <t>Versión: 2.0</t>
  </si>
  <si>
    <t>Fecha aprobación: Octubre-10-2024</t>
  </si>
  <si>
    <t>Página: 1 de 1</t>
  </si>
  <si>
    <t>MEJORAMIENTO DEL ESPACIO PÚBLICO (PLAZOLETA LUIS CARLOS GALÁN Y PARQUE GARCIA ROVIRA)  ENMARCADO DENTRO DE LA ESTRATEGIA  "PLAN CENTRO"  EN EL MUNICIPIO DE BUCARAMANGA, SANTANDER (FASE 2)</t>
  </si>
  <si>
    <t>Comuna 15</t>
  </si>
  <si>
    <t>Población en general</t>
  </si>
  <si>
    <t>Siembra árboles, siembra arbustos, mantenimiento franjas de circulación peatonal (arreglo acabado pisos y mejoramiento rampas peatonales), cerramiento de protección zona verde, señalización vial horizontal..</t>
  </si>
  <si>
    <t>MEJORAMIENTO DE LA INFRAESTRUCTURA URBANA DE LA DIAGONAL 15 AVENIDA QUEBRADA SECA HASTA LA CALLE 33 DENTRO DE LA ESTRATEGIA CORREDOR AMBIENTAL EN EL MUNICIPIO DE BUCARAMANGA</t>
  </si>
  <si>
    <t>MEJORAMIENTO DE LA INFRAESTRUCTURA URBANA Y CALIDAD AMBIENTAL DENTRO DE LA ESTRATEGIA “CENTRO CAMINABLE” EN EL MUNICIPIO DE BUCARAMANGA – SANTANDER</t>
  </si>
  <si>
    <t>ADECUACIÓN DE ESPACIO PÚBLICO EN EL MARCO DEL DESARROLLO DE LA ESTRATEGIA DE PRESUPUESTOS PARTICIPATIVOS DEL MUNICIPIO DE BUCARAMANGA, SANTANDER</t>
  </si>
  <si>
    <t>ADECUACION DEL EQUIPAMIENTO Y ESPACIO PUBLICO  DE OLAS BAJAS Y CANELOS DEL MUNICIPIO DE BUCARAMANGA, SANTANDER</t>
  </si>
  <si>
    <t>CONSTRUCCIÓN MONUMENTO CONMEMORATIVO FLOR DEL BÚCARO EN EL MUNICIPIO DE BUCARAMANGA SANTANDER</t>
  </si>
  <si>
    <t>CONSTRUCCIÓN DEL PARQUE BORDE SUR LA VICTORIA EN EL BARRIO LA VICTORIA DEL MUNICIPIO DE BUCARAMANGA, SANTANDER</t>
  </si>
  <si>
    <t>COMUNA 15: CENTRO</t>
  </si>
  <si>
    <t>Desde la niños hasta los adultos mayores</t>
  </si>
  <si>
    <t>618.967 Habitantes</t>
  </si>
  <si>
    <t>Embellecimiento de la Plazoleta Luis Carlos Galan, remodelacion del parque Garcia Rovira, arreglo de vias en concreto rigido entre la carrera 9 y carrera 12 y calles 37 a la 34, arreglo del andenes y espacio peatonal en loseta sinu veta.</t>
  </si>
  <si>
    <t>ADECUACIÓN DE PARQUES Y ESCENARIOS DEPORTIVOS ENMARCADOS A TRAVÉS DE LA ESTRATEGIA DE PRESUPUESTOS PARTICIPATIVOS</t>
  </si>
  <si>
    <t>SUMINISTRO DE PINTURAS PARA EL EMBELLECIMIENTO DEL ESPACIO PUBLICO DEL MUNICIPIO DE BUCARAMANGA</t>
  </si>
  <si>
    <t>ADECUACIÓN DEL ESPACIO PÚBLICO Y ZONAS DE PARQUEO DEL MUNICIPIO DE BUCARAMANGA, SANTANDER</t>
  </si>
  <si>
    <t>MANTENIMIENTO PERIODIDO DE LA INFRAESTRUCTURA DE PARQUES, EQUIPAMIENTO Y ESPACIO PÚBLICO DEL MUNICIPIO DE BUCARAMANGA SANTANDER</t>
  </si>
  <si>
    <t>MANTENIMIENTO Y MANEJO INTEGRAL ARBOREO Y DE ZONAS VERDES EN EL MUNICIPIO DE  BUCARAMANGA, SANTANDER  (CONVENIO AMB y TALAS)</t>
  </si>
  <si>
    <t>17 Comunas</t>
  </si>
  <si>
    <t>605.047 habitantes</t>
  </si>
  <si>
    <t>Mantenimiento de parques y zonas verdes del Municipio de Bucaramanga</t>
  </si>
  <si>
    <t>CONSTRUCCIÓN DE ACUEDUCTOS VEREDALES EN VARIOS SECTORES DEL MUNICIPIO DE BUCARAMANGA SANTANDER</t>
  </si>
  <si>
    <t>ADECUACION  Y REFORMAS LOCATIVAS A LAS PLAZAS DE MERCADO DEL MUNICIPIO DE BUCARAMANGA, SANTANDER</t>
  </si>
  <si>
    <t>Comuna 13 - COMUNA 3 - SAN FRANCISCO</t>
  </si>
  <si>
    <t>Desmonte de soporte de cubierta y cubierta existente. Instalación de nuevo soporte y cubierta
- demolición de pisos existentes, realizar nuevos pisos
- remodelación del cuarto de basuras
- mejorar accesibilidad para personas con discapacidad  -Adecuación de redes eléctricas de la plaza.
-Remodelación total de los baños
-Adecuación de espacios para personas con discapacidad
-Desmonte de la estructura y cubierta existente, e instalación de nueva estructura y cubierta.
-Adecuación del sistema de aguas lluvia</t>
  </si>
  <si>
    <t>CONSTRUCCCIÓN DEL PUENTE NARIÑO SOBRE EL RIO DE ORO EN LA JURISDICCIÓN DE LOS MUNICIPIOS DE BUCARAMANGA Y GIRÓN DEPARTAMENTO DE SANTANDER</t>
  </si>
  <si>
    <t>ACTUALIZACIÓN DE ESTUDIOS Y DISEÑOS DE LA TRONCAL METROPOLITANA NORTE SUR  TRAMO 3A,  "INTERSECCIÓN VIAL CARRERA 9NA CON CALLE 45 DEL   EN EL MUNICIPIO DE BUCARAMANGA</t>
  </si>
  <si>
    <t>ESTUDIOS Y DISEÑOS PARA SOLUCIÓN VIAL EN LA INTERSECCIÓN  DE LA CARRERA 27 CON CALLE 56 Y CONSTRUCCIÓN DE PUENTES PEATONALES DEL MUNICIPIO DE BUCARAMANGA SANTANDER</t>
  </si>
  <si>
    <t>CONSTRUCCION DE LA SOLUCION VIAL DE LA CALLE 53 Y CALLE 54 DE LA CONEXION ORIENTE - OCCIDENTE DEL MUNICIPIO DE BUCARAMANGA</t>
  </si>
  <si>
    <t>MEJORAMIENTO DE LA MALLA VIAL Y ESPACIO PUBLICO ENMARCADO DENTRO DE LA ESTRATEGIA "PLAN REVITALIZACION DEL ESPACIO PUBLICO  CENTRO" EN EL MUNICIPIODE BUCARAMANGA, SANTANDER</t>
  </si>
  <si>
    <t>1. Cambio redes de servicios y estructura de pavimento.           2. Cambio redes de servicios y estructura de la franja de circulación peatonal.</t>
  </si>
  <si>
    <t>MANTENIMIENTO, MEJORAMIENTO Y REHABILITACION DE LA RED VIAL URBANA DEL MUNICIPIO DE BUCARAMANGA, SANTANDER</t>
  </si>
  <si>
    <t>MEJORAMIENTO Y MANTENIMIENTO DE LA RED VIAL URBANA DEL MUNICIPIO DE BUCARAMANGA, SANTANDER</t>
  </si>
  <si>
    <t xml:space="preserve"> Comunas 1,2,3,4,13,14,15 ,6,7,8,9,10,11,12,16,17</t>
  </si>
  <si>
    <t>Demolicion y mejoramiento del pavimento existente tanto rigido como flexible, Construccion de reductores de velocidad, demarcacion y señalizacion vial, reparacion y/o construccion de sumideros, instalacion de tachas reflectivas, reconstruccion de canaletas,realce de tapas de cajas de inspeccion en concreto,reparacion de andenes.</t>
  </si>
  <si>
    <t>MEJORAMIENTO DE LA RED VIAL TERCIARIA EN LOS CORREGIMIENTO 1, 2 Y 3  DEL MUNIICPIO DE BUCARAMANGA, SANTANDER</t>
  </si>
  <si>
    <t>Corregimiento 1, 2 y 3</t>
  </si>
  <si>
    <t>adicional tiempo de la interventoria por adicion en plazo a los contratos de obra</t>
  </si>
  <si>
    <t>MANTENIMIENTO PERIODICO DE LA RED VÍAL RURAL DEL MUNICIPIO DE BUCARMANGA SANTANDER</t>
  </si>
  <si>
    <t>SUBSIDIOS A LOS SERVICIOS PÚBICOS DE ACUEDUCTO, ALCANTARILLADO Y ASEO A LA POBLACIÓN DE ESTRATOS 1, 2 Y 3 DEL MUNICIPIO DE BUCARAMANGA</t>
  </si>
  <si>
    <t>SUBSIDIOS A LOS SERVICIOS PÚBICOS DE ACUEDUCTO, ALCANTARILLADO Y ASELO A LA POBLACIÓN DE ESTRATOS 1, 2 Y 3 DEL MUNICIPIO DE BUCARAMANGA</t>
  </si>
  <si>
    <t>Todas las comunas del municipio  de Bucaramanga</t>
  </si>
  <si>
    <t>Pago de facturas por subsidios a las diferentes empresas prestadores de servicios de aseo, alcantarillado y acueducto</t>
  </si>
  <si>
    <t>SUMINISTRO DE AGUA POTABLE PARA GARANTIZAR LA COBERTURA DEL MÍNIMO VITAL DE AGUA A LOS SECTORES DE LOS CORREGIMIENTOS 1, 2, Y 3 DEL MUNICIPIO DE BUCARAMANGA, SANTANDER</t>
  </si>
  <si>
    <t>Suministro de agua potable a las distintas veredas en los corregimientos</t>
  </si>
  <si>
    <t>ADECUACION DEL EQUIPAMIENTO Y ESCENARIOS DEPORTIVOS DEL MUNICIPIO DE BUCARAMANGA, SANTANDER</t>
  </si>
  <si>
    <t>Comuna 10 -Provenza</t>
  </si>
  <si>
    <t>Mejoramiento de las areas de recreacion pasivas y activas del parque</t>
  </si>
  <si>
    <t>ADECUACIÓN DEL PARQUE DIAMANTE II DEL MUNICIPIO DE BUCARAMANGA, SANTANDER</t>
  </si>
  <si>
    <t>CONSTRUCCIÓN DE OBRAS DE PRIMEROS AUXILIOS EN EL BIEN DE INTERÉS CULTURAL PLAZA SAN MATEO DEL MUNICIPIO DE BUCARAMANGA</t>
  </si>
  <si>
    <t>CONSTRUCCIÓN Y ADECUACIÓN DE SALONES COMUNALES  EN EL MARCO DE LA ESTRATEGÍA DE PRESUPUESTOS PARTICIPATIVOS MUNICIPIO DE BUCARAMANGA SANTANDER</t>
  </si>
  <si>
    <t>CONSTRUCCION DEL SALON COMUNAL VEREDA VIJAGUAL CORREGIMIENTO No. 1 Y ADECUACION DEL BARRIO RINCON DE LA PAZ  EN LA COMUNA 5 DEL MUNICIPIO DE BUCARAMANGA, SANTANDER</t>
  </si>
  <si>
    <t>COMUNA 5 -RINCON DE LA PAZ</t>
  </si>
  <si>
    <t>Mesón en granito y otro tipo de lavamanos.  pintura de la mampostería por el estado actual. Instalalacion de enchape en la cocina</t>
  </si>
  <si>
    <t>FORTALECIMIENTO INSTITUCIONAL PARA LOS PROCESOS DE INFRAESTRUCTURA Y PLANIFICACION DE LA SECRETARIA DE INFRAESTRUCTURA DEL MUNICIIPIO DE BUCARAMANGA</t>
  </si>
  <si>
    <t>Diseños de infraestructura social, acompañamiento para el seguimiento de obras, seguimiento financiero a la inversion</t>
  </si>
  <si>
    <t>FORTALECIMIENTO INSTITUCIONAL A LOS PROCESOS MISIONES Y DE GESTIÓN DE LA SECRETARÍA DE INFRAESTRUCTURA DEL MUNICIPIO DE BUCARAMANGA, SANTANDER</t>
  </si>
  <si>
    <t xml:space="preserve">CONSTRUCCIÓN CENTRO VIDA Y ESPACIOS COMPLEMENTARIOS ANTONIA SANTOS EN EL MUNICIPIO DE BUCARAMANGA </t>
  </si>
  <si>
    <t>COMUNA 9</t>
  </si>
  <si>
    <t>18.000 habitantes</t>
  </si>
  <si>
    <t>1. Se realizo revisión y ajuste a diseño correspondiente a la red contra incendios.
2. Se implementa cielo falso correspondiente al total del módulo B y el aula del módulo C.
3. Se adiciona mayor cantidad de luminarias de alumbrado público interno</t>
  </si>
  <si>
    <t>ESTUDIOS Y DISEÑOS PARA EL PROYECTO DE RESTAURACION  DEL COLISEO PERALTA INMUEBLE DECLARADO BIEN DE INTERES CULTURAL DEL AMBITO NACIONAL EN EL MUNICIPIO DE BUCARAMANGA, SANTANDER</t>
  </si>
  <si>
    <t>Comuna 15 - centro</t>
  </si>
  <si>
    <t>adicional tiempo de la interventoria a la consultoria de estos estudios y diseños</t>
  </si>
  <si>
    <t>FORTALECIMIENTO DE LA GESTIÓN PARA EL SANEAMIENTO FISCAL Y FINANCIERO DE LA SECRETARÍA DE INFRAESTRUCTURA DEL MUNICIPIO DE BUCARAMANGA</t>
  </si>
  <si>
    <t>Pagos de pasivos exigibles de contratos ejecutados.</t>
  </si>
  <si>
    <t>2020680010029</t>
  </si>
  <si>
    <t>FORTALECIMIENTO DE LA ADMINISTRACIÓN Y OPERACIÓN DEL ALUMBRADO PÚBLICO DE BUCARAMANGA</t>
  </si>
  <si>
    <t>01 - COMUNA NORTE
02 - COMUNA NORORIENTAL
03 - COMUNA SAN FRANCISCO
04 - COMUNA OCCIDENTAL
05 - COMUNA GARCIA ROVIRA
06 - COMUNA LA CONCORDIA
07 - COMUNA CIUDADELA REAL DE MINAS
08 - COMUNA SUROCCIDENTE
09 - COMUNA LA PEDREGOSA
10 - COMUNA PROVENZA
11 - COMUNA SUR
12 - COMUNA CABECERA DEL LLANO
13 - COMUNA ORIENTAL
14 - COMUNA MORRORICO
15 - COMUNA CENTRO
16 - COMUNA TEJAR
17 - COMUNA MUTIS
CORREGIMIENTO 1
CORREGIMIENTO 2
CORREGIMIENTO 3</t>
  </si>
  <si>
    <t>Actividades de mantenimiento y modernización del alumbrado publico</t>
  </si>
  <si>
    <t>2023680010042</t>
  </si>
  <si>
    <t>MODERNIZACIÓN DEL ALUMBRADO PÚBLICO VIAS M2 - FASE 1 DEL MUNICIPIO DE BUCARAMANGA.</t>
  </si>
  <si>
    <t>2024680010082</t>
  </si>
  <si>
    <t>2024680010116</t>
  </si>
  <si>
    <t>MODERNIZACION DEL ALUMBRADO PUBLICO FASE II EN DIFERENTES ZONAS DEL MUNICIPIO DE BUCARAMANGA</t>
  </si>
  <si>
    <t>2024680010189</t>
  </si>
  <si>
    <t>MANTENIMIENTO DEL SISTEMA DE ALUMBRADO PÚBLICO DEL MUNICIPIO DE BUCARAMANGA</t>
  </si>
  <si>
    <t>2024680010192</t>
  </si>
  <si>
    <t>FORTALECIMIENTO  DE LA ADMINISTRACIÓN Y OPERACIÓN DE ALUMBRADO PÚBLICO 2024-2027 BUCARAMANGA</t>
  </si>
  <si>
    <t>2020680010114</t>
  </si>
  <si>
    <t>MANTENIMIENTO DEL SISTEMA DE ALUMBRADO PÚBLICO 2020-2023 DEL MUNICIPIO DE BUCARAMANGA.</t>
  </si>
  <si>
    <t>2024680010085</t>
  </si>
  <si>
    <t>AMPLIACION DEL ALUMBRADO PUBLICO EN ZONAS RURALES 2024 DEL MUNICIPIO DE   BUCARAMANGA</t>
  </si>
  <si>
    <t>2024680010115</t>
  </si>
  <si>
    <t>ESTUDIOS TÉCNICOS DE REFERENCIA ALUMBRADO PUBLICO  BUCARAMANGA, SANTANDER</t>
  </si>
  <si>
    <t>2024680010205</t>
  </si>
  <si>
    <t>ADQUISICIÓN DE HERRAMIENTAS TECNOLOGICAS PARA LA ADMINSITRACION OPERACIÓN Y MANTENIMIENTO DEL ALUMBRADO PUBLICO DE BUCARAMANGA</t>
  </si>
  <si>
    <t>2024680010113</t>
  </si>
  <si>
    <t>IMPLEMENTACIÓN DE PILOTOS DE ENERGIAS ALTERNATIVAS EN EL MUNICPIO DE  BUCARAMANGA</t>
  </si>
  <si>
    <t>2024680010183</t>
  </si>
  <si>
    <t>INSTALACIÓN DE LA ILUMINACIÓN DECEMBRINA DEL MUNICIPIO DE BUCARAMANGA</t>
  </si>
  <si>
    <t>CONSTRUCCION DE OBRAS COMPLEMENTRIAS DE ESPACIO PUBLICO A LA INSTITUCION EDUCATIVA RURAL BOSCONIA SEDE B DE LA VEREDA SANTA RITA DEL MUNICIPIO DE BUCARAMANGA, SANTANDER</t>
  </si>
  <si>
    <t>Señalizacion de las vias principales del Municipio de Bucaramanga</t>
  </si>
  <si>
    <t>COMUNA 12 Y 13</t>
  </si>
  <si>
    <t>No Acumulativa</t>
  </si>
  <si>
    <t>Acumulativa</t>
  </si>
  <si>
    <t>Informes técnicos de medidas de intervención
(210602000)</t>
  </si>
  <si>
    <t>ADECUACION DE ESPACIO PUBLICO EN EL MARCO DEL DESARROLLO  DE LA ESTRATEGIA DE PRESUPUESTOS PARTICIPATIVOS PARA LOS BARRIOS: CIUDAD VENECIA, LOS CONQUISTADORES DELICIAS ALTAS Y MALPASO DEL MUNICIPIO DE BUCARAMANGA, SANTANDER</t>
  </si>
  <si>
    <t>Maria del Rosario Torres Vargas</t>
  </si>
  <si>
    <t>Jorge Alejandro Garcia Henao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</si>
</sst>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&quot;$&quot;* #,##0_-;\-&quot;$&quot;* #,##0_-;_-&quot;$&quot;* &quot;-&quot;_-;_-@_-"/>
  </numFmts>
  <fonts count="1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  <font>
      <sz val="11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9" fontId="3" fillId="0" borderId="1" xfId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1" xfId="1" applyFont="1" applyFill="1" applyBorder="1" applyAlignment="1" applyProtection="1">
      <alignment horizontal="center" vertical="center"/>
      <protection locked="0"/>
    </xf>
    <xf numFmtId="1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9" fontId="3" fillId="0" borderId="1" xfId="1" applyNumberFormat="1" applyFont="1" applyFill="1" applyBorder="1" applyAlignment="1">
      <alignment horizontal="center" vertical="center"/>
    </xf>
    <xf numFmtId="12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2" applyFont="1" applyFill="1" applyBorder="1" applyAlignment="1" applyProtection="1">
      <alignment horizontal="center" vertical="center"/>
      <protection locked="0"/>
    </xf>
    <xf numFmtId="1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2" applyFont="1" applyFill="1" applyBorder="1" applyAlignment="1" applyProtection="1">
      <alignment horizontal="center" vertical="center" wrapText="1"/>
      <protection locked="0"/>
    </xf>
    <xf numFmtId="164" fontId="2" fillId="0" borderId="0" xfId="2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1" applyNumberFormat="1" applyFont="1" applyFill="1" applyBorder="1" applyAlignment="1">
      <alignment horizontal="center" vertical="center"/>
    </xf>
    <xf numFmtId="9" fontId="15" fillId="0" borderId="1" xfId="1" applyNumberFormat="1" applyFont="1" applyFill="1" applyBorder="1" applyAlignment="1">
      <alignment horizontal="center" vertical="center"/>
    </xf>
    <xf numFmtId="12" fontId="15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2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/>
      <protection locked="0"/>
    </xf>
    <xf numFmtId="9" fontId="15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9" fontId="16" fillId="0" borderId="2" xfId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 applyProtection="1">
      <alignment horizontal="center" vertical="center"/>
      <protection locked="0"/>
    </xf>
    <xf numFmtId="9" fontId="16" fillId="0" borderId="2" xfId="1" applyFont="1" applyFill="1" applyBorder="1" applyAlignment="1" applyProtection="1">
      <alignment horizontal="center" vertical="center" wrapText="1"/>
      <protection locked="0"/>
    </xf>
    <xf numFmtId="164" fontId="16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center" vertical="center" wrapText="1"/>
    </xf>
    <xf numFmtId="9" fontId="16" fillId="0" borderId="2" xfId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 applyProtection="1">
      <alignment horizontal="center" vertical="center"/>
      <protection locked="0"/>
    </xf>
    <xf numFmtId="9" fontId="16" fillId="0" borderId="2" xfId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9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2" xfId="1" applyFont="1" applyFill="1" applyBorder="1" applyAlignment="1" applyProtection="1">
      <alignment horizontal="center" vertical="center" wrapText="1"/>
      <protection locked="0"/>
    </xf>
    <xf numFmtId="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0" applyNumberFormat="1" applyFont="1" applyFill="1" applyBorder="1" applyAlignment="1">
      <alignment horizontal="center" vertical="center" wrapText="1"/>
    </xf>
    <xf numFmtId="9" fontId="16" fillId="0" borderId="1" xfId="1" applyFont="1" applyFill="1" applyBorder="1" applyAlignment="1">
      <alignment horizontal="center" vertical="center" wrapText="1"/>
    </xf>
    <xf numFmtId="164" fontId="16" fillId="0" borderId="1" xfId="2" applyFont="1" applyFill="1" applyBorder="1" applyAlignment="1" applyProtection="1">
      <alignment horizontal="center" vertical="center" wrapText="1"/>
      <protection locked="0"/>
    </xf>
    <xf numFmtId="9" fontId="16" fillId="0" borderId="1" xfId="1" applyFont="1" applyFill="1" applyBorder="1" applyAlignment="1" applyProtection="1">
      <alignment horizontal="center" vertical="center" wrapText="1"/>
      <protection locked="0"/>
    </xf>
    <xf numFmtId="9" fontId="3" fillId="0" borderId="1" xfId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165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13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-* #,##0.00_-;\-* #,##0.0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130"/>
    </tableStyle>
    <tableStyle name="Estilo de tabla 4" pivot="0" count="1" xr9:uid="{00000000-0011-0000-FFFF-FFFF03000000}">
      <tableStyleElement type="firstRowStripe" dxfId="1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80" totalsRowCount="1" headerRowDxfId="128" dataDxfId="126" totalsRowDxfId="124" headerRowBorderDxfId="127" tableBorderDxfId="125">
  <autoFilter ref="A10:BJ79" xr:uid="{F3AC1F10-A57C-46BC-8F72-D88161B59D87}"/>
  <sortState xmlns:xlrd2="http://schemas.microsoft.com/office/spreadsheetml/2017/richdata2" ref="A54:BJ56">
    <sortCondition ref="H10:H79"/>
  </sortState>
  <tableColumns count="62">
    <tableColumn id="1" xr3:uid="{00000000-0010-0000-0000-000001000000}" name=" Consecutivo PDM" dataDxfId="123" totalsRowDxfId="122"/>
    <tableColumn id="2" xr3:uid="{00000000-0010-0000-0000-000002000000}" name="Linea Estratégica" dataDxfId="121" totalsRowDxfId="120"/>
    <tableColumn id="5" xr3:uid="{00000000-0010-0000-0000-000005000000}" name="Sector" dataDxfId="119" totalsRowDxfId="118"/>
    <tableColumn id="14" xr3:uid="{00000000-0010-0000-0000-00000E000000}" name="Cod. Programa" dataDxfId="117" totalsRowDxfId="116"/>
    <tableColumn id="15" xr3:uid="{00000000-0010-0000-0000-00000F000000}" name="Programa" dataDxfId="115" totalsRowDxfId="114"/>
    <tableColumn id="16" xr3:uid="{00000000-0010-0000-0000-000010000000}" name="Cod. de Producto" dataDxfId="113" totalsRowDxfId="112"/>
    <tableColumn id="17" xr3:uid="{00000000-0010-0000-0000-000011000000}" name="Meta de Producto" dataDxfId="111" totalsRowDxfId="110"/>
    <tableColumn id="18" xr3:uid="{00000000-0010-0000-0000-000012000000}" name="Cod. Indicador de Producto" dataDxfId="109" totalsRowDxfId="108"/>
    <tableColumn id="19" xr3:uid="{00000000-0010-0000-0000-000013000000}" name="Indicador de Producto" dataDxfId="107" totalsRowDxfId="106"/>
    <tableColumn id="20" xr3:uid="{00000000-0010-0000-0000-000014000000}" name="LÍnea Base" dataDxfId="105" totalsRowDxfId="104"/>
    <tableColumn id="21" xr3:uid="{00000000-0010-0000-0000-000015000000}" name="Unidad de Medida2" dataDxfId="103" totalsRowDxfId="102"/>
    <tableColumn id="22" xr3:uid="{00000000-0010-0000-0000-000016000000}" name="Tipo de Meta" dataDxfId="101" totalsRowDxfId="100"/>
    <tableColumn id="23" xr3:uid="{00000000-0010-0000-0000-000017000000}" name="Meta Programada Cuatrienio3" dataDxfId="99" totalsRowDxfId="98"/>
    <tableColumn id="24" xr3:uid="{00000000-0010-0000-0000-000018000000}" name="Meta Programada Vigencia" dataDxfId="97" totalsRowDxfId="96"/>
    <tableColumn id="25" xr3:uid="{00000000-0010-0000-0000-000019000000}" name="Meta Ejecutada Vigencia4" dataDxfId="95" totalsRowDxfId="94">
      <calculatedColumnFormula>1476+520+18223</calculatedColumnFormula>
    </tableColumn>
    <tableColumn id="26" xr3:uid="{00000000-0010-0000-0000-00001A000000}" name="Porcentaje Avance Vigencia" dataDxfId="93" totalsRowDxfId="92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91" totalsRowDxfId="90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89" totalsRowDxfId="88"/>
    <tableColumn id="29" xr3:uid="{00000000-0010-0000-0000-00001D000000}" name="Nombre del Proyecto" dataDxfId="87" totalsRowDxfId="86"/>
    <tableColumn id="30" xr3:uid="{00000000-0010-0000-0000-00001E000000}" name="Valor del Proyecto" dataDxfId="85" totalsRowDxfId="84"/>
    <tableColumn id="31" xr3:uid="{00000000-0010-0000-0000-00001F000000}" name="Valor Vigencia Proyecto" dataDxfId="83" totalsRowDxfId="82"/>
    <tableColumn id="32" xr3:uid="{00000000-0010-0000-0000-000020000000}" name="Comuna o Barrio Beneficiado" dataDxfId="81" totalsRowDxfId="80"/>
    <tableColumn id="33" xr3:uid="{00000000-0010-0000-0000-000021000000}" name="Población Beneficiada" dataDxfId="79" totalsRowDxfId="78"/>
    <tableColumn id="34" xr3:uid="{00000000-0010-0000-0000-000022000000}" name="Número de Beneficiarios" dataDxfId="77" totalsRowDxfId="76"/>
    <tableColumn id="44" xr3:uid="{00000000-0010-0000-0000-00002C000000}" name="Actividades Realizadas" dataDxfId="75" totalsRowDxfId="74"/>
    <tableColumn id="46" xr3:uid="{00000000-0010-0000-0000-00002E000000}" name="Recursos propios 2024" totalsRowFunction="sum" dataDxfId="73" totalsRowDxfId="72"/>
    <tableColumn id="47" xr3:uid="{00000000-0010-0000-0000-00002F000000}" name="SGP Educación 2024" totalsRowFunction="sum" dataDxfId="71" totalsRowDxfId="70"/>
    <tableColumn id="48" xr3:uid="{00000000-0010-0000-0000-000030000000}" name="SGP Salud 2024" totalsRowFunction="sum" dataDxfId="69" totalsRowDxfId="68"/>
    <tableColumn id="36" xr3:uid="{00000000-0010-0000-0000-000024000000}" name="SGP Deporte 2024" totalsRowFunction="sum" dataDxfId="67" totalsRowDxfId="66"/>
    <tableColumn id="35" xr3:uid="{00000000-0010-0000-0000-000023000000}" name="SGP Cultura 2024" totalsRowFunction="sum" dataDxfId="65" totalsRowDxfId="64"/>
    <tableColumn id="13" xr3:uid="{00000000-0010-0000-0000-00000D000000}" name="SGP Libre inversión 2024" totalsRowFunction="sum" dataDxfId="63" totalsRowDxfId="62"/>
    <tableColumn id="12" xr3:uid="{00000000-0010-0000-0000-00000C000000}" name="SGP Libre destinación 2024" totalsRowFunction="sum" dataDxfId="61" totalsRowDxfId="60"/>
    <tableColumn id="11" xr3:uid="{00000000-0010-0000-0000-00000B000000}" name="SGP Alimentación escolar 2024" totalsRowFunction="sum" dataDxfId="59" totalsRowDxfId="58"/>
    <tableColumn id="10" xr3:uid="{00000000-0010-0000-0000-00000A000000}" name="SGP Municipios río Magdalena 2024" totalsRowFunction="sum" dataDxfId="57" totalsRowDxfId="56"/>
    <tableColumn id="9" xr3:uid="{00000000-0010-0000-0000-000009000000}" name="SGP APSB 2024" totalsRowFunction="sum" dataDxfId="55" totalsRowDxfId="54"/>
    <tableColumn id="8" xr3:uid="{00000000-0010-0000-0000-000008000000}" name="Crédito 2024" totalsRowFunction="sum" dataDxfId="53" totalsRowDxfId="52"/>
    <tableColumn id="7" xr3:uid="{00000000-0010-0000-0000-000007000000}" name="Transferencias de capital - cofinanciación departamento 2024" totalsRowFunction="sum" dataDxfId="51" totalsRowDxfId="50"/>
    <tableColumn id="6" xr3:uid="{00000000-0010-0000-0000-000006000000}" name="Transferencias de capital - cofinanciación nación 2024" totalsRowFunction="sum" dataDxfId="49" totalsRowDxfId="48"/>
    <tableColumn id="49" xr3:uid="{00000000-0010-0000-0000-000031000000}" name="Otros 2024" totalsRowFunction="sum" dataDxfId="47" totalsRowDxfId="46"/>
    <tableColumn id="50" xr3:uid="{00000000-0010-0000-0000-000032000000}" name="Total 2024" totalsRowFunction="sum" dataDxfId="45" totalsRowDxfId="44">
      <calculatedColumnFormula>SUM(Tabla1[[#This Row],[Recursos propios 2024]:[Otros 2024]])</calculatedColumnFormula>
    </tableColumn>
    <tableColumn id="51" xr3:uid="{00000000-0010-0000-0000-000033000000}" name="Recursos propios 20242" totalsRowFunction="sum" dataDxfId="43" totalsRowDxfId="42"/>
    <tableColumn id="52" xr3:uid="{00000000-0010-0000-0000-000034000000}" name="SGP Educación 20243" totalsRowFunction="sum" dataDxfId="41" totalsRowDxfId="40"/>
    <tableColumn id="53" xr3:uid="{00000000-0010-0000-0000-000035000000}" name="SGP Salud 20244" totalsRowFunction="sum" dataDxfId="39" totalsRowDxfId="38"/>
    <tableColumn id="62" xr3:uid="{00000000-0010-0000-0000-00003E000000}" name="SGP Deporte 20245" totalsRowFunction="sum" dataDxfId="37" totalsRowDxfId="36"/>
    <tableColumn id="61" xr3:uid="{00000000-0010-0000-0000-00003D000000}" name="SGP Cultura 20246" totalsRowFunction="sum" dataDxfId="35" totalsRowDxfId="34"/>
    <tableColumn id="45" xr3:uid="{00000000-0010-0000-0000-00002D000000}" name="SGP Libre inversión 20247" totalsRowFunction="sum" dataDxfId="33" totalsRowDxfId="32"/>
    <tableColumn id="43" xr3:uid="{00000000-0010-0000-0000-00002B000000}" name="SGP Libre destinación 20248" totalsRowFunction="sum" dataDxfId="31" totalsRowDxfId="30"/>
    <tableColumn id="42" xr3:uid="{00000000-0010-0000-0000-00002A000000}" name="SGP Alimentación escolar 20249" totalsRowFunction="sum" dataDxfId="29" totalsRowDxfId="28"/>
    <tableColumn id="41" xr3:uid="{00000000-0010-0000-0000-000029000000}" name="SGP Municipios río Magdalena 202410" totalsRowFunction="sum" dataDxfId="27" totalsRowDxfId="26"/>
    <tableColumn id="40" xr3:uid="{00000000-0010-0000-0000-000028000000}" name="SGP APSB 202411" totalsRowFunction="sum" dataDxfId="25" totalsRowDxfId="24"/>
    <tableColumn id="39" xr3:uid="{00000000-0010-0000-0000-000027000000}" name="Crédito 202412" totalsRowFunction="sum" dataDxfId="23" totalsRowDxfId="22"/>
    <tableColumn id="38" xr3:uid="{00000000-0010-0000-0000-000026000000}" name="Transferencias de capital - cofinanciación departamento 202413" totalsRowFunction="sum" dataDxfId="21" totalsRowDxfId="20"/>
    <tableColumn id="37" xr3:uid="{00000000-0010-0000-0000-000025000000}" name="Transferencias de capital - cofinanciación nación 202414" totalsRowFunction="sum" dataDxfId="19" totalsRowDxfId="18"/>
    <tableColumn id="54" xr3:uid="{00000000-0010-0000-0000-000036000000}" name="Otros 202415" totalsRowFunction="sum" dataDxfId="17" totalsRowDxfId="16"/>
    <tableColumn id="55" xr3:uid="{00000000-0010-0000-0000-000037000000}" name="Total Comprometido 2024" totalsRowFunction="sum" dataDxfId="15" totalsRowDxfId="14">
      <calculatedColumnFormula>SUM(Tabla1[[#This Row],[Recursos propios 20242]:[Otros 202415]])</calculatedColumnFormula>
    </tableColumn>
    <tableColumn id="56" xr3:uid="{00000000-0010-0000-0000-000038000000}" name="Ejecución Presupuestal" dataDxfId="13" totalsRowDxfId="12" dataCellStyle="Porcentaje">
      <calculatedColumnFormula>+Tabla1[[#This Row],[Total Comprometido 2024]]/Tabla1[[#This Row],[Total 2024]]</calculatedColumnFormula>
    </tableColumn>
    <tableColumn id="3" xr3:uid="{00000000-0010-0000-0000-000003000000}" name="Total Recursos Obligados" totalsRowFunction="sum" dataDxfId="11" totalsRowDxfId="10"/>
    <tableColumn id="4" xr3:uid="{00000000-0010-0000-0000-000004000000}" name="Total Recursos Pagados" totalsRowFunction="sum" dataDxfId="9" totalsRowDxfId="8"/>
    <tableColumn id="57" xr3:uid="{00000000-0010-0000-0000-000039000000}" name="Recursos Gestionados" totalsRowFunction="sum" dataDxfId="7" totalsRowDxfId="6"/>
    <tableColumn id="58" xr3:uid="{00000000-0010-0000-0000-00003A000000}" name="Dependencia" dataDxfId="5" totalsRowDxfId="4"/>
    <tableColumn id="59" xr3:uid="{00000000-0010-0000-0000-00003B000000}" name="Responsable" dataDxfId="3" totalsRowDxfId="2"/>
    <tableColumn id="60" xr3:uid="{00000000-0010-0000-0000-00003C000000}" name="ODS" dataDxfId="1" totalsRow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89"/>
  <sheetViews>
    <sheetView showGridLines="0" tabSelected="1" zoomScale="60" zoomScaleNormal="60" workbookViewId="0">
      <pane xSplit="7" ySplit="10" topLeftCell="L11" activePane="bottomRight" state="frozen"/>
      <selection pane="topRight" activeCell="H1" sqref="H1"/>
      <selection pane="bottomLeft" activeCell="A11" sqref="A11"/>
      <selection pane="bottomRight"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31" customWidth="1"/>
    <col min="6" max="6" width="21.75" style="6" customWidth="1"/>
    <col min="7" max="7" width="24.25" style="31" customWidth="1"/>
    <col min="8" max="8" width="31.75" style="6" customWidth="1"/>
    <col min="9" max="9" width="26.25" style="31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37.125" style="6" customWidth="1"/>
    <col min="20" max="20" width="26.125" style="6" bestFit="1" customWidth="1"/>
    <col min="21" max="21" width="28.375" style="6" customWidth="1"/>
    <col min="22" max="22" width="31.25" style="6" customWidth="1"/>
    <col min="23" max="23" width="23.5" style="6" customWidth="1"/>
    <col min="24" max="24" width="20.125" style="6" customWidth="1"/>
    <col min="25" max="25" width="36.625" style="6" customWidth="1"/>
    <col min="26" max="26" width="23.75" style="6" bestFit="1" customWidth="1"/>
    <col min="27" max="27" width="17.625" style="6" customWidth="1"/>
    <col min="28" max="30" width="18.375" style="6" customWidth="1"/>
    <col min="31" max="31" width="22.25" style="6" bestFit="1" customWidth="1"/>
    <col min="32" max="34" width="18.375" style="6" customWidth="1"/>
    <col min="35" max="35" width="22.625" style="6" bestFit="1" customWidth="1"/>
    <col min="36" max="39" width="18.375" style="6" customWidth="1"/>
    <col min="40" max="40" width="25.5" style="6" bestFit="1" customWidth="1"/>
    <col min="41" max="41" width="24.375" style="6" customWidth="1"/>
    <col min="42" max="45" width="19" style="6" customWidth="1"/>
    <col min="46" max="46" width="21" style="6" bestFit="1" customWidth="1"/>
    <col min="47" max="49" width="19" style="6" customWidth="1"/>
    <col min="50" max="50" width="21.375" style="6" bestFit="1" customWidth="1"/>
    <col min="51" max="51" width="19" style="6" customWidth="1"/>
    <col min="52" max="52" width="26.625" style="6" customWidth="1"/>
    <col min="53" max="53" width="25.5" style="6" customWidth="1"/>
    <col min="54" max="54" width="19" style="6" customWidth="1"/>
    <col min="55" max="55" width="26.1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120"/>
      <c r="B1" s="120"/>
      <c r="C1" s="105" t="s">
        <v>34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7"/>
      <c r="BC1" s="20" t="s">
        <v>35</v>
      </c>
      <c r="BD1" s="21"/>
      <c r="BE1" s="21"/>
      <c r="BF1" s="21"/>
      <c r="BG1" s="21"/>
      <c r="BH1" s="21"/>
      <c r="BI1" s="21"/>
      <c r="BJ1" s="22"/>
    </row>
    <row r="2" spans="1:62" ht="30" customHeight="1">
      <c r="A2" s="120"/>
      <c r="B2" s="120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7"/>
      <c r="BC2" s="20" t="s">
        <v>249</v>
      </c>
      <c r="BD2" s="21"/>
      <c r="BE2" s="21"/>
      <c r="BF2" s="21"/>
      <c r="BG2" s="21"/>
      <c r="BH2" s="21"/>
      <c r="BI2" s="21"/>
      <c r="BJ2" s="22"/>
    </row>
    <row r="3" spans="1:62" ht="30" customHeight="1">
      <c r="A3" s="120"/>
      <c r="B3" s="120"/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7"/>
      <c r="BC3" s="20" t="s">
        <v>250</v>
      </c>
      <c r="BD3" s="21"/>
      <c r="BE3" s="21"/>
      <c r="BF3" s="21"/>
      <c r="BG3" s="21"/>
      <c r="BH3" s="21"/>
      <c r="BI3" s="21"/>
      <c r="BJ3" s="22"/>
    </row>
    <row r="4" spans="1:62" ht="30" customHeight="1">
      <c r="A4" s="120"/>
      <c r="B4" s="120"/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10"/>
      <c r="BC4" s="23" t="s">
        <v>251</v>
      </c>
      <c r="BD4" s="24"/>
      <c r="BE4" s="24"/>
      <c r="BF4" s="24"/>
      <c r="BG4" s="24"/>
      <c r="BH4" s="24"/>
      <c r="BI4" s="24"/>
      <c r="BJ4" s="25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116" t="s">
        <v>29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3" t="s">
        <v>28</v>
      </c>
      <c r="P9" s="114"/>
      <c r="Q9" s="115"/>
      <c r="R9" s="113" t="s">
        <v>27</v>
      </c>
      <c r="S9" s="114"/>
      <c r="T9" s="114"/>
      <c r="U9" s="114"/>
      <c r="V9" s="114"/>
      <c r="W9" s="114"/>
      <c r="X9" s="114"/>
      <c r="Y9" s="114"/>
      <c r="Z9" s="117" t="s">
        <v>26</v>
      </c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9"/>
      <c r="AO9" s="113" t="s">
        <v>25</v>
      </c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5"/>
      <c r="BH9" s="111" t="s">
        <v>22</v>
      </c>
      <c r="BI9" s="112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62" t="s">
        <v>16</v>
      </c>
      <c r="F10" s="4" t="s">
        <v>15</v>
      </c>
      <c r="G10" s="29" t="s">
        <v>14</v>
      </c>
      <c r="H10" s="4" t="s">
        <v>13</v>
      </c>
      <c r="I10" s="29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4" t="s">
        <v>55</v>
      </c>
      <c r="AO10" s="4" t="s">
        <v>57</v>
      </c>
      <c r="AP10" s="4" t="s">
        <v>58</v>
      </c>
      <c r="AQ10" s="4" t="s">
        <v>59</v>
      </c>
      <c r="AR10" s="4" t="s">
        <v>60</v>
      </c>
      <c r="AS10" s="4" t="s">
        <v>61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69</v>
      </c>
      <c r="BB10" s="4" t="s">
        <v>70</v>
      </c>
      <c r="BC10" s="4" t="s">
        <v>56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69" customFormat="1" ht="313.5" customHeight="1">
      <c r="A11" s="59">
        <v>11</v>
      </c>
      <c r="B11" s="63" t="s">
        <v>71</v>
      </c>
      <c r="C11" s="63" t="s">
        <v>72</v>
      </c>
      <c r="D11" s="63" t="s">
        <v>73</v>
      </c>
      <c r="E11" s="63" t="s">
        <v>74</v>
      </c>
      <c r="F11" s="63" t="s">
        <v>75</v>
      </c>
      <c r="G11" s="63" t="s">
        <v>76</v>
      </c>
      <c r="H11" s="63">
        <v>210206900</v>
      </c>
      <c r="I11" s="63" t="s">
        <v>77</v>
      </c>
      <c r="J11" s="64">
        <v>51229</v>
      </c>
      <c r="K11" s="63" t="s">
        <v>78</v>
      </c>
      <c r="L11" s="63" t="s">
        <v>347</v>
      </c>
      <c r="M11" s="64">
        <v>51229</v>
      </c>
      <c r="N11" s="63">
        <v>51229</v>
      </c>
      <c r="O11" s="59">
        <v>47496</v>
      </c>
      <c r="P11" s="65">
        <v>1</v>
      </c>
      <c r="Q11" s="65">
        <v>0.25</v>
      </c>
      <c r="R11" s="59" t="s">
        <v>319</v>
      </c>
      <c r="S11" s="59" t="s">
        <v>320</v>
      </c>
      <c r="T11" s="60">
        <v>82273448084.979996</v>
      </c>
      <c r="U11" s="61">
        <v>18396866032</v>
      </c>
      <c r="V11" s="59" t="s">
        <v>321</v>
      </c>
      <c r="W11" s="59" t="s">
        <v>254</v>
      </c>
      <c r="X11" s="59">
        <v>605047</v>
      </c>
      <c r="Y11" s="59" t="s">
        <v>322</v>
      </c>
      <c r="Z11" s="60">
        <v>9672461336.8299999</v>
      </c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>
        <v>9672461336.8299999</v>
      </c>
      <c r="AO11" s="66">
        <v>9672461336.8299999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>
        <v>9672461336.8299999</v>
      </c>
      <c r="BD11" s="67">
        <v>1</v>
      </c>
      <c r="BE11" s="68">
        <v>9287168001.2299995</v>
      </c>
      <c r="BF11" s="68">
        <v>9287168001.2299995</v>
      </c>
      <c r="BG11" s="60"/>
      <c r="BH11" s="63" t="s">
        <v>245</v>
      </c>
      <c r="BI11" s="63" t="s">
        <v>352</v>
      </c>
      <c r="BJ11" s="63">
        <v>11.16</v>
      </c>
    </row>
    <row r="12" spans="1:62" s="69" customFormat="1" ht="42.75" customHeight="1">
      <c r="A12" s="59">
        <v>11</v>
      </c>
      <c r="B12" s="63" t="s">
        <v>71</v>
      </c>
      <c r="C12" s="63" t="s">
        <v>72</v>
      </c>
      <c r="D12" s="63" t="s">
        <v>73</v>
      </c>
      <c r="E12" s="63" t="s">
        <v>74</v>
      </c>
      <c r="F12" s="63" t="s">
        <v>75</v>
      </c>
      <c r="G12" s="63"/>
      <c r="H12" s="63"/>
      <c r="I12" s="63"/>
      <c r="J12" s="64"/>
      <c r="K12" s="63"/>
      <c r="L12" s="63"/>
      <c r="M12" s="64"/>
      <c r="N12" s="63"/>
      <c r="O12" s="59"/>
      <c r="P12" s="70"/>
      <c r="Q12" s="65"/>
      <c r="R12" s="58" t="s">
        <v>332</v>
      </c>
      <c r="S12" s="55" t="s">
        <v>333</v>
      </c>
      <c r="T12" s="56">
        <v>28025839948.32</v>
      </c>
      <c r="U12" s="57">
        <v>3594944130.2799997</v>
      </c>
      <c r="V12" s="59"/>
      <c r="W12" s="59"/>
      <c r="X12" s="59"/>
      <c r="Y12" s="59"/>
      <c r="Z12" s="60">
        <v>3594944130.2800002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>
        <f>SUM(Tabla1[[#This Row],[Recursos propios 2024]:[Otros 2024]])</f>
        <v>3594944130.2800002</v>
      </c>
      <c r="AO12" s="66">
        <v>3594944130.2800002</v>
      </c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>
        <f>SUM(Tabla1[[#This Row],[Recursos propios 20242]:[Otros 202415]])</f>
        <v>3594944130.2800002</v>
      </c>
      <c r="BD12" s="67">
        <f>+Tabla1[[#This Row],[Total Comprometido 2024]]/Tabla1[[#This Row],[Total 2024]]</f>
        <v>1</v>
      </c>
      <c r="BE12" s="68">
        <v>1673918708.1099999</v>
      </c>
      <c r="BF12" s="68">
        <v>1673918708.1099999</v>
      </c>
      <c r="BG12" s="60"/>
      <c r="BH12" s="63"/>
      <c r="BI12" s="63" t="s">
        <v>351</v>
      </c>
      <c r="BJ12" s="63"/>
    </row>
    <row r="13" spans="1:62" s="69" customFormat="1" ht="42.75" customHeight="1">
      <c r="A13" s="59">
        <v>11</v>
      </c>
      <c r="B13" s="63" t="s">
        <v>71</v>
      </c>
      <c r="C13" s="63" t="s">
        <v>72</v>
      </c>
      <c r="D13" s="63" t="s">
        <v>73</v>
      </c>
      <c r="E13" s="63" t="s">
        <v>74</v>
      </c>
      <c r="F13" s="63" t="s">
        <v>75</v>
      </c>
      <c r="G13" s="63"/>
      <c r="H13" s="63"/>
      <c r="I13" s="63"/>
      <c r="J13" s="64"/>
      <c r="K13" s="63"/>
      <c r="L13" s="63"/>
      <c r="M13" s="64"/>
      <c r="N13" s="63"/>
      <c r="O13" s="59"/>
      <c r="P13" s="65"/>
      <c r="Q13" s="65"/>
      <c r="R13" s="58" t="s">
        <v>334</v>
      </c>
      <c r="S13" s="55" t="s">
        <v>335</v>
      </c>
      <c r="T13" s="56">
        <v>1231292530</v>
      </c>
      <c r="U13" s="56">
        <v>1231292530</v>
      </c>
      <c r="V13" s="59"/>
      <c r="W13" s="59"/>
      <c r="X13" s="59"/>
      <c r="Y13" s="59"/>
      <c r="Z13" s="56">
        <v>1231292530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>
        <f>SUM(Tabla1[[#This Row],[Recursos propios 2024]:[Otros 2024]])</f>
        <v>1231292530</v>
      </c>
      <c r="AO13" s="56">
        <v>1042870344.51</v>
      </c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>
        <f>SUM(Tabla1[[#This Row],[Recursos propios 20242]:[Otros 202415]])</f>
        <v>1042870344.51</v>
      </c>
      <c r="BD13" s="67">
        <f>+Tabla1[[#This Row],[Total Comprometido 2024]]/Tabla1[[#This Row],[Total 2024]]</f>
        <v>0.84697203881355476</v>
      </c>
      <c r="BE13" s="68">
        <v>64621778.840000004</v>
      </c>
      <c r="BF13" s="68">
        <v>64621778.840000004</v>
      </c>
      <c r="BG13" s="60"/>
      <c r="BH13" s="63"/>
      <c r="BI13" s="63" t="s">
        <v>351</v>
      </c>
      <c r="BJ13" s="63"/>
    </row>
    <row r="14" spans="1:62" s="69" customFormat="1" ht="42.75" customHeight="1">
      <c r="A14" s="59">
        <v>11</v>
      </c>
      <c r="B14" s="63" t="s">
        <v>71</v>
      </c>
      <c r="C14" s="63" t="s">
        <v>72</v>
      </c>
      <c r="D14" s="63" t="s">
        <v>73</v>
      </c>
      <c r="E14" s="63" t="s">
        <v>74</v>
      </c>
      <c r="F14" s="63" t="s">
        <v>75</v>
      </c>
      <c r="G14" s="63"/>
      <c r="H14" s="63"/>
      <c r="I14" s="63"/>
      <c r="J14" s="64"/>
      <c r="K14" s="63"/>
      <c r="L14" s="63"/>
      <c r="M14" s="64"/>
      <c r="N14" s="63"/>
      <c r="O14" s="59"/>
      <c r="P14" s="70"/>
      <c r="Q14" s="65"/>
      <c r="R14" s="55" t="s">
        <v>323</v>
      </c>
      <c r="S14" s="55" t="s">
        <v>324</v>
      </c>
      <c r="T14" s="56">
        <v>14773520535.58</v>
      </c>
      <c r="U14" s="57">
        <v>4090424780.6400003</v>
      </c>
      <c r="V14" s="59"/>
      <c r="W14" s="59"/>
      <c r="X14" s="59"/>
      <c r="Y14" s="59"/>
      <c r="Z14" s="56">
        <v>4090424780.6400003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>
        <f>SUM(Tabla1[[#This Row],[Recursos propios 2024]:[Otros 2024]])</f>
        <v>4090424780.6400003</v>
      </c>
      <c r="AO14" s="56">
        <v>4074789597.25</v>
      </c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>
        <f>SUM(Tabla1[[#This Row],[Recursos propios 20242]:[Otros 202415]])</f>
        <v>4074789597.25</v>
      </c>
      <c r="BD14" s="67">
        <f>+Tabla1[[#This Row],[Total Comprometido 2024]]/Tabla1[[#This Row],[Total 2024]]</f>
        <v>0.99617761376177805</v>
      </c>
      <c r="BE14" s="68">
        <v>1214353560.1799998</v>
      </c>
      <c r="BF14" s="68">
        <v>1214353560.1799998</v>
      </c>
      <c r="BG14" s="60"/>
      <c r="BH14" s="63"/>
      <c r="BI14" s="63" t="s">
        <v>351</v>
      </c>
      <c r="BJ14" s="63"/>
    </row>
    <row r="15" spans="1:62" s="69" customFormat="1" ht="42.75" customHeight="1">
      <c r="A15" s="59">
        <v>11</v>
      </c>
      <c r="B15" s="63" t="s">
        <v>71</v>
      </c>
      <c r="C15" s="63" t="s">
        <v>72</v>
      </c>
      <c r="D15" s="63" t="s">
        <v>73</v>
      </c>
      <c r="E15" s="63" t="s">
        <v>74</v>
      </c>
      <c r="F15" s="63" t="s">
        <v>75</v>
      </c>
      <c r="G15" s="63"/>
      <c r="H15" s="63"/>
      <c r="I15" s="63"/>
      <c r="J15" s="64"/>
      <c r="K15" s="63"/>
      <c r="L15" s="63"/>
      <c r="M15" s="64"/>
      <c r="N15" s="63"/>
      <c r="O15" s="59"/>
      <c r="P15" s="65"/>
      <c r="Q15" s="65"/>
      <c r="R15" s="55" t="s">
        <v>325</v>
      </c>
      <c r="S15" s="55" t="s">
        <v>324</v>
      </c>
      <c r="T15" s="56">
        <v>23350833209</v>
      </c>
      <c r="U15" s="57">
        <v>22296836821</v>
      </c>
      <c r="V15" s="59"/>
      <c r="W15" s="59"/>
      <c r="X15" s="59"/>
      <c r="Y15" s="59"/>
      <c r="Z15" s="56">
        <v>22296836821</v>
      </c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>
        <f>SUM(Tabla1[[#This Row],[Recursos propios 2024]:[Otros 2024]])</f>
        <v>22296836821</v>
      </c>
      <c r="AO15" s="56">
        <v>0</v>
      </c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>
        <f>SUM(Tabla1[[#This Row],[Recursos propios 20242]:[Otros 202415]])</f>
        <v>0</v>
      </c>
      <c r="BD15" s="67">
        <f>+Tabla1[[#This Row],[Total Comprometido 2024]]/Tabla1[[#This Row],[Total 2024]]</f>
        <v>0</v>
      </c>
      <c r="BE15" s="68">
        <v>0</v>
      </c>
      <c r="BF15" s="68">
        <v>0</v>
      </c>
      <c r="BG15" s="60"/>
      <c r="BH15" s="63"/>
      <c r="BI15" s="63" t="s">
        <v>351</v>
      </c>
      <c r="BJ15" s="63"/>
    </row>
    <row r="16" spans="1:62" s="69" customFormat="1" ht="57" customHeight="1">
      <c r="A16" s="59">
        <v>11</v>
      </c>
      <c r="B16" s="63" t="s">
        <v>71</v>
      </c>
      <c r="C16" s="63" t="s">
        <v>72</v>
      </c>
      <c r="D16" s="63" t="s">
        <v>73</v>
      </c>
      <c r="E16" s="63" t="s">
        <v>74</v>
      </c>
      <c r="F16" s="63" t="s">
        <v>75</v>
      </c>
      <c r="G16" s="63"/>
      <c r="H16" s="63"/>
      <c r="I16" s="63"/>
      <c r="J16" s="64"/>
      <c r="K16" s="63"/>
      <c r="L16" s="63"/>
      <c r="M16" s="64"/>
      <c r="N16" s="63"/>
      <c r="O16" s="59"/>
      <c r="P16" s="70"/>
      <c r="Q16" s="65"/>
      <c r="R16" s="55" t="s">
        <v>326</v>
      </c>
      <c r="S16" s="55" t="s">
        <v>327</v>
      </c>
      <c r="T16" s="56">
        <v>22825605640.68</v>
      </c>
      <c r="U16" s="57">
        <v>22825605640.68</v>
      </c>
      <c r="V16" s="59"/>
      <c r="W16" s="59"/>
      <c r="X16" s="59"/>
      <c r="Y16" s="59"/>
      <c r="Z16" s="60">
        <f>20311995689.9+328790410</f>
        <v>20640786099.900002</v>
      </c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>
        <f>SUM(Tabla1[[#This Row],[Recursos propios 2024]:[Otros 2024]])</f>
        <v>20640786099.900002</v>
      </c>
      <c r="AO16" s="66">
        <v>0</v>
      </c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>
        <f>SUM(Tabla1[[#This Row],[Recursos propios 20242]:[Otros 202415]])</f>
        <v>0</v>
      </c>
      <c r="BD16" s="67">
        <f>+Tabla1[[#This Row],[Total Comprometido 2024]]/Tabla1[[#This Row],[Total 2024]]</f>
        <v>0</v>
      </c>
      <c r="BE16" s="68">
        <v>0</v>
      </c>
      <c r="BF16" s="68">
        <v>0</v>
      </c>
      <c r="BG16" s="60"/>
      <c r="BH16" s="63"/>
      <c r="BI16" s="63" t="s">
        <v>351</v>
      </c>
      <c r="BJ16" s="63"/>
    </row>
    <row r="17" spans="1:62" s="69" customFormat="1" ht="42.75" customHeight="1">
      <c r="A17" s="59">
        <v>11</v>
      </c>
      <c r="B17" s="63" t="s">
        <v>71</v>
      </c>
      <c r="C17" s="63" t="s">
        <v>72</v>
      </c>
      <c r="D17" s="63" t="s">
        <v>73</v>
      </c>
      <c r="E17" s="63" t="s">
        <v>74</v>
      </c>
      <c r="F17" s="63" t="s">
        <v>75</v>
      </c>
      <c r="G17" s="63"/>
      <c r="H17" s="63"/>
      <c r="I17" s="63"/>
      <c r="J17" s="64"/>
      <c r="K17" s="63"/>
      <c r="L17" s="63"/>
      <c r="M17" s="64"/>
      <c r="N17" s="63"/>
      <c r="O17" s="59"/>
      <c r="P17" s="65"/>
      <c r="Q17" s="65"/>
      <c r="R17" s="58" t="s">
        <v>328</v>
      </c>
      <c r="S17" s="55" t="s">
        <v>329</v>
      </c>
      <c r="T17" s="57">
        <v>81406738427.110001</v>
      </c>
      <c r="U17" s="57">
        <v>17919939774.600002</v>
      </c>
      <c r="V17" s="59"/>
      <c r="W17" s="59"/>
      <c r="X17" s="59"/>
      <c r="Y17" s="59"/>
      <c r="Z17" s="60">
        <v>17919939774.599998</v>
      </c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>
        <f>SUM(Tabla1[[#This Row],[Recursos propios 2024]:[Otros 2024]])</f>
        <v>17919939774.599998</v>
      </c>
      <c r="AO17" s="66">
        <v>15683888929</v>
      </c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>
        <f>SUM(Tabla1[[#This Row],[Recursos propios 20242]:[Otros 202415]])</f>
        <v>15683888929</v>
      </c>
      <c r="BD17" s="67">
        <f>+Tabla1[[#This Row],[Total Comprometido 2024]]/Tabla1[[#This Row],[Total 2024]]</f>
        <v>0.87521995755982329</v>
      </c>
      <c r="BE17" s="68">
        <v>0</v>
      </c>
      <c r="BF17" s="68">
        <v>0</v>
      </c>
      <c r="BG17" s="60"/>
      <c r="BH17" s="63"/>
      <c r="BI17" s="63" t="s">
        <v>351</v>
      </c>
      <c r="BJ17" s="63"/>
    </row>
    <row r="18" spans="1:62" s="69" customFormat="1" ht="57" customHeight="1">
      <c r="A18" s="59">
        <v>11</v>
      </c>
      <c r="B18" s="63" t="s">
        <v>71</v>
      </c>
      <c r="C18" s="63" t="s">
        <v>72</v>
      </c>
      <c r="D18" s="63" t="s">
        <v>73</v>
      </c>
      <c r="E18" s="63" t="s">
        <v>74</v>
      </c>
      <c r="F18" s="63" t="s">
        <v>75</v>
      </c>
      <c r="G18" s="63"/>
      <c r="H18" s="63"/>
      <c r="I18" s="63"/>
      <c r="J18" s="64"/>
      <c r="K18" s="63"/>
      <c r="L18" s="63"/>
      <c r="M18" s="64"/>
      <c r="N18" s="63"/>
      <c r="O18" s="59"/>
      <c r="P18" s="70"/>
      <c r="Q18" s="65"/>
      <c r="R18" s="58" t="s">
        <v>330</v>
      </c>
      <c r="S18" s="55" t="s">
        <v>331</v>
      </c>
      <c r="T18" s="56">
        <v>76321596723.880005</v>
      </c>
      <c r="U18" s="57">
        <v>13091968522.17</v>
      </c>
      <c r="V18" s="59"/>
      <c r="W18" s="59"/>
      <c r="X18" s="59"/>
      <c r="Y18" s="59"/>
      <c r="Z18" s="60">
        <v>13091968522.17</v>
      </c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>
        <f>SUM(Tabla1[[#This Row],[Recursos propios 2024]:[Otros 2024]])</f>
        <v>13091968522.17</v>
      </c>
      <c r="AO18" s="66">
        <v>11370931012.130001</v>
      </c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>
        <f>SUM(Tabla1[[#This Row],[Recursos propios 20242]:[Otros 202415]])</f>
        <v>11370931012.130001</v>
      </c>
      <c r="BD18" s="67">
        <f>+Tabla1[[#This Row],[Total Comprometido 2024]]/Tabla1[[#This Row],[Total 2024]]</f>
        <v>0.86854249556698937</v>
      </c>
      <c r="BE18" s="68">
        <v>11236654671.130001</v>
      </c>
      <c r="BF18" s="68">
        <v>11236654671.130001</v>
      </c>
      <c r="BG18" s="60"/>
      <c r="BH18" s="63"/>
      <c r="BI18" s="63" t="s">
        <v>351</v>
      </c>
      <c r="BJ18" s="63"/>
    </row>
    <row r="19" spans="1:62" s="77" customFormat="1" ht="71.25" customHeight="1">
      <c r="A19" s="71">
        <v>12</v>
      </c>
      <c r="B19" s="72" t="s">
        <v>71</v>
      </c>
      <c r="C19" s="73" t="s">
        <v>72</v>
      </c>
      <c r="D19" s="72" t="s">
        <v>73</v>
      </c>
      <c r="E19" s="73" t="s">
        <v>74</v>
      </c>
      <c r="F19" s="72" t="s">
        <v>79</v>
      </c>
      <c r="G19" s="73" t="s">
        <v>80</v>
      </c>
      <c r="H19" s="72">
        <v>210200800</v>
      </c>
      <c r="I19" s="73" t="s">
        <v>81</v>
      </c>
      <c r="J19" s="72">
        <v>0</v>
      </c>
      <c r="K19" s="72" t="s">
        <v>78</v>
      </c>
      <c r="L19" s="72" t="s">
        <v>348</v>
      </c>
      <c r="M19" s="72">
        <v>2</v>
      </c>
      <c r="N19" s="72">
        <v>2</v>
      </c>
      <c r="O19" s="71"/>
      <c r="P19" s="74">
        <f>+(Tabla1[[#This Row],[Meta Ejecutada Vigencia4]]/Tabla1[[#This Row],[Meta Programada Vigencia]])</f>
        <v>0</v>
      </c>
      <c r="Q19" s="74">
        <f>+Tabla1[[#This Row],[Meta Ejecutada Vigencia4]]/Tabla1[[#This Row],[Meta Programada Cuatrienio3]]/4</f>
        <v>0</v>
      </c>
      <c r="R19" s="55" t="s">
        <v>336</v>
      </c>
      <c r="S19" s="55" t="s">
        <v>337</v>
      </c>
      <c r="T19" s="56">
        <v>2500000000</v>
      </c>
      <c r="U19" s="57">
        <v>2500000000</v>
      </c>
      <c r="V19" s="71"/>
      <c r="W19" s="71"/>
      <c r="X19" s="71"/>
      <c r="Y19" s="59"/>
      <c r="Z19" s="75">
        <v>2500000000</v>
      </c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>
        <f>SUM(Tabla1[[#This Row],[Recursos propios 2024]:[Otros 2024]])</f>
        <v>2500000000</v>
      </c>
      <c r="AO19" s="66">
        <v>0</v>
      </c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>
        <f>SUM(Tabla1[[#This Row],[Recursos propios 20242]:[Otros 202415]])</f>
        <v>0</v>
      </c>
      <c r="BD19" s="76">
        <f>+Tabla1[[#This Row],[Total Comprometido 2024]]/Tabla1[[#This Row],[Total 2024]]</f>
        <v>0</v>
      </c>
      <c r="BE19" s="66">
        <v>0</v>
      </c>
      <c r="BF19" s="66">
        <v>0</v>
      </c>
      <c r="BG19" s="66"/>
      <c r="BH19" s="73" t="s">
        <v>245</v>
      </c>
      <c r="BI19" s="63" t="s">
        <v>351</v>
      </c>
      <c r="BJ19" s="73">
        <v>11.16</v>
      </c>
    </row>
    <row r="20" spans="1:62" s="77" customFormat="1" ht="71.25" customHeight="1">
      <c r="A20" s="71">
        <v>13</v>
      </c>
      <c r="B20" s="72" t="s">
        <v>71</v>
      </c>
      <c r="C20" s="63" t="s">
        <v>72</v>
      </c>
      <c r="D20" s="72" t="s">
        <v>82</v>
      </c>
      <c r="E20" s="73" t="s">
        <v>74</v>
      </c>
      <c r="F20" s="72" t="s">
        <v>83</v>
      </c>
      <c r="G20" s="73" t="s">
        <v>84</v>
      </c>
      <c r="H20" s="72">
        <v>210602000</v>
      </c>
      <c r="I20" s="73" t="s">
        <v>349</v>
      </c>
      <c r="J20" s="78">
        <v>0</v>
      </c>
      <c r="K20" s="72" t="s">
        <v>78</v>
      </c>
      <c r="L20" s="72" t="s">
        <v>348</v>
      </c>
      <c r="M20" s="64">
        <v>1</v>
      </c>
      <c r="N20" s="63">
        <v>1</v>
      </c>
      <c r="O20" s="59"/>
      <c r="P20" s="74">
        <f>+(Tabla1[[#This Row],[Meta Ejecutada Vigencia4]]/Tabla1[[#This Row],[Meta Programada Vigencia]])</f>
        <v>0</v>
      </c>
      <c r="Q20" s="74">
        <f>+Tabla1[[#This Row],[Meta Ejecutada Vigencia4]]/Tabla1[[#This Row],[Meta Programada Cuatrienio3]]/4</f>
        <v>0</v>
      </c>
      <c r="R20" s="58" t="s">
        <v>338</v>
      </c>
      <c r="S20" s="55" t="s">
        <v>339</v>
      </c>
      <c r="T20" s="56">
        <v>2485171685.9299998</v>
      </c>
      <c r="U20" s="57">
        <v>500000000</v>
      </c>
      <c r="V20" s="71"/>
      <c r="W20" s="71"/>
      <c r="X20" s="71"/>
      <c r="Y20" s="59"/>
      <c r="Z20" s="56">
        <v>423000000</v>
      </c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>
        <f>SUM(Tabla1[[#This Row],[Recursos propios 2024]:[Otros 2024]])</f>
        <v>423000000</v>
      </c>
      <c r="AO20" s="66">
        <v>0</v>
      </c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>
        <f>SUM(Tabla1[[#This Row],[Recursos propios 20242]:[Otros 202415]])</f>
        <v>0</v>
      </c>
      <c r="BD20" s="67">
        <f>+Tabla1[[#This Row],[Total Comprometido 2024]]/Tabla1[[#This Row],[Total 2024]]</f>
        <v>0</v>
      </c>
      <c r="BE20" s="68">
        <v>0</v>
      </c>
      <c r="BF20" s="68">
        <v>0</v>
      </c>
      <c r="BG20" s="66"/>
      <c r="BH20" s="73" t="s">
        <v>245</v>
      </c>
      <c r="BI20" s="63" t="s">
        <v>351</v>
      </c>
      <c r="BJ20" s="73">
        <v>16</v>
      </c>
    </row>
    <row r="21" spans="1:62" s="84" customFormat="1" ht="99.75" customHeight="1">
      <c r="A21" s="17">
        <v>47</v>
      </c>
      <c r="B21" s="16" t="s">
        <v>85</v>
      </c>
      <c r="C21" s="79" t="s">
        <v>86</v>
      </c>
      <c r="D21" s="16" t="s">
        <v>87</v>
      </c>
      <c r="E21" s="30" t="s">
        <v>88</v>
      </c>
      <c r="F21" s="16" t="s">
        <v>89</v>
      </c>
      <c r="G21" s="30" t="s">
        <v>90</v>
      </c>
      <c r="H21" s="16">
        <v>400202000</v>
      </c>
      <c r="I21" s="30" t="s">
        <v>91</v>
      </c>
      <c r="J21" s="32">
        <v>243740</v>
      </c>
      <c r="K21" s="16" t="s">
        <v>92</v>
      </c>
      <c r="L21" s="16" t="s">
        <v>348</v>
      </c>
      <c r="M21" s="80">
        <v>300000</v>
      </c>
      <c r="N21" s="79">
        <v>25225</v>
      </c>
      <c r="O21" s="81">
        <f>1476+520+18223+1042+187</f>
        <v>21448</v>
      </c>
      <c r="P21" s="19">
        <f>+(Tabla1[[#This Row],[Meta Ejecutada Vigencia4]]/Tabla1[[#This Row],[Meta Programada Vigencia]])</f>
        <v>0.85026759167492572</v>
      </c>
      <c r="Q21" s="19">
        <f>+Tabla1[[#This Row],[Meta Ejecutada Vigencia4]]/Tabla1[[#This Row],[Meta Programada Cuatrienio3]]/4</f>
        <v>1.7873333333333335E-2</v>
      </c>
      <c r="R21" s="38">
        <v>2022680010049</v>
      </c>
      <c r="S21" s="28" t="s">
        <v>252</v>
      </c>
      <c r="T21" s="37">
        <v>493692255</v>
      </c>
      <c r="U21" s="37">
        <v>493692255</v>
      </c>
      <c r="V21" s="17" t="s">
        <v>253</v>
      </c>
      <c r="W21" s="17" t="s">
        <v>254</v>
      </c>
      <c r="X21" s="17">
        <v>57000</v>
      </c>
      <c r="Y21" s="81" t="s">
        <v>255</v>
      </c>
      <c r="Z21" s="82">
        <v>493692255</v>
      </c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>
        <f>SUM(Tabla1[[#This Row],[Recursos propios 2024]:[Otros 2024]])</f>
        <v>493692255</v>
      </c>
      <c r="AO21" s="82">
        <v>493692255</v>
      </c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>
        <f>SUM(Tabla1[[#This Row],[Recursos propios 20242]:[Otros 202415]])</f>
        <v>493692255</v>
      </c>
      <c r="BD21" s="83">
        <f>+Tabla1[[#This Row],[Total Comprometido 2024]]/Tabla1[[#This Row],[Total 2024]]</f>
        <v>1</v>
      </c>
      <c r="BE21" s="82">
        <v>411074821.97000003</v>
      </c>
      <c r="BF21" s="82">
        <v>347480394.69</v>
      </c>
      <c r="BG21" s="82"/>
      <c r="BH21" s="30" t="s">
        <v>246</v>
      </c>
      <c r="BI21" s="63" t="s">
        <v>351</v>
      </c>
      <c r="BJ21" s="30">
        <v>11.13</v>
      </c>
    </row>
    <row r="22" spans="1:62" s="84" customFormat="1" ht="99.75" customHeight="1">
      <c r="A22" s="17">
        <v>47</v>
      </c>
      <c r="B22" s="16" t="s">
        <v>85</v>
      </c>
      <c r="C22" s="79" t="s">
        <v>86</v>
      </c>
      <c r="D22" s="16" t="s">
        <v>87</v>
      </c>
      <c r="E22" s="30" t="s">
        <v>88</v>
      </c>
      <c r="F22" s="16" t="s">
        <v>89</v>
      </c>
      <c r="G22" s="30"/>
      <c r="H22" s="16"/>
      <c r="I22" s="30"/>
      <c r="J22" s="32"/>
      <c r="K22" s="16"/>
      <c r="L22" s="16"/>
      <c r="M22" s="32"/>
      <c r="N22" s="16"/>
      <c r="O22" s="33"/>
      <c r="P22" s="34"/>
      <c r="Q22" s="35"/>
      <c r="R22" s="36">
        <v>2023680010052</v>
      </c>
      <c r="S22" s="28" t="s">
        <v>256</v>
      </c>
      <c r="T22" s="37">
        <v>172725229.80000001</v>
      </c>
      <c r="U22" s="37">
        <v>172725229.80000001</v>
      </c>
      <c r="V22" s="17"/>
      <c r="W22" s="17"/>
      <c r="X22" s="17"/>
      <c r="Y22" s="17"/>
      <c r="Z22" s="18">
        <v>172725229.80000001</v>
      </c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>
        <f>SUM(Tabla1[[#This Row],[Recursos propios 2024]:[Otros 2024]])</f>
        <v>172725229.80000001</v>
      </c>
      <c r="AO22" s="18">
        <v>172725229.80000001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>
        <f>SUM(Tabla1[[#This Row],[Recursos propios 20242]:[Otros 202415]])</f>
        <v>172725229.80000001</v>
      </c>
      <c r="BD22" s="26">
        <f>+Tabla1[[#This Row],[Total Comprometido 2024]]/Tabla1[[#This Row],[Total 2024]]</f>
        <v>1</v>
      </c>
      <c r="BE22" s="18">
        <v>172725229.80000001</v>
      </c>
      <c r="BF22" s="18">
        <v>172725229.80000001</v>
      </c>
      <c r="BG22" s="18"/>
      <c r="BH22" s="16"/>
      <c r="BI22" s="63" t="s">
        <v>351</v>
      </c>
      <c r="BJ22" s="16"/>
    </row>
    <row r="23" spans="1:62" s="84" customFormat="1" ht="85.5" customHeight="1">
      <c r="A23" s="17">
        <v>47</v>
      </c>
      <c r="B23" s="16" t="s">
        <v>85</v>
      </c>
      <c r="C23" s="79" t="s">
        <v>86</v>
      </c>
      <c r="D23" s="16" t="s">
        <v>87</v>
      </c>
      <c r="E23" s="30" t="s">
        <v>88</v>
      </c>
      <c r="F23" s="16" t="s">
        <v>89</v>
      </c>
      <c r="G23" s="30"/>
      <c r="H23" s="16"/>
      <c r="I23" s="30"/>
      <c r="J23" s="32"/>
      <c r="K23" s="16"/>
      <c r="L23" s="16"/>
      <c r="M23" s="32"/>
      <c r="N23" s="16"/>
      <c r="O23" s="33"/>
      <c r="P23" s="34"/>
      <c r="Q23" s="35"/>
      <c r="R23" s="36">
        <v>2022680010054</v>
      </c>
      <c r="S23" s="28" t="s">
        <v>257</v>
      </c>
      <c r="T23" s="37">
        <v>475000000</v>
      </c>
      <c r="U23" s="37">
        <v>475000000</v>
      </c>
      <c r="V23" s="17"/>
      <c r="W23" s="17"/>
      <c r="X23" s="17"/>
      <c r="Y23" s="17"/>
      <c r="Z23" s="18">
        <v>475000000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>
        <f>SUM(Tabla1[[#This Row],[Recursos propios 2024]:[Otros 2024]])</f>
        <v>475000000</v>
      </c>
      <c r="AO23" s="18">
        <v>475000000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>
        <f>SUM(Tabla1[[#This Row],[Recursos propios 20242]:[Otros 202415]])</f>
        <v>475000000</v>
      </c>
      <c r="BD23" s="26">
        <f>+Tabla1[[#This Row],[Total Comprometido 2024]]/Tabla1[[#This Row],[Total 2024]]</f>
        <v>1</v>
      </c>
      <c r="BE23" s="18">
        <v>365750000</v>
      </c>
      <c r="BF23" s="18">
        <v>365750000</v>
      </c>
      <c r="BG23" s="18"/>
      <c r="BH23" s="16"/>
      <c r="BI23" s="63" t="s">
        <v>351</v>
      </c>
      <c r="BJ23" s="16"/>
    </row>
    <row r="24" spans="1:62" s="84" customFormat="1" ht="71.25" customHeight="1">
      <c r="A24" s="17">
        <v>47</v>
      </c>
      <c r="B24" s="16" t="s">
        <v>85</v>
      </c>
      <c r="C24" s="79" t="s">
        <v>86</v>
      </c>
      <c r="D24" s="16" t="s">
        <v>87</v>
      </c>
      <c r="E24" s="30" t="s">
        <v>88</v>
      </c>
      <c r="F24" s="16" t="s">
        <v>89</v>
      </c>
      <c r="G24" s="30"/>
      <c r="H24" s="16"/>
      <c r="I24" s="30"/>
      <c r="J24" s="32"/>
      <c r="K24" s="16"/>
      <c r="L24" s="16"/>
      <c r="M24" s="32"/>
      <c r="N24" s="16"/>
      <c r="O24" s="33"/>
      <c r="P24" s="34"/>
      <c r="Q24" s="35"/>
      <c r="R24" s="36">
        <v>2024680010050</v>
      </c>
      <c r="S24" s="28" t="s">
        <v>258</v>
      </c>
      <c r="T24" s="37">
        <v>22054956841.130001</v>
      </c>
      <c r="U24" s="37">
        <v>22054956841.130001</v>
      </c>
      <c r="V24" s="17"/>
      <c r="W24" s="17"/>
      <c r="X24" s="17"/>
      <c r="Y24" s="17"/>
      <c r="Z24" s="18">
        <v>21434725123.59</v>
      </c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>
        <f>SUM(Tabla1[[#This Row],[Recursos propios 2024]:[Otros 2024]])</f>
        <v>21434725123.59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>
        <f>SUM(Tabla1[[#This Row],[Recursos propios 20242]:[Otros 202415]])</f>
        <v>0</v>
      </c>
      <c r="BD24" s="26">
        <f>+Tabla1[[#This Row],[Total Comprometido 2024]]/Tabla1[[#This Row],[Total 2024]]</f>
        <v>0</v>
      </c>
      <c r="BE24" s="18"/>
      <c r="BF24" s="18"/>
      <c r="BG24" s="18"/>
      <c r="BH24" s="16"/>
      <c r="BI24" s="63" t="s">
        <v>351</v>
      </c>
      <c r="BJ24" s="16"/>
    </row>
    <row r="25" spans="1:62" s="84" customFormat="1" ht="57" customHeight="1">
      <c r="A25" s="17">
        <v>47</v>
      </c>
      <c r="B25" s="16" t="s">
        <v>85</v>
      </c>
      <c r="C25" s="79" t="s">
        <v>86</v>
      </c>
      <c r="D25" s="16" t="s">
        <v>87</v>
      </c>
      <c r="E25" s="30" t="s">
        <v>88</v>
      </c>
      <c r="F25" s="16" t="s">
        <v>89</v>
      </c>
      <c r="G25" s="30"/>
      <c r="H25" s="16"/>
      <c r="I25" s="30"/>
      <c r="J25" s="32"/>
      <c r="K25" s="16"/>
      <c r="L25" s="16"/>
      <c r="M25" s="32"/>
      <c r="N25" s="16"/>
      <c r="O25" s="33"/>
      <c r="P25" s="34"/>
      <c r="Q25" s="35"/>
      <c r="R25" s="36">
        <v>2024680010257</v>
      </c>
      <c r="S25" s="28" t="s">
        <v>259</v>
      </c>
      <c r="T25" s="37">
        <v>1017291717.54</v>
      </c>
      <c r="U25" s="37">
        <v>1017291717.54</v>
      </c>
      <c r="V25" s="17"/>
      <c r="W25" s="17"/>
      <c r="X25" s="17"/>
      <c r="Y25" s="17"/>
      <c r="Z25" s="18">
        <v>1017291717.54</v>
      </c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>
        <f>SUM(Tabla1[[#This Row],[Recursos propios 2024]:[Otros 2024]])</f>
        <v>1017291717.54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>
        <f>SUM(Tabla1[[#This Row],[Recursos propios 20242]:[Otros 202415]])</f>
        <v>0</v>
      </c>
      <c r="BD25" s="26">
        <f>+Tabla1[[#This Row],[Total Comprometido 2024]]/Tabla1[[#This Row],[Total 2024]]</f>
        <v>0</v>
      </c>
      <c r="BE25" s="18"/>
      <c r="BF25" s="18"/>
      <c r="BG25" s="18"/>
      <c r="BH25" s="16"/>
      <c r="BI25" s="63" t="s">
        <v>351</v>
      </c>
      <c r="BJ25" s="16"/>
    </row>
    <row r="26" spans="1:62" s="84" customFormat="1" ht="57" customHeight="1">
      <c r="A26" s="17">
        <v>47</v>
      </c>
      <c r="B26" s="16" t="s">
        <v>85</v>
      </c>
      <c r="C26" s="79" t="s">
        <v>86</v>
      </c>
      <c r="D26" s="16" t="s">
        <v>87</v>
      </c>
      <c r="E26" s="30" t="s">
        <v>88</v>
      </c>
      <c r="F26" s="16" t="s">
        <v>89</v>
      </c>
      <c r="G26" s="30"/>
      <c r="H26" s="16"/>
      <c r="I26" s="30"/>
      <c r="J26" s="32"/>
      <c r="K26" s="16"/>
      <c r="L26" s="16"/>
      <c r="M26" s="32"/>
      <c r="N26" s="16"/>
      <c r="O26" s="33"/>
      <c r="P26" s="34"/>
      <c r="Q26" s="35"/>
      <c r="R26" s="36">
        <v>2024680010079</v>
      </c>
      <c r="S26" s="28" t="s">
        <v>260</v>
      </c>
      <c r="T26" s="37">
        <v>1358682435.8199999</v>
      </c>
      <c r="U26" s="37">
        <v>1358682435.8199999</v>
      </c>
      <c r="V26" s="17"/>
      <c r="W26" s="17"/>
      <c r="X26" s="17"/>
      <c r="Y26" s="17"/>
      <c r="Z26" s="18">
        <v>1358682435.8199999</v>
      </c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>
        <f>SUM(Tabla1[[#This Row],[Recursos propios 2024]:[Otros 2024]])</f>
        <v>1358682435.8199999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>
        <f>SUM(Tabla1[[#This Row],[Recursos propios 20242]:[Otros 202415]])</f>
        <v>0</v>
      </c>
      <c r="BD26" s="26">
        <f>+Tabla1[[#This Row],[Total Comprometido 2024]]/Tabla1[[#This Row],[Total 2024]]</f>
        <v>0</v>
      </c>
      <c r="BE26" s="18"/>
      <c r="BF26" s="18"/>
      <c r="BG26" s="18"/>
      <c r="BH26" s="16"/>
      <c r="BI26" s="63" t="s">
        <v>351</v>
      </c>
      <c r="BJ26" s="16"/>
    </row>
    <row r="27" spans="1:62" s="84" customFormat="1" ht="57" customHeight="1">
      <c r="A27" s="17">
        <v>47</v>
      </c>
      <c r="B27" s="16" t="s">
        <v>85</v>
      </c>
      <c r="C27" s="79" t="s">
        <v>86</v>
      </c>
      <c r="D27" s="16" t="s">
        <v>87</v>
      </c>
      <c r="E27" s="30" t="s">
        <v>88</v>
      </c>
      <c r="F27" s="16" t="s">
        <v>89</v>
      </c>
      <c r="G27" s="30"/>
      <c r="H27" s="16"/>
      <c r="I27" s="30"/>
      <c r="J27" s="32"/>
      <c r="K27" s="16"/>
      <c r="L27" s="16"/>
      <c r="M27" s="32"/>
      <c r="N27" s="16"/>
      <c r="O27" s="33"/>
      <c r="P27" s="34"/>
      <c r="Q27" s="35"/>
      <c r="R27" s="36">
        <v>2023680010007</v>
      </c>
      <c r="S27" s="28" t="s">
        <v>261</v>
      </c>
      <c r="T27" s="37">
        <v>660042500</v>
      </c>
      <c r="U27" s="37">
        <v>660042500</v>
      </c>
      <c r="V27" s="17"/>
      <c r="W27" s="17"/>
      <c r="X27" s="17"/>
      <c r="Y27" s="17"/>
      <c r="Z27" s="18">
        <v>660042500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>
        <f>SUM(Tabla1[[#This Row],[Recursos propios 2024]:[Otros 2024]])</f>
        <v>660042500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>
        <f>SUM(Tabla1[[#This Row],[Recursos propios 20242]:[Otros 202415]])</f>
        <v>0</v>
      </c>
      <c r="BD27" s="26">
        <f>+Tabla1[[#This Row],[Total Comprometido 2024]]/Tabla1[[#This Row],[Total 2024]]</f>
        <v>0</v>
      </c>
      <c r="BE27" s="18"/>
      <c r="BF27" s="18"/>
      <c r="BG27" s="18"/>
      <c r="BH27" s="16"/>
      <c r="BI27" s="63" t="s">
        <v>351</v>
      </c>
      <c r="BJ27" s="16"/>
    </row>
    <row r="28" spans="1:62" s="84" customFormat="1" ht="99.75" customHeight="1">
      <c r="A28" s="17">
        <v>47</v>
      </c>
      <c r="B28" s="16" t="s">
        <v>85</v>
      </c>
      <c r="C28" s="79" t="s">
        <v>86</v>
      </c>
      <c r="D28" s="16" t="s">
        <v>87</v>
      </c>
      <c r="E28" s="30" t="s">
        <v>88</v>
      </c>
      <c r="F28" s="16" t="s">
        <v>89</v>
      </c>
      <c r="G28" s="30"/>
      <c r="H28" s="16"/>
      <c r="I28" s="30"/>
      <c r="J28" s="32"/>
      <c r="K28" s="16"/>
      <c r="L28" s="16"/>
      <c r="M28" s="32"/>
      <c r="N28" s="16"/>
      <c r="O28" s="33"/>
      <c r="P28" s="34"/>
      <c r="Q28" s="35"/>
      <c r="R28" s="36">
        <v>2022680010049</v>
      </c>
      <c r="S28" s="28" t="s">
        <v>252</v>
      </c>
      <c r="T28" s="37">
        <f>2202053985.79+46816385</f>
        <v>2248870370.79</v>
      </c>
      <c r="U28" s="37">
        <f>2202053985.79+46816385</f>
        <v>2248870370.79</v>
      </c>
      <c r="V28" s="17" t="s">
        <v>262</v>
      </c>
      <c r="W28" s="28" t="s">
        <v>263</v>
      </c>
      <c r="X28" s="28" t="s">
        <v>264</v>
      </c>
      <c r="Y28" s="28" t="s">
        <v>265</v>
      </c>
      <c r="Z28" s="18">
        <f>2202053985.79+46816385</f>
        <v>2248870370.79</v>
      </c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>
        <f>SUM(Tabla1[[#This Row],[Recursos propios 2024]:[Otros 2024]])</f>
        <v>2248870370.79</v>
      </c>
      <c r="AO28" s="18">
        <f>2202053985.79+46816385</f>
        <v>2248870370.79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>
        <f>SUM(Tabla1[[#This Row],[Recursos propios 20242]:[Otros 202415]])</f>
        <v>2248870370.79</v>
      </c>
      <c r="BD28" s="26">
        <f>+Tabla1[[#This Row],[Total Comprometido 2024]]/Tabla1[[#This Row],[Total 2024]]</f>
        <v>1</v>
      </c>
      <c r="BE28" s="18">
        <v>561321808.92999995</v>
      </c>
      <c r="BF28" s="18">
        <v>561321808.92999995</v>
      </c>
      <c r="BG28" s="18"/>
      <c r="BH28" s="16"/>
      <c r="BI28" s="63" t="s">
        <v>351</v>
      </c>
      <c r="BJ28" s="16"/>
    </row>
    <row r="29" spans="1:62" s="84" customFormat="1" ht="71.25" customHeight="1">
      <c r="A29" s="17">
        <v>47</v>
      </c>
      <c r="B29" s="16" t="s">
        <v>85</v>
      </c>
      <c r="C29" s="79" t="s">
        <v>86</v>
      </c>
      <c r="D29" s="16" t="s">
        <v>87</v>
      </c>
      <c r="E29" s="30" t="s">
        <v>88</v>
      </c>
      <c r="F29" s="16" t="s">
        <v>89</v>
      </c>
      <c r="G29" s="30"/>
      <c r="H29" s="16"/>
      <c r="I29" s="30"/>
      <c r="J29" s="32"/>
      <c r="K29" s="16"/>
      <c r="L29" s="16"/>
      <c r="M29" s="32"/>
      <c r="N29" s="16"/>
      <c r="O29" s="33"/>
      <c r="P29" s="34"/>
      <c r="Q29" s="35"/>
      <c r="R29" s="36">
        <v>2024680010072</v>
      </c>
      <c r="S29" s="28" t="s">
        <v>266</v>
      </c>
      <c r="T29" s="37">
        <f>8682859898-1075454023</f>
        <v>7607405875</v>
      </c>
      <c r="U29" s="37">
        <f>8682859898-1075454023</f>
        <v>7607405875</v>
      </c>
      <c r="V29" s="17"/>
      <c r="W29" s="17"/>
      <c r="X29" s="17"/>
      <c r="Y29" s="17"/>
      <c r="Z29" s="37">
        <f>8682859898-1075454023</f>
        <v>7607405875</v>
      </c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>
        <f>SUM(Tabla1[[#This Row],[Recursos propios 2024]:[Otros 2024]])</f>
        <v>7607405875</v>
      </c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>
        <f>SUM(Tabla1[[#This Row],[Recursos propios 20242]:[Otros 202415]])</f>
        <v>0</v>
      </c>
      <c r="BD29" s="26">
        <f>+Tabla1[[#This Row],[Total Comprometido 2024]]/Tabla1[[#This Row],[Total 2024]]</f>
        <v>0</v>
      </c>
      <c r="BE29" s="18"/>
      <c r="BF29" s="18"/>
      <c r="BG29" s="18"/>
      <c r="BH29" s="16"/>
      <c r="BI29" s="63" t="s">
        <v>351</v>
      </c>
      <c r="BJ29" s="16"/>
    </row>
    <row r="30" spans="1:62" s="84" customFormat="1" ht="114" customHeight="1">
      <c r="A30" s="17">
        <v>47</v>
      </c>
      <c r="B30" s="16" t="s">
        <v>85</v>
      </c>
      <c r="C30" s="79" t="s">
        <v>86</v>
      </c>
      <c r="D30" s="16" t="s">
        <v>87</v>
      </c>
      <c r="E30" s="30" t="s">
        <v>88</v>
      </c>
      <c r="F30" s="16" t="s">
        <v>89</v>
      </c>
      <c r="G30" s="44"/>
      <c r="H30" s="43"/>
      <c r="I30" s="44"/>
      <c r="J30" s="45"/>
      <c r="K30" s="43"/>
      <c r="L30" s="43"/>
      <c r="M30" s="45"/>
      <c r="N30" s="43"/>
      <c r="O30" s="46"/>
      <c r="P30" s="47"/>
      <c r="Q30" s="48"/>
      <c r="R30" s="49">
        <v>2024680010247</v>
      </c>
      <c r="S30" s="53" t="s">
        <v>350</v>
      </c>
      <c r="T30" s="50">
        <v>1075454023</v>
      </c>
      <c r="U30" s="50">
        <v>1075454023</v>
      </c>
      <c r="V30" s="42"/>
      <c r="W30" s="42"/>
      <c r="X30" s="42"/>
      <c r="Y30" s="42"/>
      <c r="Z30" s="50">
        <v>1075454023</v>
      </c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8">
        <f>SUM(Tabla1[[#This Row],[Recursos propios 2024]:[Otros 2024]])</f>
        <v>1075454023</v>
      </c>
      <c r="AO30" s="51">
        <v>527690169</v>
      </c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>
        <f>SUM(Tabla1[[#This Row],[Recursos propios 20242]:[Otros 202415]])</f>
        <v>527690169</v>
      </c>
      <c r="BD30" s="52">
        <f>+Tabla1[[#This Row],[Total Comprometido 2024]]/Tabla1[[#This Row],[Total 2024]]</f>
        <v>0.49066734394465139</v>
      </c>
      <c r="BE30" s="51">
        <v>527690169</v>
      </c>
      <c r="BF30" s="51">
        <v>527690169</v>
      </c>
      <c r="BG30" s="51"/>
      <c r="BH30" s="43"/>
      <c r="BI30" s="63" t="s">
        <v>351</v>
      </c>
      <c r="BJ30" s="43"/>
    </row>
    <row r="31" spans="1:62" s="84" customFormat="1" ht="57" customHeight="1">
      <c r="A31" s="17">
        <v>47</v>
      </c>
      <c r="B31" s="16" t="s">
        <v>85</v>
      </c>
      <c r="C31" s="79" t="s">
        <v>86</v>
      </c>
      <c r="D31" s="16" t="s">
        <v>87</v>
      </c>
      <c r="E31" s="30" t="s">
        <v>88</v>
      </c>
      <c r="F31" s="16" t="s">
        <v>89</v>
      </c>
      <c r="G31" s="30"/>
      <c r="H31" s="16"/>
      <c r="I31" s="30"/>
      <c r="J31" s="32"/>
      <c r="K31" s="16"/>
      <c r="L31" s="16"/>
      <c r="M31" s="32"/>
      <c r="N31" s="16"/>
      <c r="O31" s="33"/>
      <c r="P31" s="34"/>
      <c r="Q31" s="35"/>
      <c r="R31" s="36">
        <v>2024680010200</v>
      </c>
      <c r="S31" s="28" t="s">
        <v>267</v>
      </c>
      <c r="T31" s="37">
        <v>99985182</v>
      </c>
      <c r="U31" s="37">
        <v>99985182</v>
      </c>
      <c r="V31" s="17" t="s">
        <v>346</v>
      </c>
      <c r="W31" s="17" t="s">
        <v>254</v>
      </c>
      <c r="X31" s="17"/>
      <c r="Y31" s="28" t="s">
        <v>345</v>
      </c>
      <c r="Z31" s="18">
        <v>99985182</v>
      </c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>
        <f>SUM(Tabla1[[#This Row],[Recursos propios 2024]:[Otros 2024]])</f>
        <v>99985182</v>
      </c>
      <c r="AO31" s="18">
        <v>99903939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>
        <f>SUM(Tabla1[[#This Row],[Recursos propios 20242]:[Otros 202415]])</f>
        <v>99903939</v>
      </c>
      <c r="BD31" s="26">
        <f>+Tabla1[[#This Row],[Total Comprometido 2024]]/Tabla1[[#This Row],[Total 2024]]</f>
        <v>0.99918744959628114</v>
      </c>
      <c r="BE31" s="18">
        <v>99903939</v>
      </c>
      <c r="BF31" s="18">
        <v>99903939</v>
      </c>
      <c r="BG31" s="18"/>
      <c r="BH31" s="16"/>
      <c r="BI31" s="63" t="s">
        <v>351</v>
      </c>
      <c r="BJ31" s="16"/>
    </row>
    <row r="32" spans="1:62" s="84" customFormat="1" ht="57.75" customHeight="1">
      <c r="A32" s="17">
        <v>47</v>
      </c>
      <c r="B32" s="16" t="s">
        <v>85</v>
      </c>
      <c r="C32" s="79" t="s">
        <v>86</v>
      </c>
      <c r="D32" s="16" t="s">
        <v>87</v>
      </c>
      <c r="E32" s="30" t="s">
        <v>88</v>
      </c>
      <c r="F32" s="16" t="s">
        <v>89</v>
      </c>
      <c r="G32" s="30"/>
      <c r="H32" s="16"/>
      <c r="I32" s="30"/>
      <c r="J32" s="32"/>
      <c r="K32" s="16"/>
      <c r="L32" s="16"/>
      <c r="M32" s="32"/>
      <c r="N32" s="16"/>
      <c r="O32" s="33"/>
      <c r="P32" s="34"/>
      <c r="Q32" s="35"/>
      <c r="R32" s="36">
        <v>2024680010076</v>
      </c>
      <c r="S32" s="28" t="s">
        <v>268</v>
      </c>
      <c r="T32" s="37">
        <v>4681330969</v>
      </c>
      <c r="U32" s="37">
        <v>4681330969</v>
      </c>
      <c r="V32" s="17"/>
      <c r="W32" s="17"/>
      <c r="X32" s="17"/>
      <c r="Y32" s="17"/>
      <c r="Z32" s="18">
        <v>4681330969</v>
      </c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>
        <f>SUM(Tabla1[[#This Row],[Recursos propios 2024]:[Otros 2024]])</f>
        <v>4681330969</v>
      </c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>
        <f>SUM(Tabla1[[#This Row],[Recursos propios 20242]:[Otros 202415]])</f>
        <v>0</v>
      </c>
      <c r="BD32" s="26">
        <f>+Tabla1[[#This Row],[Total Comprometido 2024]]/Tabla1[[#This Row],[Total 2024]]</f>
        <v>0</v>
      </c>
      <c r="BE32" s="18"/>
      <c r="BF32" s="18"/>
      <c r="BG32" s="18"/>
      <c r="BH32" s="16"/>
      <c r="BI32" s="63" t="s">
        <v>351</v>
      </c>
      <c r="BJ32" s="16"/>
    </row>
    <row r="33" spans="1:62" s="84" customFormat="1" ht="85.5" customHeight="1">
      <c r="A33" s="17">
        <v>47</v>
      </c>
      <c r="B33" s="16" t="s">
        <v>85</v>
      </c>
      <c r="C33" s="79" t="s">
        <v>86</v>
      </c>
      <c r="D33" s="16" t="s">
        <v>87</v>
      </c>
      <c r="E33" s="30" t="s">
        <v>88</v>
      </c>
      <c r="F33" s="16" t="s">
        <v>89</v>
      </c>
      <c r="G33" s="30"/>
      <c r="H33" s="16"/>
      <c r="I33" s="30"/>
      <c r="J33" s="32"/>
      <c r="K33" s="16"/>
      <c r="L33" s="16"/>
      <c r="M33" s="32"/>
      <c r="N33" s="16"/>
      <c r="O33" s="33"/>
      <c r="P33" s="34"/>
      <c r="Q33" s="35"/>
      <c r="R33" s="36">
        <v>2023680010054</v>
      </c>
      <c r="S33" s="28" t="s">
        <v>344</v>
      </c>
      <c r="T33" s="37">
        <v>330801395.86000001</v>
      </c>
      <c r="U33" s="37">
        <v>330801395.86000001</v>
      </c>
      <c r="V33" s="17"/>
      <c r="W33" s="17"/>
      <c r="X33" s="17"/>
      <c r="Y33" s="17"/>
      <c r="Z33" s="37">
        <v>330801395.86000001</v>
      </c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>
        <f>SUM(Tabla1[[#This Row],[Recursos propios 2024]:[Otros 2024]])</f>
        <v>330801395.86000001</v>
      </c>
      <c r="AO33" s="18">
        <v>330801395.86000001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>
        <f>SUM(Tabla1[[#This Row],[Recursos propios 20242]:[Otros 202415]])</f>
        <v>330801395.86000001</v>
      </c>
      <c r="BD33" s="26">
        <f>+Tabla1[[#This Row],[Total Comprometido 2024]]/Tabla1[[#This Row],[Total 2024]]</f>
        <v>1</v>
      </c>
      <c r="BE33" s="18">
        <v>0</v>
      </c>
      <c r="BF33" s="18">
        <v>0</v>
      </c>
      <c r="BG33" s="18"/>
      <c r="BH33" s="16"/>
      <c r="BI33" s="63" t="s">
        <v>351</v>
      </c>
      <c r="BJ33" s="16"/>
    </row>
    <row r="34" spans="1:62" s="84" customFormat="1" ht="28.5" customHeight="1">
      <c r="A34" s="17">
        <v>48</v>
      </c>
      <c r="B34" s="16" t="s">
        <v>85</v>
      </c>
      <c r="C34" s="16" t="s">
        <v>86</v>
      </c>
      <c r="D34" s="16" t="s">
        <v>87</v>
      </c>
      <c r="E34" s="30" t="s">
        <v>88</v>
      </c>
      <c r="F34" s="16" t="s">
        <v>93</v>
      </c>
      <c r="G34" s="30" t="s">
        <v>94</v>
      </c>
      <c r="H34" s="16">
        <v>400202100</v>
      </c>
      <c r="I34" s="30" t="s">
        <v>95</v>
      </c>
      <c r="J34" s="16">
        <v>57</v>
      </c>
      <c r="K34" s="16" t="s">
        <v>92</v>
      </c>
      <c r="L34" s="16" t="s">
        <v>348</v>
      </c>
      <c r="M34" s="16">
        <v>2</v>
      </c>
      <c r="N34" s="16">
        <v>0</v>
      </c>
      <c r="O34" s="17"/>
      <c r="P34" s="19" t="e">
        <f>+(Tabla1[[#This Row],[Meta Ejecutada Vigencia4]]/Tabla1[[#This Row],[Meta Programada Vigencia]])</f>
        <v>#DIV/0!</v>
      </c>
      <c r="Q34" s="19">
        <f>+Tabla1[[#This Row],[Meta Ejecutada Vigencia4]]/Tabla1[[#This Row],[Meta Programada Cuatrienio3]]/4</f>
        <v>0</v>
      </c>
      <c r="R34" s="17"/>
      <c r="S34" s="17"/>
      <c r="T34" s="17"/>
      <c r="U34" s="17"/>
      <c r="V34" s="17"/>
      <c r="W34" s="17"/>
      <c r="X34" s="17"/>
      <c r="Y34" s="17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>
        <f>SUM(Tabla1[[#This Row],[Recursos propios 2024]:[Otros 2024]])</f>
        <v>0</v>
      </c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>
        <f>SUM(Tabla1[[#This Row],[Recursos propios 20242]:[Otros 202415]])</f>
        <v>0</v>
      </c>
      <c r="BD34" s="26" t="e">
        <f>+Tabla1[[#This Row],[Total Comprometido 2024]]/Tabla1[[#This Row],[Total 2024]]</f>
        <v>#DIV/0!</v>
      </c>
      <c r="BE34" s="18"/>
      <c r="BF34" s="18"/>
      <c r="BG34" s="18"/>
      <c r="BH34" s="30" t="s">
        <v>246</v>
      </c>
      <c r="BI34" s="63" t="s">
        <v>351</v>
      </c>
      <c r="BJ34" s="30">
        <v>11.13</v>
      </c>
    </row>
    <row r="35" spans="1:62" s="84" customFormat="1" ht="71.25" customHeight="1">
      <c r="A35" s="17">
        <v>49</v>
      </c>
      <c r="B35" s="30" t="s">
        <v>85</v>
      </c>
      <c r="C35" s="79" t="s">
        <v>86</v>
      </c>
      <c r="D35" s="30" t="s">
        <v>87</v>
      </c>
      <c r="E35" s="30" t="s">
        <v>88</v>
      </c>
      <c r="F35" s="30" t="s">
        <v>96</v>
      </c>
      <c r="G35" s="30" t="s">
        <v>97</v>
      </c>
      <c r="H35" s="30">
        <v>400202200</v>
      </c>
      <c r="I35" s="30" t="s">
        <v>98</v>
      </c>
      <c r="J35" s="85">
        <v>80</v>
      </c>
      <c r="K35" s="30" t="s">
        <v>92</v>
      </c>
      <c r="L35" s="30" t="s">
        <v>348</v>
      </c>
      <c r="M35" s="85">
        <v>100</v>
      </c>
      <c r="N35" s="30">
        <v>0</v>
      </c>
      <c r="O35" s="28"/>
      <c r="P35" s="86" t="e">
        <f>+(Tabla1[[#This Row],[Meta Ejecutada Vigencia4]]/Tabla1[[#This Row],[Meta Programada Vigencia]])</f>
        <v>#DIV/0!</v>
      </c>
      <c r="Q35" s="86">
        <f>+Tabla1[[#This Row],[Meta Ejecutada Vigencia4]]/Tabla1[[#This Row],[Meta Programada Cuatrienio3]]/4</f>
        <v>0</v>
      </c>
      <c r="R35" s="36">
        <v>2024680010045</v>
      </c>
      <c r="S35" s="28" t="s">
        <v>269</v>
      </c>
      <c r="T35" s="39">
        <v>731566923.13999999</v>
      </c>
      <c r="U35" s="39">
        <v>731566923.13999999</v>
      </c>
      <c r="V35" s="28"/>
      <c r="W35" s="28"/>
      <c r="X35" s="28"/>
      <c r="Y35" s="81"/>
      <c r="Z35" s="39">
        <v>731566923.13999999</v>
      </c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>
        <f>SUM(Tabla1[[#This Row],[Recursos propios 2024]:[Otros 2024]])</f>
        <v>731566923.13999999</v>
      </c>
      <c r="AO35" s="87">
        <v>616071617.60000002</v>
      </c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>
        <f>SUM(Tabla1[[#This Row],[Recursos propios 20242]:[Otros 202415]])</f>
        <v>616071617.60000002</v>
      </c>
      <c r="BD35" s="88">
        <f>+Tabla1[[#This Row],[Total Comprometido 2024]]/Tabla1[[#This Row],[Total 2024]]</f>
        <v>0.84212612423170252</v>
      </c>
      <c r="BE35" s="89"/>
      <c r="BF35" s="89"/>
      <c r="BG35" s="87"/>
      <c r="BH35" s="30" t="s">
        <v>246</v>
      </c>
      <c r="BI35" s="63" t="s">
        <v>351</v>
      </c>
      <c r="BJ35" s="30">
        <v>11.13</v>
      </c>
    </row>
    <row r="36" spans="1:62" s="84" customFormat="1" ht="81" customHeight="1">
      <c r="A36" s="17">
        <v>50</v>
      </c>
      <c r="B36" s="16" t="s">
        <v>85</v>
      </c>
      <c r="C36" s="79" t="s">
        <v>86</v>
      </c>
      <c r="D36" s="16" t="s">
        <v>87</v>
      </c>
      <c r="E36" s="30" t="s">
        <v>88</v>
      </c>
      <c r="F36" s="16" t="s">
        <v>99</v>
      </c>
      <c r="G36" s="30" t="s">
        <v>100</v>
      </c>
      <c r="H36" s="16">
        <v>400202600</v>
      </c>
      <c r="I36" s="30" t="s">
        <v>101</v>
      </c>
      <c r="J36" s="16">
        <v>1605851</v>
      </c>
      <c r="K36" s="16" t="s">
        <v>92</v>
      </c>
      <c r="L36" s="16" t="s">
        <v>347</v>
      </c>
      <c r="M36" s="16">
        <v>1605851</v>
      </c>
      <c r="N36" s="16">
        <v>1605851</v>
      </c>
      <c r="O36" s="17">
        <v>1605851</v>
      </c>
      <c r="P36" s="19">
        <f>+(Tabla1[[#This Row],[Meta Ejecutada Vigencia4]]/Tabla1[[#This Row],[Meta Programada Vigencia]])</f>
        <v>1</v>
      </c>
      <c r="Q36" s="19">
        <f>+Tabla1[[#This Row],[Meta Ejecutada Vigencia4]]/Tabla1[[#This Row],[Meta Programada Cuatrienio3]]/4</f>
        <v>0.25</v>
      </c>
      <c r="R36" s="36">
        <v>2024680010046</v>
      </c>
      <c r="S36" s="28" t="s">
        <v>270</v>
      </c>
      <c r="T36" s="39">
        <v>5175742870</v>
      </c>
      <c r="U36" s="39">
        <v>5175742870</v>
      </c>
      <c r="V36" s="28" t="s">
        <v>271</v>
      </c>
      <c r="W36" s="28" t="s">
        <v>254</v>
      </c>
      <c r="X36" s="28" t="s">
        <v>272</v>
      </c>
      <c r="Y36" s="28" t="s">
        <v>273</v>
      </c>
      <c r="Z36" s="18">
        <v>5175742870</v>
      </c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>
        <f>SUM(Tabla1[[#This Row],[Recursos propios 2024]:[Otros 2024]])</f>
        <v>5175742870</v>
      </c>
      <c r="AO36" s="82">
        <f>5175742870</f>
        <v>5175742870</v>
      </c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>
        <f>SUM(Tabla1[[#This Row],[Recursos propios 20242]:[Otros 202415]])</f>
        <v>5175742870</v>
      </c>
      <c r="BD36" s="83">
        <f>+Tabla1[[#This Row],[Total Comprometido 2024]]/Tabla1[[#This Row],[Total 2024]]</f>
        <v>1</v>
      </c>
      <c r="BE36" s="82">
        <v>3406765802.5</v>
      </c>
      <c r="BF36" s="82">
        <v>3406765802.5</v>
      </c>
      <c r="BG36" s="82"/>
      <c r="BH36" s="30" t="s">
        <v>246</v>
      </c>
      <c r="BI36" s="63" t="s">
        <v>351</v>
      </c>
      <c r="BJ36" s="30">
        <v>11.13</v>
      </c>
    </row>
    <row r="37" spans="1:62" s="77" customFormat="1" ht="71.25" customHeight="1">
      <c r="A37" s="71">
        <v>51</v>
      </c>
      <c r="B37" s="73" t="s">
        <v>85</v>
      </c>
      <c r="C37" s="63" t="s">
        <v>72</v>
      </c>
      <c r="D37" s="73" t="s">
        <v>73</v>
      </c>
      <c r="E37" s="73" t="s">
        <v>102</v>
      </c>
      <c r="F37" s="73" t="s">
        <v>103</v>
      </c>
      <c r="G37" s="73" t="s">
        <v>104</v>
      </c>
      <c r="H37" s="73">
        <v>210206200</v>
      </c>
      <c r="I37" s="73" t="s">
        <v>105</v>
      </c>
      <c r="J37" s="90">
        <v>0</v>
      </c>
      <c r="K37" s="73" t="s">
        <v>78</v>
      </c>
      <c r="L37" s="73" t="s">
        <v>348</v>
      </c>
      <c r="M37" s="90">
        <v>50000</v>
      </c>
      <c r="N37" s="73">
        <v>5000</v>
      </c>
      <c r="O37" s="55"/>
      <c r="P37" s="91">
        <f>+(Tabla1[[#This Row],[Meta Ejecutada Vigencia4]]/Tabla1[[#This Row],[Meta Programada Vigencia]])</f>
        <v>0</v>
      </c>
      <c r="Q37" s="91">
        <f>+Tabla1[[#This Row],[Meta Ejecutada Vigencia4]]/Tabla1[[#This Row],[Meta Programada Cuatrienio3]]/4</f>
        <v>0</v>
      </c>
      <c r="R37" s="55" t="s">
        <v>340</v>
      </c>
      <c r="S37" s="55" t="s">
        <v>341</v>
      </c>
      <c r="T37" s="92">
        <v>3000000000</v>
      </c>
      <c r="U37" s="92">
        <v>3000000000</v>
      </c>
      <c r="V37" s="55"/>
      <c r="W37" s="55"/>
      <c r="X37" s="55"/>
      <c r="Y37" s="55"/>
      <c r="Z37" s="92">
        <v>3000000000</v>
      </c>
      <c r="AA37" s="56">
        <v>0</v>
      </c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>
        <f>SUM(Tabla1[[#This Row],[Recursos propios 2024]:[Otros 2024]])</f>
        <v>3000000000</v>
      </c>
      <c r="AO37" s="56">
        <v>0</v>
      </c>
      <c r="AP37" s="56">
        <v>0</v>
      </c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>
        <f>SUM(Tabla1[[#This Row],[Recursos propios 20242]:[Otros 202415]])</f>
        <v>0</v>
      </c>
      <c r="BD37" s="93">
        <f>+Tabla1[[#This Row],[Total Comprometido 2024]]/Tabla1[[#This Row],[Total 2024]]</f>
        <v>0</v>
      </c>
      <c r="BE37" s="56">
        <v>0</v>
      </c>
      <c r="BF37" s="56">
        <v>0</v>
      </c>
      <c r="BG37" s="56"/>
      <c r="BH37" s="73" t="s">
        <v>246</v>
      </c>
      <c r="BI37" s="63" t="s">
        <v>351</v>
      </c>
      <c r="BJ37" s="73">
        <v>7.11</v>
      </c>
    </row>
    <row r="38" spans="1:62" s="84" customFormat="1" ht="57" customHeight="1">
      <c r="A38" s="17">
        <v>57</v>
      </c>
      <c r="B38" s="16" t="s">
        <v>85</v>
      </c>
      <c r="C38" s="79" t="s">
        <v>86</v>
      </c>
      <c r="D38" s="16" t="s">
        <v>106</v>
      </c>
      <c r="E38" s="30" t="s">
        <v>107</v>
      </c>
      <c r="F38" s="16" t="s">
        <v>108</v>
      </c>
      <c r="G38" s="30" t="s">
        <v>109</v>
      </c>
      <c r="H38" s="16">
        <v>400301500</v>
      </c>
      <c r="I38" s="30" t="s">
        <v>110</v>
      </c>
      <c r="J38" s="32">
        <v>0</v>
      </c>
      <c r="K38" s="16" t="s">
        <v>78</v>
      </c>
      <c r="L38" s="16" t="s">
        <v>348</v>
      </c>
      <c r="M38" s="32">
        <v>1</v>
      </c>
      <c r="N38" s="16">
        <v>1</v>
      </c>
      <c r="O38" s="17"/>
      <c r="P38" s="19">
        <f>+(Tabla1[[#This Row],[Meta Ejecutada Vigencia4]]/Tabla1[[#This Row],[Meta Programada Vigencia]])</f>
        <v>0</v>
      </c>
      <c r="Q38" s="19">
        <f>+Tabla1[[#This Row],[Meta Ejecutada Vigencia4]]/Tabla1[[#This Row],[Meta Programada Cuatrienio3]]/4</f>
        <v>0</v>
      </c>
      <c r="R38" s="36">
        <v>2022680010102</v>
      </c>
      <c r="S38" s="28" t="s">
        <v>274</v>
      </c>
      <c r="T38" s="37">
        <v>1488795645.9000001</v>
      </c>
      <c r="U38" s="37">
        <v>1488795645.9000001</v>
      </c>
      <c r="V38" s="17"/>
      <c r="W38" s="17"/>
      <c r="X38" s="17"/>
      <c r="Y38" s="17"/>
      <c r="Z38" s="18">
        <v>328790410</v>
      </c>
      <c r="AA38" s="82"/>
      <c r="AB38" s="82"/>
      <c r="AC38" s="82"/>
      <c r="AD38" s="82"/>
      <c r="AE38" s="82"/>
      <c r="AF38" s="82"/>
      <c r="AG38" s="82"/>
      <c r="AH38" s="82"/>
      <c r="AI38" s="82">
        <v>1119998360.9000001</v>
      </c>
      <c r="AJ38" s="82"/>
      <c r="AK38" s="82"/>
      <c r="AL38" s="82"/>
      <c r="AM38" s="82">
        <v>40006875</v>
      </c>
      <c r="AN38" s="82">
        <f>SUM(Tabla1[[#This Row],[Recursos propios 2024]:[Otros 2024]])</f>
        <v>1488795645.9000001</v>
      </c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>
        <f>SUM(Tabla1[[#This Row],[Recursos propios 20242]:[Otros 202415]])</f>
        <v>0</v>
      </c>
      <c r="BD38" s="83">
        <f>+Tabla1[[#This Row],[Total Comprometido 2024]]/Tabla1[[#This Row],[Total 2024]]</f>
        <v>0</v>
      </c>
      <c r="BE38" s="82"/>
      <c r="BF38" s="82"/>
      <c r="BG38" s="82"/>
      <c r="BH38" s="30" t="s">
        <v>246</v>
      </c>
      <c r="BI38" s="63" t="s">
        <v>351</v>
      </c>
      <c r="BJ38" s="30">
        <v>6.11</v>
      </c>
    </row>
    <row r="39" spans="1:62" s="84" customFormat="1" ht="57" customHeight="1">
      <c r="A39" s="17">
        <v>58</v>
      </c>
      <c r="B39" s="30" t="s">
        <v>85</v>
      </c>
      <c r="C39" s="79" t="s">
        <v>86</v>
      </c>
      <c r="D39" s="30" t="s">
        <v>106</v>
      </c>
      <c r="E39" s="30" t="s">
        <v>107</v>
      </c>
      <c r="F39" s="30" t="s">
        <v>111</v>
      </c>
      <c r="G39" s="30" t="s">
        <v>112</v>
      </c>
      <c r="H39" s="30">
        <v>400301700</v>
      </c>
      <c r="I39" s="30" t="s">
        <v>113</v>
      </c>
      <c r="J39" s="30">
        <v>2</v>
      </c>
      <c r="K39" s="30" t="s">
        <v>78</v>
      </c>
      <c r="L39" s="30" t="s">
        <v>348</v>
      </c>
      <c r="M39" s="30">
        <v>2</v>
      </c>
      <c r="N39" s="30">
        <v>0</v>
      </c>
      <c r="O39" s="28"/>
      <c r="P39" s="86" t="e">
        <f>+(Tabla1[[#This Row],[Meta Ejecutada Vigencia4]]/Tabla1[[#This Row],[Meta Programada Vigencia]])</f>
        <v>#DIV/0!</v>
      </c>
      <c r="Q39" s="86">
        <f>+Tabla1[[#This Row],[Meta Ejecutada Vigencia4]]/Tabla1[[#This Row],[Meta Programada Cuatrienio3]]/4</f>
        <v>0</v>
      </c>
      <c r="R39" s="28"/>
      <c r="S39" s="28"/>
      <c r="T39" s="28"/>
      <c r="U39" s="28"/>
      <c r="V39" s="28"/>
      <c r="W39" s="28"/>
      <c r="X39" s="28"/>
      <c r="Y39" s="28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>
        <f>SUM(Tabla1[[#This Row],[Recursos propios 2024]:[Otros 2024]])</f>
        <v>0</v>
      </c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>
        <f>SUM(Tabla1[[#This Row],[Recursos propios 20242]:[Otros 202415]])</f>
        <v>0</v>
      </c>
      <c r="BD39" s="94" t="e">
        <f>+Tabla1[[#This Row],[Total Comprometido 2024]]/Tabla1[[#This Row],[Total 2024]]</f>
        <v>#DIV/0!</v>
      </c>
      <c r="BE39" s="87"/>
      <c r="BF39" s="87"/>
      <c r="BG39" s="87"/>
      <c r="BH39" s="30" t="s">
        <v>246</v>
      </c>
      <c r="BI39" s="63" t="s">
        <v>351</v>
      </c>
      <c r="BJ39" s="30">
        <v>6.11</v>
      </c>
    </row>
    <row r="40" spans="1:62" s="84" customFormat="1" ht="57" customHeight="1">
      <c r="A40" s="17">
        <v>59</v>
      </c>
      <c r="B40" s="16" t="s">
        <v>85</v>
      </c>
      <c r="C40" s="79" t="s">
        <v>86</v>
      </c>
      <c r="D40" s="16" t="s">
        <v>106</v>
      </c>
      <c r="E40" s="30" t="s">
        <v>107</v>
      </c>
      <c r="F40" s="16" t="s">
        <v>114</v>
      </c>
      <c r="G40" s="30" t="s">
        <v>115</v>
      </c>
      <c r="H40" s="16">
        <v>400302000</v>
      </c>
      <c r="I40" s="30" t="s">
        <v>116</v>
      </c>
      <c r="J40" s="32">
        <v>0</v>
      </c>
      <c r="K40" s="16" t="s">
        <v>78</v>
      </c>
      <c r="L40" s="16" t="s">
        <v>348</v>
      </c>
      <c r="M40" s="32">
        <v>4</v>
      </c>
      <c r="N40" s="16">
        <v>0</v>
      </c>
      <c r="O40" s="17"/>
      <c r="P40" s="19" t="e">
        <f>+(Tabla1[[#This Row],[Meta Ejecutada Vigencia4]]/Tabla1[[#This Row],[Meta Programada Vigencia]])</f>
        <v>#DIV/0!</v>
      </c>
      <c r="Q40" s="19">
        <f>+Tabla1[[#This Row],[Meta Ejecutada Vigencia4]]/Tabla1[[#This Row],[Meta Programada Cuatrienio3]]/4</f>
        <v>0</v>
      </c>
      <c r="R40" s="17"/>
      <c r="S40" s="17"/>
      <c r="T40" s="17"/>
      <c r="U40" s="17"/>
      <c r="V40" s="17"/>
      <c r="W40" s="17"/>
      <c r="X40" s="17"/>
      <c r="Y40" s="17"/>
      <c r="Z40" s="18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>
        <f>SUM(Tabla1[[#This Row],[Recursos propios 2024]:[Otros 2024]])</f>
        <v>0</v>
      </c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>
        <f>SUM(Tabla1[[#This Row],[Recursos propios 20242]:[Otros 202415]])</f>
        <v>0</v>
      </c>
      <c r="BD40" s="83" t="e">
        <f>+Tabla1[[#This Row],[Total Comprometido 2024]]/Tabla1[[#This Row],[Total 2024]]</f>
        <v>#DIV/0!</v>
      </c>
      <c r="BE40" s="82"/>
      <c r="BF40" s="82"/>
      <c r="BG40" s="82"/>
      <c r="BH40" s="30" t="s">
        <v>246</v>
      </c>
      <c r="BI40" s="63" t="s">
        <v>351</v>
      </c>
      <c r="BJ40" s="30">
        <v>611</v>
      </c>
    </row>
    <row r="41" spans="1:62" s="84" customFormat="1" ht="57" customHeight="1">
      <c r="A41" s="17">
        <v>60</v>
      </c>
      <c r="B41" s="30" t="s">
        <v>85</v>
      </c>
      <c r="C41" s="79" t="s">
        <v>86</v>
      </c>
      <c r="D41" s="30" t="s">
        <v>106</v>
      </c>
      <c r="E41" s="30" t="s">
        <v>107</v>
      </c>
      <c r="F41" s="30" t="s">
        <v>117</v>
      </c>
      <c r="G41" s="30" t="s">
        <v>118</v>
      </c>
      <c r="H41" s="30">
        <v>400304402</v>
      </c>
      <c r="I41" s="30" t="s">
        <v>119</v>
      </c>
      <c r="J41" s="30">
        <v>72</v>
      </c>
      <c r="K41" s="30" t="s">
        <v>78</v>
      </c>
      <c r="L41" s="30" t="s">
        <v>348</v>
      </c>
      <c r="M41" s="30">
        <v>80</v>
      </c>
      <c r="N41" s="30">
        <v>0</v>
      </c>
      <c r="O41" s="28"/>
      <c r="P41" s="86" t="e">
        <f>+(Tabla1[[#This Row],[Meta Ejecutada Vigencia4]]/Tabla1[[#This Row],[Meta Programada Vigencia]])</f>
        <v>#DIV/0!</v>
      </c>
      <c r="Q41" s="86">
        <f>+Tabla1[[#This Row],[Meta Ejecutada Vigencia4]]/Tabla1[[#This Row],[Meta Programada Cuatrienio3]]/4</f>
        <v>0</v>
      </c>
      <c r="R41" s="28"/>
      <c r="S41" s="28"/>
      <c r="T41" s="28"/>
      <c r="U41" s="28"/>
      <c r="V41" s="28"/>
      <c r="W41" s="28"/>
      <c r="X41" s="28"/>
      <c r="Y41" s="28"/>
      <c r="Z41" s="87"/>
      <c r="AA41" s="87"/>
      <c r="AB41" s="87"/>
      <c r="AC41" s="87"/>
      <c r="AD41" s="87"/>
      <c r="AE41" s="87"/>
      <c r="AF41" s="87"/>
      <c r="AG41" s="87"/>
      <c r="AH41" s="87"/>
      <c r="AI41" s="39">
        <v>2143334566</v>
      </c>
      <c r="AJ41" s="87"/>
      <c r="AK41" s="87"/>
      <c r="AL41" s="87"/>
      <c r="AM41" s="87"/>
      <c r="AN41" s="87">
        <f>SUM(Tabla1[[#This Row],[Recursos propios 2024]:[Otros 2024]])</f>
        <v>2143334566</v>
      </c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>
        <f>SUM(Tabla1[[#This Row],[Recursos propios 20242]:[Otros 202415]])</f>
        <v>0</v>
      </c>
      <c r="BD41" s="94">
        <f>+Tabla1[[#This Row],[Total Comprometido 2024]]/Tabla1[[#This Row],[Total 2024]]</f>
        <v>0</v>
      </c>
      <c r="BE41" s="87"/>
      <c r="BF41" s="87"/>
      <c r="BG41" s="87"/>
      <c r="BH41" s="30" t="s">
        <v>246</v>
      </c>
      <c r="BI41" s="63" t="s">
        <v>351</v>
      </c>
      <c r="BJ41" s="30">
        <v>6.11</v>
      </c>
    </row>
    <row r="42" spans="1:62" s="84" customFormat="1" ht="85.5" customHeight="1">
      <c r="A42" s="17">
        <v>61</v>
      </c>
      <c r="B42" s="16" t="s">
        <v>85</v>
      </c>
      <c r="C42" s="30" t="s">
        <v>86</v>
      </c>
      <c r="D42" s="16" t="s">
        <v>106</v>
      </c>
      <c r="E42" s="30" t="s">
        <v>107</v>
      </c>
      <c r="F42" s="16" t="s">
        <v>120</v>
      </c>
      <c r="G42" s="30" t="s">
        <v>121</v>
      </c>
      <c r="H42" s="16">
        <v>400304000</v>
      </c>
      <c r="I42" s="30" t="s">
        <v>122</v>
      </c>
      <c r="J42" s="32">
        <v>0</v>
      </c>
      <c r="K42" s="16" t="s">
        <v>78</v>
      </c>
      <c r="L42" s="16" t="s">
        <v>348</v>
      </c>
      <c r="M42" s="32">
        <v>1</v>
      </c>
      <c r="N42" s="16">
        <v>0</v>
      </c>
      <c r="O42" s="17"/>
      <c r="P42" s="19" t="e">
        <f>+(Tabla1[[#This Row],[Meta Ejecutada Vigencia4]]/Tabla1[[#This Row],[Meta Programada Vigencia]])</f>
        <v>#DIV/0!</v>
      </c>
      <c r="Q42" s="19">
        <f>+Tabla1[[#This Row],[Meta Ejecutada Vigencia4]]/Tabla1[[#This Row],[Meta Programada Cuatrienio3]]/4</f>
        <v>0</v>
      </c>
      <c r="R42" s="17"/>
      <c r="S42" s="17"/>
      <c r="T42" s="17"/>
      <c r="U42" s="17"/>
      <c r="V42" s="17"/>
      <c r="W42" s="17"/>
      <c r="X42" s="17"/>
      <c r="Y42" s="17"/>
      <c r="Z42" s="95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>
        <f>SUM(Tabla1[[#This Row],[Recursos propios 2024]:[Otros 2024]])</f>
        <v>0</v>
      </c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>
        <f>SUM(Tabla1[[#This Row],[Recursos propios 20242]:[Otros 202415]])</f>
        <v>0</v>
      </c>
      <c r="BD42" s="83" t="e">
        <f>+Tabla1[[#This Row],[Total Comprometido 2024]]/Tabla1[[#This Row],[Total 2024]]</f>
        <v>#DIV/0!</v>
      </c>
      <c r="BE42" s="82"/>
      <c r="BF42" s="82"/>
      <c r="BG42" s="82"/>
      <c r="BH42" s="30" t="s">
        <v>246</v>
      </c>
      <c r="BI42" s="63" t="s">
        <v>351</v>
      </c>
      <c r="BJ42" s="30" t="s">
        <v>247</v>
      </c>
    </row>
    <row r="43" spans="1:62" s="84" customFormat="1" ht="114" customHeight="1">
      <c r="A43" s="17">
        <v>62</v>
      </c>
      <c r="B43" s="30" t="s">
        <v>85</v>
      </c>
      <c r="C43" s="30" t="s">
        <v>86</v>
      </c>
      <c r="D43" s="30" t="s">
        <v>87</v>
      </c>
      <c r="E43" s="30" t="s">
        <v>88</v>
      </c>
      <c r="F43" s="30" t="s">
        <v>89</v>
      </c>
      <c r="G43" s="30" t="s">
        <v>123</v>
      </c>
      <c r="H43" s="30">
        <v>400202000</v>
      </c>
      <c r="I43" s="30" t="s">
        <v>91</v>
      </c>
      <c r="J43" s="30">
        <v>0</v>
      </c>
      <c r="K43" s="30" t="s">
        <v>92</v>
      </c>
      <c r="L43" s="30" t="s">
        <v>348</v>
      </c>
      <c r="M43" s="30">
        <v>1000</v>
      </c>
      <c r="N43" s="30">
        <v>0</v>
      </c>
      <c r="O43" s="28"/>
      <c r="P43" s="86" t="e">
        <f>+(Tabla1[[#This Row],[Meta Ejecutada Vigencia4]]/Tabla1[[#This Row],[Meta Programada Vigencia]])</f>
        <v>#DIV/0!</v>
      </c>
      <c r="Q43" s="86">
        <f>+Tabla1[[#This Row],[Meta Ejecutada Vigencia4]]/Tabla1[[#This Row],[Meta Programada Cuatrienio3]]/4</f>
        <v>0</v>
      </c>
      <c r="R43" s="28"/>
      <c r="S43" s="28"/>
      <c r="T43" s="28"/>
      <c r="U43" s="28"/>
      <c r="V43" s="28"/>
      <c r="W43" s="28"/>
      <c r="X43" s="28"/>
      <c r="Y43" s="28"/>
      <c r="Z43" s="96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>
        <f>SUM(Tabla1[[#This Row],[Recursos propios 2024]:[Otros 2024]])</f>
        <v>0</v>
      </c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>
        <f>SUM(Tabla1[[#This Row],[Recursos propios 20242]:[Otros 202415]])</f>
        <v>0</v>
      </c>
      <c r="BD43" s="94" t="e">
        <f>+Tabla1[[#This Row],[Total Comprometido 2024]]/Tabla1[[#This Row],[Total 2024]]</f>
        <v>#DIV/0!</v>
      </c>
      <c r="BE43" s="87"/>
      <c r="BF43" s="87"/>
      <c r="BG43" s="87"/>
      <c r="BH43" s="30" t="s">
        <v>246</v>
      </c>
      <c r="BI43" s="63" t="s">
        <v>351</v>
      </c>
      <c r="BJ43" s="30">
        <v>11.13</v>
      </c>
    </row>
    <row r="44" spans="1:62" s="84" customFormat="1" ht="57" customHeight="1">
      <c r="A44" s="17">
        <v>93</v>
      </c>
      <c r="B44" s="16" t="s">
        <v>124</v>
      </c>
      <c r="C44" s="30" t="s">
        <v>125</v>
      </c>
      <c r="D44" s="16" t="s">
        <v>126</v>
      </c>
      <c r="E44" s="30" t="s">
        <v>127</v>
      </c>
      <c r="F44" s="16" t="s">
        <v>128</v>
      </c>
      <c r="G44" s="30" t="s">
        <v>129</v>
      </c>
      <c r="H44" s="16">
        <v>170907800</v>
      </c>
      <c r="I44" s="30" t="s">
        <v>130</v>
      </c>
      <c r="J44" s="16">
        <v>3</v>
      </c>
      <c r="K44" s="16" t="s">
        <v>78</v>
      </c>
      <c r="L44" s="16" t="s">
        <v>347</v>
      </c>
      <c r="M44" s="16">
        <v>1</v>
      </c>
      <c r="N44" s="16">
        <v>0.5</v>
      </c>
      <c r="O44" s="17">
        <v>0.5</v>
      </c>
      <c r="P44" s="19">
        <f>+(Tabla1[[#This Row],[Meta Ejecutada Vigencia4]]/Tabla1[[#This Row],[Meta Programada Vigencia]])</f>
        <v>1</v>
      </c>
      <c r="Q44" s="19">
        <f>+Tabla1[[#This Row],[Meta Ejecutada Vigencia4]]/Tabla1[[#This Row],[Meta Programada Cuatrienio3]]/4</f>
        <v>0.125</v>
      </c>
      <c r="R44" s="36">
        <v>2022680010044</v>
      </c>
      <c r="S44" s="28" t="s">
        <v>275</v>
      </c>
      <c r="T44" s="37">
        <v>3108650566.4899998</v>
      </c>
      <c r="U44" s="37">
        <v>3108650566.4899998</v>
      </c>
      <c r="V44" s="28" t="s">
        <v>276</v>
      </c>
      <c r="W44" s="17" t="s">
        <v>254</v>
      </c>
      <c r="X44" s="17">
        <v>187000</v>
      </c>
      <c r="Y44" s="17" t="s">
        <v>277</v>
      </c>
      <c r="Z44" s="95">
        <v>2996417053.79</v>
      </c>
      <c r="AA44" s="82"/>
      <c r="AB44" s="82"/>
      <c r="AC44" s="82"/>
      <c r="AD44" s="82"/>
      <c r="AE44" s="82">
        <v>45805048</v>
      </c>
      <c r="AF44" s="82"/>
      <c r="AG44" s="82"/>
      <c r="AH44" s="82"/>
      <c r="AI44" s="82"/>
      <c r="AJ44" s="82">
        <v>66428464.700000003</v>
      </c>
      <c r="AK44" s="82"/>
      <c r="AL44" s="82"/>
      <c r="AM44" s="82"/>
      <c r="AN44" s="82">
        <f>SUM(Tabla1[[#This Row],[Recursos propios 2024]:[Otros 2024]])</f>
        <v>3108650566.4899998</v>
      </c>
      <c r="AO44" s="95">
        <v>2996417053.79</v>
      </c>
      <c r="AP44" s="82"/>
      <c r="AQ44" s="82"/>
      <c r="AR44" s="82"/>
      <c r="AS44" s="82"/>
      <c r="AT44" s="82">
        <v>45805048</v>
      </c>
      <c r="AU44" s="82"/>
      <c r="AV44" s="82"/>
      <c r="AW44" s="82"/>
      <c r="AX44" s="82"/>
      <c r="AY44" s="82">
        <v>66428464.700000003</v>
      </c>
      <c r="AZ44" s="82"/>
      <c r="BA44" s="82"/>
      <c r="BB44" s="82"/>
      <c r="BC44" s="82">
        <f>SUM(Tabla1[[#This Row],[Recursos propios 20242]:[Otros 202415]])</f>
        <v>3108650566.4899998</v>
      </c>
      <c r="BD44" s="83">
        <f>+Tabla1[[#This Row],[Total Comprometido 2024]]/Tabla1[[#This Row],[Total 2024]]</f>
        <v>1</v>
      </c>
      <c r="BE44" s="82">
        <v>1735995289.1099999</v>
      </c>
      <c r="BF44" s="82">
        <v>1735995289.1099999</v>
      </c>
      <c r="BG44" s="82"/>
      <c r="BH44" s="30" t="s">
        <v>246</v>
      </c>
      <c r="BI44" s="63" t="s">
        <v>351</v>
      </c>
      <c r="BJ44" s="30">
        <v>2.12</v>
      </c>
    </row>
    <row r="45" spans="1:62" s="84" customFormat="1" ht="42.75" customHeight="1">
      <c r="A45" s="17">
        <v>95</v>
      </c>
      <c r="B45" s="30" t="s">
        <v>124</v>
      </c>
      <c r="C45" s="30" t="s">
        <v>131</v>
      </c>
      <c r="D45" s="30" t="s">
        <v>132</v>
      </c>
      <c r="E45" s="30" t="s">
        <v>133</v>
      </c>
      <c r="F45" s="30" t="s">
        <v>134</v>
      </c>
      <c r="G45" s="30" t="s">
        <v>135</v>
      </c>
      <c r="H45" s="30">
        <v>240100800</v>
      </c>
      <c r="I45" s="30" t="s">
        <v>136</v>
      </c>
      <c r="J45" s="30">
        <v>0</v>
      </c>
      <c r="K45" s="30" t="s">
        <v>137</v>
      </c>
      <c r="L45" s="30" t="s">
        <v>348</v>
      </c>
      <c r="M45" s="30">
        <v>1</v>
      </c>
      <c r="N45" s="30">
        <v>0</v>
      </c>
      <c r="O45" s="28"/>
      <c r="P45" s="86" t="e">
        <f>+(Tabla1[[#This Row],[Meta Ejecutada Vigencia4]]/Tabla1[[#This Row],[Meta Programada Vigencia]])</f>
        <v>#DIV/0!</v>
      </c>
      <c r="Q45" s="86">
        <f>+Tabla1[[#This Row],[Meta Ejecutada Vigencia4]]/Tabla1[[#This Row],[Meta Programada Cuatrienio3]]/4</f>
        <v>0</v>
      </c>
      <c r="R45" s="28"/>
      <c r="S45" s="28"/>
      <c r="T45" s="28"/>
      <c r="U45" s="28"/>
      <c r="V45" s="28"/>
      <c r="W45" s="28"/>
      <c r="X45" s="28"/>
      <c r="Y45" s="28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>
        <f>SUM(Tabla1[[#This Row],[Recursos propios 2024]:[Otros 2024]])</f>
        <v>0</v>
      </c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>
        <f>SUM(Tabla1[[#This Row],[Recursos propios 20242]:[Otros 202415]])</f>
        <v>0</v>
      </c>
      <c r="BD45" s="94" t="e">
        <f>+Tabla1[[#This Row],[Total Comprometido 2024]]/Tabla1[[#This Row],[Total 2024]]</f>
        <v>#DIV/0!</v>
      </c>
      <c r="BE45" s="87"/>
      <c r="BF45" s="87"/>
      <c r="BG45" s="87"/>
      <c r="BH45" s="30" t="s">
        <v>246</v>
      </c>
      <c r="BI45" s="63" t="s">
        <v>351</v>
      </c>
      <c r="BJ45" s="30">
        <v>11</v>
      </c>
    </row>
    <row r="46" spans="1:62" s="84" customFormat="1" ht="28.5" customHeight="1">
      <c r="A46" s="17">
        <v>96</v>
      </c>
      <c r="B46" s="16" t="s">
        <v>124</v>
      </c>
      <c r="C46" s="30" t="s">
        <v>131</v>
      </c>
      <c r="D46" s="16" t="s">
        <v>138</v>
      </c>
      <c r="E46" s="30" t="s">
        <v>139</v>
      </c>
      <c r="F46" s="16" t="s">
        <v>140</v>
      </c>
      <c r="G46" s="30" t="s">
        <v>141</v>
      </c>
      <c r="H46" s="16">
        <v>240212000</v>
      </c>
      <c r="I46" s="30" t="s">
        <v>142</v>
      </c>
      <c r="J46" s="32">
        <v>4</v>
      </c>
      <c r="K46" s="16" t="s">
        <v>78</v>
      </c>
      <c r="L46" s="16" t="s">
        <v>347</v>
      </c>
      <c r="M46" s="32">
        <v>10</v>
      </c>
      <c r="N46" s="16">
        <v>0</v>
      </c>
      <c r="O46" s="17"/>
      <c r="P46" s="19" t="e">
        <f>+(Tabla1[[#This Row],[Meta Ejecutada Vigencia4]]/Tabla1[[#This Row],[Meta Programada Vigencia]])</f>
        <v>#DIV/0!</v>
      </c>
      <c r="Q46" s="19">
        <f>+Tabla1[[#This Row],[Meta Ejecutada Vigencia4]]/Tabla1[[#This Row],[Meta Programada Cuatrienio3]]/4</f>
        <v>0</v>
      </c>
      <c r="R46" s="17"/>
      <c r="S46" s="17"/>
      <c r="T46" s="17"/>
      <c r="U46" s="17"/>
      <c r="V46" s="17"/>
      <c r="W46" s="17"/>
      <c r="X46" s="17"/>
      <c r="Y46" s="17"/>
      <c r="Z46" s="18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>
        <f>SUM(Tabla1[[#This Row],[Recursos propios 2024]:[Otros 2024]])</f>
        <v>0</v>
      </c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>
        <f>SUM(Tabla1[[#This Row],[Recursos propios 20242]:[Otros 202415]])</f>
        <v>0</v>
      </c>
      <c r="BD46" s="83" t="e">
        <f>+Tabla1[[#This Row],[Total Comprometido 2024]]/Tabla1[[#This Row],[Total 2024]]</f>
        <v>#DIV/0!</v>
      </c>
      <c r="BE46" s="82"/>
      <c r="BF46" s="82"/>
      <c r="BG46" s="82"/>
      <c r="BH46" s="30" t="s">
        <v>246</v>
      </c>
      <c r="BI46" s="63" t="s">
        <v>351</v>
      </c>
      <c r="BJ46" s="30">
        <v>11</v>
      </c>
    </row>
    <row r="47" spans="1:62" s="84" customFormat="1" ht="71.25" customHeight="1">
      <c r="A47" s="17">
        <v>97</v>
      </c>
      <c r="B47" s="30" t="s">
        <v>124</v>
      </c>
      <c r="C47" s="30" t="s">
        <v>131</v>
      </c>
      <c r="D47" s="30" t="s">
        <v>138</v>
      </c>
      <c r="E47" s="30" t="s">
        <v>139</v>
      </c>
      <c r="F47" s="30" t="s">
        <v>143</v>
      </c>
      <c r="G47" s="30" t="s">
        <v>144</v>
      </c>
      <c r="H47" s="30">
        <v>240211900</v>
      </c>
      <c r="I47" s="30" t="s">
        <v>145</v>
      </c>
      <c r="J47" s="30">
        <v>0</v>
      </c>
      <c r="K47" s="30" t="s">
        <v>78</v>
      </c>
      <c r="L47" s="30" t="s">
        <v>348</v>
      </c>
      <c r="M47" s="30">
        <v>1</v>
      </c>
      <c r="N47" s="30">
        <v>1</v>
      </c>
      <c r="O47" s="28"/>
      <c r="P47" s="86">
        <f>+(Tabla1[[#This Row],[Meta Ejecutada Vigencia4]]/Tabla1[[#This Row],[Meta Programada Vigencia]])</f>
        <v>0</v>
      </c>
      <c r="Q47" s="86">
        <f>+Tabla1[[#This Row],[Meta Ejecutada Vigencia4]]/Tabla1[[#This Row],[Meta Programada Cuatrienio3]]/4</f>
        <v>0</v>
      </c>
      <c r="R47" s="36">
        <v>2023680010060</v>
      </c>
      <c r="S47" s="28" t="s">
        <v>278</v>
      </c>
      <c r="T47" s="39">
        <v>4491492889</v>
      </c>
      <c r="U47" s="39">
        <v>4491492889</v>
      </c>
      <c r="V47" s="28"/>
      <c r="W47" s="28"/>
      <c r="X47" s="28"/>
      <c r="Y47" s="28"/>
      <c r="Z47" s="87">
        <v>0</v>
      </c>
      <c r="AA47" s="87"/>
      <c r="AB47" s="87"/>
      <c r="AC47" s="87"/>
      <c r="AD47" s="87"/>
      <c r="AE47" s="87">
        <v>0</v>
      </c>
      <c r="AF47" s="87"/>
      <c r="AG47" s="87"/>
      <c r="AH47" s="87"/>
      <c r="AI47" s="87"/>
      <c r="AJ47" s="87"/>
      <c r="AK47" s="87"/>
      <c r="AL47" s="87"/>
      <c r="AM47" s="87"/>
      <c r="AN47" s="87">
        <f>SUM(Tabla1[[#This Row],[Recursos propios 2024]:[Otros 2024]])</f>
        <v>0</v>
      </c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>
        <f>SUM(Tabla1[[#This Row],[Recursos propios 20242]:[Otros 202415]])</f>
        <v>0</v>
      </c>
      <c r="BD47" s="94" t="e">
        <f>+Tabla1[[#This Row],[Total Comprometido 2024]]/Tabla1[[#This Row],[Total 2024]]</f>
        <v>#DIV/0!</v>
      </c>
      <c r="BE47" s="87"/>
      <c r="BF47" s="87"/>
      <c r="BG47" s="87"/>
      <c r="BH47" s="30" t="s">
        <v>246</v>
      </c>
      <c r="BI47" s="63" t="s">
        <v>351</v>
      </c>
      <c r="BJ47" s="30">
        <v>11</v>
      </c>
    </row>
    <row r="48" spans="1:62" s="84" customFormat="1" ht="42.75" customHeight="1">
      <c r="A48" s="17">
        <v>98</v>
      </c>
      <c r="B48" s="16" t="s">
        <v>124</v>
      </c>
      <c r="C48" s="30" t="s">
        <v>131</v>
      </c>
      <c r="D48" s="16" t="s">
        <v>132</v>
      </c>
      <c r="E48" s="30" t="s">
        <v>139</v>
      </c>
      <c r="F48" s="16" t="s">
        <v>146</v>
      </c>
      <c r="G48" s="30" t="s">
        <v>147</v>
      </c>
      <c r="H48" s="16">
        <v>240103900</v>
      </c>
      <c r="I48" s="30" t="s">
        <v>148</v>
      </c>
      <c r="J48" s="32">
        <v>0</v>
      </c>
      <c r="K48" s="16" t="s">
        <v>78</v>
      </c>
      <c r="L48" s="16" t="s">
        <v>348</v>
      </c>
      <c r="M48" s="32">
        <v>2</v>
      </c>
      <c r="N48" s="16">
        <v>0</v>
      </c>
      <c r="O48" s="17"/>
      <c r="P48" s="19" t="e">
        <f>+(Tabla1[[#This Row],[Meta Ejecutada Vigencia4]]/Tabla1[[#This Row],[Meta Programada Vigencia]])</f>
        <v>#DIV/0!</v>
      </c>
      <c r="Q48" s="86">
        <f>+Tabla1[[#This Row],[Meta Ejecutada Vigencia4]]/Tabla1[[#This Row],[Meta Programada Cuatrienio3]]/4</f>
        <v>0</v>
      </c>
      <c r="R48" s="17"/>
      <c r="S48" s="17"/>
      <c r="T48" s="17"/>
      <c r="U48" s="17"/>
      <c r="V48" s="17"/>
      <c r="W48" s="17"/>
      <c r="X48" s="17"/>
      <c r="Y48" s="17"/>
      <c r="Z48" s="18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>
        <f>SUM(Tabla1[[#This Row],[Recursos propios 2024]:[Otros 2024]])</f>
        <v>0</v>
      </c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>
        <f>SUM(Tabla1[[#This Row],[Recursos propios 20242]:[Otros 202415]])</f>
        <v>0</v>
      </c>
      <c r="BD48" s="83" t="e">
        <f>+Tabla1[[#This Row],[Total Comprometido 2024]]/Tabla1[[#This Row],[Total 2024]]</f>
        <v>#DIV/0!</v>
      </c>
      <c r="BE48" s="82"/>
      <c r="BF48" s="82"/>
      <c r="BG48" s="82"/>
      <c r="BH48" s="30" t="s">
        <v>246</v>
      </c>
      <c r="BI48" s="63" t="s">
        <v>351</v>
      </c>
      <c r="BJ48" s="30">
        <v>11</v>
      </c>
    </row>
    <row r="49" spans="1:62" s="84" customFormat="1" ht="42.75" customHeight="1">
      <c r="A49" s="17">
        <v>99</v>
      </c>
      <c r="B49" s="30" t="s">
        <v>124</v>
      </c>
      <c r="C49" s="30" t="s">
        <v>131</v>
      </c>
      <c r="D49" s="30" t="s">
        <v>138</v>
      </c>
      <c r="E49" s="30" t="s">
        <v>139</v>
      </c>
      <c r="F49" s="30" t="s">
        <v>149</v>
      </c>
      <c r="G49" s="30" t="s">
        <v>150</v>
      </c>
      <c r="H49" s="30">
        <v>240208300</v>
      </c>
      <c r="I49" s="30" t="s">
        <v>151</v>
      </c>
      <c r="J49" s="30">
        <v>0</v>
      </c>
      <c r="K49" s="30" t="s">
        <v>78</v>
      </c>
      <c r="L49" s="30" t="s">
        <v>348</v>
      </c>
      <c r="M49" s="30">
        <v>5</v>
      </c>
      <c r="N49" s="30">
        <v>0</v>
      </c>
      <c r="O49" s="28"/>
      <c r="P49" s="19" t="e">
        <f>+(Tabla1[[#This Row],[Meta Ejecutada Vigencia4]]/Tabla1[[#This Row],[Meta Programada Vigencia]])</f>
        <v>#DIV/0!</v>
      </c>
      <c r="Q49" s="86">
        <f>+Tabla1[[#This Row],[Meta Ejecutada Vigencia4]]/Tabla1[[#This Row],[Meta Programada Cuatrienio3]]/4</f>
        <v>0</v>
      </c>
      <c r="R49" s="28"/>
      <c r="S49" s="28"/>
      <c r="T49" s="28"/>
      <c r="U49" s="28"/>
      <c r="V49" s="28"/>
      <c r="W49" s="28"/>
      <c r="X49" s="28"/>
      <c r="Y49" s="28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>
        <f>SUM(Tabla1[[#This Row],[Recursos propios 2024]:[Otros 2024]])</f>
        <v>0</v>
      </c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>
        <f>SUM(Tabla1[[#This Row],[Recursos propios 20242]:[Otros 202415]])</f>
        <v>0</v>
      </c>
      <c r="BD49" s="94" t="e">
        <f>+Tabla1[[#This Row],[Total Comprometido 2024]]/Tabla1[[#This Row],[Total 2024]]</f>
        <v>#DIV/0!</v>
      </c>
      <c r="BE49" s="87"/>
      <c r="BF49" s="87"/>
      <c r="BG49" s="87"/>
      <c r="BH49" s="30" t="s">
        <v>246</v>
      </c>
      <c r="BI49" s="63" t="s">
        <v>351</v>
      </c>
      <c r="BJ49" s="30">
        <v>11</v>
      </c>
    </row>
    <row r="50" spans="1:62" s="84" customFormat="1" ht="42.75" customHeight="1">
      <c r="A50" s="17">
        <v>100</v>
      </c>
      <c r="B50" s="16" t="s">
        <v>124</v>
      </c>
      <c r="C50" s="79" t="s">
        <v>131</v>
      </c>
      <c r="D50" s="16" t="s">
        <v>138</v>
      </c>
      <c r="E50" s="30" t="s">
        <v>139</v>
      </c>
      <c r="F50" s="16" t="s">
        <v>152</v>
      </c>
      <c r="G50" s="30" t="s">
        <v>153</v>
      </c>
      <c r="H50" s="16">
        <v>240204400</v>
      </c>
      <c r="I50" s="30" t="s">
        <v>154</v>
      </c>
      <c r="J50" s="32">
        <v>3</v>
      </c>
      <c r="K50" s="16" t="s">
        <v>78</v>
      </c>
      <c r="L50" s="16" t="s">
        <v>348</v>
      </c>
      <c r="M50" s="32">
        <v>1</v>
      </c>
      <c r="N50" s="16">
        <v>0</v>
      </c>
      <c r="O50" s="17"/>
      <c r="P50" s="19" t="e">
        <f>+(Tabla1[[#This Row],[Meta Ejecutada Vigencia4]]/Tabla1[[#This Row],[Meta Programada Vigencia]])</f>
        <v>#DIV/0!</v>
      </c>
      <c r="Q50" s="86">
        <f>+Tabla1[[#This Row],[Meta Ejecutada Vigencia4]]/Tabla1[[#This Row],[Meta Programada Cuatrienio3]]/4</f>
        <v>0</v>
      </c>
      <c r="R50" s="17"/>
      <c r="S50" s="17"/>
      <c r="T50" s="17"/>
      <c r="U50" s="17"/>
      <c r="V50" s="17"/>
      <c r="W50" s="17"/>
      <c r="X50" s="17"/>
      <c r="Y50" s="17"/>
      <c r="Z50" s="18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7">
        <f>SUM(Tabla1[[#This Row],[Recursos propios 2024]:[Otros 2024]])</f>
        <v>0</v>
      </c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>
        <f>SUM(Tabla1[[#This Row],[Recursos propios 20242]:[Otros 202415]])</f>
        <v>0</v>
      </c>
      <c r="BD50" s="83" t="e">
        <f>+Tabla1[[#This Row],[Total Comprometido 2024]]/Tabla1[[#This Row],[Total 2024]]</f>
        <v>#DIV/0!</v>
      </c>
      <c r="BE50" s="82"/>
      <c r="BF50" s="82"/>
      <c r="BG50" s="82"/>
      <c r="BH50" s="30" t="s">
        <v>246</v>
      </c>
      <c r="BI50" s="63" t="s">
        <v>351</v>
      </c>
      <c r="BJ50" s="30">
        <v>11</v>
      </c>
    </row>
    <row r="51" spans="1:62" s="84" customFormat="1" ht="98.25" customHeight="1">
      <c r="A51" s="17">
        <v>101</v>
      </c>
      <c r="B51" s="30" t="s">
        <v>124</v>
      </c>
      <c r="C51" s="30" t="s">
        <v>131</v>
      </c>
      <c r="D51" s="30" t="s">
        <v>138</v>
      </c>
      <c r="E51" s="30" t="s">
        <v>139</v>
      </c>
      <c r="F51" s="30" t="s">
        <v>155</v>
      </c>
      <c r="G51" s="30" t="s">
        <v>156</v>
      </c>
      <c r="H51" s="30">
        <v>240211800</v>
      </c>
      <c r="I51" s="30" t="s">
        <v>157</v>
      </c>
      <c r="J51" s="30">
        <v>0</v>
      </c>
      <c r="K51" s="30" t="s">
        <v>78</v>
      </c>
      <c r="L51" s="30" t="s">
        <v>348</v>
      </c>
      <c r="M51" s="30">
        <v>4</v>
      </c>
      <c r="N51" s="30">
        <v>2</v>
      </c>
      <c r="O51" s="28">
        <v>1</v>
      </c>
      <c r="P51" s="86">
        <f>+(Tabla1[[#This Row],[Meta Ejecutada Vigencia4]]/Tabla1[[#This Row],[Meta Programada Vigencia]])</f>
        <v>0.5</v>
      </c>
      <c r="Q51" s="86">
        <f>+Tabla1[[#This Row],[Meta Ejecutada Vigencia4]]/Tabla1[[#This Row],[Meta Programada Cuatrienio3]]/4</f>
        <v>6.25E-2</v>
      </c>
      <c r="R51" s="36">
        <v>2024680010007</v>
      </c>
      <c r="S51" s="28" t="s">
        <v>279</v>
      </c>
      <c r="T51" s="39">
        <v>1282056389</v>
      </c>
      <c r="U51" s="39">
        <v>1282056389</v>
      </c>
      <c r="V51" s="28"/>
      <c r="W51" s="28" t="s">
        <v>254</v>
      </c>
      <c r="X51" s="28"/>
      <c r="Y51" s="28"/>
      <c r="Z51" s="39">
        <v>1282056389</v>
      </c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87">
        <f>SUM(Tabla1[[#This Row],[Recursos propios 2024]:[Otros 2024]])</f>
        <v>1282056389</v>
      </c>
      <c r="AO51" s="39">
        <v>1254631530.45</v>
      </c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87">
        <f>SUM(Tabla1[[#This Row],[Recursos propios 20242]:[Otros 202415]])</f>
        <v>1254631530.45</v>
      </c>
      <c r="BD51" s="94">
        <f>+Tabla1[[#This Row],[Total Comprometido 2024]]/Tabla1[[#This Row],[Total 2024]]</f>
        <v>0.97860869554155006</v>
      </c>
      <c r="BE51" s="87">
        <v>501852607</v>
      </c>
      <c r="BF51" s="39">
        <v>501852607</v>
      </c>
      <c r="BG51" s="28"/>
      <c r="BH51" s="30" t="s">
        <v>246</v>
      </c>
      <c r="BI51" s="30" t="s">
        <v>351</v>
      </c>
      <c r="BJ51" s="30">
        <v>11</v>
      </c>
    </row>
    <row r="52" spans="1:62" s="84" customFormat="1" ht="85.5" customHeight="1">
      <c r="A52" s="17">
        <v>101</v>
      </c>
      <c r="B52" s="30" t="s">
        <v>124</v>
      </c>
      <c r="C52" s="30" t="s">
        <v>131</v>
      </c>
      <c r="D52" s="30" t="s">
        <v>138</v>
      </c>
      <c r="E52" s="30" t="s">
        <v>139</v>
      </c>
      <c r="F52" s="30" t="s">
        <v>155</v>
      </c>
      <c r="G52" s="30" t="s">
        <v>156</v>
      </c>
      <c r="H52" s="16"/>
      <c r="I52" s="30"/>
      <c r="J52" s="16"/>
      <c r="K52" s="16"/>
      <c r="L52" s="16"/>
      <c r="M52" s="16"/>
      <c r="N52" s="16"/>
      <c r="O52" s="33"/>
      <c r="P52" s="34"/>
      <c r="Q52" s="35"/>
      <c r="R52" s="36">
        <v>2024680010075</v>
      </c>
      <c r="S52" s="28" t="s">
        <v>280</v>
      </c>
      <c r="T52" s="37">
        <v>2859418341</v>
      </c>
      <c r="U52" s="37">
        <v>2859418341</v>
      </c>
      <c r="V52" s="17"/>
      <c r="W52" s="17"/>
      <c r="X52" s="17"/>
      <c r="Y52" s="17"/>
      <c r="Z52" s="17"/>
      <c r="AA52" s="17"/>
      <c r="AB52" s="17"/>
      <c r="AC52" s="17"/>
      <c r="AD52" s="17"/>
      <c r="AE52" s="37">
        <v>2859418341</v>
      </c>
      <c r="AF52" s="17"/>
      <c r="AG52" s="17"/>
      <c r="AH52" s="17"/>
      <c r="AI52" s="17"/>
      <c r="AJ52" s="17"/>
      <c r="AK52" s="17"/>
      <c r="AL52" s="17"/>
      <c r="AM52" s="17"/>
      <c r="AN52" s="18">
        <f>SUM(Tabla1[[#This Row],[Recursos propios 2024]:[Otros 2024]])</f>
        <v>2859418341</v>
      </c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>
        <f>SUM(Tabla1[[#This Row],[Recursos propios 20242]:[Otros 202415]])</f>
        <v>0</v>
      </c>
      <c r="BD52" s="26">
        <f>+Tabla1[[#This Row],[Total Comprometido 2024]]/Tabla1[[#This Row],[Total 2024]]</f>
        <v>0</v>
      </c>
      <c r="BE52" s="17"/>
      <c r="BF52" s="17"/>
      <c r="BG52" s="17"/>
      <c r="BH52" s="16"/>
      <c r="BI52" s="30" t="s">
        <v>351</v>
      </c>
      <c r="BJ52" s="16"/>
    </row>
    <row r="53" spans="1:62" s="84" customFormat="1" ht="57" customHeight="1">
      <c r="A53" s="17">
        <v>102</v>
      </c>
      <c r="B53" s="16" t="s">
        <v>124</v>
      </c>
      <c r="C53" s="16" t="s">
        <v>131</v>
      </c>
      <c r="D53" s="16" t="s">
        <v>138</v>
      </c>
      <c r="E53" s="30" t="s">
        <v>139</v>
      </c>
      <c r="F53" s="16" t="s">
        <v>158</v>
      </c>
      <c r="G53" s="30" t="s">
        <v>159</v>
      </c>
      <c r="H53" s="16">
        <v>240211300</v>
      </c>
      <c r="I53" s="30" t="s">
        <v>160</v>
      </c>
      <c r="J53" s="32">
        <v>0</v>
      </c>
      <c r="K53" s="16" t="s">
        <v>161</v>
      </c>
      <c r="L53" s="16" t="s">
        <v>348</v>
      </c>
      <c r="M53" s="32">
        <v>1</v>
      </c>
      <c r="N53" s="16">
        <v>0.25</v>
      </c>
      <c r="O53" s="17"/>
      <c r="P53" s="19">
        <f>+(Tabla1[[#This Row],[Meta Ejecutada Vigencia4]]/Tabla1[[#This Row],[Meta Programada Vigencia]])</f>
        <v>0</v>
      </c>
      <c r="Q53" s="19">
        <f>+Tabla1[[#This Row],[Meta Ejecutada Vigencia4]]/Tabla1[[#This Row],[Meta Programada Cuatrienio3]]/4</f>
        <v>0</v>
      </c>
      <c r="R53" s="36">
        <v>2022680010100</v>
      </c>
      <c r="S53" s="28" t="s">
        <v>281</v>
      </c>
      <c r="T53" s="37">
        <v>15826521795.24</v>
      </c>
      <c r="U53" s="37">
        <v>15826521795.24</v>
      </c>
      <c r="V53" s="17"/>
      <c r="W53" s="17"/>
      <c r="X53" s="17"/>
      <c r="Y53" s="17"/>
      <c r="Z53" s="37">
        <v>17435600912.240002</v>
      </c>
      <c r="AA53" s="17"/>
      <c r="AB53" s="17"/>
      <c r="AC53" s="17"/>
      <c r="AD53" s="17"/>
      <c r="AE53" s="37">
        <f>917937382-139052785</f>
        <v>778884597</v>
      </c>
      <c r="AF53" s="17"/>
      <c r="AG53" s="17"/>
      <c r="AH53" s="17"/>
      <c r="AI53" s="17"/>
      <c r="AJ53" s="17"/>
      <c r="AK53" s="17"/>
      <c r="AL53" s="17"/>
      <c r="AM53" s="17"/>
      <c r="AN53" s="18">
        <f>SUM(Tabla1[[#This Row],[Recursos propios 2024]:[Otros 2024]])</f>
        <v>18214485509.240002</v>
      </c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8">
        <f>SUM(Tabla1[[#This Row],[Recursos propios 20242]:[Otros 202415]])</f>
        <v>0</v>
      </c>
      <c r="BD53" s="26">
        <f>+Tabla1[[#This Row],[Total Comprometido 2024]]/Tabla1[[#This Row],[Total 2024]]</f>
        <v>0</v>
      </c>
      <c r="BE53" s="17"/>
      <c r="BF53" s="17"/>
      <c r="BG53" s="17"/>
      <c r="BH53" s="30" t="s">
        <v>246</v>
      </c>
      <c r="BI53" s="30" t="s">
        <v>351</v>
      </c>
      <c r="BJ53" s="30">
        <v>11</v>
      </c>
    </row>
    <row r="54" spans="1:62" s="84" customFormat="1" ht="99.75">
      <c r="A54" s="17">
        <v>103</v>
      </c>
      <c r="B54" s="30" t="s">
        <v>124</v>
      </c>
      <c r="C54" s="30" t="s">
        <v>131</v>
      </c>
      <c r="D54" s="30" t="s">
        <v>138</v>
      </c>
      <c r="E54" s="30" t="s">
        <v>139</v>
      </c>
      <c r="F54" s="30" t="s">
        <v>162</v>
      </c>
      <c r="G54" s="30" t="s">
        <v>163</v>
      </c>
      <c r="H54" s="30">
        <v>240211400</v>
      </c>
      <c r="I54" s="30" t="s">
        <v>164</v>
      </c>
      <c r="J54" s="30">
        <v>14</v>
      </c>
      <c r="K54" s="30" t="s">
        <v>137</v>
      </c>
      <c r="L54" s="30" t="s">
        <v>348</v>
      </c>
      <c r="M54" s="30">
        <v>20</v>
      </c>
      <c r="N54" s="30">
        <v>3</v>
      </c>
      <c r="O54" s="28">
        <f>0.41+2.22</f>
        <v>2.6300000000000003</v>
      </c>
      <c r="P54" s="86">
        <f>+(Tabla1[[#This Row],[Meta Ejecutada Vigencia4]]/Tabla1[[#This Row],[Meta Programada Vigencia]])</f>
        <v>0.87666666666666682</v>
      </c>
      <c r="Q54" s="86">
        <f>+Tabla1[[#This Row],[Meta Ejecutada Vigencia4]]/Tabla1[[#This Row],[Meta Programada Cuatrienio3]]/4</f>
        <v>3.2875000000000001E-2</v>
      </c>
      <c r="R54" s="36">
        <v>2022680010006</v>
      </c>
      <c r="S54" s="28" t="s">
        <v>282</v>
      </c>
      <c r="T54" s="39">
        <v>13231488384.120001</v>
      </c>
      <c r="U54" s="39">
        <v>13231488384.120001</v>
      </c>
      <c r="V54" s="28" t="s">
        <v>253</v>
      </c>
      <c r="W54" s="28" t="s">
        <v>254</v>
      </c>
      <c r="X54" s="28">
        <v>57000</v>
      </c>
      <c r="Y54" s="28" t="s">
        <v>283</v>
      </c>
      <c r="Z54" s="39">
        <v>9427760377.9599991</v>
      </c>
      <c r="AA54" s="28"/>
      <c r="AB54" s="28"/>
      <c r="AC54" s="28"/>
      <c r="AD54" s="28"/>
      <c r="AE54" s="39">
        <v>3803728006.1599998</v>
      </c>
      <c r="AF54" s="28"/>
      <c r="AG54" s="28"/>
      <c r="AH54" s="28"/>
      <c r="AI54" s="28"/>
      <c r="AJ54" s="28"/>
      <c r="AK54" s="28"/>
      <c r="AL54" s="28"/>
      <c r="AM54" s="28"/>
      <c r="AN54" s="87">
        <f>SUM(Tabla1[[#This Row],[Recursos propios 2024]:[Otros 2024]])</f>
        <v>13231488384.119999</v>
      </c>
      <c r="AO54" s="39">
        <v>9427760377.9599991</v>
      </c>
      <c r="AP54" s="28"/>
      <c r="AQ54" s="28"/>
      <c r="AR54" s="28"/>
      <c r="AS54" s="28"/>
      <c r="AT54" s="39">
        <v>3803728006.1599998</v>
      </c>
      <c r="AU54" s="28"/>
      <c r="AV54" s="28"/>
      <c r="AW54" s="28"/>
      <c r="AX54" s="28"/>
      <c r="AY54" s="28"/>
      <c r="AZ54" s="28"/>
      <c r="BA54" s="28"/>
      <c r="BB54" s="28"/>
      <c r="BC54" s="87">
        <f>SUM(Tabla1[[#This Row],[Recursos propios 20242]:[Otros 202415]])</f>
        <v>13231488384.119999</v>
      </c>
      <c r="BD54" s="94">
        <f>+Tabla1[[#This Row],[Total Comprometido 2024]]/Tabla1[[#This Row],[Total 2024]]</f>
        <v>1</v>
      </c>
      <c r="BE54" s="39">
        <v>5114189496.3199997</v>
      </c>
      <c r="BF54" s="39">
        <v>5114189496.3199997</v>
      </c>
      <c r="BG54" s="28"/>
      <c r="BH54" s="30" t="s">
        <v>246</v>
      </c>
      <c r="BI54" s="30" t="s">
        <v>351</v>
      </c>
      <c r="BJ54" s="30">
        <v>11</v>
      </c>
    </row>
    <row r="55" spans="1:62" s="84" customFormat="1" ht="57" customHeight="1">
      <c r="A55" s="17">
        <v>103</v>
      </c>
      <c r="B55" s="30" t="s">
        <v>124</v>
      </c>
      <c r="C55" s="30" t="s">
        <v>131</v>
      </c>
      <c r="D55" s="30" t="s">
        <v>138</v>
      </c>
      <c r="E55" s="30" t="s">
        <v>139</v>
      </c>
      <c r="F55" s="30" t="s">
        <v>162</v>
      </c>
      <c r="G55" s="30"/>
      <c r="H55" s="16"/>
      <c r="I55" s="30"/>
      <c r="J55" s="16"/>
      <c r="K55" s="16"/>
      <c r="L55" s="16"/>
      <c r="M55" s="16"/>
      <c r="N55" s="16"/>
      <c r="O55" s="33"/>
      <c r="P55" s="34"/>
      <c r="Q55" s="35"/>
      <c r="R55" s="38">
        <v>2024680010051</v>
      </c>
      <c r="S55" s="28" t="s">
        <v>284</v>
      </c>
      <c r="T55" s="39">
        <v>4700002750</v>
      </c>
      <c r="U55" s="39">
        <v>4700002750</v>
      </c>
      <c r="V55" s="17"/>
      <c r="W55" s="17"/>
      <c r="X55" s="17"/>
      <c r="Y55" s="17"/>
      <c r="Z55" s="37">
        <v>4700002750</v>
      </c>
      <c r="AA55" s="17"/>
      <c r="AB55" s="17"/>
      <c r="AC55" s="17"/>
      <c r="AD55" s="17"/>
      <c r="AE55" s="37"/>
      <c r="AF55" s="17"/>
      <c r="AG55" s="17"/>
      <c r="AH55" s="17"/>
      <c r="AI55" s="17"/>
      <c r="AJ55" s="17"/>
      <c r="AK55" s="17"/>
      <c r="AL55" s="17"/>
      <c r="AM55" s="17"/>
      <c r="AN55" s="18">
        <f>SUM(Tabla1[[#This Row],[Recursos propios 2024]:[Otros 2024]])</f>
        <v>4700002750</v>
      </c>
      <c r="AO55" s="37"/>
      <c r="AP55" s="17"/>
      <c r="AQ55" s="17"/>
      <c r="AR55" s="17"/>
      <c r="AS55" s="17"/>
      <c r="AT55" s="37"/>
      <c r="AU55" s="17"/>
      <c r="AV55" s="17"/>
      <c r="AW55" s="17"/>
      <c r="AX55" s="17"/>
      <c r="AY55" s="17"/>
      <c r="AZ55" s="17"/>
      <c r="BA55" s="17"/>
      <c r="BB55" s="17"/>
      <c r="BC55" s="18">
        <f>SUM(Tabla1[[#This Row],[Recursos propios 20242]:[Otros 202415]])</f>
        <v>0</v>
      </c>
      <c r="BD55" s="26">
        <f>+Tabla1[[#This Row],[Total Comprometido 2024]]/Tabla1[[#This Row],[Total 2024]]</f>
        <v>0</v>
      </c>
      <c r="BE55" s="37"/>
      <c r="BF55" s="37"/>
      <c r="BG55" s="17"/>
      <c r="BH55" s="16"/>
      <c r="BI55" s="30" t="s">
        <v>351</v>
      </c>
      <c r="BJ55" s="16"/>
    </row>
    <row r="56" spans="1:62" s="84" customFormat="1" ht="54" customHeight="1">
      <c r="A56" s="17">
        <v>103</v>
      </c>
      <c r="B56" s="30" t="s">
        <v>124</v>
      </c>
      <c r="C56" s="30" t="s">
        <v>131</v>
      </c>
      <c r="D56" s="30" t="s">
        <v>138</v>
      </c>
      <c r="E56" s="30" t="s">
        <v>139</v>
      </c>
      <c r="F56" s="30" t="s">
        <v>162</v>
      </c>
      <c r="G56" s="30"/>
      <c r="H56" s="16"/>
      <c r="I56" s="30"/>
      <c r="J56" s="16"/>
      <c r="K56" s="16"/>
      <c r="L56" s="16"/>
      <c r="M56" s="16"/>
      <c r="N56" s="16"/>
      <c r="O56" s="33"/>
      <c r="P56" s="34"/>
      <c r="Q56" s="35"/>
      <c r="R56" s="36">
        <v>2022680010042</v>
      </c>
      <c r="S56" s="28" t="s">
        <v>285</v>
      </c>
      <c r="T56" s="39">
        <v>17301532873</v>
      </c>
      <c r="U56" s="39">
        <v>2737590305</v>
      </c>
      <c r="V56" s="28" t="s">
        <v>286</v>
      </c>
      <c r="W56" s="28" t="s">
        <v>254</v>
      </c>
      <c r="X56" s="28">
        <v>602951</v>
      </c>
      <c r="Y56" s="28" t="s">
        <v>287</v>
      </c>
      <c r="Z56" s="37"/>
      <c r="AA56" s="17"/>
      <c r="AB56" s="17"/>
      <c r="AC56" s="17"/>
      <c r="AD56" s="17"/>
      <c r="AE56" s="37">
        <v>2737590305</v>
      </c>
      <c r="AF56" s="17"/>
      <c r="AG56" s="17"/>
      <c r="AH56" s="17"/>
      <c r="AI56" s="17"/>
      <c r="AJ56" s="17"/>
      <c r="AK56" s="17"/>
      <c r="AL56" s="17"/>
      <c r="AM56" s="17"/>
      <c r="AN56" s="18">
        <f>SUM(Tabla1[[#This Row],[Recursos propios 2024]:[Otros 2024]])</f>
        <v>2737590305</v>
      </c>
      <c r="AO56" s="37"/>
      <c r="AP56" s="17"/>
      <c r="AQ56" s="17"/>
      <c r="AR56" s="17"/>
      <c r="AS56" s="17"/>
      <c r="AT56" s="37">
        <v>2737590305</v>
      </c>
      <c r="AU56" s="17"/>
      <c r="AV56" s="17"/>
      <c r="AW56" s="17"/>
      <c r="AX56" s="17"/>
      <c r="AY56" s="17"/>
      <c r="AZ56" s="17"/>
      <c r="BA56" s="17"/>
      <c r="BB56" s="17"/>
      <c r="BC56" s="18">
        <f>SUM(Tabla1[[#This Row],[Recursos propios 20242]:[Otros 202415]])</f>
        <v>2737590305</v>
      </c>
      <c r="BD56" s="26">
        <f>+Tabla1[[#This Row],[Total Comprometido 2024]]/Tabla1[[#This Row],[Total 2024]]</f>
        <v>1</v>
      </c>
      <c r="BE56" s="37">
        <f>1892325819.08+524543090.22+446196571</f>
        <v>2863065480.3000002</v>
      </c>
      <c r="BF56" s="37">
        <f>1892325819.08+524543090.22+446196571</f>
        <v>2863065480.3000002</v>
      </c>
      <c r="BG56" s="17"/>
      <c r="BH56" s="16"/>
      <c r="BI56" s="30" t="s">
        <v>351</v>
      </c>
      <c r="BJ56" s="16"/>
    </row>
    <row r="57" spans="1:62" s="84" customFormat="1" ht="42.75" customHeight="1">
      <c r="A57" s="17">
        <v>104</v>
      </c>
      <c r="B57" s="16" t="s">
        <v>124</v>
      </c>
      <c r="C57" s="16" t="s">
        <v>131</v>
      </c>
      <c r="D57" s="16" t="s">
        <v>138</v>
      </c>
      <c r="E57" s="30" t="s">
        <v>139</v>
      </c>
      <c r="F57" s="16" t="s">
        <v>165</v>
      </c>
      <c r="G57" s="30" t="s">
        <v>166</v>
      </c>
      <c r="H57" s="16">
        <v>240211500</v>
      </c>
      <c r="I57" s="30" t="s">
        <v>167</v>
      </c>
      <c r="J57" s="32">
        <v>0</v>
      </c>
      <c r="K57" s="16" t="s">
        <v>137</v>
      </c>
      <c r="L57" s="16" t="s">
        <v>347</v>
      </c>
      <c r="M57" s="32">
        <v>80</v>
      </c>
      <c r="N57" s="16">
        <v>0</v>
      </c>
      <c r="O57" s="17"/>
      <c r="P57" s="19" t="e">
        <f>+(Tabla1[[#This Row],[Meta Ejecutada Vigencia4]]/Tabla1[[#This Row],[Meta Programada Vigencia]])</f>
        <v>#DIV/0!</v>
      </c>
      <c r="Q57" s="19">
        <f>+Tabla1[[#This Row],[Meta Ejecutada Vigencia4]]/Tabla1[[#This Row],[Meta Programada Cuatrienio3]]/4</f>
        <v>0</v>
      </c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8">
        <f>SUM(Tabla1[[#This Row],[Recursos propios 2024]:[Otros 2024]])</f>
        <v>0</v>
      </c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8">
        <f>SUM(Tabla1[[#This Row],[Recursos propios 20242]:[Otros 202415]])</f>
        <v>0</v>
      </c>
      <c r="BD57" s="26" t="e">
        <f>+Tabla1[[#This Row],[Total Comprometido 2024]]/Tabla1[[#This Row],[Total 2024]]</f>
        <v>#DIV/0!</v>
      </c>
      <c r="BE57" s="17"/>
      <c r="BF57" s="17"/>
      <c r="BG57" s="17"/>
      <c r="BH57" s="30" t="s">
        <v>246</v>
      </c>
      <c r="BI57" s="30" t="s">
        <v>351</v>
      </c>
      <c r="BJ57" s="30">
        <v>11</v>
      </c>
    </row>
    <row r="58" spans="1:62" s="84" customFormat="1" ht="57" customHeight="1">
      <c r="A58" s="17">
        <v>105</v>
      </c>
      <c r="B58" s="30" t="s">
        <v>124</v>
      </c>
      <c r="C58" s="30" t="s">
        <v>131</v>
      </c>
      <c r="D58" s="30" t="s">
        <v>138</v>
      </c>
      <c r="E58" s="30" t="s">
        <v>139</v>
      </c>
      <c r="F58" s="30" t="s">
        <v>168</v>
      </c>
      <c r="G58" s="30" t="s">
        <v>169</v>
      </c>
      <c r="H58" s="30">
        <v>240204200</v>
      </c>
      <c r="I58" s="30" t="s">
        <v>170</v>
      </c>
      <c r="J58" s="30">
        <v>4660</v>
      </c>
      <c r="K58" s="30" t="s">
        <v>171</v>
      </c>
      <c r="L58" s="30" t="s">
        <v>348</v>
      </c>
      <c r="M58" s="30">
        <v>5000</v>
      </c>
      <c r="N58" s="30">
        <v>1000</v>
      </c>
      <c r="O58" s="28">
        <v>690</v>
      </c>
      <c r="P58" s="86">
        <f>+(Tabla1[[#This Row],[Meta Ejecutada Vigencia4]]/Tabla1[[#This Row],[Meta Programada Vigencia]])</f>
        <v>0.69</v>
      </c>
      <c r="Q58" s="86">
        <f>+Tabla1[[#This Row],[Meta Ejecutada Vigencia4]]/Tabla1[[#This Row],[Meta Programada Cuatrienio3]]/4</f>
        <v>3.4500000000000003E-2</v>
      </c>
      <c r="R58" s="36">
        <v>2021680010038</v>
      </c>
      <c r="S58" s="28" t="s">
        <v>288</v>
      </c>
      <c r="T58" s="39">
        <v>204396672</v>
      </c>
      <c r="U58" s="39">
        <v>204396672</v>
      </c>
      <c r="V58" s="28" t="s">
        <v>289</v>
      </c>
      <c r="W58" s="28" t="s">
        <v>254</v>
      </c>
      <c r="X58" s="28">
        <v>20000</v>
      </c>
      <c r="Y58" s="28" t="s">
        <v>290</v>
      </c>
      <c r="Z58" s="39">
        <v>2724902982</v>
      </c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87">
        <f>SUM(Tabla1[[#This Row],[Recursos propios 2024]:[Otros 2024]])</f>
        <v>2724902982</v>
      </c>
      <c r="AO58" s="39">
        <v>1135777921</v>
      </c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87">
        <f>SUM(Tabla1[[#This Row],[Recursos propios 20242]:[Otros 202415]])</f>
        <v>1135777921</v>
      </c>
      <c r="BD58" s="94">
        <f>+Tabla1[[#This Row],[Total Comprometido 2024]]/Tabla1[[#This Row],[Total 2024]]</f>
        <v>0.4168140768690311</v>
      </c>
      <c r="BE58" s="87">
        <v>970112125.38999999</v>
      </c>
      <c r="BF58" s="87">
        <v>970112125.38999999</v>
      </c>
      <c r="BG58" s="28"/>
      <c r="BH58" s="30" t="s">
        <v>246</v>
      </c>
      <c r="BI58" s="30" t="s">
        <v>351</v>
      </c>
      <c r="BJ58" s="30">
        <v>11</v>
      </c>
    </row>
    <row r="59" spans="1:62" s="84" customFormat="1" ht="71.25" customHeight="1">
      <c r="A59" s="17">
        <v>106</v>
      </c>
      <c r="B59" s="16" t="s">
        <v>124</v>
      </c>
      <c r="C59" s="16" t="s">
        <v>131</v>
      </c>
      <c r="D59" s="16" t="s">
        <v>138</v>
      </c>
      <c r="E59" s="30" t="s">
        <v>139</v>
      </c>
      <c r="F59" s="16" t="s">
        <v>172</v>
      </c>
      <c r="G59" s="30" t="s">
        <v>173</v>
      </c>
      <c r="H59" s="16">
        <v>240211200</v>
      </c>
      <c r="I59" s="30" t="s">
        <v>174</v>
      </c>
      <c r="J59" s="32">
        <v>110</v>
      </c>
      <c r="K59" s="16" t="s">
        <v>137</v>
      </c>
      <c r="L59" s="16" t="s">
        <v>347</v>
      </c>
      <c r="M59" s="32">
        <v>110</v>
      </c>
      <c r="N59" s="16">
        <v>0</v>
      </c>
      <c r="O59" s="17">
        <v>6.4</v>
      </c>
      <c r="P59" s="19" t="e">
        <f>+(Tabla1[[#This Row],[Meta Ejecutada Vigencia4]]/Tabla1[[#This Row],[Meta Programada Vigencia]])</f>
        <v>#DIV/0!</v>
      </c>
      <c r="Q59" s="19">
        <f>+Tabla1[[#This Row],[Meta Ejecutada Vigencia4]]/Tabla1[[#This Row],[Meta Programada Cuatrienio3]]/4</f>
        <v>1.4545454545454545E-2</v>
      </c>
      <c r="R59" s="36">
        <v>2024680010043</v>
      </c>
      <c r="S59" s="28" t="s">
        <v>291</v>
      </c>
      <c r="T59" s="39">
        <v>1620379446</v>
      </c>
      <c r="U59" s="39">
        <v>1620379446</v>
      </c>
      <c r="V59" s="17"/>
      <c r="W59" s="17"/>
      <c r="X59" s="17"/>
      <c r="Y59" s="17"/>
      <c r="Z59" s="37"/>
      <c r="AA59" s="17"/>
      <c r="AB59" s="17"/>
      <c r="AC59" s="17"/>
      <c r="AD59" s="17"/>
      <c r="AE59" s="37">
        <v>1620379446</v>
      </c>
      <c r="AF59" s="17"/>
      <c r="AG59" s="17"/>
      <c r="AH59" s="17"/>
      <c r="AI59" s="17"/>
      <c r="AJ59" s="17"/>
      <c r="AK59" s="17"/>
      <c r="AL59" s="17"/>
      <c r="AM59" s="17"/>
      <c r="AN59" s="18">
        <f>SUM(Tabla1[[#This Row],[Recursos propios 2024]:[Otros 2024]])</f>
        <v>1620379446</v>
      </c>
      <c r="AO59" s="17"/>
      <c r="AP59" s="17"/>
      <c r="AQ59" s="17"/>
      <c r="AR59" s="17"/>
      <c r="AS59" s="17"/>
      <c r="AT59" s="18">
        <v>751055900</v>
      </c>
      <c r="AU59" s="17"/>
      <c r="AV59" s="17"/>
      <c r="AW59" s="17"/>
      <c r="AX59" s="17"/>
      <c r="AY59" s="17"/>
      <c r="AZ59" s="17"/>
      <c r="BA59" s="17"/>
      <c r="BB59" s="17"/>
      <c r="BC59" s="18">
        <f>SUM(Tabla1[[#This Row],[Recursos propios 20242]:[Otros 202415]])</f>
        <v>751055900</v>
      </c>
      <c r="BD59" s="26">
        <f>+Tabla1[[#This Row],[Total Comprometido 2024]]/Tabla1[[#This Row],[Total 2024]]</f>
        <v>0.46350618792038173</v>
      </c>
      <c r="BE59" s="18">
        <v>516328831</v>
      </c>
      <c r="BF59" s="18">
        <v>360230242</v>
      </c>
      <c r="BG59" s="17"/>
      <c r="BH59" s="30" t="s">
        <v>246</v>
      </c>
      <c r="BI59" s="30" t="s">
        <v>351</v>
      </c>
      <c r="BJ59" s="30">
        <v>11</v>
      </c>
    </row>
    <row r="60" spans="1:62" s="84" customFormat="1" ht="28.5" customHeight="1">
      <c r="A60" s="17">
        <v>107</v>
      </c>
      <c r="B60" s="30" t="s">
        <v>124</v>
      </c>
      <c r="C60" s="30" t="s">
        <v>131</v>
      </c>
      <c r="D60" s="30" t="s">
        <v>138</v>
      </c>
      <c r="E60" s="30" t="s">
        <v>139</v>
      </c>
      <c r="F60" s="30" t="s">
        <v>175</v>
      </c>
      <c r="G60" s="30" t="s">
        <v>176</v>
      </c>
      <c r="H60" s="30">
        <v>240207000</v>
      </c>
      <c r="I60" s="30" t="s">
        <v>177</v>
      </c>
      <c r="J60" s="30">
        <v>0</v>
      </c>
      <c r="K60" s="30" t="s">
        <v>78</v>
      </c>
      <c r="L60" s="30" t="s">
        <v>348</v>
      </c>
      <c r="M60" s="30">
        <v>1</v>
      </c>
      <c r="N60" s="30">
        <v>0</v>
      </c>
      <c r="O60" s="28"/>
      <c r="P60" s="86" t="e">
        <f>+(Tabla1[[#This Row],[Meta Ejecutada Vigencia4]]/Tabla1[[#This Row],[Meta Programada Vigencia]])</f>
        <v>#DIV/0!</v>
      </c>
      <c r="Q60" s="86">
        <f>+Tabla1[[#This Row],[Meta Ejecutada Vigencia4]]/Tabla1[[#This Row],[Meta Programada Cuatrienio3]]/4</f>
        <v>0</v>
      </c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87">
        <f>SUM(Tabla1[[#This Row],[Recursos propios 2024]:[Otros 2024]])</f>
        <v>0</v>
      </c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87">
        <f>SUM(Tabla1[[#This Row],[Recursos propios 20242]:[Otros 202415]])</f>
        <v>0</v>
      </c>
      <c r="BD60" s="94" t="e">
        <f>+Tabla1[[#This Row],[Total Comprometido 2024]]/Tabla1[[#This Row],[Total 2024]]</f>
        <v>#DIV/0!</v>
      </c>
      <c r="BE60" s="28"/>
      <c r="BF60" s="28"/>
      <c r="BG60" s="28"/>
      <c r="BH60" s="30" t="s">
        <v>246</v>
      </c>
      <c r="BI60" s="30" t="s">
        <v>351</v>
      </c>
      <c r="BJ60" s="30">
        <v>11</v>
      </c>
    </row>
    <row r="61" spans="1:62" s="84" customFormat="1" ht="28.5" customHeight="1">
      <c r="A61" s="17">
        <v>108</v>
      </c>
      <c r="B61" s="16" t="s">
        <v>124</v>
      </c>
      <c r="C61" s="16" t="s">
        <v>131</v>
      </c>
      <c r="D61" s="16" t="s">
        <v>138</v>
      </c>
      <c r="E61" s="30" t="s">
        <v>139</v>
      </c>
      <c r="F61" s="16" t="s">
        <v>178</v>
      </c>
      <c r="G61" s="30" t="s">
        <v>179</v>
      </c>
      <c r="H61" s="16">
        <v>240206200</v>
      </c>
      <c r="I61" s="30" t="s">
        <v>180</v>
      </c>
      <c r="J61" s="32">
        <v>0</v>
      </c>
      <c r="K61" s="16" t="s">
        <v>78</v>
      </c>
      <c r="L61" s="16" t="s">
        <v>348</v>
      </c>
      <c r="M61" s="32">
        <v>1</v>
      </c>
      <c r="N61" s="16">
        <v>0</v>
      </c>
      <c r="O61" s="17"/>
      <c r="P61" s="19" t="e">
        <f>+(Tabla1[[#This Row],[Meta Ejecutada Vigencia4]]/Tabla1[[#This Row],[Meta Programada Vigencia]])</f>
        <v>#DIV/0!</v>
      </c>
      <c r="Q61" s="19">
        <f>+Tabla1[[#This Row],[Meta Ejecutada Vigencia4]]/Tabla1[[#This Row],[Meta Programada Cuatrienio3]]/4</f>
        <v>0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8">
        <f>SUM(Tabla1[[#This Row],[Recursos propios 2024]:[Otros 2024]])</f>
        <v>0</v>
      </c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8">
        <f>SUM(Tabla1[[#This Row],[Recursos propios 20242]:[Otros 202415]])</f>
        <v>0</v>
      </c>
      <c r="BD61" s="26" t="e">
        <f>+Tabla1[[#This Row],[Total Comprometido 2024]]/Tabla1[[#This Row],[Total 2024]]</f>
        <v>#DIV/0!</v>
      </c>
      <c r="BE61" s="17"/>
      <c r="BF61" s="17"/>
      <c r="BG61" s="17"/>
      <c r="BH61" s="30" t="s">
        <v>246</v>
      </c>
      <c r="BI61" s="30" t="s">
        <v>351</v>
      </c>
      <c r="BJ61" s="30">
        <v>11</v>
      </c>
    </row>
    <row r="62" spans="1:62" s="84" customFormat="1" ht="71.25" customHeight="1">
      <c r="A62" s="17">
        <v>109</v>
      </c>
      <c r="B62" s="30" t="s">
        <v>124</v>
      </c>
      <c r="C62" s="30" t="s">
        <v>131</v>
      </c>
      <c r="D62" s="30" t="s">
        <v>138</v>
      </c>
      <c r="E62" s="30" t="s">
        <v>139</v>
      </c>
      <c r="F62" s="30" t="s">
        <v>181</v>
      </c>
      <c r="G62" s="30" t="s">
        <v>182</v>
      </c>
      <c r="H62" s="30">
        <v>240209400</v>
      </c>
      <c r="I62" s="30" t="s">
        <v>183</v>
      </c>
      <c r="J62" s="30">
        <v>0</v>
      </c>
      <c r="K62" s="30" t="s">
        <v>171</v>
      </c>
      <c r="L62" s="30" t="s">
        <v>348</v>
      </c>
      <c r="M62" s="30">
        <v>10000</v>
      </c>
      <c r="N62" s="30">
        <v>0</v>
      </c>
      <c r="O62" s="28"/>
      <c r="P62" s="86" t="e">
        <f>+(Tabla1[[#This Row],[Meta Ejecutada Vigencia4]]/Tabla1[[#This Row],[Meta Programada Vigencia]])</f>
        <v>#DIV/0!</v>
      </c>
      <c r="Q62" s="86">
        <f>+Tabla1[[#This Row],[Meta Ejecutada Vigencia4]]/Tabla1[[#This Row],[Meta Programada Cuatrienio3]]/4</f>
        <v>0</v>
      </c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87">
        <f>SUM(Tabla1[[#This Row],[Recursos propios 2024]:[Otros 2024]])</f>
        <v>0</v>
      </c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87">
        <f>SUM(Tabla1[[#This Row],[Recursos propios 20242]:[Otros 202415]])</f>
        <v>0</v>
      </c>
      <c r="BD62" s="94" t="e">
        <f>+Tabla1[[#This Row],[Total Comprometido 2024]]/Tabla1[[#This Row],[Total 2024]]</f>
        <v>#DIV/0!</v>
      </c>
      <c r="BE62" s="28"/>
      <c r="BF62" s="28"/>
      <c r="BG62" s="28"/>
      <c r="BH62" s="30" t="s">
        <v>246</v>
      </c>
      <c r="BI62" s="30" t="s">
        <v>351</v>
      </c>
      <c r="BJ62" s="30">
        <v>11.13</v>
      </c>
    </row>
    <row r="63" spans="1:62" s="84" customFormat="1" ht="57" customHeight="1">
      <c r="A63" s="17">
        <v>125</v>
      </c>
      <c r="B63" s="16" t="s">
        <v>124</v>
      </c>
      <c r="C63" s="16" t="s">
        <v>72</v>
      </c>
      <c r="D63" s="16" t="s">
        <v>184</v>
      </c>
      <c r="E63" s="30" t="s">
        <v>185</v>
      </c>
      <c r="F63" s="16" t="s">
        <v>186</v>
      </c>
      <c r="G63" s="30" t="s">
        <v>187</v>
      </c>
      <c r="H63" s="16">
        <v>210101600</v>
      </c>
      <c r="I63" s="30" t="s">
        <v>188</v>
      </c>
      <c r="J63" s="16">
        <v>0</v>
      </c>
      <c r="K63" s="16" t="s">
        <v>78</v>
      </c>
      <c r="L63" s="16" t="s">
        <v>348</v>
      </c>
      <c r="M63" s="16">
        <v>200</v>
      </c>
      <c r="N63" s="16">
        <v>0</v>
      </c>
      <c r="O63" s="17"/>
      <c r="P63" s="19" t="e">
        <f>+(Tabla1[[#This Row],[Meta Ejecutada Vigencia4]]/Tabla1[[#This Row],[Meta Programada Vigencia]])</f>
        <v>#DIV/0!</v>
      </c>
      <c r="Q63" s="19">
        <f>+Tabla1[[#This Row],[Meta Ejecutada Vigencia4]]/Tabla1[[#This Row],[Meta Programada Cuatrienio3]]/4</f>
        <v>0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8">
        <f>SUM(Tabla1[[#This Row],[Recursos propios 2024]:[Otros 2024]])</f>
        <v>0</v>
      </c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8">
        <f>SUM(Tabla1[[#This Row],[Recursos propios 20242]:[Otros 202415]])</f>
        <v>0</v>
      </c>
      <c r="BD63" s="26" t="e">
        <f>+Tabla1[[#This Row],[Total Comprometido 2024]]/Tabla1[[#This Row],[Total 2024]]</f>
        <v>#DIV/0!</v>
      </c>
      <c r="BE63" s="17"/>
      <c r="BF63" s="17"/>
      <c r="BG63" s="17"/>
      <c r="BH63" s="30" t="s">
        <v>246</v>
      </c>
      <c r="BI63" s="30" t="s">
        <v>351</v>
      </c>
      <c r="BJ63" s="30">
        <v>10</v>
      </c>
    </row>
    <row r="64" spans="1:62" s="84" customFormat="1" ht="99.75" customHeight="1">
      <c r="A64" s="17">
        <v>128</v>
      </c>
      <c r="B64" s="30" t="s">
        <v>124</v>
      </c>
      <c r="C64" s="30" t="s">
        <v>86</v>
      </c>
      <c r="D64" s="30" t="s">
        <v>106</v>
      </c>
      <c r="E64" s="30" t="s">
        <v>189</v>
      </c>
      <c r="F64" s="30" t="s">
        <v>190</v>
      </c>
      <c r="G64" s="30" t="s">
        <v>191</v>
      </c>
      <c r="H64" s="30">
        <v>400304700</v>
      </c>
      <c r="I64" s="30" t="s">
        <v>192</v>
      </c>
      <c r="J64" s="85">
        <v>289645</v>
      </c>
      <c r="K64" s="30" t="s">
        <v>78</v>
      </c>
      <c r="L64" s="30" t="s">
        <v>347</v>
      </c>
      <c r="M64" s="85">
        <v>289645</v>
      </c>
      <c r="N64" s="30">
        <v>289645</v>
      </c>
      <c r="O64" s="28">
        <v>289645</v>
      </c>
      <c r="P64" s="86">
        <f>+(Tabla1[[#This Row],[Meta Ejecutada Vigencia4]]/Tabla1[[#This Row],[Meta Programada Vigencia]])</f>
        <v>1</v>
      </c>
      <c r="Q64" s="86">
        <f>+Tabla1[[#This Row],[Meta Ejecutada Vigencia4]]/Tabla1[[#This Row],[Meta Programada Cuatrienio3]]/4</f>
        <v>0.25</v>
      </c>
      <c r="R64" s="36">
        <v>2021680010120</v>
      </c>
      <c r="S64" s="28" t="s">
        <v>292</v>
      </c>
      <c r="T64" s="39">
        <v>3484518813</v>
      </c>
      <c r="U64" s="37">
        <v>3484518813</v>
      </c>
      <c r="V64" s="28" t="s">
        <v>294</v>
      </c>
      <c r="W64" s="28" t="s">
        <v>254</v>
      </c>
      <c r="X64" s="28">
        <v>289000</v>
      </c>
      <c r="Y64" s="28" t="s">
        <v>295</v>
      </c>
      <c r="Z64" s="28"/>
      <c r="AA64" s="28"/>
      <c r="AB64" s="28"/>
      <c r="AC64" s="28"/>
      <c r="AD64" s="28"/>
      <c r="AE64" s="28"/>
      <c r="AF64" s="28"/>
      <c r="AG64" s="28"/>
      <c r="AH64" s="28"/>
      <c r="AI64" s="39">
        <v>3484518813</v>
      </c>
      <c r="AJ64" s="28"/>
      <c r="AK64" s="28"/>
      <c r="AL64" s="28"/>
      <c r="AM64" s="28"/>
      <c r="AN64" s="87">
        <f>SUM(Tabla1[[#This Row],[Recursos propios 2024]:[Otros 2024]])</f>
        <v>3484518813</v>
      </c>
      <c r="AO64" s="28"/>
      <c r="AP64" s="28"/>
      <c r="AQ64" s="28"/>
      <c r="AR64" s="28"/>
      <c r="AS64" s="28"/>
      <c r="AT64" s="28"/>
      <c r="AU64" s="28"/>
      <c r="AV64" s="28"/>
      <c r="AW64" s="28"/>
      <c r="AX64" s="39">
        <v>3484518813</v>
      </c>
      <c r="AY64" s="28"/>
      <c r="AZ64" s="28"/>
      <c r="BA64" s="28"/>
      <c r="BB64" s="28"/>
      <c r="BC64" s="87">
        <f>SUM(Tabla1[[#This Row],[Recursos propios 20242]:[Otros 202415]])</f>
        <v>3484518813</v>
      </c>
      <c r="BD64" s="94">
        <f>+Tabla1[[#This Row],[Total Comprometido 2024]]/Tabla1[[#This Row],[Total 2024]]</f>
        <v>1</v>
      </c>
      <c r="BE64" s="39">
        <v>3484518813</v>
      </c>
      <c r="BF64" s="39">
        <v>3484518813</v>
      </c>
      <c r="BG64" s="28"/>
      <c r="BH64" s="30" t="s">
        <v>246</v>
      </c>
      <c r="BI64" s="30" t="s">
        <v>351</v>
      </c>
      <c r="BJ64" s="30" t="s">
        <v>248</v>
      </c>
    </row>
    <row r="65" spans="1:62" s="84" customFormat="1" ht="71.25" customHeight="1">
      <c r="A65" s="17">
        <v>128</v>
      </c>
      <c r="B65" s="30" t="s">
        <v>124</v>
      </c>
      <c r="C65" s="30" t="s">
        <v>86</v>
      </c>
      <c r="D65" s="30" t="s">
        <v>106</v>
      </c>
      <c r="E65" s="30" t="s">
        <v>189</v>
      </c>
      <c r="F65" s="30" t="s">
        <v>190</v>
      </c>
      <c r="G65" s="30"/>
      <c r="H65" s="16"/>
      <c r="I65" s="30"/>
      <c r="J65" s="32"/>
      <c r="K65" s="16"/>
      <c r="L65" s="16"/>
      <c r="M65" s="32"/>
      <c r="N65" s="16"/>
      <c r="O65" s="33"/>
      <c r="P65" s="34"/>
      <c r="Q65" s="35"/>
      <c r="R65" s="36">
        <v>2024680010048</v>
      </c>
      <c r="S65" s="28" t="s">
        <v>293</v>
      </c>
      <c r="T65" s="39">
        <v>6499518189.4700003</v>
      </c>
      <c r="U65" s="39">
        <v>6499518189.4700003</v>
      </c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37">
        <v>6499518189.4700003</v>
      </c>
      <c r="AJ65" s="17"/>
      <c r="AK65" s="17"/>
      <c r="AL65" s="17"/>
      <c r="AM65" s="17"/>
      <c r="AN65" s="18">
        <f>SUM(Tabla1[[#This Row],[Recursos propios 2024]:[Otros 2024]])</f>
        <v>6499518189.4700003</v>
      </c>
      <c r="AO65" s="17"/>
      <c r="AP65" s="17"/>
      <c r="AQ65" s="17"/>
      <c r="AR65" s="17"/>
      <c r="AS65" s="17"/>
      <c r="AT65" s="17"/>
      <c r="AU65" s="17"/>
      <c r="AV65" s="17"/>
      <c r="AW65" s="17"/>
      <c r="AX65" s="37">
        <v>4011528417</v>
      </c>
      <c r="AY65" s="17"/>
      <c r="AZ65" s="17"/>
      <c r="BA65" s="17"/>
      <c r="BB65" s="17"/>
      <c r="BC65" s="18">
        <f>SUM(Tabla1[[#This Row],[Recursos propios 20242]:[Otros 202415]])</f>
        <v>4011528417</v>
      </c>
      <c r="BD65" s="26">
        <f>+Tabla1[[#This Row],[Total Comprometido 2024]]/Tabla1[[#This Row],[Total 2024]]</f>
        <v>0.61720396805707189</v>
      </c>
      <c r="BE65" s="37">
        <v>4011528417</v>
      </c>
      <c r="BF65" s="37">
        <v>4011528417</v>
      </c>
      <c r="BG65" s="17"/>
      <c r="BH65" s="16"/>
      <c r="BI65" s="30" t="s">
        <v>351</v>
      </c>
      <c r="BJ65" s="16"/>
    </row>
    <row r="66" spans="1:62" s="84" customFormat="1" ht="99.75" customHeight="1">
      <c r="A66" s="17">
        <v>129</v>
      </c>
      <c r="B66" s="16" t="s">
        <v>124</v>
      </c>
      <c r="C66" s="30" t="s">
        <v>86</v>
      </c>
      <c r="D66" s="16" t="s">
        <v>106</v>
      </c>
      <c r="E66" s="30" t="s">
        <v>189</v>
      </c>
      <c r="F66" s="16" t="s">
        <v>193</v>
      </c>
      <c r="G66" s="30" t="s">
        <v>194</v>
      </c>
      <c r="H66" s="16">
        <v>400304800</v>
      </c>
      <c r="I66" s="30" t="s">
        <v>195</v>
      </c>
      <c r="J66" s="16">
        <v>24000</v>
      </c>
      <c r="K66" s="16" t="s">
        <v>196</v>
      </c>
      <c r="L66" s="16" t="s">
        <v>348</v>
      </c>
      <c r="M66" s="16">
        <v>18000</v>
      </c>
      <c r="N66" s="16">
        <v>0</v>
      </c>
      <c r="O66" s="17">
        <v>3600</v>
      </c>
      <c r="P66" s="19" t="e">
        <f>+(Tabla1[[#This Row],[Meta Ejecutada Vigencia4]]/Tabla1[[#This Row],[Meta Programada Vigencia]])</f>
        <v>#DIV/0!</v>
      </c>
      <c r="Q66" s="19">
        <f>+Tabla1[[#This Row],[Meta Ejecutada Vigencia4]]/Tabla1[[#This Row],[Meta Programada Cuatrienio3]]/4</f>
        <v>0.05</v>
      </c>
      <c r="R66" s="36">
        <v>2024680010053</v>
      </c>
      <c r="S66" s="28" t="s">
        <v>296</v>
      </c>
      <c r="T66" s="39">
        <v>188055514</v>
      </c>
      <c r="U66" s="37">
        <v>188055514</v>
      </c>
      <c r="V66" s="17" t="s">
        <v>289</v>
      </c>
      <c r="W66" s="17" t="s">
        <v>254</v>
      </c>
      <c r="X66" s="17">
        <v>63000</v>
      </c>
      <c r="Y66" s="28" t="s">
        <v>297</v>
      </c>
      <c r="Z66" s="37">
        <v>188055514</v>
      </c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8">
        <f>SUM(Tabla1[[#This Row],[Recursos propios 2024]:[Otros 2024]])</f>
        <v>188055514</v>
      </c>
      <c r="AO66" s="37">
        <v>188055514</v>
      </c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8">
        <f>SUM(Tabla1[[#This Row],[Recursos propios 20242]:[Otros 202415]])</f>
        <v>188055514</v>
      </c>
      <c r="BD66" s="26">
        <f>+Tabla1[[#This Row],[Total Comprometido 2024]]/Tabla1[[#This Row],[Total 2024]]</f>
        <v>1</v>
      </c>
      <c r="BE66" s="17"/>
      <c r="BF66" s="17"/>
      <c r="BG66" s="17"/>
      <c r="BH66" s="30" t="s">
        <v>246</v>
      </c>
      <c r="BI66" s="30" t="s">
        <v>351</v>
      </c>
      <c r="BJ66" s="30" t="s">
        <v>248</v>
      </c>
    </row>
    <row r="67" spans="1:62" s="84" customFormat="1" ht="28.5" customHeight="1">
      <c r="A67" s="17">
        <v>135</v>
      </c>
      <c r="B67" s="30" t="s">
        <v>197</v>
      </c>
      <c r="C67" s="30" t="s">
        <v>198</v>
      </c>
      <c r="D67" s="30" t="s">
        <v>199</v>
      </c>
      <c r="E67" s="30" t="s">
        <v>200</v>
      </c>
      <c r="F67" s="30" t="s">
        <v>201</v>
      </c>
      <c r="G67" s="30" t="s">
        <v>202</v>
      </c>
      <c r="H67" s="30">
        <v>430201500</v>
      </c>
      <c r="I67" s="30" t="s">
        <v>203</v>
      </c>
      <c r="J67" s="30">
        <v>0</v>
      </c>
      <c r="K67" s="30" t="s">
        <v>78</v>
      </c>
      <c r="L67" s="30" t="s">
        <v>348</v>
      </c>
      <c r="M67" s="30">
        <v>1</v>
      </c>
      <c r="N67" s="30">
        <v>0</v>
      </c>
      <c r="O67" s="28"/>
      <c r="P67" s="86" t="e">
        <f>+(Tabla1[[#This Row],[Meta Ejecutada Vigencia4]]/Tabla1[[#This Row],[Meta Programada Vigencia]])</f>
        <v>#DIV/0!</v>
      </c>
      <c r="Q67" s="86">
        <f>+Tabla1[[#This Row],[Meta Ejecutada Vigencia4]]/Tabla1[[#This Row],[Meta Programada Cuatrienio3]]/4</f>
        <v>0</v>
      </c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87">
        <f>SUM(Tabla1[[#This Row],[Recursos propios 2024]:[Otros 2024]])</f>
        <v>0</v>
      </c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87">
        <f>SUM(Tabla1[[#This Row],[Recursos propios 20242]:[Otros 202415]])</f>
        <v>0</v>
      </c>
      <c r="BD67" s="94" t="e">
        <f>+Tabla1[[#This Row],[Total Comprometido 2024]]/Tabla1[[#This Row],[Total 2024]]</f>
        <v>#DIV/0!</v>
      </c>
      <c r="BE67" s="28"/>
      <c r="BF67" s="28"/>
      <c r="BG67" s="28"/>
      <c r="BH67" s="30" t="s">
        <v>246</v>
      </c>
      <c r="BI67" s="30" t="s">
        <v>351</v>
      </c>
      <c r="BJ67" s="30">
        <v>3</v>
      </c>
    </row>
    <row r="68" spans="1:62" s="84" customFormat="1" ht="71.25" customHeight="1">
      <c r="A68" s="17">
        <v>136</v>
      </c>
      <c r="B68" s="16" t="s">
        <v>197</v>
      </c>
      <c r="C68" s="16" t="s">
        <v>198</v>
      </c>
      <c r="D68" s="16" t="s">
        <v>204</v>
      </c>
      <c r="E68" s="30" t="s">
        <v>205</v>
      </c>
      <c r="F68" s="16" t="s">
        <v>206</v>
      </c>
      <c r="G68" s="30" t="s">
        <v>207</v>
      </c>
      <c r="H68" s="16">
        <v>430101100</v>
      </c>
      <c r="I68" s="30" t="s">
        <v>208</v>
      </c>
      <c r="J68" s="32">
        <v>0</v>
      </c>
      <c r="K68" s="16" t="s">
        <v>78</v>
      </c>
      <c r="L68" s="16" t="s">
        <v>348</v>
      </c>
      <c r="M68" s="32">
        <v>4</v>
      </c>
      <c r="N68" s="16">
        <v>1</v>
      </c>
      <c r="O68" s="17">
        <v>0.5</v>
      </c>
      <c r="P68" s="19">
        <f>+(Tabla1[[#This Row],[Meta Ejecutada Vigencia4]]/Tabla1[[#This Row],[Meta Programada Vigencia]])</f>
        <v>0.5</v>
      </c>
      <c r="Q68" s="19">
        <f>+Tabla1[[#This Row],[Meta Ejecutada Vigencia4]]/Tabla1[[#This Row],[Meta Programada Cuatrienio3]]/4</f>
        <v>3.125E-2</v>
      </c>
      <c r="R68" s="36">
        <v>2022680010048</v>
      </c>
      <c r="S68" s="28" t="s">
        <v>298</v>
      </c>
      <c r="T68" s="37">
        <v>1010705087.84</v>
      </c>
      <c r="U68" s="37">
        <v>1010705087.84</v>
      </c>
      <c r="V68" s="17" t="s">
        <v>299</v>
      </c>
      <c r="W68" s="17" t="s">
        <v>254</v>
      </c>
      <c r="X68" s="17">
        <v>75000</v>
      </c>
      <c r="Y68" s="28" t="s">
        <v>300</v>
      </c>
      <c r="Z68" s="37">
        <f>188644372+58645836</f>
        <v>247290208</v>
      </c>
      <c r="AA68" s="17"/>
      <c r="AB68" s="17"/>
      <c r="AC68" s="17"/>
      <c r="AD68" s="17"/>
      <c r="AE68" s="37">
        <f>624362094.84+139052785</f>
        <v>763414879.84000003</v>
      </c>
      <c r="AF68" s="17"/>
      <c r="AG68" s="17"/>
      <c r="AH68" s="17"/>
      <c r="AI68" s="17"/>
      <c r="AJ68" s="17"/>
      <c r="AK68" s="17"/>
      <c r="AL68" s="17"/>
      <c r="AM68" s="17"/>
      <c r="AN68" s="18">
        <f>SUM(Tabla1[[#This Row],[Recursos propios 2024]:[Otros 2024]])</f>
        <v>1010705087.84</v>
      </c>
      <c r="AO68" s="37">
        <f>188644372+58645836</f>
        <v>247290208</v>
      </c>
      <c r="AP68" s="17"/>
      <c r="AQ68" s="17"/>
      <c r="AR68" s="17"/>
      <c r="AS68" s="17"/>
      <c r="AT68" s="37">
        <f>624362094.84+139047859</f>
        <v>763409953.84000003</v>
      </c>
      <c r="AU68" s="17"/>
      <c r="AV68" s="17"/>
      <c r="AW68" s="17"/>
      <c r="AX68" s="17"/>
      <c r="AY68" s="17"/>
      <c r="AZ68" s="17"/>
      <c r="BA68" s="17"/>
      <c r="BB68" s="17"/>
      <c r="BC68" s="18">
        <f>SUM(Tabla1[[#This Row],[Recursos propios 20242]:[Otros 202415]])</f>
        <v>1010700161.84</v>
      </c>
      <c r="BD68" s="26">
        <f>+Tabla1[[#This Row],[Total Comprometido 2024]]/Tabla1[[#This Row],[Total 2024]]</f>
        <v>0.99999512617472763</v>
      </c>
      <c r="BE68" s="37">
        <f>92176129.36+731225835.51</f>
        <v>823401964.87</v>
      </c>
      <c r="BF68" s="37">
        <f>624362094.84+106863740.67+92176129.36</f>
        <v>823401964.87</v>
      </c>
      <c r="BG68" s="17"/>
      <c r="BH68" s="30" t="s">
        <v>246</v>
      </c>
      <c r="BI68" s="30" t="s">
        <v>351</v>
      </c>
      <c r="BJ68" s="30">
        <v>3</v>
      </c>
    </row>
    <row r="69" spans="1:62" s="84" customFormat="1" ht="42.75" customHeight="1">
      <c r="A69" s="17">
        <v>136</v>
      </c>
      <c r="B69" s="16" t="s">
        <v>197</v>
      </c>
      <c r="C69" s="16" t="s">
        <v>198</v>
      </c>
      <c r="D69" s="16" t="s">
        <v>204</v>
      </c>
      <c r="E69" s="30" t="s">
        <v>205</v>
      </c>
      <c r="F69" s="16" t="s">
        <v>206</v>
      </c>
      <c r="G69" s="30"/>
      <c r="H69" s="16"/>
      <c r="I69" s="30"/>
      <c r="J69" s="32"/>
      <c r="K69" s="16"/>
      <c r="L69" s="16"/>
      <c r="M69" s="32"/>
      <c r="N69" s="16"/>
      <c r="O69" s="33"/>
      <c r="P69" s="34"/>
      <c r="Q69" s="35"/>
      <c r="R69" s="36">
        <v>2023680010045</v>
      </c>
      <c r="S69" s="28" t="s">
        <v>301</v>
      </c>
      <c r="T69" s="37">
        <v>46575392</v>
      </c>
      <c r="U69" s="37">
        <v>46575392</v>
      </c>
      <c r="V69" s="17"/>
      <c r="W69" s="17"/>
      <c r="X69" s="17"/>
      <c r="Y69" s="17"/>
      <c r="Z69" s="37">
        <v>46575392</v>
      </c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8">
        <f>SUM(Tabla1[[#This Row],[Recursos propios 2024]:[Otros 2024]])</f>
        <v>46575392</v>
      </c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8">
        <f>SUM(Tabla1[[#This Row],[Recursos propios 20242]:[Otros 202415]])</f>
        <v>0</v>
      </c>
      <c r="BD69" s="26">
        <f>+Tabla1[[#This Row],[Total Comprometido 2024]]/Tabla1[[#This Row],[Total 2024]]</f>
        <v>0</v>
      </c>
      <c r="BE69" s="17"/>
      <c r="BF69" s="17"/>
      <c r="BG69" s="17"/>
      <c r="BH69" s="16"/>
      <c r="BI69" s="30" t="s">
        <v>351</v>
      </c>
      <c r="BJ69" s="16"/>
    </row>
    <row r="70" spans="1:62" s="84" customFormat="1" ht="99.75" customHeight="1">
      <c r="A70" s="17">
        <v>145</v>
      </c>
      <c r="B70" s="30" t="s">
        <v>197</v>
      </c>
      <c r="C70" s="30" t="s">
        <v>209</v>
      </c>
      <c r="D70" s="30" t="s">
        <v>210</v>
      </c>
      <c r="E70" s="30" t="s">
        <v>211</v>
      </c>
      <c r="F70" s="30" t="s">
        <v>212</v>
      </c>
      <c r="G70" s="30" t="s">
        <v>213</v>
      </c>
      <c r="H70" s="30">
        <v>330207300</v>
      </c>
      <c r="I70" s="30" t="s">
        <v>214</v>
      </c>
      <c r="J70" s="30">
        <v>0</v>
      </c>
      <c r="K70" s="30" t="s">
        <v>78</v>
      </c>
      <c r="L70" s="30" t="s">
        <v>348</v>
      </c>
      <c r="M70" s="30">
        <v>2</v>
      </c>
      <c r="N70" s="30">
        <v>1</v>
      </c>
      <c r="O70" s="28">
        <v>1</v>
      </c>
      <c r="P70" s="86">
        <f>+(Tabla1[[#This Row],[Meta Ejecutada Vigencia4]]/Tabla1[[#This Row],[Meta Programada Vigencia]])</f>
        <v>1</v>
      </c>
      <c r="Q70" s="86">
        <f>+Tabla1[[#This Row],[Meta Ejecutada Vigencia4]]/Tabla1[[#This Row],[Meta Programada Cuatrienio3]]/4</f>
        <v>0.125</v>
      </c>
      <c r="R70" s="36">
        <v>2023680010066</v>
      </c>
      <c r="S70" s="28" t="s">
        <v>302</v>
      </c>
      <c r="T70" s="39">
        <v>724441037</v>
      </c>
      <c r="U70" s="39">
        <v>724441037</v>
      </c>
      <c r="V70" s="28"/>
      <c r="W70" s="28"/>
      <c r="X70" s="28"/>
      <c r="Y70" s="28"/>
      <c r="Z70" s="39">
        <v>724441037</v>
      </c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87">
        <f>SUM(Tabla1[[#This Row],[Recursos propios 2024]:[Otros 2024]])</f>
        <v>724441037</v>
      </c>
      <c r="AO70" s="87">
        <v>492488281.38</v>
      </c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87">
        <f>SUM(Tabla1[[#This Row],[Recursos propios 20242]:[Otros 202415]])</f>
        <v>492488281.38</v>
      </c>
      <c r="BD70" s="94">
        <f>+Tabla1[[#This Row],[Total Comprometido 2024]]/Tabla1[[#This Row],[Total 2024]]</f>
        <v>0.6798183098785443</v>
      </c>
      <c r="BE70" s="28"/>
      <c r="BF70" s="28"/>
      <c r="BG70" s="28"/>
      <c r="BH70" s="30" t="s">
        <v>246</v>
      </c>
      <c r="BI70" s="30" t="s">
        <v>351</v>
      </c>
      <c r="BJ70" s="30">
        <v>11</v>
      </c>
    </row>
    <row r="71" spans="1:62" s="84" customFormat="1" ht="57" customHeight="1">
      <c r="A71" s="17">
        <v>235</v>
      </c>
      <c r="B71" s="16" t="s">
        <v>215</v>
      </c>
      <c r="C71" s="16" t="s">
        <v>216</v>
      </c>
      <c r="D71" s="16" t="s">
        <v>217</v>
      </c>
      <c r="E71" s="30" t="s">
        <v>218</v>
      </c>
      <c r="F71" s="16" t="s">
        <v>219</v>
      </c>
      <c r="G71" s="30" t="s">
        <v>220</v>
      </c>
      <c r="H71" s="16">
        <v>450200700</v>
      </c>
      <c r="I71" s="30" t="s">
        <v>221</v>
      </c>
      <c r="J71" s="16" t="s">
        <v>222</v>
      </c>
      <c r="K71" s="16" t="s">
        <v>78</v>
      </c>
      <c r="L71" s="16" t="s">
        <v>348</v>
      </c>
      <c r="M71" s="16">
        <v>3</v>
      </c>
      <c r="N71" s="16">
        <v>0</v>
      </c>
      <c r="O71" s="17"/>
      <c r="P71" s="19" t="e">
        <f>+(Tabla1[[#This Row],[Meta Ejecutada Vigencia4]]/Tabla1[[#This Row],[Meta Programada Vigencia]])</f>
        <v>#DIV/0!</v>
      </c>
      <c r="Q71" s="19">
        <f>+Tabla1[[#This Row],[Meta Ejecutada Vigencia4]]/Tabla1[[#This Row],[Meta Programada Cuatrienio3]]/4</f>
        <v>0</v>
      </c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8">
        <f>SUM(Tabla1[[#This Row],[Recursos propios 2024]:[Otros 2024]])</f>
        <v>0</v>
      </c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8">
        <f>SUM(Tabla1[[#This Row],[Recursos propios 20242]:[Otros 202415]])</f>
        <v>0</v>
      </c>
      <c r="BD71" s="26" t="e">
        <f>+Tabla1[[#This Row],[Total Comprometido 2024]]/Tabla1[[#This Row],[Total 2024]]</f>
        <v>#DIV/0!</v>
      </c>
      <c r="BE71" s="17"/>
      <c r="BF71" s="17"/>
      <c r="BG71" s="17"/>
      <c r="BH71" s="30" t="s">
        <v>246</v>
      </c>
      <c r="BI71" s="30" t="s">
        <v>351</v>
      </c>
      <c r="BJ71" s="30">
        <v>10.11</v>
      </c>
    </row>
    <row r="72" spans="1:62" s="84" customFormat="1" ht="85.5" customHeight="1">
      <c r="A72" s="17">
        <v>236</v>
      </c>
      <c r="B72" s="30" t="s">
        <v>215</v>
      </c>
      <c r="C72" s="30" t="s">
        <v>216</v>
      </c>
      <c r="D72" s="30" t="s">
        <v>217</v>
      </c>
      <c r="E72" s="30" t="s">
        <v>218</v>
      </c>
      <c r="F72" s="30" t="s">
        <v>223</v>
      </c>
      <c r="G72" s="30" t="s">
        <v>224</v>
      </c>
      <c r="H72" s="30">
        <v>450200300</v>
      </c>
      <c r="I72" s="30" t="s">
        <v>225</v>
      </c>
      <c r="J72" s="85">
        <v>13</v>
      </c>
      <c r="K72" s="30" t="s">
        <v>78</v>
      </c>
      <c r="L72" s="30" t="s">
        <v>348</v>
      </c>
      <c r="M72" s="85">
        <v>10</v>
      </c>
      <c r="N72" s="30">
        <v>3</v>
      </c>
      <c r="O72" s="28">
        <v>0.2</v>
      </c>
      <c r="P72" s="86">
        <f>+(Tabla1[[#This Row],[Meta Ejecutada Vigencia4]]/Tabla1[[#This Row],[Meta Programada Vigencia]])</f>
        <v>6.6666666666666666E-2</v>
      </c>
      <c r="Q72" s="86">
        <f>+Tabla1[[#This Row],[Meta Ejecutada Vigencia4]]/Tabla1[[#This Row],[Meta Programada Cuatrienio3]]/4</f>
        <v>5.0000000000000001E-3</v>
      </c>
      <c r="R72" s="36">
        <v>2024680010073</v>
      </c>
      <c r="S72" s="28" t="s">
        <v>303</v>
      </c>
      <c r="T72" s="39">
        <v>2276181552.5</v>
      </c>
      <c r="U72" s="39">
        <v>2276181552.5</v>
      </c>
      <c r="V72" s="28"/>
      <c r="W72" s="28"/>
      <c r="X72" s="28"/>
      <c r="Y72" s="28"/>
      <c r="Z72" s="39">
        <v>1448548649.0799999</v>
      </c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87">
        <f>SUM(Tabla1[[#This Row],[Recursos propios 2024]:[Otros 2024]])</f>
        <v>1448548649.0799999</v>
      </c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87">
        <f>SUM(Tabla1[[#This Row],[Recursos propios 20242]:[Otros 202415]])</f>
        <v>0</v>
      </c>
      <c r="BD72" s="94">
        <f>+Tabla1[[#This Row],[Total Comprometido 2024]]/Tabla1[[#This Row],[Total 2024]]</f>
        <v>0</v>
      </c>
      <c r="BE72" s="28"/>
      <c r="BF72" s="28"/>
      <c r="BG72" s="28"/>
      <c r="BH72" s="30" t="s">
        <v>246</v>
      </c>
      <c r="BI72" s="30" t="s">
        <v>351</v>
      </c>
      <c r="BJ72" s="30">
        <v>10</v>
      </c>
    </row>
    <row r="73" spans="1:62" s="84" customFormat="1" ht="85.5" customHeight="1">
      <c r="A73" s="17">
        <v>236</v>
      </c>
      <c r="B73" s="30" t="s">
        <v>215</v>
      </c>
      <c r="C73" s="30" t="s">
        <v>216</v>
      </c>
      <c r="D73" s="30" t="s">
        <v>217</v>
      </c>
      <c r="E73" s="30" t="s">
        <v>218</v>
      </c>
      <c r="F73" s="30" t="s">
        <v>223</v>
      </c>
      <c r="G73" s="30"/>
      <c r="H73" s="16"/>
      <c r="I73" s="30"/>
      <c r="J73" s="32"/>
      <c r="K73" s="16"/>
      <c r="L73" s="16"/>
      <c r="M73" s="32"/>
      <c r="N73" s="16"/>
      <c r="O73" s="33"/>
      <c r="P73" s="34"/>
      <c r="Q73" s="35"/>
      <c r="R73" s="36">
        <v>2023680010038</v>
      </c>
      <c r="S73" s="28" t="s">
        <v>304</v>
      </c>
      <c r="T73" s="39">
        <v>1750450735.1099999</v>
      </c>
      <c r="U73" s="39">
        <v>83143049.920000002</v>
      </c>
      <c r="V73" s="28" t="s">
        <v>305</v>
      </c>
      <c r="W73" s="28" t="s">
        <v>254</v>
      </c>
      <c r="X73" s="28">
        <v>23000</v>
      </c>
      <c r="Y73" s="28" t="s">
        <v>306</v>
      </c>
      <c r="Z73" s="37">
        <v>827632903.32000005</v>
      </c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8">
        <f>SUM(Tabla1[[#This Row],[Recursos propios 2024]:[Otros 2024]])</f>
        <v>827632903.32000005</v>
      </c>
      <c r="AO73" s="37">
        <v>83143049.920000002</v>
      </c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8">
        <f>SUM(Tabla1[[#This Row],[Recursos propios 20242]:[Otros 202415]])</f>
        <v>83143049.920000002</v>
      </c>
      <c r="BD73" s="26">
        <f>+Tabla1[[#This Row],[Total Comprometido 2024]]/Tabla1[[#This Row],[Total 2024]]</f>
        <v>0.1004588502782775</v>
      </c>
      <c r="BE73" s="18">
        <v>25805541.370000001</v>
      </c>
      <c r="BF73" s="18">
        <v>25805541.370000001</v>
      </c>
      <c r="BG73" s="17"/>
      <c r="BH73" s="16"/>
      <c r="BI73" s="30" t="s">
        <v>351</v>
      </c>
      <c r="BJ73" s="16"/>
    </row>
    <row r="74" spans="1:62" s="84" customFormat="1" ht="99.75" customHeight="1">
      <c r="A74" s="17">
        <v>251</v>
      </c>
      <c r="B74" s="16" t="s">
        <v>215</v>
      </c>
      <c r="C74" s="16" t="s">
        <v>216</v>
      </c>
      <c r="D74" s="16" t="s">
        <v>226</v>
      </c>
      <c r="E74" s="30" t="s">
        <v>227</v>
      </c>
      <c r="F74" s="16" t="s">
        <v>228</v>
      </c>
      <c r="G74" s="30" t="s">
        <v>229</v>
      </c>
      <c r="H74" s="16">
        <v>459903100</v>
      </c>
      <c r="I74" s="30" t="s">
        <v>230</v>
      </c>
      <c r="J74" s="16">
        <v>9</v>
      </c>
      <c r="K74" s="16" t="s">
        <v>78</v>
      </c>
      <c r="L74" s="16" t="s">
        <v>347</v>
      </c>
      <c r="M74" s="16">
        <v>9</v>
      </c>
      <c r="N74" s="16">
        <v>9</v>
      </c>
      <c r="O74" s="17">
        <v>9</v>
      </c>
      <c r="P74" s="19">
        <f>+(Tabla1[[#This Row],[Meta Ejecutada Vigencia4]]/Tabla1[[#This Row],[Meta Programada Vigencia]])</f>
        <v>1</v>
      </c>
      <c r="Q74" s="19">
        <f>+Tabla1[[#This Row],[Meta Ejecutada Vigencia4]]/Tabla1[[#This Row],[Meta Programada Cuatrienio3]]/4</f>
        <v>0.25</v>
      </c>
      <c r="R74" s="36">
        <v>2022680010027</v>
      </c>
      <c r="S74" s="28" t="s">
        <v>307</v>
      </c>
      <c r="T74" s="39">
        <v>2010786666.6400001</v>
      </c>
      <c r="U74" s="39">
        <v>2010786666.6400001</v>
      </c>
      <c r="V74" s="28" t="s">
        <v>294</v>
      </c>
      <c r="W74" s="28" t="s">
        <v>254</v>
      </c>
      <c r="X74" s="28">
        <v>605047</v>
      </c>
      <c r="Y74" s="28" t="s">
        <v>308</v>
      </c>
      <c r="Z74" s="37">
        <v>2010786666.74</v>
      </c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8">
        <f>SUM(Tabla1[[#This Row],[Recursos propios 2024]:[Otros 2024]])</f>
        <v>2010786666.74</v>
      </c>
      <c r="AO74" s="37">
        <v>1997169999.97</v>
      </c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8">
        <f>SUM(Tabla1[[#This Row],[Recursos propios 20242]:[Otros 202415]])</f>
        <v>1997169999.97</v>
      </c>
      <c r="BD74" s="26">
        <f>+Tabla1[[#This Row],[Total Comprometido 2024]]/Tabla1[[#This Row],[Total 2024]]</f>
        <v>0.99322818924790457</v>
      </c>
      <c r="BE74" s="37">
        <v>1997169999.97</v>
      </c>
      <c r="BF74" s="37">
        <v>1995336666.6400001</v>
      </c>
      <c r="BG74" s="17"/>
      <c r="BH74" s="30" t="s">
        <v>246</v>
      </c>
      <c r="BI74" s="30" t="s">
        <v>351</v>
      </c>
      <c r="BJ74" s="30">
        <v>16</v>
      </c>
    </row>
    <row r="75" spans="1:62" s="84" customFormat="1" ht="71.25" customHeight="1">
      <c r="A75" s="17">
        <v>251</v>
      </c>
      <c r="B75" s="16" t="s">
        <v>215</v>
      </c>
      <c r="C75" s="16" t="s">
        <v>216</v>
      </c>
      <c r="D75" s="16" t="s">
        <v>226</v>
      </c>
      <c r="E75" s="30" t="s">
        <v>227</v>
      </c>
      <c r="F75" s="16" t="s">
        <v>228</v>
      </c>
      <c r="G75" s="30"/>
      <c r="H75" s="16"/>
      <c r="I75" s="30" t="s">
        <v>230</v>
      </c>
      <c r="J75" s="16"/>
      <c r="K75" s="16"/>
      <c r="L75" s="16"/>
      <c r="M75" s="16"/>
      <c r="N75" s="16"/>
      <c r="O75" s="33"/>
      <c r="P75" s="34"/>
      <c r="Q75" s="35"/>
      <c r="R75" s="38">
        <v>2024680010049</v>
      </c>
      <c r="S75" s="28" t="s">
        <v>309</v>
      </c>
      <c r="T75" s="39">
        <v>3934542857.3600001</v>
      </c>
      <c r="U75" s="39">
        <v>3934542857.3600001</v>
      </c>
      <c r="V75" s="28" t="s">
        <v>294</v>
      </c>
      <c r="W75" s="28" t="s">
        <v>254</v>
      </c>
      <c r="X75" s="28">
        <v>605047</v>
      </c>
      <c r="Y75" s="28" t="s">
        <v>308</v>
      </c>
      <c r="Z75" s="37">
        <v>3934542857.3600001</v>
      </c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8">
        <f>SUM(Tabla1[[#This Row],[Recursos propios 2024]:[Otros 2024]])</f>
        <v>3934542857.3600001</v>
      </c>
      <c r="AO75" s="37">
        <v>3453423334.3899999</v>
      </c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8">
        <f>SUM(Tabla1[[#This Row],[Recursos propios 20242]:[Otros 202415]])</f>
        <v>3453423334.3899999</v>
      </c>
      <c r="BD75" s="26">
        <f>+Tabla1[[#This Row],[Total Comprometido 2024]]/Tabla1[[#This Row],[Total 2024]]</f>
        <v>0.87771907934106941</v>
      </c>
      <c r="BE75" s="37">
        <v>3448256667.7199998</v>
      </c>
      <c r="BF75" s="37">
        <v>3350163334.71</v>
      </c>
      <c r="BG75" s="17"/>
      <c r="BH75" s="16"/>
      <c r="BI75" s="30" t="s">
        <v>351</v>
      </c>
      <c r="BJ75" s="16"/>
    </row>
    <row r="76" spans="1:62" s="84" customFormat="1" ht="114" customHeight="1">
      <c r="A76" s="17">
        <v>252</v>
      </c>
      <c r="B76" s="30" t="s">
        <v>215</v>
      </c>
      <c r="C76" s="30" t="s">
        <v>216</v>
      </c>
      <c r="D76" s="30" t="s">
        <v>226</v>
      </c>
      <c r="E76" s="30" t="s">
        <v>227</v>
      </c>
      <c r="F76" s="30" t="s">
        <v>231</v>
      </c>
      <c r="G76" s="30" t="s">
        <v>232</v>
      </c>
      <c r="H76" s="30">
        <v>459901100</v>
      </c>
      <c r="I76" s="30" t="s">
        <v>233</v>
      </c>
      <c r="J76" s="85">
        <v>0</v>
      </c>
      <c r="K76" s="30" t="s">
        <v>78</v>
      </c>
      <c r="L76" s="30" t="s">
        <v>348</v>
      </c>
      <c r="M76" s="85">
        <v>5</v>
      </c>
      <c r="N76" s="30">
        <v>0</v>
      </c>
      <c r="O76" s="28">
        <v>0.5</v>
      </c>
      <c r="P76" s="86" t="e">
        <f>+(Tabla1[[#This Row],[Meta Ejecutada Vigencia4]]/Tabla1[[#This Row],[Meta Programada Vigencia]])</f>
        <v>#DIV/0!</v>
      </c>
      <c r="Q76" s="86">
        <f>+Tabla1[[#This Row],[Meta Ejecutada Vigencia4]]/Tabla1[[#This Row],[Meta Programada Cuatrienio3]]/4</f>
        <v>2.5000000000000001E-2</v>
      </c>
      <c r="R76" s="38">
        <v>2022680010047</v>
      </c>
      <c r="S76" s="28" t="s">
        <v>310</v>
      </c>
      <c r="T76" s="39">
        <v>872151425.74000001</v>
      </c>
      <c r="U76" s="39">
        <v>872151425.74000001</v>
      </c>
      <c r="V76" s="28" t="s">
        <v>311</v>
      </c>
      <c r="W76" s="28" t="s">
        <v>254</v>
      </c>
      <c r="X76" s="28" t="s">
        <v>312</v>
      </c>
      <c r="Y76" s="28" t="s">
        <v>313</v>
      </c>
      <c r="Z76" s="39">
        <f>837720949.74+34430476</f>
        <v>872151425.74000001</v>
      </c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87">
        <f>SUM(Tabla1[[#This Row],[Recursos propios 2024]:[Otros 2024]])</f>
        <v>872151425.74000001</v>
      </c>
      <c r="AO76" s="39">
        <v>860665196.74000001</v>
      </c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87">
        <f>SUM(Tabla1[[#This Row],[Recursos propios 20242]:[Otros 202415]])</f>
        <v>860665196.74000001</v>
      </c>
      <c r="BD76" s="94">
        <f>+Tabla1[[#This Row],[Total Comprometido 2024]]/Tabla1[[#This Row],[Total 2024]]</f>
        <v>0.98683000605054993</v>
      </c>
      <c r="BE76" s="28"/>
      <c r="BF76" s="28"/>
      <c r="BG76" s="28"/>
      <c r="BH76" s="30" t="s">
        <v>246</v>
      </c>
      <c r="BI76" s="30" t="s">
        <v>351</v>
      </c>
      <c r="BJ76" s="30">
        <v>16</v>
      </c>
    </row>
    <row r="77" spans="1:62" s="84" customFormat="1" ht="128.25" customHeight="1">
      <c r="A77" s="17">
        <v>253</v>
      </c>
      <c r="B77" s="16" t="s">
        <v>215</v>
      </c>
      <c r="C77" s="16" t="s">
        <v>216</v>
      </c>
      <c r="D77" s="16" t="s">
        <v>226</v>
      </c>
      <c r="E77" s="30" t="s">
        <v>227</v>
      </c>
      <c r="F77" s="16" t="s">
        <v>234</v>
      </c>
      <c r="G77" s="30" t="s">
        <v>235</v>
      </c>
      <c r="H77" s="16">
        <v>459900600</v>
      </c>
      <c r="I77" s="30" t="s">
        <v>236</v>
      </c>
      <c r="J77" s="16">
        <v>0</v>
      </c>
      <c r="K77" s="16" t="s">
        <v>78</v>
      </c>
      <c r="L77" s="16" t="s">
        <v>348</v>
      </c>
      <c r="M77" s="16">
        <v>4</v>
      </c>
      <c r="N77" s="16">
        <v>1</v>
      </c>
      <c r="O77" s="17">
        <v>0.5</v>
      </c>
      <c r="P77" s="19">
        <f>+(Tabla1[[#This Row],[Meta Ejecutada Vigencia4]]/Tabla1[[#This Row],[Meta Programada Vigencia]])</f>
        <v>0.5</v>
      </c>
      <c r="Q77" s="19">
        <f>+Tabla1[[#This Row],[Meta Ejecutada Vigencia4]]/Tabla1[[#This Row],[Meta Programada Cuatrienio3]]/4</f>
        <v>3.125E-2</v>
      </c>
      <c r="R77" s="38">
        <v>2023680010012</v>
      </c>
      <c r="S77" s="28" t="s">
        <v>314</v>
      </c>
      <c r="T77" s="39">
        <v>35000000</v>
      </c>
      <c r="U77" s="39">
        <v>35000000</v>
      </c>
      <c r="V77" s="28" t="s">
        <v>315</v>
      </c>
      <c r="W77" s="28" t="s">
        <v>254</v>
      </c>
      <c r="X77" s="28">
        <v>20000</v>
      </c>
      <c r="Y77" s="28" t="s">
        <v>316</v>
      </c>
      <c r="Z77" s="37">
        <f>35000000+725000000</f>
        <v>760000000</v>
      </c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8">
        <f>SUM(Tabla1[[#This Row],[Recursos propios 2024]:[Otros 2024]])</f>
        <v>760000000</v>
      </c>
      <c r="AO77" s="37">
        <v>35000000</v>
      </c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8">
        <f>SUM(Tabla1[[#This Row],[Recursos propios 20242]:[Otros 202415]])</f>
        <v>35000000</v>
      </c>
      <c r="BD77" s="26">
        <f>+Tabla1[[#This Row],[Total Comprometido 2024]]/Tabla1[[#This Row],[Total 2024]]</f>
        <v>4.6052631578947366E-2</v>
      </c>
      <c r="BE77" s="17"/>
      <c r="BF77" s="17"/>
      <c r="BG77" s="17"/>
      <c r="BH77" s="30" t="s">
        <v>246</v>
      </c>
      <c r="BI77" s="30" t="s">
        <v>351</v>
      </c>
      <c r="BJ77" s="30">
        <v>16</v>
      </c>
    </row>
    <row r="78" spans="1:62" s="77" customFormat="1" ht="99.75" customHeight="1">
      <c r="A78" s="71">
        <v>303</v>
      </c>
      <c r="B78" s="73" t="s">
        <v>71</v>
      </c>
      <c r="C78" s="73" t="s">
        <v>72</v>
      </c>
      <c r="D78" s="73" t="s">
        <v>73</v>
      </c>
      <c r="E78" s="73" t="s">
        <v>74</v>
      </c>
      <c r="F78" s="73" t="s">
        <v>237</v>
      </c>
      <c r="G78" s="73" t="s">
        <v>238</v>
      </c>
      <c r="H78" s="73">
        <v>210201000</v>
      </c>
      <c r="I78" s="73" t="s">
        <v>239</v>
      </c>
      <c r="J78" s="73">
        <v>4100</v>
      </c>
      <c r="K78" s="73" t="s">
        <v>240</v>
      </c>
      <c r="L78" s="73" t="s">
        <v>348</v>
      </c>
      <c r="M78" s="73">
        <v>4100</v>
      </c>
      <c r="N78" s="73">
        <v>1000</v>
      </c>
      <c r="O78" s="55">
        <v>1000</v>
      </c>
      <c r="P78" s="91">
        <f>+(Tabla1[[#This Row],[Meta Ejecutada Vigencia4]]/Tabla1[[#This Row],[Meta Programada Vigencia]])</f>
        <v>1</v>
      </c>
      <c r="Q78" s="91">
        <f>+Tabla1[[#This Row],[Meta Ejecutada Vigencia4]]/Tabla1[[#This Row],[Meta Programada Cuatrienio3]]/4</f>
        <v>6.097560975609756E-2</v>
      </c>
      <c r="R78" s="55" t="s">
        <v>342</v>
      </c>
      <c r="S78" s="55" t="s">
        <v>343</v>
      </c>
      <c r="T78" s="92">
        <v>5680804123.1800003</v>
      </c>
      <c r="U78" s="92">
        <v>5680804123.1800003</v>
      </c>
      <c r="V78" s="55"/>
      <c r="W78" s="55"/>
      <c r="X78" s="55"/>
      <c r="Y78" s="55"/>
      <c r="Z78" s="92">
        <v>5450000000</v>
      </c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6">
        <f>SUM(Tabla1[[#This Row],[Recursos propios 2024]:[Otros 2024]])</f>
        <v>5450000000</v>
      </c>
      <c r="AO78" s="92">
        <v>5449988457.3699999</v>
      </c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6">
        <f>SUM(Tabla1[[#This Row],[Recursos propios 20242]:[Otros 202415]])</f>
        <v>5449988457.3699999</v>
      </c>
      <c r="BD78" s="93">
        <f>+Tabla1[[#This Row],[Total Comprometido 2024]]/Tabla1[[#This Row],[Total 2024]]</f>
        <v>0.99999788208623852</v>
      </c>
      <c r="BE78" s="92">
        <v>5449988457.3699999</v>
      </c>
      <c r="BF78" s="92">
        <v>5449988457.3699999</v>
      </c>
      <c r="BG78" s="55"/>
      <c r="BH78" s="73" t="s">
        <v>245</v>
      </c>
      <c r="BI78" s="30" t="s">
        <v>351</v>
      </c>
      <c r="BJ78" s="73">
        <v>16</v>
      </c>
    </row>
    <row r="79" spans="1:62" s="97" customFormat="1" ht="71.25" customHeight="1">
      <c r="A79" s="17">
        <v>245</v>
      </c>
      <c r="B79" s="16" t="s">
        <v>215</v>
      </c>
      <c r="C79" s="16" t="s">
        <v>216</v>
      </c>
      <c r="D79" s="16" t="s">
        <v>226</v>
      </c>
      <c r="E79" s="30" t="s">
        <v>227</v>
      </c>
      <c r="F79" s="16" t="s">
        <v>241</v>
      </c>
      <c r="G79" s="30" t="s">
        <v>242</v>
      </c>
      <c r="H79" s="16">
        <v>459900200</v>
      </c>
      <c r="I79" s="30" t="s">
        <v>243</v>
      </c>
      <c r="J79" s="16">
        <v>1</v>
      </c>
      <c r="K79" s="16" t="s">
        <v>244</v>
      </c>
      <c r="L79" s="16" t="s">
        <v>347</v>
      </c>
      <c r="M79" s="16">
        <v>1</v>
      </c>
      <c r="N79" s="16">
        <v>1</v>
      </c>
      <c r="O79" s="17">
        <v>0.61</v>
      </c>
      <c r="P79" s="19">
        <f>+(Tabla1[[#This Row],[Meta Ejecutada Vigencia4]]/Tabla1[[#This Row],[Meta Programada Vigencia]])</f>
        <v>0.61</v>
      </c>
      <c r="Q79" s="19">
        <f>+Tabla1[[#This Row],[Meta Ejecutada Vigencia4]]/Tabla1[[#This Row],[Meta Programada Cuatrienio3]]/4</f>
        <v>0.1525</v>
      </c>
      <c r="R79" s="27">
        <v>2024680010071</v>
      </c>
      <c r="S79" s="28" t="s">
        <v>317</v>
      </c>
      <c r="T79" s="39">
        <v>31125392112.549999</v>
      </c>
      <c r="U79" s="39">
        <v>27126519118.240002</v>
      </c>
      <c r="V79" s="28" t="s">
        <v>294</v>
      </c>
      <c r="W79" s="28" t="s">
        <v>254</v>
      </c>
      <c r="X79" s="28">
        <v>650047</v>
      </c>
      <c r="Y79" s="28" t="s">
        <v>318</v>
      </c>
      <c r="Z79" s="37">
        <f>35695765940.89+48244044</f>
        <v>35744009984.889999</v>
      </c>
      <c r="AA79" s="17"/>
      <c r="AB79" s="17"/>
      <c r="AC79" s="17"/>
      <c r="AD79" s="17"/>
      <c r="AE79" s="37">
        <v>601177657.51999998</v>
      </c>
      <c r="AF79" s="17"/>
      <c r="AG79" s="17"/>
      <c r="AH79" s="17"/>
      <c r="AI79" s="17"/>
      <c r="AJ79" s="17"/>
      <c r="AK79" s="17"/>
      <c r="AL79" s="17"/>
      <c r="AM79" s="17"/>
      <c r="AN79" s="18">
        <f>SUM(Tabla1[[#This Row],[Recursos propios 2024]:[Otros 2024]])</f>
        <v>36345187642.409996</v>
      </c>
      <c r="AO79" s="37">
        <f>20716514188.39+1589407007.59</f>
        <v>22305921195.98</v>
      </c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8">
        <f>SUM(Tabla1[[#This Row],[Recursos propios 20242]:[Otros 202415]])</f>
        <v>22305921195.98</v>
      </c>
      <c r="BD79" s="26">
        <f>+Tabla1[[#This Row],[Total Comprometido 2024]]/Tabla1[[#This Row],[Total 2024]]</f>
        <v>0.61372419962283975</v>
      </c>
      <c r="BE79" s="37">
        <f>20716514188.39+1589407007.59</f>
        <v>22305921195.98</v>
      </c>
      <c r="BF79" s="37">
        <f>20326514188.39+1589407007.59</f>
        <v>21915921195.98</v>
      </c>
      <c r="BG79" s="17"/>
      <c r="BH79" s="30" t="s">
        <v>246</v>
      </c>
      <c r="BI79" s="30" t="s">
        <v>351</v>
      </c>
      <c r="BJ79" s="30">
        <v>16</v>
      </c>
    </row>
    <row r="80" spans="1:62" s="104" customFormat="1">
      <c r="A80" s="98"/>
      <c r="B80" s="98"/>
      <c r="C80" s="98"/>
      <c r="D80" s="98"/>
      <c r="E80" s="99"/>
      <c r="F80" s="98"/>
      <c r="G80" s="99"/>
      <c r="H80" s="98"/>
      <c r="I80" s="99"/>
      <c r="J80" s="98"/>
      <c r="K80" s="98"/>
      <c r="L80" s="98"/>
      <c r="M80" s="98"/>
      <c r="N80" s="98"/>
      <c r="O80" s="100"/>
      <c r="P80" s="100"/>
      <c r="Q80" s="101"/>
      <c r="R80" s="102"/>
      <c r="S80" s="102"/>
      <c r="T80" s="102"/>
      <c r="U80" s="102"/>
      <c r="V80" s="102"/>
      <c r="W80" s="102"/>
      <c r="X80" s="102"/>
      <c r="Y80" s="102"/>
      <c r="Z80" s="103">
        <f>SUBTOTAL(109,Tabla1[Recursos propios 2024])</f>
        <v>237174536379.07996</v>
      </c>
      <c r="AA80" s="103">
        <f>SUBTOTAL(109,Tabla1[SGP Educación 2024])</f>
        <v>0</v>
      </c>
      <c r="AB80" s="103">
        <f>SUBTOTAL(109,Tabla1[SGP Salud 2024])</f>
        <v>0</v>
      </c>
      <c r="AC80" s="103">
        <f>SUBTOTAL(109,Tabla1[SGP Deporte 2024])</f>
        <v>0</v>
      </c>
      <c r="AD80" s="103">
        <f>SUBTOTAL(109,Tabla1[SGP Cultura 2024])</f>
        <v>0</v>
      </c>
      <c r="AE80" s="103">
        <f>SUBTOTAL(109,Tabla1[SGP Libre inversión 2024])</f>
        <v>13210398280.52</v>
      </c>
      <c r="AF80" s="103">
        <f>SUBTOTAL(109,Tabla1[SGP Libre destinación 2024])</f>
        <v>0</v>
      </c>
      <c r="AG80" s="103">
        <f>SUBTOTAL(109,Tabla1[SGP Alimentación escolar 2024])</f>
        <v>0</v>
      </c>
      <c r="AH80" s="103">
        <f>SUBTOTAL(109,Tabla1[SGP Municipios río Magdalena 2024])</f>
        <v>0</v>
      </c>
      <c r="AI80" s="103">
        <f>SUBTOTAL(109,Tabla1[SGP APSB 2024])</f>
        <v>13247369929.369999</v>
      </c>
      <c r="AJ80" s="103">
        <f>SUBTOTAL(109,Tabla1[Crédito 2024])</f>
        <v>66428464.700000003</v>
      </c>
      <c r="AK80" s="103">
        <f>SUBTOTAL(109,Tabla1[Transferencias de capital - cofinanciación departamento 2024])</f>
        <v>0</v>
      </c>
      <c r="AL80" s="103">
        <f>SUBTOTAL(109,Tabla1[Transferencias de capital - cofinanciación nación 2024])</f>
        <v>0</v>
      </c>
      <c r="AM80" s="103">
        <f>SUBTOTAL(109,Tabla1[Otros 2024])</f>
        <v>40006875</v>
      </c>
      <c r="AN80" s="103">
        <f>SUBTOTAL(109,Tabla1[Total 2024])</f>
        <v>263738739928.66992</v>
      </c>
      <c r="AO80" s="103">
        <f>SUBTOTAL(109,Tabla1[Recursos propios 20242])</f>
        <v>105508115318</v>
      </c>
      <c r="AP80" s="103">
        <f>SUBTOTAL(109,Tabla1[SGP Educación 20243])</f>
        <v>0</v>
      </c>
      <c r="AQ80" s="103">
        <f>SUBTOTAL(109,Tabla1[SGP Salud 20244])</f>
        <v>0</v>
      </c>
      <c r="AR80" s="103">
        <f>SUBTOTAL(109,Tabla1[SGP Deporte 20245])</f>
        <v>0</v>
      </c>
      <c r="AS80" s="103">
        <f>SUBTOTAL(109,Tabla1[SGP Cultura 20246])</f>
        <v>0</v>
      </c>
      <c r="AT80" s="103">
        <f>SUBTOTAL(109,Tabla1[SGP Libre inversión 20247])</f>
        <v>8101589213</v>
      </c>
      <c r="AU80" s="103">
        <f>SUBTOTAL(109,Tabla1[SGP Libre destinación 20248])</f>
        <v>0</v>
      </c>
      <c r="AV80" s="103">
        <f>SUBTOTAL(109,Tabla1[SGP Alimentación escolar 20249])</f>
        <v>0</v>
      </c>
      <c r="AW80" s="103">
        <f>SUBTOTAL(109,Tabla1[SGP Municipios río Magdalena 202410])</f>
        <v>0</v>
      </c>
      <c r="AX80" s="103">
        <f>SUBTOTAL(109,Tabla1[SGP APSB 202411])</f>
        <v>7496047230</v>
      </c>
      <c r="AY80" s="103">
        <f>SUBTOTAL(109,Tabla1[Crédito 202412])</f>
        <v>66428464.700000003</v>
      </c>
      <c r="AZ80" s="103">
        <f>SUBTOTAL(109,Tabla1[Transferencias de capital - cofinanciación departamento 202413])</f>
        <v>0</v>
      </c>
      <c r="BA80" s="103">
        <f>SUBTOTAL(109,Tabla1[Transferencias de capital - cofinanciación nación 202414])</f>
        <v>0</v>
      </c>
      <c r="BB80" s="103">
        <f>SUBTOTAL(109,Tabla1[Otros 202415])</f>
        <v>0</v>
      </c>
      <c r="BC80" s="103">
        <f>SUBTOTAL(109,Tabla1[Total Comprometido 2024])</f>
        <v>121172180225.7</v>
      </c>
      <c r="BD80" s="103"/>
      <c r="BE80" s="103">
        <f>SUBTOTAL(109,Tabla1[Total Recursos Obligados])</f>
        <v>82270083377.090012</v>
      </c>
      <c r="BF80" s="103">
        <f>SUBTOTAL(109,Tabla1[Total Recursos Pagados])</f>
        <v>81560463694.470001</v>
      </c>
      <c r="BG80" s="103">
        <f>SUBTOTAL(109,Tabla1[Recursos Gestionados])</f>
        <v>0</v>
      </c>
      <c r="BH80" s="98"/>
      <c r="BI80" s="98"/>
      <c r="BJ80" s="98"/>
    </row>
    <row r="82" spans="40:58">
      <c r="AN82" s="40"/>
      <c r="BC82" s="40"/>
      <c r="BE82" s="40"/>
      <c r="BF82" s="40"/>
    </row>
    <row r="83" spans="40:58">
      <c r="AN83" s="40"/>
      <c r="BC83" s="40"/>
      <c r="BE83" s="40"/>
      <c r="BF83" s="40"/>
    </row>
    <row r="84" spans="40:58">
      <c r="BC84" s="41"/>
      <c r="BE84" s="41"/>
      <c r="BF84" s="41"/>
    </row>
    <row r="85" spans="40:58">
      <c r="AN85" s="41"/>
      <c r="AO85" s="54"/>
      <c r="BC85" s="41"/>
      <c r="BE85" s="41"/>
      <c r="BF85" s="41"/>
    </row>
    <row r="89" spans="40:58">
      <c r="BF89" s="41"/>
    </row>
  </sheetData>
  <sheetProtection algorithmName="SHA-512" hashValue="IaxlFz7GRKb5Ywp6/d/wz0EJArhG64KTA6UemGsDLv5B++9EmelDiU9Od4FW/1jN86j7QmTuGY+DFC5f075pSg==" saltValue="EA06GK9iaAcArFDElNp+yQ==" spinCount="100000" sheet="1"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ignoredErrors>
    <ignoredError sqref="R31:R32 D19:E20 R57:R78 R34:R37 D12:E18 F76:F79 F74 F66:F68 F53 F70 F71:F72 F57:F64 F19:F20 F34:F51 F11:F18 F52 F21:F33 F65 F73 F54:F56 F69 F75 D76:E79 D74:E74 D66:E68 D53:E53 D70 D71:E72 D57:E64 D34:E51 D21:E33 D52:E52 D65:E65 D73:E73 E70 D54:E56 D69:E69 D75:E75 R38:R53 R79 R11:R29 R30 D11" numberStoredAsText="1"/>
    <ignoredError sqref="O31:O53 O58:O59 O11:O20 O22:O29 O55:O56 O60:O79 BC11:BD11 P11:Q11" calculatedColumn="1"/>
    <ignoredError sqref="P31:Q33 Q34:Q53 P69:Q70 Q57:Q68 P78:Q79 Q71:Q77 P12:Q18 P21:Q29 Q19 Q20" numberStoredAsText="1" calculatedColumn="1"/>
    <ignoredError sqref="P34:P40 P41:P45 P46:P53 P57:P62 P63:P68 P71:P77 P19:P20" evalError="1" numberStoredAsText="1" calculatedColumn="1"/>
    <ignoredError sqref="O54 O21" unlockedFormula="1" calculatedColumn="1"/>
    <ignoredError sqref="Z79 AM34:AO34 AN12:AN19 AN21:AO25 AM31:AM32 AO32 AN30:AN32 AN26:AN27 BC57:BC59 BC60:BC63 BE60:BF63 BC65:BD65 BE67:BF67 BC67 BC69:BF70 BC66:BF66 BC72:BF72 BC78:BD78 BC32:BF32 BC52:BF53 BC39:BC44 BE39:BF43 BC45:BC50 BE45:BF50 BC71 BE71:BF71 Z76:Z77 AM69:AO69 AM59:AO67 AM33:AN33 BC34:BF35 BC33:BD33 BC22:BF22 AN28:AN29 AO28:AO29 AM28:AM29 T29:U29 Z28:Z29 BC30:BD30 AM36:AO50 AM77:AO77 AM75:AN75 BC76:BF77 BC75:BD75 AM79:AO79 BC79:BF79 BC64:BD64 AN20 BC12:BD20 AM57:AN57 AM58:AN58 BC21:BD21 BC24:BF27 BC54:BD56 BE57:BF57 BE55:BF55 BC74:BD74 AM74:AN74 AO57 AN54:AN56 AM52:AO53 AM51:AN51 AM76:AN76 T28:U28 BC29:BF29 BC28:BD28 BF28 BC31:BD31 BC23:BD23 AM35:AN35 BC37:BF38 BC36:BD36 BC51:BD51 BE56:BF56 AM68:AO68 BC68:BE68 AT68 AM71:AO73 AM70:AN70 BC73:BD73 AE68 Z16 AM78:AN78 Z68 BF68" unlockedFormula="1"/>
    <ignoredError sqref="BD39:BD44 BD45:BD50 BD57:BD59 BD60:BD63 BD67 BD71" evalError="1" unlockedFormula="1"/>
  </ignoredError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2025-01-31T21:35:28Z</dcterms:modified>
</cp:coreProperties>
</file>