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Andres F Ariza C\Desktop\"/>
    </mc:Choice>
  </mc:AlternateContent>
  <xr:revisionPtr revIDLastSave="0" documentId="13_ncr:1_{B7FD0A90-185B-4BEB-9B3C-1F7A29E5D9F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lan de Accion" sheetId="1" r:id="rId1"/>
  </sheets>
  <definedNames>
    <definedName name="_xlnm._FilterDatabase" localSheetId="0" hidden="1">'Plan de Accion'!$A$10:$BJ$10</definedName>
    <definedName name="PA">'Plan de Accion'!$A$9:$BJ$78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O78" i="1" l="1"/>
  <c r="BF67" i="1" l="1"/>
  <c r="BE67" i="1"/>
  <c r="BF78" i="1"/>
  <c r="BE78" i="1"/>
  <c r="BF21" i="1"/>
  <c r="BF23" i="1"/>
  <c r="BE23" i="1"/>
  <c r="BE21" i="1"/>
  <c r="BF55" i="1"/>
  <c r="BE55" i="1"/>
  <c r="BF43" i="1" l="1"/>
  <c r="BE43" i="1"/>
  <c r="AO35" i="1" l="1"/>
  <c r="AA79" i="1" l="1"/>
  <c r="AB79" i="1"/>
  <c r="AC79" i="1"/>
  <c r="AD79" i="1"/>
  <c r="AF79" i="1"/>
  <c r="AG79" i="1"/>
  <c r="AH79" i="1"/>
  <c r="AI79" i="1"/>
  <c r="AJ79" i="1"/>
  <c r="AK79" i="1"/>
  <c r="AL79" i="1"/>
  <c r="AM79" i="1"/>
  <c r="AP79" i="1"/>
  <c r="AQ79" i="1"/>
  <c r="AR79" i="1"/>
  <c r="AS79" i="1"/>
  <c r="AT79" i="1"/>
  <c r="AU79" i="1"/>
  <c r="AV79" i="1"/>
  <c r="AW79" i="1"/>
  <c r="AX79" i="1"/>
  <c r="AY79" i="1"/>
  <c r="AZ79" i="1"/>
  <c r="BA79" i="1"/>
  <c r="BB79" i="1"/>
  <c r="BG79" i="1"/>
  <c r="AN36" i="1" l="1"/>
  <c r="AN12" i="1"/>
  <c r="BC12" i="1"/>
  <c r="AN13" i="1"/>
  <c r="BC13" i="1"/>
  <c r="AN14" i="1"/>
  <c r="BC14" i="1"/>
  <c r="AN15" i="1"/>
  <c r="BC15" i="1"/>
  <c r="AN16" i="1"/>
  <c r="BC16" i="1"/>
  <c r="AN17" i="1"/>
  <c r="BC17" i="1"/>
  <c r="AN18" i="1"/>
  <c r="BC18" i="1"/>
  <c r="BD12" i="1" l="1"/>
  <c r="BD17" i="1"/>
  <c r="BD13" i="1"/>
  <c r="BD18" i="1"/>
  <c r="BD16" i="1"/>
  <c r="BD15" i="1"/>
  <c r="BD14" i="1"/>
  <c r="AO79" i="1"/>
  <c r="Z78" i="1"/>
  <c r="Z79" i="1" s="1"/>
  <c r="AN74" i="1"/>
  <c r="BC74" i="1"/>
  <c r="AN72" i="1"/>
  <c r="BC72" i="1"/>
  <c r="AN68" i="1"/>
  <c r="BC68" i="1"/>
  <c r="AN64" i="1"/>
  <c r="BC64" i="1"/>
  <c r="AN55" i="1"/>
  <c r="BC55" i="1"/>
  <c r="AN54" i="1"/>
  <c r="BC54" i="1"/>
  <c r="O53" i="1"/>
  <c r="AE52" i="1"/>
  <c r="AE79" i="1" s="1"/>
  <c r="AN51" i="1"/>
  <c r="BC51" i="1"/>
  <c r="BF79" i="1"/>
  <c r="BE79" i="1"/>
  <c r="AN29" i="1"/>
  <c r="BC29" i="1"/>
  <c r="AN30" i="1"/>
  <c r="BC30" i="1"/>
  <c r="AN31" i="1"/>
  <c r="BC31" i="1"/>
  <c r="AN25" i="1"/>
  <c r="BC25" i="1"/>
  <c r="AN27" i="1"/>
  <c r="BC27" i="1"/>
  <c r="BD64" i="1" l="1"/>
  <c r="BD51" i="1"/>
  <c r="BD74" i="1"/>
  <c r="BD72" i="1"/>
  <c r="BD29" i="1"/>
  <c r="BD54" i="1"/>
  <c r="BD25" i="1"/>
  <c r="BD68" i="1"/>
  <c r="BD55" i="1"/>
  <c r="BD30" i="1"/>
  <c r="BD31" i="1"/>
  <c r="BD27" i="1"/>
  <c r="AN22" i="1" l="1"/>
  <c r="AN23" i="1"/>
  <c r="AN24" i="1"/>
  <c r="BC22" i="1"/>
  <c r="BC23" i="1"/>
  <c r="BC24" i="1"/>
  <c r="AN26" i="1"/>
  <c r="BC26" i="1"/>
  <c r="AN28" i="1"/>
  <c r="BC28" i="1"/>
  <c r="AN32" i="1"/>
  <c r="BC32" i="1"/>
  <c r="BD26" i="1" l="1"/>
  <c r="BD32" i="1"/>
  <c r="BD28" i="1"/>
  <c r="BD24" i="1"/>
  <c r="BD22" i="1"/>
  <c r="BD23" i="1"/>
  <c r="O21" i="1" l="1"/>
  <c r="Q11" i="1" l="1"/>
  <c r="Q19" i="1"/>
  <c r="Q20" i="1"/>
  <c r="Q21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2" i="1"/>
  <c r="Q53" i="1"/>
  <c r="Q56" i="1"/>
  <c r="Q57" i="1"/>
  <c r="Q58" i="1"/>
  <c r="Q59" i="1"/>
  <c r="Q60" i="1"/>
  <c r="Q61" i="1"/>
  <c r="Q62" i="1"/>
  <c r="Q63" i="1"/>
  <c r="Q65" i="1"/>
  <c r="Q66" i="1"/>
  <c r="Q67" i="1"/>
  <c r="Q69" i="1"/>
  <c r="Q70" i="1"/>
  <c r="Q71" i="1"/>
  <c r="Q73" i="1"/>
  <c r="Q75" i="1"/>
  <c r="Q76" i="1"/>
  <c r="Q77" i="1"/>
  <c r="Q78" i="1"/>
  <c r="BC11" i="1" l="1"/>
  <c r="BC19" i="1"/>
  <c r="BC20" i="1"/>
  <c r="BC21" i="1"/>
  <c r="BC33" i="1"/>
  <c r="BC34" i="1"/>
  <c r="BC35" i="1"/>
  <c r="BC36" i="1"/>
  <c r="BC37" i="1"/>
  <c r="BC38" i="1"/>
  <c r="BC39" i="1"/>
  <c r="BC40" i="1"/>
  <c r="BC41" i="1"/>
  <c r="BC42" i="1"/>
  <c r="BC43" i="1"/>
  <c r="BC44" i="1"/>
  <c r="BC45" i="1"/>
  <c r="BC46" i="1"/>
  <c r="BC47" i="1"/>
  <c r="BC48" i="1"/>
  <c r="BC49" i="1"/>
  <c r="BC50" i="1"/>
  <c r="BC52" i="1"/>
  <c r="BC53" i="1"/>
  <c r="BC56" i="1"/>
  <c r="BC57" i="1"/>
  <c r="BC58" i="1"/>
  <c r="BC59" i="1"/>
  <c r="BC60" i="1"/>
  <c r="BC61" i="1"/>
  <c r="BC62" i="1"/>
  <c r="BC63" i="1"/>
  <c r="BC65" i="1"/>
  <c r="BC66" i="1"/>
  <c r="BC67" i="1"/>
  <c r="BC69" i="1"/>
  <c r="BC70" i="1"/>
  <c r="BC71" i="1"/>
  <c r="BC73" i="1"/>
  <c r="BC75" i="1"/>
  <c r="BC76" i="1"/>
  <c r="BC77" i="1"/>
  <c r="BC78" i="1"/>
  <c r="AN11" i="1"/>
  <c r="AN19" i="1"/>
  <c r="AN20" i="1"/>
  <c r="AN21" i="1"/>
  <c r="AN33" i="1"/>
  <c r="AN34" i="1"/>
  <c r="AN35" i="1"/>
  <c r="AN37" i="1"/>
  <c r="AN38" i="1"/>
  <c r="AN39" i="1"/>
  <c r="AN40" i="1"/>
  <c r="AN41" i="1"/>
  <c r="AN42" i="1"/>
  <c r="AN43" i="1"/>
  <c r="AN44" i="1"/>
  <c r="AN45" i="1"/>
  <c r="AN46" i="1"/>
  <c r="AN47" i="1"/>
  <c r="AN48" i="1"/>
  <c r="AN49" i="1"/>
  <c r="AN50" i="1"/>
  <c r="AN52" i="1"/>
  <c r="AN53" i="1"/>
  <c r="AN56" i="1"/>
  <c r="AN57" i="1"/>
  <c r="AN58" i="1"/>
  <c r="AN59" i="1"/>
  <c r="AN60" i="1"/>
  <c r="AN61" i="1"/>
  <c r="AN62" i="1"/>
  <c r="AN63" i="1"/>
  <c r="AN65" i="1"/>
  <c r="AN66" i="1"/>
  <c r="AN67" i="1"/>
  <c r="AN69" i="1"/>
  <c r="AN70" i="1"/>
  <c r="AN71" i="1"/>
  <c r="AN73" i="1"/>
  <c r="AN75" i="1"/>
  <c r="AN76" i="1"/>
  <c r="AN77" i="1"/>
  <c r="AN78" i="1"/>
  <c r="P78" i="1"/>
  <c r="P77" i="1"/>
  <c r="P76" i="1"/>
  <c r="P75" i="1"/>
  <c r="P73" i="1"/>
  <c r="P71" i="1"/>
  <c r="P70" i="1"/>
  <c r="P69" i="1"/>
  <c r="P67" i="1"/>
  <c r="P66" i="1"/>
  <c r="P65" i="1"/>
  <c r="P63" i="1"/>
  <c r="P62" i="1"/>
  <c r="P61" i="1"/>
  <c r="P60" i="1"/>
  <c r="P59" i="1"/>
  <c r="P58" i="1"/>
  <c r="P57" i="1"/>
  <c r="P56" i="1"/>
  <c r="P53" i="1"/>
  <c r="P52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21" i="1"/>
  <c r="P20" i="1"/>
  <c r="P19" i="1"/>
  <c r="P11" i="1"/>
  <c r="BC79" i="1" l="1"/>
  <c r="AN79" i="1"/>
  <c r="BD40" i="1"/>
  <c r="BD36" i="1"/>
  <c r="BD59" i="1"/>
  <c r="BD76" i="1"/>
  <c r="BD70" i="1"/>
  <c r="BD65" i="1"/>
  <c r="BD60" i="1"/>
  <c r="BD56" i="1"/>
  <c r="BD49" i="1"/>
  <c r="BD45" i="1"/>
  <c r="BD41" i="1"/>
  <c r="BD37" i="1"/>
  <c r="BD33" i="1"/>
  <c r="BD11" i="1"/>
  <c r="BD75" i="1"/>
  <c r="BD69" i="1"/>
  <c r="BD63" i="1"/>
  <c r="BD53" i="1"/>
  <c r="BD48" i="1"/>
  <c r="BD44" i="1"/>
  <c r="BD21" i="1"/>
  <c r="BD77" i="1"/>
  <c r="BD71" i="1"/>
  <c r="BD66" i="1"/>
  <c r="BD61" i="1"/>
  <c r="BD57" i="1"/>
  <c r="BD50" i="1"/>
  <c r="BD46" i="1"/>
  <c r="BD42" i="1"/>
  <c r="BD38" i="1"/>
  <c r="BD34" i="1"/>
  <c r="BD19" i="1"/>
  <c r="BD78" i="1"/>
  <c r="BD73" i="1"/>
  <c r="BD67" i="1"/>
  <c r="BD62" i="1"/>
  <c r="BD58" i="1"/>
  <c r="BD52" i="1"/>
  <c r="BD47" i="1"/>
  <c r="BD43" i="1"/>
  <c r="BD39" i="1"/>
  <c r="BD35" i="1"/>
  <c r="BD2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MONICA</author>
  </authors>
  <commentList>
    <comment ref="T10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MONICA:</t>
        </r>
        <r>
          <rPr>
            <sz val="9"/>
            <color indexed="81"/>
            <rFont val="Tahoma"/>
            <family val="2"/>
          </rPr>
          <t xml:space="preserve">
Valor total del proyecto</t>
        </r>
      </text>
    </comment>
    <comment ref="U10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MONICA:</t>
        </r>
        <r>
          <rPr>
            <sz val="9"/>
            <color indexed="81"/>
            <rFont val="Tahoma"/>
            <family val="2"/>
          </rPr>
          <t xml:space="preserve">
Valor vigencia 2024 del proyecto</t>
        </r>
      </text>
    </comment>
    <comment ref="V10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MONICA:</t>
        </r>
        <r>
          <rPr>
            <sz val="9"/>
            <color indexed="81"/>
            <rFont val="Tahoma"/>
            <family val="2"/>
          </rPr>
          <t xml:space="preserve">
Si es todo el municipio diligenciar "Municipio de Bucaramanga".
De lo contratio relacionar la comuna o barrio específico.</t>
        </r>
      </text>
    </comment>
    <comment ref="W10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MONICA:</t>
        </r>
        <r>
          <rPr>
            <sz val="9"/>
            <color indexed="81"/>
            <rFont val="Tahoma"/>
            <family val="2"/>
          </rPr>
          <t xml:space="preserve">
Enfoque diferencial que apunte directamente el producto.</t>
        </r>
      </text>
    </comment>
    <comment ref="X10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MONICA:</t>
        </r>
        <r>
          <rPr>
            <sz val="9"/>
            <color indexed="81"/>
            <rFont val="Tahoma"/>
            <family val="2"/>
          </rPr>
          <t xml:space="preserve">
Cuantitativa</t>
        </r>
      </text>
    </comment>
    <comment ref="Y10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MONICA:</t>
        </r>
        <r>
          <rPr>
            <sz val="9"/>
            <color indexed="81"/>
            <rFont val="Tahoma"/>
            <family val="2"/>
          </rPr>
          <t xml:space="preserve">
De forma general</t>
        </r>
      </text>
    </comment>
  </commentList>
</comments>
</file>

<file path=xl/sharedStrings.xml><?xml version="1.0" encoding="utf-8"?>
<sst xmlns="http://schemas.openxmlformats.org/spreadsheetml/2006/main" count="669" uniqueCount="349">
  <si>
    <t>Responsable</t>
  </si>
  <si>
    <t>Dependencia</t>
  </si>
  <si>
    <t>Actividades Realizadas</t>
  </si>
  <si>
    <t>Número de Beneficiarios</t>
  </si>
  <si>
    <t>Población Beneficiada</t>
  </si>
  <si>
    <t>Comuna o Barrio Beneficiado</t>
  </si>
  <si>
    <t>Valor Vigencia Proyecto</t>
  </si>
  <si>
    <t>Valor del Proyecto</t>
  </si>
  <si>
    <t>Nombre del Proyecto</t>
  </si>
  <si>
    <t>Porcentaje Avance Vigencia</t>
  </si>
  <si>
    <t>Meta Programada Vigencia</t>
  </si>
  <si>
    <t>Tipo de Meta</t>
  </si>
  <si>
    <t>Indicador de Producto</t>
  </si>
  <si>
    <t>Cod. Indicador de Producto</t>
  </si>
  <si>
    <t>Meta de Producto</t>
  </si>
  <si>
    <t>Cod. de Producto</t>
  </si>
  <si>
    <t>Programa</t>
  </si>
  <si>
    <t>Cod. Programa</t>
  </si>
  <si>
    <t>Sector</t>
  </si>
  <si>
    <t>Linea Estratégica</t>
  </si>
  <si>
    <t xml:space="preserve"> Consecutivo PDM</t>
  </si>
  <si>
    <t>ODS</t>
  </si>
  <si>
    <t>RESPONSABLES</t>
  </si>
  <si>
    <t>Recursos Gestionados</t>
  </si>
  <si>
    <t>Ejecución Presupuestal</t>
  </si>
  <si>
    <t>RECURSOS EJECUTADOS</t>
  </si>
  <si>
    <t>RECURSOS PROGRAMADOS</t>
  </si>
  <si>
    <t>PROYECTOS DE INVERSION</t>
  </si>
  <si>
    <t>CUMPLIMIENTO DE LA META</t>
  </si>
  <si>
    <t>PDM 2024-2027</t>
  </si>
  <si>
    <t>VIGENCIA</t>
  </si>
  <si>
    <r>
      <t>Unidad de Medida</t>
    </r>
    <r>
      <rPr>
        <b/>
        <sz val="12"/>
        <color rgb="FF002060"/>
        <rFont val="Arial"/>
        <family val="2"/>
      </rPr>
      <t>2</t>
    </r>
  </si>
  <si>
    <r>
      <t>Meta Ejecutada Vigencia</t>
    </r>
    <r>
      <rPr>
        <b/>
        <sz val="12"/>
        <color rgb="FF002060"/>
        <rFont val="Arial"/>
        <family val="2"/>
      </rPr>
      <t>4</t>
    </r>
  </si>
  <si>
    <t>LÍnea Base</t>
  </si>
  <si>
    <t>PLAN DE ACCION</t>
  </si>
  <si>
    <t>Código:  F-DPM-10100-238,37-060</t>
  </si>
  <si>
    <r>
      <t>Meta Programada Cuatrienio</t>
    </r>
    <r>
      <rPr>
        <b/>
        <sz val="12"/>
        <color rgb="FF002060"/>
        <rFont val="Arial"/>
        <family val="2"/>
      </rPr>
      <t>3</t>
    </r>
  </si>
  <si>
    <t>Porcentaje Avance Cuatrienio</t>
  </si>
  <si>
    <t>Código BPIN</t>
  </si>
  <si>
    <t>Total Recursos Obligados</t>
  </si>
  <si>
    <t>Total Recursos Pagados</t>
  </si>
  <si>
    <t>Recursos propios 2024</t>
  </si>
  <si>
    <t>SGP Educación 2024</t>
  </si>
  <si>
    <t>SGP Salud 2024</t>
  </si>
  <si>
    <t>SGP Deporte 2024</t>
  </si>
  <si>
    <t>SGP Cultura 2024</t>
  </si>
  <si>
    <t>SGP Libre inversión 2024</t>
  </si>
  <si>
    <t>SGP Libre destinación 2024</t>
  </si>
  <si>
    <t>SGP Alimentación escolar 2024</t>
  </si>
  <si>
    <t>SGP Municipios río Magdalena 2024</t>
  </si>
  <si>
    <t>SGP APSB 2024</t>
  </si>
  <si>
    <t>Crédito 2024</t>
  </si>
  <si>
    <t>Transferencias de capital - cofinanciación departamento 2024</t>
  </si>
  <si>
    <t>Transferencias de capital - cofinanciación nación 2024</t>
  </si>
  <si>
    <t>Otros 2024</t>
  </si>
  <si>
    <t>Total 2024</t>
  </si>
  <si>
    <t>Total Comprometido 2024</t>
  </si>
  <si>
    <r>
      <t>Recursos propios 2024</t>
    </r>
    <r>
      <rPr>
        <b/>
        <sz val="12"/>
        <color rgb="FF002060"/>
        <rFont val="Arial"/>
        <family val="2"/>
      </rPr>
      <t>2</t>
    </r>
  </si>
  <si>
    <r>
      <t>SGP Educación 2024</t>
    </r>
    <r>
      <rPr>
        <b/>
        <sz val="12"/>
        <color rgb="FF002060"/>
        <rFont val="Arial"/>
        <family val="2"/>
      </rPr>
      <t>3</t>
    </r>
  </si>
  <si>
    <r>
      <t>SGP Salud 2024</t>
    </r>
    <r>
      <rPr>
        <b/>
        <sz val="12"/>
        <color rgb="FF002060"/>
        <rFont val="Arial"/>
        <family val="2"/>
      </rPr>
      <t>4</t>
    </r>
  </si>
  <si>
    <r>
      <t>SGP Deporte 2024</t>
    </r>
    <r>
      <rPr>
        <b/>
        <sz val="12"/>
        <color rgb="FF002060"/>
        <rFont val="Arial"/>
        <family val="2"/>
      </rPr>
      <t>5</t>
    </r>
  </si>
  <si>
    <r>
      <t>SGP Cultura 2024</t>
    </r>
    <r>
      <rPr>
        <b/>
        <sz val="12"/>
        <color rgb="FF002060"/>
        <rFont val="Arial"/>
        <family val="2"/>
      </rPr>
      <t>6</t>
    </r>
  </si>
  <si>
    <r>
      <t>SGP Libre inversión 2024</t>
    </r>
    <r>
      <rPr>
        <b/>
        <sz val="12"/>
        <color rgb="FF002060"/>
        <rFont val="Arial"/>
        <family val="2"/>
      </rPr>
      <t>7</t>
    </r>
  </si>
  <si>
    <r>
      <t>SGP Libre destinación 2024</t>
    </r>
    <r>
      <rPr>
        <b/>
        <sz val="12"/>
        <color rgb="FF002060"/>
        <rFont val="Arial"/>
        <family val="2"/>
      </rPr>
      <t>8</t>
    </r>
  </si>
  <si>
    <r>
      <t>SGP Alimentación escolar 2024</t>
    </r>
    <r>
      <rPr>
        <b/>
        <sz val="12"/>
        <color rgb="FF002060"/>
        <rFont val="Arial"/>
        <family val="2"/>
      </rPr>
      <t>9</t>
    </r>
  </si>
  <si>
    <r>
      <t>SGP Municipios río Magdalena 2024</t>
    </r>
    <r>
      <rPr>
        <b/>
        <sz val="12"/>
        <color rgb="FF002060"/>
        <rFont val="Arial"/>
        <family val="2"/>
      </rPr>
      <t>10</t>
    </r>
  </si>
  <si>
    <r>
      <t>SGP APSB 2024</t>
    </r>
    <r>
      <rPr>
        <b/>
        <sz val="12"/>
        <color rgb="FF002060"/>
        <rFont val="Arial"/>
        <family val="2"/>
      </rPr>
      <t>11</t>
    </r>
  </si>
  <si>
    <r>
      <t>Crédito 2024</t>
    </r>
    <r>
      <rPr>
        <b/>
        <sz val="12"/>
        <color rgb="FF002060"/>
        <rFont val="Arial"/>
        <family val="2"/>
      </rPr>
      <t>12</t>
    </r>
  </si>
  <si>
    <r>
      <t>Transferencias de capital - cofinanciación departamento 2024</t>
    </r>
    <r>
      <rPr>
        <b/>
        <sz val="12"/>
        <color rgb="FF002060"/>
        <rFont val="Arial"/>
        <family val="2"/>
      </rPr>
      <t>13</t>
    </r>
  </si>
  <si>
    <r>
      <t>Transferencias de capital - cofinanciación nación 2024</t>
    </r>
    <r>
      <rPr>
        <b/>
        <sz val="12"/>
        <color rgb="FF002060"/>
        <rFont val="Arial"/>
        <family val="2"/>
      </rPr>
      <t>14</t>
    </r>
  </si>
  <si>
    <r>
      <t>Otros 2024</t>
    </r>
    <r>
      <rPr>
        <b/>
        <sz val="12"/>
        <color rgb="FF002060"/>
        <rFont val="Arial"/>
        <family val="2"/>
      </rPr>
      <t>15</t>
    </r>
  </si>
  <si>
    <t>Territorio seguro que protege</t>
  </si>
  <si>
    <t>Minas y energía.</t>
  </si>
  <si>
    <t>2102</t>
  </si>
  <si>
    <t>Consolidación productiva del sector de energía eléctrica (2102)</t>
  </si>
  <si>
    <t>2102069</t>
  </si>
  <si>
    <t>Garantizar 51.229 lámparas de alumbrado público para la prestación del servicio de alumbrado público en el Municipio de Bucaramanga</t>
  </si>
  <si>
    <t>Lámparas de alumbrado público en funcionamiento
 (210206900)</t>
  </si>
  <si>
    <t>Número</t>
  </si>
  <si>
    <t>Mantenimiento</t>
  </si>
  <si>
    <t>2102008</t>
  </si>
  <si>
    <t>Elaborar 2 Documentos de estudio técnico para  mejorar la prestacion de servicio de alumbrado público.</t>
  </si>
  <si>
    <t>Número de documentos 
 (210200800)</t>
  </si>
  <si>
    <t>Incremento</t>
  </si>
  <si>
    <t>2106</t>
  </si>
  <si>
    <t>2106029</t>
  </si>
  <si>
    <t>Implementar un sistema de gestión y monitoreo de la información del alumbrado público  acorde a RETILAP.</t>
  </si>
  <si>
    <t>Bases de datos generadas (210602900)</t>
  </si>
  <si>
    <t>Territorio seguro y sostenible</t>
  </si>
  <si>
    <t>Vivienda Ciudad y Territorio</t>
  </si>
  <si>
    <t>4002</t>
  </si>
  <si>
    <t>Ordenamiento Territorial y Desarrollo urbano. (4002).</t>
  </si>
  <si>
    <t>4002020</t>
  </si>
  <si>
    <t>Adecuar 300,000 metros cuadrados de espacio púbico. (4002020)</t>
  </si>
  <si>
    <t>Espacio público adecuado (400202000).</t>
  </si>
  <si>
    <t>Metros cuadrados</t>
  </si>
  <si>
    <t>4002021</t>
  </si>
  <si>
    <t>Construir 2 parques nuevos en el municipio</t>
  </si>
  <si>
    <t>Parques construidos (400202100)</t>
  </si>
  <si>
    <t>4002022</t>
  </si>
  <si>
    <t>Mantener 100 parques en el municipio</t>
  </si>
  <si>
    <t>Parques mantenidos (400202200)</t>
  </si>
  <si>
    <t>4002026</t>
  </si>
  <si>
    <t>Mantener 1,605,851 metros cuadrados de zonas verdes</t>
  </si>
  <si>
    <t>Zonas verdes mantenidas (400202600)</t>
  </si>
  <si>
    <t>Consolidación productiva del sector de energía eléctrica
(2102)</t>
  </si>
  <si>
    <t>2102062</t>
  </si>
  <si>
    <t>Apoyar la implementacion de proyectos de fuentes no convencionales de energía que beneficie a 50.000 personas</t>
  </si>
  <si>
    <t xml:space="preserve">Usuarios beneficiados
(210206200)
</t>
  </si>
  <si>
    <t>4003</t>
  </si>
  <si>
    <t>Acceso de la población a los servicios de agua potable y saneamiento básico.
(4003)</t>
  </si>
  <si>
    <t>4003015</t>
  </si>
  <si>
    <t>Construir 1 acueducto en el sector rural del municipio</t>
  </si>
  <si>
    <t>Acueductos construidos (400301500).</t>
  </si>
  <si>
    <t>4003017</t>
  </si>
  <si>
    <t>Optimizar 2 acueductos en el sector rural o en barrios legalizados del municipio</t>
  </si>
  <si>
    <t>Acueductos optimizados (400301700).</t>
  </si>
  <si>
    <t>4003020</t>
  </si>
  <si>
    <t>Optimizar 4 alcantarillados en barrios legalizados del municipio</t>
  </si>
  <si>
    <t>Alcantarillado optimizados (400302000).</t>
  </si>
  <si>
    <t>4003044</t>
  </si>
  <si>
    <t>Constuir 80 unidades sanitarias con saneamiento básico para vivienda rural</t>
  </si>
  <si>
    <t>Unidades sanitarias con saneamiento básico construidas para vivienda rural. (400304402)</t>
  </si>
  <si>
    <t>4003040</t>
  </si>
  <si>
    <t>Apoyar financieramiente 1 proyecto para el cierre financiero del sistema de tratamiento de aguas residuales en el municipio de Bucaramanga</t>
  </si>
  <si>
    <t>Proyectos apoyados financieramente (400304000)</t>
  </si>
  <si>
    <t xml:space="preserve">Adecuar 1000 metros cuadrado de equipamientos comunitarios complementarios para los programas y/o proyectos de soluciones de vivienda en espacio público del municipio </t>
  </si>
  <si>
    <t>Territorio seguro que progresa</t>
  </si>
  <si>
    <t>Agricultura y desarrollo rural</t>
  </si>
  <si>
    <t>1709</t>
  </si>
  <si>
    <t>Infraestructura productiva y comercialización (1709)</t>
  </si>
  <si>
    <t>1709078</t>
  </si>
  <si>
    <t>Adecuar 1 Plaza de mercado</t>
  </si>
  <si>
    <t>Plazas de mercado adecuadas 
 (170907800)</t>
  </si>
  <si>
    <t>Transporte.</t>
  </si>
  <si>
    <t>2401</t>
  </si>
  <si>
    <t>Infraestructura red vial primaria (2401).</t>
  </si>
  <si>
    <t>2401008</t>
  </si>
  <si>
    <t xml:space="preserve">Mejorar 1 Vía primaria de los corredores estratégicos del municipio. </t>
  </si>
  <si>
    <t>Vía primaria mejorada (240100800)</t>
  </si>
  <si>
    <t>Kilómetros</t>
  </si>
  <si>
    <t>2402</t>
  </si>
  <si>
    <t>Infraestructura red vial regional (2402)</t>
  </si>
  <si>
    <t>2402120</t>
  </si>
  <si>
    <t>Realizar mantenimiento a 10 puentes peatonales</t>
  </si>
  <si>
    <t>Puente peatonal con mantenimiento (240212000)</t>
  </si>
  <si>
    <t>2402119</t>
  </si>
  <si>
    <t xml:space="preserve">Construir 1 Puente en vía urbana existente de la ciudad </t>
  </si>
  <si>
    <t>Puente construido en vía urbana existente (240211900)</t>
  </si>
  <si>
    <t>2401039</t>
  </si>
  <si>
    <t>Construir 2 puentes peatonales en la red vial de la ciudad</t>
  </si>
  <si>
    <t>Puente peatonal construido (240103900)</t>
  </si>
  <si>
    <t>2402083</t>
  </si>
  <si>
    <t>Realizar mantenimiento a 5 Puentes vehiculares de la red vial urbana</t>
  </si>
  <si>
    <t>Puente de la red vial urbana con mantenimiento (240208300)</t>
  </si>
  <si>
    <t>2402044</t>
  </si>
  <si>
    <t>Construir 1 Puente vehicular en vía terciaria de la ciudad</t>
  </si>
  <si>
    <t>Puente construido en vía terciaria (240204400)</t>
  </si>
  <si>
    <t>2402118</t>
  </si>
  <si>
    <t>Realizar 4 Estudios de preinversión para la red vial regional</t>
  </si>
  <si>
    <t>Estudios de preinversión para la red vial regional (240211800)</t>
  </si>
  <si>
    <t>2402113</t>
  </si>
  <si>
    <t xml:space="preserve">Construir 1 Vía urbana en la ciudad. </t>
  </si>
  <si>
    <t>Vía urbana construida (240211300)</t>
  </si>
  <si>
    <t>Kiómetros</t>
  </si>
  <si>
    <t>2402114</t>
  </si>
  <si>
    <t>Mejorar 20 Km de Vías urbanas del municipio</t>
  </si>
  <si>
    <t>Vía urbana mejorada (240211400)</t>
  </si>
  <si>
    <t>2402115</t>
  </si>
  <si>
    <t>Realizar mantenimiento periódico o rutinario a 80 Km de vías urbanas</t>
  </si>
  <si>
    <t>Vía urbana con mantenimiento periódico o rutinario (240211500)</t>
  </si>
  <si>
    <t>2402042</t>
  </si>
  <si>
    <t>Construir 5.000 metros líneales de placa huella en la zona rural</t>
  </si>
  <si>
    <t>Placa huella construida (240204200)</t>
  </si>
  <si>
    <t>Metros lineales</t>
  </si>
  <si>
    <t>2402112</t>
  </si>
  <si>
    <t xml:space="preserve">Realizar el mantenimiento periódico o rutinario a 110 Km de Vías terciarias de la malla vial rural de la ciudad por año. </t>
  </si>
  <si>
    <t>Vía terciaria con mantenimiento periódico o rutinario (240211200)</t>
  </si>
  <si>
    <t>2402070</t>
  </si>
  <si>
    <t>Construir 1 Paso deprimido en vía urbana de la ciudad</t>
  </si>
  <si>
    <t>Paso deprimido construido en vía urbana (24020700)</t>
  </si>
  <si>
    <t>2402062</t>
  </si>
  <si>
    <t>Construir 1 intercambiador en vía urbana de la ciudad</t>
  </si>
  <si>
    <t>Intercambiador construido en vía urbana (240206200)</t>
  </si>
  <si>
    <t>2402094</t>
  </si>
  <si>
    <t>Realizar mantenimiento y/o adecuación y/o reubicación a 10.000 mts de ciclo infraestructuras urbanas del municipio</t>
  </si>
  <si>
    <t>Ciclo infraestructura urbana con mantenimiento (240209400)</t>
  </si>
  <si>
    <t>2101</t>
  </si>
  <si>
    <t>Acceso al servicio público domiciliario de gas combustible. (2101)</t>
  </si>
  <si>
    <t>2101016</t>
  </si>
  <si>
    <t xml:space="preserve">Conectar a 200 viviendas con redes domiciliarias de gas combustible en el municipio. </t>
  </si>
  <si>
    <t>Viviendas conectadas a la red local de gas combustible
(210101600)</t>
  </si>
  <si>
    <t>Acceso de la población a los servicios de agua potable y saneamiento básico (4003).</t>
  </si>
  <si>
    <t>4003047</t>
  </si>
  <si>
    <t>Beneficiar a 289.645 usuarios con subsidios al consumo en los servicios públicos domiciliarios de acueducto, alcantarillado y aseo en los estratos 1, 2 y 3.</t>
  </si>
  <si>
    <t>Usuarios beneficiados con subsidios al consumo (400304700)</t>
  </si>
  <si>
    <t>4003048</t>
  </si>
  <si>
    <t>Transportar y entregar 18.000 metros cúbicos de Agua potable en carrotanques para garantizar el mínimo vital de agua en zonas sin cobertura del municipio.</t>
  </si>
  <si>
    <t>Agua transportada y entregada. 
 (400304800)</t>
  </si>
  <si>
    <t>Metros cúbicos</t>
  </si>
  <si>
    <t>Territorio seguro que integra</t>
  </si>
  <si>
    <t>Deporte y recreación</t>
  </si>
  <si>
    <t>4302</t>
  </si>
  <si>
    <t>Formacion y preparacion de deportistas (4302)</t>
  </si>
  <si>
    <t>4302015</t>
  </si>
  <si>
    <t xml:space="preserve">Construir y dotar (1) pista </t>
  </si>
  <si>
    <t xml:space="preserve"> Pistas construidas y dotadas (430201500)</t>
  </si>
  <si>
    <t>4301</t>
  </si>
  <si>
    <t>Fomento a la recreación, la actividad física y el deporte (4301).</t>
  </si>
  <si>
    <t>4301011</t>
  </si>
  <si>
    <t>Realizar adecuaciones a 4 parques recreativos que tenga en cuenta un enfoque en nuevas disciplinas deportivas.</t>
  </si>
  <si>
    <t>Parques adecuados (430101100)</t>
  </si>
  <si>
    <t>Cultura.</t>
  </si>
  <si>
    <t>3302</t>
  </si>
  <si>
    <t>Gestión, protección y salvaguardia del patrimonio cultural colombiano. (3302)</t>
  </si>
  <si>
    <t>3302073</t>
  </si>
  <si>
    <t xml:space="preserve">Brindar 2 servicios de restauración del patrimonio cultural material inmueble de bienes de patrimonio cultural  en el municipio de Bucaramanga
</t>
  </si>
  <si>
    <t>Servicios de restauración del patrimonio cultural material inmueble 
(330207300)</t>
  </si>
  <si>
    <t>Territorio seguro que genera valor</t>
  </si>
  <si>
    <t>Gobierno territorial</t>
  </si>
  <si>
    <t>4502</t>
  </si>
  <si>
    <t>Fortalecimiento del buen gobierno para el respeto y garantía de los derechos humanos (4502)</t>
  </si>
  <si>
    <t>4502007</t>
  </si>
  <si>
    <t>"Construir tres (03) salones comunales en el Municipio de Bucaramanga (4502007)."</t>
  </si>
  <si>
    <t>Salones comunales construidos (450200700) </t>
  </si>
  <si>
    <t>0 </t>
  </si>
  <si>
    <t>4502003</t>
  </si>
  <si>
    <t>Adecuar diez (10) salones comunales en el Municipio de Bucaramanga (4502003).</t>
  </si>
  <si>
    <t>Salones comunales adecuados (450200300) </t>
  </si>
  <si>
    <t>4599</t>
  </si>
  <si>
    <t>Fortalecimiento a la gestión y dirección de la administración pública territorial (4599)</t>
  </si>
  <si>
    <t>4599031</t>
  </si>
  <si>
    <t>Asistir técnicamente a nueve (9) dependencias de la administración municipal para el diseño, seguimiento y ejecución de  proyectos estratégicos de la ciudad en el área de infraestructura</t>
  </si>
  <si>
    <t>Entidades, organismos y dependencias asistidos técnicamente (459903100).</t>
  </si>
  <si>
    <t>4599011</t>
  </si>
  <si>
    <t>Adecuar cinco (05) sedes de bienes inmuebles que son propiedad municipal para fortalecer los procesos administrativos y promover el desarrollo de capacidades dentro de la administración</t>
  </si>
  <si>
    <t>Sedes adecuadas (459901100) </t>
  </si>
  <si>
    <t>4599006</t>
  </si>
  <si>
    <t>Elaborar (04) estudios de preinversión para la  realización de documentos en las fases de pre-factibilidad, factibilidad o definitivos para la consolidación de la infraestructura social en el municipio</t>
  </si>
  <si>
    <t>Estudios de preinversión elaborados (459900600)</t>
  </si>
  <si>
    <t>2102010</t>
  </si>
  <si>
    <t xml:space="preserve">Implementar 4.100 metros de redes de alumbrado público (artístico y/o navideño) en el sector comercial, parques o lugares de desarrollo turístico.  </t>
  </si>
  <si>
    <t>Redes de alumbrado público ampliadas (210201000)</t>
  </si>
  <si>
    <t>Metros</t>
  </si>
  <si>
    <t>4599002</t>
  </si>
  <si>
    <t>Ejecutar el 100% del programa de saneamiento fiscal y financiero para el fortalecimiento de las finanzas del municipio</t>
  </si>
  <si>
    <t>Programa de sanemiento fiscal y financiero ejecutado (459900200).</t>
  </si>
  <si>
    <t>Porcentaje</t>
  </si>
  <si>
    <t>Secretaría de Infraestructura-Alumbrado Público</t>
  </si>
  <si>
    <t>Jorge Alejandro Garcia Henao</t>
  </si>
  <si>
    <t>Secretaría de Infraestructura</t>
  </si>
  <si>
    <t>6,11,13</t>
  </si>
  <si>
    <t>6,10,11</t>
  </si>
  <si>
    <t>Versión: 2.0</t>
  </si>
  <si>
    <t>Fecha aprobación: Octubre-10-2024</t>
  </si>
  <si>
    <t>Página: 1 de 1</t>
  </si>
  <si>
    <t>MEJORAMIENTO DEL ESPACIO PÚBLICO (PLAZOLETA LUIS CARLOS GALÁN Y PARQUE GARCIA ROVIRA)  ENMARCADO DENTRO DE LA ESTRATEGIA  "PLAN CENTRO"  EN EL MUNICIPIO DE BUCARAMANGA, SANTANDER (FASE 2)</t>
  </si>
  <si>
    <t>Comuna 15</t>
  </si>
  <si>
    <t>Población en general</t>
  </si>
  <si>
    <t>Siembra árboles, siembra arbustos, mantenimiento franjas de circulación peatonal (arreglo acabado pisos y mejoramiento rampas peatonales), cerramiento de protección zona verde, señalización vial horizontal..</t>
  </si>
  <si>
    <t>MEJORAMIENTO DE LA INFRAESTRUCTURA URBANA DE LA DIAGONAL 15 AVENIDA QUEBRADA SECA HASTA LA CALLE 33 DENTRO DE LA ESTRATEGIA CORREDOR AMBIENTAL EN EL MUNICIPIO DE BUCARAMANGA</t>
  </si>
  <si>
    <t>MEJORAMIENTO DE LA INFRAESTRUCTURA URBANA Y CALIDAD AMBIENTAL DENTRO DE LA ESTRATEGIA “CENTRO CAMINABLE” EN EL MUNICIPIO DE BUCARAMANGA – SANTANDER</t>
  </si>
  <si>
    <t>ADECUACIÓN DE ESPACIO PÚBLICO EN EL MARCO DEL DESARROLLO DE LA ESTRATEGIA DE PRESUPUESTOS PARTICIPATIVOS DEL MUNICIPIO DE BUCARAMANGA, SANTANDER</t>
  </si>
  <si>
    <t>ADECUACION DEL EQUIPAMIENTO Y ESPACIO PUBLICO  DE OLAS BAJAS Y CANELOS DEL MUNICIPIO DE BUCARAMANGA, SANTANDER</t>
  </si>
  <si>
    <t>CONSTRUCCIÓN MONUMENTO CONMEMORATIVO FLOR DEL BÚCARO EN EL MUNICIPIO DE BUCARAMANGA SANTANDER</t>
  </si>
  <si>
    <t>CONSTRUCCIÓN DEL PARQUE BORDE SUR LA VICTORIA EN EL BARRIO LA VICTORIA DEL MUNICIPIO DE BUCARAMANGA, SANTANDER</t>
  </si>
  <si>
    <t>COMUNA 15: CENTRO</t>
  </si>
  <si>
    <t>Desde la niños hasta los adultos mayores</t>
  </si>
  <si>
    <t>618.967 Habitantes</t>
  </si>
  <si>
    <t>Embellecimiento de la Plazoleta Luis Carlos Galan, remodelacion del parque Garcia Rovira, arreglo de vias en concreto rigido entre la carrera 9 y carrera 12 y calles 37 a la 34, arreglo del andenes y espacio peatonal en loseta sinu veta.</t>
  </si>
  <si>
    <t>ADECUACIÓN DE PARQUES Y ESCENARIOS DEPORTIVOS ENMARCADOS A TRAVÉS DE LA ESTRATEGIA DE PRESUPUESTOS PARTICIPATIVOS</t>
  </si>
  <si>
    <t>SUMINISTRO DE PINTURAS PARA EL EMBELLECIMIENTO DEL ESPACIO PUBLICO DEL MUNICIPIO DE BUCARAMANGA</t>
  </si>
  <si>
    <t>ADECUACIÓN DEL ESPACIO PÚBLICO Y ZONAS DE PARQUEO DEL MUNICIPIO DE BUCARAMANGA, SANTANDER</t>
  </si>
  <si>
    <t>MANTENIMIENTO PERIODIDO DE LA INFRAESTRUCTURA DE PARQUES, EQUIPAMIENTO Y ESPACIO PÚBLICO DEL MUNICIPIO DE BUCARAMANGA SANTANDER</t>
  </si>
  <si>
    <t>MANTENIMIENTO Y MANEJO INTEGRAL ARBOREO Y DE ZONAS VERDES EN EL MUNICIPIO DE  BUCARAMANGA, SANTANDER  (CONVENIO AMB y TALAS)</t>
  </si>
  <si>
    <t>17 Comunas</t>
  </si>
  <si>
    <t>605.047 habitantes</t>
  </si>
  <si>
    <t>Mantenimiento de parques y zonas verdes del Municipio de Bucaramanga</t>
  </si>
  <si>
    <t>CONSTRUCCIÓN DE ACUEDUCTOS VEREDALES EN VARIOS SECTORES DEL MUNICIPIO DE BUCARAMANGA SANTANDER</t>
  </si>
  <si>
    <t>ADECUACION  Y REFORMAS LOCATIVAS A LAS PLAZAS DE MERCADO DEL MUNICIPIO DE BUCARAMANGA, SANTANDER</t>
  </si>
  <si>
    <t>Comuna 13 - COMUNA 3 - SAN FRANCISCO</t>
  </si>
  <si>
    <t>Desmonte de soporte de cubierta y cubierta existente. Instalación de nuevo soporte y cubierta
- demolición de pisos existentes, realizar nuevos pisos
- remodelación del cuarto de basuras
- mejorar accesibilidad para personas con discapacidad  -Adecuación de redes eléctricas de la plaza.
-Remodelación total de los baños
-Adecuación de espacios para personas con discapacidad
-Desmonte de la estructura y cubierta existente, e instalación de nueva estructura y cubierta.
-Adecuación del sistema de aguas lluvia</t>
  </si>
  <si>
    <t>CONSTRUCCCIÓN DEL PUENTE NARIÑO SOBRE EL RIO DE ORO EN LA JURISDICCIÓN DE LOS MUNICIPIOS DE BUCARAMANGA Y GIRÓN DEPARTAMENTO DE SANTANDER</t>
  </si>
  <si>
    <t>ACTUALIZACIÓN DE ESTUDIOS Y DISEÑOS DE LA TRONCAL METROPOLITANA NORTE SUR  TRAMO 3A,  "INTERSECCIÓN VIAL CARRERA 9NA CON CALLE 45 DEL   EN EL MUNICIPIO DE BUCARAMANGA</t>
  </si>
  <si>
    <t>ESTUDIOS Y DISEÑOS PARA SOLUCIÓN VIAL EN LA INTERSECCIÓN  DE LA CARRERA 27 CON CALLE 56 Y CONSTRUCCIÓN DE PUENTES PEATONALES DEL MUNICIPIO DE BUCARAMANGA SANTANDER</t>
  </si>
  <si>
    <t>CONSTRUCCION DE LA SOLUCION VIAL DE LA CALLE 53 Y CALLE 54 DE LA CONEXION ORIENTE - OCCIDENTE DEL MUNICIPIO DE BUCARAMANGA</t>
  </si>
  <si>
    <t>MEJORAMIENTO DE LA MALLA VIAL Y ESPACIO PUBLICO ENMARCADO DENTRO DE LA ESTRATEGIA "PLAN REVITALIZACION DEL ESPACIO PUBLICO  CENTRO" EN EL MUNICIPIODE BUCARAMANGA, SANTANDER</t>
  </si>
  <si>
    <t>1. Cambio redes de servicios y estructura de pavimento.           2. Cambio redes de servicios y estructura de la franja de circulación peatonal.</t>
  </si>
  <si>
    <t>MANTENIMIENTO, MEJORAMIENTO Y REHABILITACION DE LA RED VIAL URBANA DEL MUNICIPIO DE BUCARAMANGA, SANTANDER</t>
  </si>
  <si>
    <t>MEJORAMIENTO Y MANTENIMIENTO DE LA RED VIAL URBANA DEL MUNICIPIO DE BUCARAMANGA, SANTANDER</t>
  </si>
  <si>
    <t xml:space="preserve"> Comunas 1,2,3,4,13,14,15 ,6,7,8,9,10,11,12,16,17</t>
  </si>
  <si>
    <t>Demolicion y mejoramiento del pavimento existente tanto rigido como flexible, Construccion de reductores de velocidad, demarcacion y señalizacion vial, reparacion y/o construccion de sumideros, instalacion de tachas reflectivas, reconstruccion de canaletas,realce de tapas de cajas de inspeccion en concreto,reparacion de andenes.</t>
  </si>
  <si>
    <t>MEJORAMIENTO DE LA RED VIAL TERCIARIA EN LOS CORREGIMIENTO 1, 2 Y 3  DEL MUNIICPIO DE BUCARAMANGA, SANTANDER</t>
  </si>
  <si>
    <t>Corregimiento 1, 2 y 3</t>
  </si>
  <si>
    <t>adicional tiempo de la interventoria por adicion en plazo a los contratos de obra</t>
  </si>
  <si>
    <t>MANTENIMIENTO PERIODICO DE LA RED VÍAL RURAL DEL MUNICIPIO DE BUCARMANGA SANTANDER</t>
  </si>
  <si>
    <t>SUBSIDIOS A LOS SERVICIOS PÚBICOS DE ACUEDUCTO, ALCANTARILLADO Y ASEO A LA POBLACIÓN DE ESTRATOS 1, 2 Y 3 DEL MUNICIPIO DE BUCARAMANGA</t>
  </si>
  <si>
    <t>SUBSIDIOS A LOS SERVICIOS PÚBICOS DE ACUEDUCTO, ALCANTARILLADO Y ASELO A LA POBLACIÓN DE ESTRATOS 1, 2 Y 3 DEL MUNICIPIO DE BUCARAMANGA</t>
  </si>
  <si>
    <t>Todas las comunas del municipio  de Bucaramanga</t>
  </si>
  <si>
    <t>Pago de facturas por subsidios a las diferentes empresas prestadores de servicios de aseo, alcantarillado y acueducto</t>
  </si>
  <si>
    <t>SUMINISTRO DE AGUA POTABLE PARA GARANTIZAR LA COBERTURA DEL MÍNIMO VITAL DE AGUA A LOS SECTORES DE LOS CORREGIMIENTOS 1, 2, Y 3 DEL MUNICIPIO DE BUCARAMANGA, SANTANDER</t>
  </si>
  <si>
    <t>Suministro de agua potable a las distintas veredas en los corregimientos</t>
  </si>
  <si>
    <t>ADECUACION DEL EQUIPAMIENTO Y ESCENARIOS DEPORTIVOS DEL MUNICIPIO DE BUCARAMANGA, SANTANDER</t>
  </si>
  <si>
    <t>Comuna 10 -Provenza</t>
  </si>
  <si>
    <t>Mejoramiento de las areas de recreacion pasivas y activas del parque</t>
  </si>
  <si>
    <t>ADECUACIÓN DEL PARQUE DIAMANTE II DEL MUNICIPIO DE BUCARAMANGA, SANTANDER</t>
  </si>
  <si>
    <t>CONSTRUCCIÓN DE OBRAS DE PRIMEROS AUXILIOS EN EL BIEN DE INTERÉS CULTURAL PLAZA SAN MATEO DEL MUNICIPIO DE BUCARAMANGA</t>
  </si>
  <si>
    <t>CONSTRUCCIÓN Y ADECUACIÓN DE SALONES COMUNALES  EN EL MARCO DE LA ESTRATEGÍA DE PRESUPUESTOS PARTICIPATIVOS MUNICIPIO DE BUCARAMANGA SANTANDER</t>
  </si>
  <si>
    <t>CONSTRUCCION DEL SALON COMUNAL VEREDA VIJAGUAL CORREGIMIENTO No. 1 Y ADECUACION DEL BARRIO RINCON DE LA PAZ  EN LA COMUNA 5 DEL MUNICIPIO DE BUCARAMANGA, SANTANDER</t>
  </si>
  <si>
    <t>COMUNA 5 -RINCON DE LA PAZ</t>
  </si>
  <si>
    <t>Mesón en granito y otro tipo de lavamanos.  pintura de la mampostería por el estado actual. Instalalacion de enchape en la cocina</t>
  </si>
  <si>
    <t>FORTALECIMIENTO INSTITUCIONAL PARA LOS PROCESOS DE INFRAESTRUCTURA Y PLANIFICACION DE LA SECRETARIA DE INFRAESTRUCTURA DEL MUNICIIPIO DE BUCARAMANGA</t>
  </si>
  <si>
    <t>Diseños de infraestructura social, acompañamiento para el seguimiento de obras, seguimiento financiero a la inversion</t>
  </si>
  <si>
    <t>FORTALECIMIENTO INSTITUCIONAL A LOS PROCESOS MISIONES Y DE GESTIÓN DE LA SECRETARÍA DE INFRAESTRUCTURA DEL MUNICIPIO DE BUCARAMANGA, SANTANDER</t>
  </si>
  <si>
    <t xml:space="preserve">CONSTRUCCIÓN CENTRO VIDA Y ESPACIOS COMPLEMENTARIOS ANTONIA SANTOS EN EL MUNICIPIO DE BUCARAMANGA </t>
  </si>
  <si>
    <t>COMUNA 9</t>
  </si>
  <si>
    <t>18.000 habitantes</t>
  </si>
  <si>
    <t>1. Se realizo revisión y ajuste a diseño correspondiente a la red contra incendios.
2. Se implementa cielo falso correspondiente al total del módulo B y el aula del módulo C.
3. Se adiciona mayor cantidad de luminarias de alumbrado público interno</t>
  </si>
  <si>
    <t>ESTUDIOS Y DISEÑOS PARA EL PROYECTO DE RESTAURACION  DEL COLISEO PERALTA INMUEBLE DECLARADO BIEN DE INTERES CULTURAL DEL AMBITO NACIONAL EN EL MUNICIPIO DE BUCARAMANGA, SANTANDER</t>
  </si>
  <si>
    <t>Comuna 15 - centro</t>
  </si>
  <si>
    <t>adicional tiempo de la interventoria a la consultoria de estos estudios y diseños</t>
  </si>
  <si>
    <t>FORTALECIMIENTO DE LA GESTIÓN PARA EL SANEAMIENTO FISCAL Y FINANCIERO DE LA SECRETARÍA DE INFRAESTRUCTURA DEL MUNICIPIO DE BUCARAMANGA</t>
  </si>
  <si>
    <t>Pagos de pasivos exigibles de contratos ejecutados.</t>
  </si>
  <si>
    <t>2020680010029</t>
  </si>
  <si>
    <t>FORTALECIMIENTO DE LA ADMINISTRACIÓN Y OPERACIÓN DEL ALUMBRADO PÚBLICO DE BUCARAMANGA</t>
  </si>
  <si>
    <t>01 - COMUNA NORTE
02 - COMUNA NORORIENTAL
03 - COMUNA SAN FRANCISCO
04 - COMUNA OCCIDENTAL
05 - COMUNA GARCIA ROVIRA
06 - COMUNA LA CONCORDIA
07 - COMUNA CIUDADELA REAL DE MINAS
08 - COMUNA SUROCCIDENTE
09 - COMUNA LA PEDREGOSA
10 - COMUNA PROVENZA
11 - COMUNA SUR
12 - COMUNA CABECERA DEL LLANO
13 - COMUNA ORIENTAL
14 - COMUNA MORRORICO
15 - COMUNA CENTRO
16 - COMUNA TEJAR
17 - COMUNA MUTIS
CORREGIMIENTO 1
CORREGIMIENTO 2
CORREGIMIENTO 3</t>
  </si>
  <si>
    <t>Actividades de mantenimiento y modernización del alumbrado publico</t>
  </si>
  <si>
    <t>2023680010042</t>
  </si>
  <si>
    <t>MODERNIZACIÓN DEL ALUMBRADO PÚBLICO VIAS M2 - FASE 1 DEL MUNICIPIO DE BUCARAMANGA.</t>
  </si>
  <si>
    <t>2024680010082</t>
  </si>
  <si>
    <t>2024680010116</t>
  </si>
  <si>
    <t>MODERNIZACION DEL ALUMBRADO PUBLICO FASE II EN DIFERENTES ZONAS DEL MUNICIPIO DE BUCARAMANGA</t>
  </si>
  <si>
    <t>2024680010189</t>
  </si>
  <si>
    <t>MANTENIMIENTO DEL SISTEMA DE ALUMBRADO PÚBLICO DEL MUNICIPIO DE BUCARAMANGA</t>
  </si>
  <si>
    <t>2024680010192</t>
  </si>
  <si>
    <t>FORTALECIMIENTO  DE LA ADMINISTRACIÓN Y OPERACIÓN DE ALUMBRADO PÚBLICO 2024-2027 BUCARAMANGA</t>
  </si>
  <si>
    <t>2020680010114</t>
  </si>
  <si>
    <t>MANTENIMIENTO DEL SISTEMA DE ALUMBRADO PÚBLICO 2020-2023 DEL MUNICIPIO DE BUCARAMANGA.</t>
  </si>
  <si>
    <t>2024680010085</t>
  </si>
  <si>
    <t>AMPLIACION DEL ALUMBRADO PUBLICO EN ZONAS RURALES 2024 DEL MUNICIPIO DE   BUCARAMANGA</t>
  </si>
  <si>
    <t>2024680010115</t>
  </si>
  <si>
    <t>ESTUDIOS TÉCNICOS DE REFERENCIA ALUMBRADO PUBLICO  BUCARAMANGA, SANTANDER</t>
  </si>
  <si>
    <t>2024680010205</t>
  </si>
  <si>
    <t>ADQUISICIÓN DE HERRAMIENTAS TECNOLOGICAS PARA LA ADMINSITRACION OPERACIÓN Y MANTENIMIENTO DEL ALUMBRADO PUBLICO DE BUCARAMANGA</t>
  </si>
  <si>
    <t>2024680010113</t>
  </si>
  <si>
    <t>IMPLEMENTACIÓN DE PILOTOS DE ENERGIAS ALTERNATIVAS EN EL MUNICPIO DE  BUCARAMANGA</t>
  </si>
  <si>
    <t>2024680010183</t>
  </si>
  <si>
    <t>INSTALACIÓN DE LA ILUMINACIÓN DECEMBRINA DEL MUNICIPIO DE BUCARAMANGA</t>
  </si>
  <si>
    <t>CONSTRUCCION DE OBRAS COMPLEMENTRIAS DE ESPACIO PUBLICO A LA INSTITUCION EDUCATIVA RURAL BOSCONIA SEDE B DE LA VEREDA SANTA RITA DEL MUNICIPIO DE BUCARAMANGA, SANTANDER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</si>
</sst>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-&quot;$&quot;* #,##0_-;\-&quot;$&quot;* #,##0_-;_-&quot;$&quot;* &quot;-&quot;_-;_-@_-"/>
  </numFmts>
  <fonts count="16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22"/>
      <color theme="1"/>
      <name val="Aptos Narrow"/>
      <family val="2"/>
      <scheme val="minor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b/>
      <sz val="12"/>
      <color rgb="FF002060"/>
      <name val="Arial"/>
      <family val="2"/>
    </font>
    <font>
      <b/>
      <sz val="72"/>
      <color theme="1"/>
      <name val="Arial"/>
      <family val="2"/>
    </font>
    <font>
      <sz val="12"/>
      <color theme="1"/>
      <name val="Arial"/>
      <family val="2"/>
    </font>
    <font>
      <sz val="8"/>
      <name val="Aptos Narrow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Aptos Narrow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</font>
  </fonts>
  <fills count="7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9" fontId="13" fillId="0" borderId="0" applyFont="0" applyFill="0" applyBorder="0" applyAlignment="0" applyProtection="0"/>
    <xf numFmtId="44" fontId="13" fillId="0" borderId="0" applyFont="0" applyFill="0" applyBorder="0" applyAlignment="0" applyProtection="0"/>
  </cellStyleXfs>
  <cellXfs count="89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0" fontId="3" fillId="0" borderId="0" xfId="0" applyNumberFormat="1" applyFont="1" applyAlignment="1">
      <alignment horizontal="center" vertical="center"/>
    </xf>
    <xf numFmtId="10" fontId="2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6" fillId="0" borderId="3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9" xfId="0" applyFont="1" applyBorder="1" applyAlignment="1">
      <alignment vertical="center"/>
    </xf>
    <xf numFmtId="0" fontId="1" fillId="2" borderId="23" xfId="0" applyFont="1" applyFill="1" applyBorder="1" applyAlignment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44" fontId="3" fillId="0" borderId="2" xfId="0" applyNumberFormat="1" applyFont="1" applyBorder="1" applyAlignment="1" applyProtection="1">
      <alignment horizontal="center" vertical="center"/>
      <protection locked="0"/>
    </xf>
    <xf numFmtId="9" fontId="3" fillId="0" borderId="2" xfId="0" applyNumberFormat="1" applyFont="1" applyBorder="1" applyAlignment="1" applyProtection="1">
      <alignment horizontal="center" vertical="center" wrapText="1"/>
      <protection locked="0"/>
    </xf>
    <xf numFmtId="44" fontId="3" fillId="0" borderId="1" xfId="0" applyNumberFormat="1" applyFont="1" applyBorder="1" applyAlignment="1" applyProtection="1">
      <alignment horizontal="center" vertical="center"/>
      <protection locked="0"/>
    </xf>
    <xf numFmtId="44" fontId="3" fillId="0" borderId="1" xfId="0" applyNumberFormat="1" applyFont="1" applyBorder="1" applyAlignment="1" applyProtection="1">
      <alignment horizontal="center" vertical="center" wrapText="1"/>
      <protection locked="0"/>
    </xf>
    <xf numFmtId="164" fontId="3" fillId="0" borderId="1" xfId="0" applyNumberFormat="1" applyFont="1" applyBorder="1" applyAlignment="1" applyProtection="1">
      <alignment horizontal="center" vertical="center"/>
      <protection locked="0"/>
    </xf>
    <xf numFmtId="164" fontId="3" fillId="0" borderId="1" xfId="0" applyNumberFormat="1" applyFont="1" applyBorder="1" applyAlignment="1" applyProtection="1">
      <alignment horizontal="center" vertical="center" wrapText="1"/>
      <protection locked="0"/>
    </xf>
    <xf numFmtId="9" fontId="3" fillId="0" borderId="1" xfId="1" applyFont="1" applyBorder="1" applyAlignment="1">
      <alignment horizontal="center" vertical="center"/>
    </xf>
    <xf numFmtId="9" fontId="3" fillId="0" borderId="1" xfId="1" applyFont="1" applyFill="1" applyBorder="1" applyAlignment="1">
      <alignment horizontal="center" vertical="center"/>
    </xf>
    <xf numFmtId="9" fontId="3" fillId="0" borderId="1" xfId="1" applyFont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center" vertical="center" wrapText="1"/>
    </xf>
    <xf numFmtId="0" fontId="9" fillId="0" borderId="10" xfId="0" applyFont="1" applyBorder="1" applyAlignment="1">
      <alignment vertical="center"/>
    </xf>
    <xf numFmtId="0" fontId="9" fillId="0" borderId="11" xfId="0" applyFont="1" applyBorder="1" applyAlignment="1">
      <alignment vertical="center"/>
    </xf>
    <xf numFmtId="0" fontId="9" fillId="0" borderId="12" xfId="0" applyFont="1" applyBorder="1" applyAlignment="1">
      <alignment vertical="center"/>
    </xf>
    <xf numFmtId="0" fontId="9" fillId="0" borderId="10" xfId="0" applyFont="1" applyBorder="1" applyAlignment="1">
      <alignment vertical="center" wrapText="1"/>
    </xf>
    <xf numFmtId="0" fontId="9" fillId="0" borderId="11" xfId="0" applyFont="1" applyBorder="1" applyAlignment="1">
      <alignment vertical="center" wrapText="1"/>
    </xf>
    <xf numFmtId="0" fontId="9" fillId="0" borderId="12" xfId="0" applyFont="1" applyBorder="1" applyAlignment="1">
      <alignment vertical="center" wrapText="1"/>
    </xf>
    <xf numFmtId="9" fontId="3" fillId="0" borderId="2" xfId="1" applyFont="1" applyBorder="1" applyAlignment="1" applyProtection="1">
      <alignment horizontal="center" vertical="center" wrapText="1"/>
      <protection locked="0"/>
    </xf>
    <xf numFmtId="9" fontId="3" fillId="0" borderId="2" xfId="1" applyFont="1" applyBorder="1" applyAlignment="1" applyProtection="1">
      <alignment horizontal="center" vertical="center"/>
      <protection locked="0"/>
    </xf>
    <xf numFmtId="9" fontId="3" fillId="0" borderId="1" xfId="1" applyFont="1" applyFill="1" applyBorder="1" applyAlignment="1" applyProtection="1">
      <alignment horizontal="center" vertical="center"/>
      <protection locked="0"/>
    </xf>
    <xf numFmtId="9" fontId="3" fillId="0" borderId="1" xfId="1" applyFont="1" applyBorder="1" applyAlignment="1" applyProtection="1">
      <alignment horizontal="center" vertical="center" wrapText="1"/>
      <protection locked="0"/>
    </xf>
    <xf numFmtId="9" fontId="3" fillId="0" borderId="1" xfId="1" applyFont="1" applyBorder="1" applyAlignment="1" applyProtection="1">
      <alignment horizontal="center" vertical="center"/>
      <protection locked="0"/>
    </xf>
    <xf numFmtId="12" fontId="3" fillId="0" borderId="1" xfId="0" applyNumberFormat="1" applyFont="1" applyBorder="1" applyAlignment="1" applyProtection="1">
      <alignment horizontal="center" vertical="center" wrapText="1"/>
      <protection locked="0"/>
    </xf>
    <xf numFmtId="44" fontId="3" fillId="0" borderId="1" xfId="2" applyFont="1" applyBorder="1" applyAlignment="1" applyProtection="1">
      <alignment horizontal="center" vertical="center"/>
      <protection locked="0"/>
    </xf>
    <xf numFmtId="44" fontId="3" fillId="0" borderId="1" xfId="2" applyFont="1" applyBorder="1" applyAlignment="1" applyProtection="1">
      <alignment horizontal="center" vertical="center" wrapText="1"/>
      <protection locked="0"/>
    </xf>
    <xf numFmtId="12" fontId="14" fillId="0" borderId="1" xfId="0" applyNumberFormat="1" applyFont="1" applyBorder="1" applyAlignment="1" applyProtection="1">
      <alignment horizontal="center" vertical="center" wrapText="1"/>
      <protection locked="0"/>
    </xf>
    <xf numFmtId="0" fontId="1" fillId="4" borderId="0" xfId="0" applyFont="1" applyFill="1" applyAlignment="1">
      <alignment horizontal="center" vertical="center"/>
    </xf>
    <xf numFmtId="0" fontId="15" fillId="4" borderId="7" xfId="0" applyFont="1" applyFill="1" applyBorder="1" applyAlignment="1">
      <alignment horizontal="center" vertical="center"/>
    </xf>
    <xf numFmtId="9" fontId="15" fillId="4" borderId="7" xfId="0" applyNumberFormat="1" applyFont="1" applyFill="1" applyBorder="1" applyAlignment="1">
      <alignment horizontal="center" vertical="center"/>
    </xf>
    <xf numFmtId="0" fontId="15" fillId="4" borderId="7" xfId="0" applyFont="1" applyFill="1" applyBorder="1" applyAlignment="1" applyProtection="1">
      <alignment horizontal="center" vertical="center"/>
      <protection locked="0"/>
    </xf>
    <xf numFmtId="43" fontId="15" fillId="4" borderId="7" xfId="0" applyNumberFormat="1" applyFont="1" applyFill="1" applyBorder="1" applyAlignment="1" applyProtection="1">
      <alignment horizontal="center" vertical="center"/>
      <protection locked="0"/>
    </xf>
    <xf numFmtId="43" fontId="15" fillId="5" borderId="7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 vertical="center" wrapText="1"/>
    </xf>
    <xf numFmtId="0" fontId="15" fillId="4" borderId="7" xfId="0" applyFont="1" applyFill="1" applyBorder="1" applyAlignment="1">
      <alignment horizontal="center" vertical="center" wrapText="1"/>
    </xf>
    <xf numFmtId="9" fontId="3" fillId="3" borderId="2" xfId="1" applyFont="1" applyFill="1" applyBorder="1" applyAlignment="1">
      <alignment horizontal="center" vertical="center" wrapText="1"/>
    </xf>
    <xf numFmtId="9" fontId="3" fillId="0" borderId="2" xfId="1" applyFont="1" applyBorder="1" applyAlignment="1">
      <alignment horizontal="center" vertical="center" wrapText="1"/>
    </xf>
    <xf numFmtId="44" fontId="3" fillId="0" borderId="2" xfId="0" applyNumberFormat="1" applyFont="1" applyBorder="1" applyAlignment="1" applyProtection="1">
      <alignment horizontal="center" vertical="center" wrapText="1"/>
      <protection locked="0"/>
    </xf>
    <xf numFmtId="44" fontId="3" fillId="0" borderId="2" xfId="0" applyNumberFormat="1" applyFont="1" applyBorder="1" applyAlignment="1" applyProtection="1">
      <alignment horizontal="right" vertical="center" wrapText="1"/>
      <protection locked="0"/>
    </xf>
    <xf numFmtId="44" fontId="3" fillId="0" borderId="2" xfId="2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 wrapText="1"/>
    </xf>
    <xf numFmtId="9" fontId="3" fillId="0" borderId="2" xfId="1" applyFont="1" applyBorder="1" applyAlignment="1" applyProtection="1">
      <alignment horizontal="center" vertical="center" wrapText="1"/>
    </xf>
    <xf numFmtId="49" fontId="3" fillId="0" borderId="1" xfId="0" applyNumberFormat="1" applyFont="1" applyBorder="1" applyAlignment="1" applyProtection="1">
      <alignment horizontal="center" vertical="center" wrapText="1"/>
      <protection locked="0"/>
    </xf>
    <xf numFmtId="44" fontId="3" fillId="0" borderId="1" xfId="0" applyNumberFormat="1" applyFont="1" applyBorder="1" applyAlignment="1" applyProtection="1">
      <alignment horizontal="right" vertical="center" wrapText="1"/>
      <protection locked="0"/>
    </xf>
    <xf numFmtId="0" fontId="3" fillId="0" borderId="1" xfId="1" applyNumberFormat="1" applyFont="1" applyFill="1" applyBorder="1" applyAlignment="1">
      <alignment horizontal="center" vertical="center"/>
    </xf>
    <xf numFmtId="12" fontId="3" fillId="0" borderId="1" xfId="0" applyNumberFormat="1" applyFont="1" applyBorder="1" applyAlignment="1" applyProtection="1">
      <alignment horizontal="center" vertical="center"/>
      <protection locked="0"/>
    </xf>
    <xf numFmtId="44" fontId="3" fillId="0" borderId="1" xfId="2" applyFont="1" applyFill="1" applyBorder="1" applyAlignment="1" applyProtection="1">
      <alignment horizontal="center" vertical="center"/>
      <protection locked="0"/>
    </xf>
    <xf numFmtId="44" fontId="3" fillId="0" borderId="1" xfId="2" applyFont="1" applyFill="1" applyBorder="1" applyAlignment="1" applyProtection="1">
      <alignment horizontal="center" vertical="center" wrapText="1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3" fillId="6" borderId="1" xfId="0" applyFont="1" applyFill="1" applyBorder="1" applyAlignment="1" applyProtection="1">
      <alignment horizontal="center" vertical="center"/>
      <protection locked="0"/>
    </xf>
    <xf numFmtId="0" fontId="8" fillId="0" borderId="8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</cellXfs>
  <cellStyles count="3">
    <cellStyle name="Moneda" xfId="2" builtinId="4"/>
    <cellStyle name="Normal" xfId="0" builtinId="0"/>
    <cellStyle name="Porcentaje" xfId="1" builtinId="5"/>
  </cellStyles>
  <dxfs count="130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5" formatCode="_-* #,##0.00_-;\-* #,##0.00_-;_-* &quot;-&quot;??_-;_-@_-"/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5" formatCode="_-* #,##0.00_-;\-* #,##0.00_-;_-* &quot;-&quot;??_-;_-@_-"/>
      <fill>
        <patternFill patternType="solid">
          <fgColor indexed="64"/>
          <bgColor theme="4" tint="0.399975585192419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5" formatCode="_-* #,##0.00_-;\-* #,##0.00_-;_-* &quot;-&quot;??_-;_-@_-"/>
      <fill>
        <patternFill patternType="solid">
          <fgColor indexed="64"/>
          <bgColor theme="4" tint="0.399975585192419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5" formatCode="_-* #,##0.00_-;\-* #,##0.00_-;_-* &quot;-&quot;??_-;_-@_-"/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5" formatCode="_-* #,##0.00_-;\-* #,##0.00_-;_-* &quot;-&quot;??_-;_-@_-"/>
      <fill>
        <patternFill patternType="solid">
          <fgColor indexed="64"/>
          <bgColor theme="4" tint="0.399975585192419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4" formatCode="_-&quot;$&quot;\ * #,##0.00_-;\-&quot;$&quot;\ * #,##0.00_-;_-&quot;$&quot;\ * &quot;-&quot;??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5" formatCode="_-* #,##0.00_-;\-* #,##0.00_-;_-* &quot;-&quot;??_-;_-@_-"/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5" formatCode="_-* #,##0.00_-;\-* #,##0.00_-;_-* &quot;-&quot;??_-;_-@_-"/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5" formatCode="_-* #,##0.00_-;\-* #,##0.00_-;_-* &quot;-&quot;??_-;_-@_-"/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5" formatCode="_-* #,##0.00_-;\-* #,##0.00_-;_-* &quot;-&quot;??_-;_-@_-"/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5" formatCode="_-* #,##0.00_-;\-* #,##0.00_-;_-* &quot;-&quot;??_-;_-@_-"/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5" formatCode="_-* #,##0.00_-;\-* #,##0.00_-;_-* &quot;-&quot;??_-;_-@_-"/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5" formatCode="_-* #,##0.00_-;\-* #,##0.00_-;_-* &quot;-&quot;??_-;_-@_-"/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5" formatCode="_-* #,##0.00_-;\-* #,##0.00_-;_-* &quot;-&quot;??_-;_-@_-"/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5" formatCode="_-* #,##0.00_-;\-* #,##0.00_-;_-* &quot;-&quot;??_-;_-@_-"/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5" formatCode="_-* #,##0.00_-;\-* #,##0.00_-;_-* &quot;-&quot;??_-;_-@_-"/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5" formatCode="_-* #,##0.00_-;\-* #,##0.00_-;_-* &quot;-&quot;??_-;_-@_-"/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5" formatCode="_-* #,##0.00_-;\-* #,##0.00_-;_-* &quot;-&quot;??_-;_-@_-"/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5" formatCode="_-* #,##0.00_-;\-* #,##0.00_-;_-* &quot;-&quot;??_-;_-@_-"/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5" formatCode="_-* #,##0.00_-;\-* #,##0.00_-;_-* &quot;-&quot;??_-;_-@_-"/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5" formatCode="_-* #,##0.00_-;\-* #,##0.00_-;_-* &quot;-&quot;??_-;_-@_-"/>
      <fill>
        <patternFill patternType="solid">
          <fgColor indexed="64"/>
          <bgColor theme="4" tint="0.399975585192419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5" formatCode="_-* #,##0.00_-;\-* #,##0.00_-;_-* &quot;-&quot;??_-;_-@_-"/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5" formatCode="_-* #,##0.00_-;\-* #,##0.00_-;_-* &quot;-&quot;??_-;_-@_-"/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5" formatCode="_-* #,##0.00_-;\-* #,##0.00_-;_-* &quot;-&quot;??_-;_-@_-"/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5" formatCode="_-* #,##0.00_-;\-* #,##0.00_-;_-* &quot;-&quot;??_-;_-@_-"/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5" formatCode="_-* #,##0.00_-;\-* #,##0.00_-;_-* &quot;-&quot;??_-;_-@_-"/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5" formatCode="_-* #,##0.00_-;\-* #,##0.00_-;_-* &quot;-&quot;??_-;_-@_-"/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5" formatCode="_-* #,##0.00_-;\-* #,##0.00_-;_-* &quot;-&quot;??_-;_-@_-"/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5" formatCode="_-* #,##0.00_-;\-* #,##0.00_-;_-* &quot;-&quot;??_-;_-@_-"/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5" formatCode="_-* #,##0.00_-;\-* #,##0.00_-;_-* &quot;-&quot;??_-;_-@_-"/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5" formatCode="_-* #,##0.00_-;\-* #,##0.00_-;_-* &quot;-&quot;??_-;_-@_-"/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5" formatCode="_-* #,##0.00_-;\-* #,##0.00_-;_-* &quot;-&quot;??_-;_-@_-"/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5" formatCode="_-* #,##0.00_-;\-* #,##0.00_-;_-* &quot;-&quot;??_-;_-@_-"/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5" formatCode="_-* #,##0.00_-;\-* #,##0.00_-;_-* &quot;-&quot;??_-;_-@_-"/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5" formatCode="_-* #,##0.00_-;\-* #,##0.00_-;_-* &quot;-&quot;??_-;_-@_-"/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3" formatCode="0%"/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3" formatCode="0%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0" formatCode="General"/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0" formatCode="General"/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solid">
          <fgColor indexed="64"/>
          <bgColor rgb="FFFFFF0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solid">
          <fgColor indexed="64"/>
          <bgColor rgb="FFFFFF0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</font>
      <fill>
        <patternFill patternType="solid">
          <fgColor indexed="64"/>
          <bgColor rgb="FFFFFF00"/>
        </patternFill>
      </fill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border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none"/>
      </font>
      <fill>
        <patternFill patternType="solid">
          <fgColor indexed="64"/>
          <bgColor rgb="FF00206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theme="6" tint="0.39994506668294322"/>
          <bgColor theme="6" tint="0.39994506668294322"/>
        </patternFill>
      </fill>
    </dxf>
    <dxf>
      <fill>
        <patternFill>
          <bgColor theme="9" tint="0.39994506668294322"/>
        </patternFill>
      </fill>
    </dxf>
  </dxfs>
  <tableStyles count="4" defaultTableStyle="TableStyleMedium2" defaultPivotStyle="PivotStyleLight16">
    <tableStyle name="Estilo de tabla 1" pivot="0" count="0" xr9:uid="{00000000-0011-0000-FFFF-FFFF00000000}"/>
    <tableStyle name="Estilo de tabla 2" pivot="0" count="0" xr9:uid="{00000000-0011-0000-FFFF-FFFF01000000}"/>
    <tableStyle name="Estilo de tabla 3" pivot="0" count="1" xr9:uid="{00000000-0011-0000-FFFF-FFFF02000000}">
      <tableStyleElement type="firstRowStripe" dxfId="129"/>
    </tableStyle>
    <tableStyle name="Estilo de tabla 4" pivot="0" count="1" xr9:uid="{00000000-0011-0000-FFFF-FFFF03000000}">
      <tableStyleElement type="firstRowStripe" dxfId="128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952500</xdr:colOff>
      <xdr:row>0</xdr:row>
      <xdr:rowOff>174625</xdr:rowOff>
    </xdr:from>
    <xdr:to>
      <xdr:col>1</xdr:col>
      <xdr:colOff>940130</xdr:colOff>
      <xdr:row>3</xdr:row>
      <xdr:rowOff>310670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B1176EF0-2A5C-C983-5948-17B0A34172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00" y="174625"/>
          <a:ext cx="1583377" cy="1286467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A10:BJ79" totalsRowCount="1" headerRowDxfId="127" dataDxfId="125" totalsRowDxfId="123" headerRowBorderDxfId="126" tableBorderDxfId="124">
  <autoFilter ref="A10:BJ78" xr:uid="{00000000-0009-0000-0100-000001000000}"/>
  <tableColumns count="62">
    <tableColumn id="1" xr3:uid="{00000000-0010-0000-0000-000001000000}" name=" Consecutivo PDM" dataDxfId="122" totalsRowDxfId="121"/>
    <tableColumn id="2" xr3:uid="{00000000-0010-0000-0000-000002000000}" name="Linea Estratégica" dataDxfId="120" totalsRowDxfId="119"/>
    <tableColumn id="5" xr3:uid="{00000000-0010-0000-0000-000005000000}" name="Sector" dataDxfId="118" totalsRowDxfId="117"/>
    <tableColumn id="14" xr3:uid="{00000000-0010-0000-0000-00000E000000}" name="Cod. Programa" dataDxfId="116" totalsRowDxfId="115"/>
    <tableColumn id="15" xr3:uid="{00000000-0010-0000-0000-00000F000000}" name="Programa" dataDxfId="114" totalsRowDxfId="113"/>
    <tableColumn id="16" xr3:uid="{00000000-0010-0000-0000-000010000000}" name="Cod. de Producto" dataDxfId="112" totalsRowDxfId="111"/>
    <tableColumn id="17" xr3:uid="{00000000-0010-0000-0000-000011000000}" name="Meta de Producto" dataDxfId="110" totalsRowDxfId="109"/>
    <tableColumn id="18" xr3:uid="{00000000-0010-0000-0000-000012000000}" name="Cod. Indicador de Producto" dataDxfId="108" totalsRowDxfId="107"/>
    <tableColumn id="19" xr3:uid="{00000000-0010-0000-0000-000013000000}" name="Indicador de Producto" dataDxfId="106" totalsRowDxfId="105"/>
    <tableColumn id="20" xr3:uid="{00000000-0010-0000-0000-000014000000}" name="LÍnea Base" dataDxfId="104" totalsRowDxfId="103"/>
    <tableColumn id="21" xr3:uid="{00000000-0010-0000-0000-000015000000}" name="Unidad de Medida2" dataDxfId="102" totalsRowDxfId="101"/>
    <tableColumn id="22" xr3:uid="{00000000-0010-0000-0000-000016000000}" name="Tipo de Meta" dataDxfId="100" totalsRowDxfId="99"/>
    <tableColumn id="23" xr3:uid="{00000000-0010-0000-0000-000017000000}" name="Meta Programada Cuatrienio3" dataDxfId="98" totalsRowDxfId="97"/>
    <tableColumn id="24" xr3:uid="{00000000-0010-0000-0000-000018000000}" name="Meta Programada Vigencia" dataDxfId="96" totalsRowDxfId="95"/>
    <tableColumn id="25" xr3:uid="{00000000-0010-0000-0000-000019000000}" name="Meta Ejecutada Vigencia4" dataDxfId="94" totalsRowDxfId="93">
      <calculatedColumnFormula>1476+520+18223</calculatedColumnFormula>
    </tableColumn>
    <tableColumn id="26" xr3:uid="{00000000-0010-0000-0000-00001A000000}" name="Porcentaje Avance Vigencia" dataDxfId="92" totalsRowDxfId="91">
      <calculatedColumnFormula>+(Tabla1[[#This Row],[Meta Ejecutada Vigencia4]]/Tabla1[[#This Row],[Meta Programada Vigencia]])</calculatedColumnFormula>
    </tableColumn>
    <tableColumn id="27" xr3:uid="{00000000-0010-0000-0000-00001B000000}" name="Porcentaje Avance Cuatrienio" dataDxfId="90" totalsRowDxfId="89" dataCellStyle="Porcentaje">
      <calculatedColumnFormula>+Tabla1[[#This Row],[Meta Ejecutada Vigencia4]]/Tabla1[[#This Row],[Meta Programada Cuatrienio3]]/4</calculatedColumnFormula>
    </tableColumn>
    <tableColumn id="28" xr3:uid="{00000000-0010-0000-0000-00001C000000}" name="Código BPIN" dataDxfId="88" totalsRowDxfId="87"/>
    <tableColumn id="29" xr3:uid="{00000000-0010-0000-0000-00001D000000}" name="Nombre del Proyecto" dataDxfId="86" totalsRowDxfId="85"/>
    <tableColumn id="30" xr3:uid="{00000000-0010-0000-0000-00001E000000}" name="Valor del Proyecto" dataDxfId="84" totalsRowDxfId="83"/>
    <tableColumn id="31" xr3:uid="{00000000-0010-0000-0000-00001F000000}" name="Valor Vigencia Proyecto" dataDxfId="82" totalsRowDxfId="81"/>
    <tableColumn id="32" xr3:uid="{00000000-0010-0000-0000-000020000000}" name="Comuna o Barrio Beneficiado" dataDxfId="80" totalsRowDxfId="79"/>
    <tableColumn id="33" xr3:uid="{00000000-0010-0000-0000-000021000000}" name="Población Beneficiada" dataDxfId="78" totalsRowDxfId="77"/>
    <tableColumn id="34" xr3:uid="{00000000-0010-0000-0000-000022000000}" name="Número de Beneficiarios" dataDxfId="76" totalsRowDxfId="75"/>
    <tableColumn id="44" xr3:uid="{00000000-0010-0000-0000-00002C000000}" name="Actividades Realizadas" dataDxfId="74" totalsRowDxfId="73"/>
    <tableColumn id="46" xr3:uid="{00000000-0010-0000-0000-00002E000000}" name="Recursos propios 2024" totalsRowFunction="sum" dataDxfId="72" totalsRowDxfId="71"/>
    <tableColumn id="47" xr3:uid="{00000000-0010-0000-0000-00002F000000}" name="SGP Educación 2024" totalsRowFunction="sum" dataDxfId="70" totalsRowDxfId="69"/>
    <tableColumn id="48" xr3:uid="{00000000-0010-0000-0000-000030000000}" name="SGP Salud 2024" totalsRowFunction="sum" dataDxfId="68" totalsRowDxfId="67"/>
    <tableColumn id="36" xr3:uid="{00000000-0010-0000-0000-000024000000}" name="SGP Deporte 2024" totalsRowFunction="sum" dataDxfId="66" totalsRowDxfId="65"/>
    <tableColumn id="35" xr3:uid="{00000000-0010-0000-0000-000023000000}" name="SGP Cultura 2024" totalsRowFunction="sum" dataDxfId="64" totalsRowDxfId="63"/>
    <tableColumn id="13" xr3:uid="{00000000-0010-0000-0000-00000D000000}" name="SGP Libre inversión 2024" totalsRowFunction="sum" dataDxfId="62" totalsRowDxfId="61"/>
    <tableColumn id="12" xr3:uid="{00000000-0010-0000-0000-00000C000000}" name="SGP Libre destinación 2024" totalsRowFunction="sum" dataDxfId="60" totalsRowDxfId="59"/>
    <tableColumn id="11" xr3:uid="{00000000-0010-0000-0000-00000B000000}" name="SGP Alimentación escolar 2024" totalsRowFunction="sum" dataDxfId="58" totalsRowDxfId="57"/>
    <tableColumn id="10" xr3:uid="{00000000-0010-0000-0000-00000A000000}" name="SGP Municipios río Magdalena 2024" totalsRowFunction="sum" dataDxfId="56" totalsRowDxfId="55"/>
    <tableColumn id="9" xr3:uid="{00000000-0010-0000-0000-000009000000}" name="SGP APSB 2024" totalsRowFunction="sum" dataDxfId="54" totalsRowDxfId="53"/>
    <tableColumn id="8" xr3:uid="{00000000-0010-0000-0000-000008000000}" name="Crédito 2024" totalsRowFunction="sum" dataDxfId="52" totalsRowDxfId="51"/>
    <tableColumn id="7" xr3:uid="{00000000-0010-0000-0000-000007000000}" name="Transferencias de capital - cofinanciación departamento 2024" totalsRowFunction="sum" dataDxfId="50" totalsRowDxfId="49"/>
    <tableColumn id="6" xr3:uid="{00000000-0010-0000-0000-000006000000}" name="Transferencias de capital - cofinanciación nación 2024" totalsRowFunction="sum" dataDxfId="48" totalsRowDxfId="47"/>
    <tableColumn id="49" xr3:uid="{00000000-0010-0000-0000-000031000000}" name="Otros 2024" totalsRowFunction="sum" dataDxfId="46" totalsRowDxfId="45"/>
    <tableColumn id="50" xr3:uid="{00000000-0010-0000-0000-000032000000}" name="Total 2024" totalsRowFunction="sum" totalsRowDxfId="44">
      <calculatedColumnFormula>SUM(Tabla1[[#This Row],[Recursos propios 2024]:[Otros 2024]])</calculatedColumnFormula>
    </tableColumn>
    <tableColumn id="51" xr3:uid="{00000000-0010-0000-0000-000033000000}" name="Recursos propios 20242" totalsRowFunction="sum" dataDxfId="43" totalsRowDxfId="42"/>
    <tableColumn id="52" xr3:uid="{00000000-0010-0000-0000-000034000000}" name="SGP Educación 20243" totalsRowFunction="sum" dataDxfId="41" totalsRowDxfId="40"/>
    <tableColumn id="53" xr3:uid="{00000000-0010-0000-0000-000035000000}" name="SGP Salud 20244" totalsRowFunction="sum" dataDxfId="39" totalsRowDxfId="38"/>
    <tableColumn id="62" xr3:uid="{00000000-0010-0000-0000-00003E000000}" name="SGP Deporte 20245" totalsRowFunction="sum" dataDxfId="37" totalsRowDxfId="36"/>
    <tableColumn id="61" xr3:uid="{00000000-0010-0000-0000-00003D000000}" name="SGP Cultura 20246" totalsRowFunction="sum" dataDxfId="35" totalsRowDxfId="34"/>
    <tableColumn id="45" xr3:uid="{00000000-0010-0000-0000-00002D000000}" name="SGP Libre inversión 20247" totalsRowFunction="sum" dataDxfId="33" totalsRowDxfId="32"/>
    <tableColumn id="43" xr3:uid="{00000000-0010-0000-0000-00002B000000}" name="SGP Libre destinación 20248" totalsRowFunction="sum" dataDxfId="31" totalsRowDxfId="30"/>
    <tableColumn id="42" xr3:uid="{00000000-0010-0000-0000-00002A000000}" name="SGP Alimentación escolar 20249" totalsRowFunction="sum" dataDxfId="29" totalsRowDxfId="28"/>
    <tableColumn id="41" xr3:uid="{00000000-0010-0000-0000-000029000000}" name="SGP Municipios río Magdalena 202410" totalsRowFunction="sum" dataDxfId="27" totalsRowDxfId="26"/>
    <tableColumn id="40" xr3:uid="{00000000-0010-0000-0000-000028000000}" name="SGP APSB 202411" totalsRowFunction="sum" dataDxfId="25" totalsRowDxfId="24"/>
    <tableColumn id="39" xr3:uid="{00000000-0010-0000-0000-000027000000}" name="Crédito 202412" totalsRowFunction="sum" dataDxfId="23" totalsRowDxfId="22"/>
    <tableColumn id="38" xr3:uid="{00000000-0010-0000-0000-000026000000}" name="Transferencias de capital - cofinanciación departamento 202413" totalsRowFunction="sum" dataDxfId="21" totalsRowDxfId="20"/>
    <tableColumn id="37" xr3:uid="{00000000-0010-0000-0000-000025000000}" name="Transferencias de capital - cofinanciación nación 202414" totalsRowFunction="sum" dataDxfId="19" totalsRowDxfId="18"/>
    <tableColumn id="54" xr3:uid="{00000000-0010-0000-0000-000036000000}" name="Otros 202415" totalsRowFunction="sum" dataDxfId="17" totalsRowDxfId="16"/>
    <tableColumn id="55" xr3:uid="{00000000-0010-0000-0000-000037000000}" name="Total Comprometido 2024" totalsRowFunction="sum" dataDxfId="15" totalsRowDxfId="14">
      <calculatedColumnFormula>SUM(Tabla1[[#This Row],[Recursos propios 20242]:[Otros 202415]])</calculatedColumnFormula>
    </tableColumn>
    <tableColumn id="56" xr3:uid="{00000000-0010-0000-0000-000038000000}" name="Ejecución Presupuestal" dataDxfId="13" totalsRowDxfId="12" dataCellStyle="Porcentaje">
      <calculatedColumnFormula>+Tabla1[[#This Row],[Total Comprometido 2024]]/Tabla1[[#This Row],[Total 2024]]</calculatedColumnFormula>
    </tableColumn>
    <tableColumn id="3" xr3:uid="{00000000-0010-0000-0000-000003000000}" name="Total Recursos Obligados" totalsRowFunction="sum" dataDxfId="11" totalsRowDxfId="10"/>
    <tableColumn id="4" xr3:uid="{00000000-0010-0000-0000-000004000000}" name="Total Recursos Pagados" totalsRowFunction="sum" dataDxfId="9" totalsRowDxfId="8"/>
    <tableColumn id="57" xr3:uid="{00000000-0010-0000-0000-000039000000}" name="Recursos Gestionados" totalsRowFunction="sum" dataDxfId="7" totalsRowDxfId="6"/>
    <tableColumn id="58" xr3:uid="{00000000-0010-0000-0000-00003A000000}" name="Dependencia" dataDxfId="5" totalsRowDxfId="4"/>
    <tableColumn id="59" xr3:uid="{00000000-0010-0000-0000-00003B000000}" name="Responsable" dataDxfId="3" totalsRowDxfId="2"/>
    <tableColumn id="60" xr3:uid="{00000000-0010-0000-0000-00003C000000}" name="ODS" dataDxfId="1" totalsRowDxfId="0"/>
  </tableColumns>
  <tableStyleInfo name="Estilo de tabla 3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-0.249977111117893"/>
  </sheetPr>
  <dimension ref="A1:BJ79"/>
  <sheetViews>
    <sheetView showGridLines="0" tabSelected="1" zoomScale="80" zoomScaleNormal="80" workbookViewId="0">
      <selection activeCell="C11" sqref="C11"/>
    </sheetView>
  </sheetViews>
  <sheetFormatPr baseColWidth="10" defaultColWidth="11.42578125" defaultRowHeight="15" x14ac:dyDescent="0.25"/>
  <cols>
    <col min="1" max="1" width="24" style="9" customWidth="1"/>
    <col min="2" max="2" width="36.140625" style="9" customWidth="1"/>
    <col min="3" max="3" width="20.42578125" style="9" customWidth="1"/>
    <col min="4" max="4" width="19.140625" style="9" customWidth="1"/>
    <col min="5" max="5" width="25.7109375" style="9" customWidth="1"/>
    <col min="6" max="6" width="21.7109375" style="9" customWidth="1"/>
    <col min="7" max="7" width="24.28515625" style="56" customWidth="1"/>
    <col min="8" max="8" width="31.7109375" style="9" customWidth="1"/>
    <col min="9" max="9" width="26.28515625" style="56" customWidth="1"/>
    <col min="10" max="10" width="14.140625" style="9" customWidth="1"/>
    <col min="11" max="11" width="23.28515625" style="9" customWidth="1"/>
    <col min="12" max="12" width="16.7109375" style="9" customWidth="1"/>
    <col min="13" max="13" width="33.85546875" style="9" customWidth="1"/>
    <col min="14" max="14" width="34.42578125" style="9" customWidth="1"/>
    <col min="15" max="15" width="30.42578125" style="9" customWidth="1"/>
    <col min="16" max="16" width="27.5703125" style="10" customWidth="1"/>
    <col min="17" max="17" width="33.7109375" style="11" customWidth="1"/>
    <col min="18" max="18" width="20.140625" style="9" bestFit="1" customWidth="1"/>
    <col min="19" max="19" width="37.140625" style="9" customWidth="1"/>
    <col min="20" max="20" width="26.140625" style="9" bestFit="1" customWidth="1"/>
    <col min="21" max="21" width="28.42578125" style="9" customWidth="1"/>
    <col min="22" max="22" width="31.28515625" style="9" customWidth="1"/>
    <col min="23" max="23" width="23.42578125" style="9" customWidth="1"/>
    <col min="24" max="24" width="20.140625" style="9" customWidth="1"/>
    <col min="25" max="25" width="36.5703125" style="9" customWidth="1"/>
    <col min="26" max="26" width="23.7109375" style="9" bestFit="1" customWidth="1"/>
    <col min="27" max="27" width="17.5703125" style="9" customWidth="1"/>
    <col min="28" max="30" width="18.42578125" style="9" customWidth="1"/>
    <col min="31" max="31" width="22.28515625" style="9" bestFit="1" customWidth="1"/>
    <col min="32" max="34" width="18.42578125" style="9" customWidth="1"/>
    <col min="35" max="35" width="22.5703125" style="9" bestFit="1" customWidth="1"/>
    <col min="36" max="39" width="18.42578125" style="9" customWidth="1"/>
    <col min="40" max="41" width="24.42578125" style="9" customWidth="1"/>
    <col min="42" max="45" width="19" style="9" customWidth="1"/>
    <col min="46" max="46" width="21" style="9" bestFit="1" customWidth="1"/>
    <col min="47" max="49" width="19" style="9" customWidth="1"/>
    <col min="50" max="50" width="21.42578125" style="9" bestFit="1" customWidth="1"/>
    <col min="51" max="51" width="19" style="9" customWidth="1"/>
    <col min="52" max="52" width="26.5703125" style="9" customWidth="1"/>
    <col min="53" max="53" width="25.42578125" style="9" customWidth="1"/>
    <col min="54" max="54" width="19" style="9" customWidth="1"/>
    <col min="55" max="55" width="22.5703125" style="9" customWidth="1"/>
    <col min="56" max="58" width="27.42578125" style="9" customWidth="1"/>
    <col min="59" max="59" width="25.85546875" style="9" customWidth="1"/>
    <col min="60" max="60" width="17.5703125" style="9" customWidth="1"/>
    <col min="61" max="61" width="19.5703125" style="9" customWidth="1"/>
    <col min="62" max="62" width="21.42578125" style="9" customWidth="1"/>
    <col min="63" max="63" width="22.85546875" style="1" bestFit="1" customWidth="1"/>
    <col min="64" max="64" width="33" style="1" bestFit="1" customWidth="1"/>
    <col min="65" max="65" width="28.85546875" style="1" bestFit="1" customWidth="1"/>
    <col min="66" max="66" width="58.42578125" style="1" bestFit="1" customWidth="1"/>
    <col min="67" max="67" width="26" style="1" bestFit="1" customWidth="1"/>
    <col min="68" max="68" width="24.42578125" style="1" bestFit="1" customWidth="1"/>
    <col min="69" max="69" width="35.42578125" style="1" bestFit="1" customWidth="1"/>
    <col min="70" max="70" width="30.42578125" style="1" bestFit="1" customWidth="1"/>
    <col min="71" max="71" width="31.42578125" style="1" bestFit="1" customWidth="1"/>
    <col min="72" max="72" width="38" style="1" bestFit="1" customWidth="1"/>
    <col min="73" max="73" width="40.140625" style="1" bestFit="1" customWidth="1"/>
    <col min="74" max="74" width="43.42578125" style="1" bestFit="1" customWidth="1"/>
    <col min="75" max="75" width="48.85546875" style="1" bestFit="1" customWidth="1"/>
    <col min="76" max="76" width="39.42578125" style="1" bestFit="1" customWidth="1"/>
    <col min="77" max="77" width="26.85546875" style="1" bestFit="1" customWidth="1"/>
    <col min="78" max="78" width="47" style="1" bestFit="1" customWidth="1"/>
    <col min="79" max="79" width="40" style="1" bestFit="1" customWidth="1"/>
    <col min="80" max="80" width="83.5703125" style="1" bestFit="1" customWidth="1"/>
    <col min="81" max="81" width="21.42578125" style="1" bestFit="1" customWidth="1"/>
    <col min="82" max="82" width="31.42578125" style="1" bestFit="1" customWidth="1"/>
    <col min="83" max="83" width="27.42578125" style="1" bestFit="1" customWidth="1"/>
    <col min="84" max="84" width="56.85546875" style="1" bestFit="1" customWidth="1"/>
    <col min="85" max="85" width="24.42578125" style="1" bestFit="1" customWidth="1"/>
    <col min="86" max="86" width="22.85546875" style="1" bestFit="1" customWidth="1"/>
    <col min="87" max="87" width="33.85546875" style="1" bestFit="1" customWidth="1"/>
    <col min="88" max="88" width="29" style="1" bestFit="1" customWidth="1"/>
    <col min="89" max="89" width="29.85546875" style="1" bestFit="1" customWidth="1"/>
    <col min="90" max="90" width="36.42578125" style="1" bestFit="1" customWidth="1"/>
    <col min="91" max="91" width="38.5703125" style="1" bestFit="1" customWidth="1"/>
    <col min="92" max="92" width="42" style="1" bestFit="1" customWidth="1"/>
    <col min="93" max="93" width="47.42578125" style="1" bestFit="1" customWidth="1"/>
    <col min="94" max="94" width="37.85546875" style="1" bestFit="1" customWidth="1"/>
    <col min="95" max="95" width="25.42578125" style="1" bestFit="1" customWidth="1"/>
    <col min="96" max="96" width="45.42578125" style="1" bestFit="1" customWidth="1"/>
    <col min="97" max="97" width="38.42578125" style="1" bestFit="1" customWidth="1"/>
    <col min="98" max="98" width="82.140625" style="1" bestFit="1" customWidth="1"/>
    <col min="99" max="99" width="22" style="1" bestFit="1" customWidth="1"/>
    <col min="100" max="100" width="32.140625" style="1" bestFit="1" customWidth="1"/>
    <col min="101" max="101" width="28" style="1" bestFit="1" customWidth="1"/>
    <col min="102" max="102" width="57.42578125" style="1" bestFit="1" customWidth="1"/>
    <col min="103" max="103" width="25.140625" style="1" bestFit="1" customWidth="1"/>
    <col min="104" max="104" width="23.42578125" style="1" bestFit="1" customWidth="1"/>
    <col min="105" max="105" width="34.42578125" style="1" bestFit="1" customWidth="1"/>
    <col min="106" max="106" width="29.42578125" style="1" bestFit="1" customWidth="1"/>
    <col min="107" max="107" width="30.42578125" style="1" bestFit="1" customWidth="1"/>
    <col min="108" max="108" width="37.140625" style="1" bestFit="1" customWidth="1"/>
    <col min="109" max="109" width="39.42578125" style="1" bestFit="1" customWidth="1"/>
    <col min="110" max="110" width="42.42578125" style="1" bestFit="1" customWidth="1"/>
    <col min="111" max="111" width="48" style="1" bestFit="1" customWidth="1"/>
    <col min="112" max="112" width="38.42578125" style="1" bestFit="1" customWidth="1"/>
    <col min="113" max="113" width="25.85546875" style="1" bestFit="1" customWidth="1"/>
    <col min="114" max="114" width="46" style="1" bestFit="1" customWidth="1"/>
    <col min="115" max="115" width="39.140625" style="1" bestFit="1" customWidth="1"/>
    <col min="116" max="116" width="82.5703125" style="1" bestFit="1" customWidth="1"/>
    <col min="117" max="117" width="20" style="1" bestFit="1" customWidth="1"/>
    <col min="118" max="118" width="30.140625" style="1" bestFit="1" customWidth="1"/>
    <col min="119" max="119" width="26" style="1" bestFit="1" customWidth="1"/>
    <col min="120" max="120" width="55.42578125" style="1" bestFit="1" customWidth="1"/>
    <col min="121" max="121" width="23.42578125" style="1" bestFit="1" customWidth="1"/>
    <col min="122" max="122" width="21.42578125" style="1" bestFit="1" customWidth="1"/>
    <col min="123" max="123" width="32.42578125" style="1" bestFit="1" customWidth="1"/>
    <col min="124" max="124" width="27.5703125" style="1" bestFit="1" customWidth="1"/>
    <col min="125" max="125" width="28.42578125" style="1" bestFit="1" customWidth="1"/>
    <col min="126" max="126" width="35.140625" style="1" bestFit="1" customWidth="1"/>
    <col min="127" max="127" width="37.42578125" style="1" bestFit="1" customWidth="1"/>
    <col min="128" max="128" width="40.42578125" style="1" bestFit="1" customWidth="1"/>
    <col min="129" max="129" width="46" style="1" bestFit="1" customWidth="1"/>
    <col min="130" max="130" width="36.42578125" style="1" bestFit="1" customWidth="1"/>
    <col min="131" max="131" width="24" style="1" bestFit="1" customWidth="1"/>
    <col min="132" max="132" width="44.140625" style="1" bestFit="1" customWidth="1"/>
    <col min="133" max="133" width="37.42578125" style="1" bestFit="1" customWidth="1"/>
    <col min="134" max="134" width="80.85546875" style="1" bestFit="1" customWidth="1"/>
    <col min="135" max="135" width="37.140625" style="1" bestFit="1" customWidth="1"/>
    <col min="136" max="136" width="22.85546875" style="1" bestFit="1" customWidth="1"/>
    <col min="137" max="137" width="33" style="1" bestFit="1" customWidth="1"/>
    <col min="138" max="138" width="28.85546875" style="1" bestFit="1" customWidth="1"/>
    <col min="139" max="139" width="58.42578125" style="1" bestFit="1" customWidth="1"/>
    <col min="140" max="140" width="26" style="1" bestFit="1" customWidth="1"/>
    <col min="141" max="141" width="24.42578125" style="1" bestFit="1" customWidth="1"/>
    <col min="142" max="142" width="35.42578125" style="1" bestFit="1" customWidth="1"/>
    <col min="143" max="143" width="30.42578125" style="1" bestFit="1" customWidth="1"/>
    <col min="144" max="144" width="31.42578125" style="1" bestFit="1" customWidth="1"/>
    <col min="145" max="145" width="38" style="1" bestFit="1" customWidth="1"/>
    <col min="146" max="146" width="40.140625" style="1" bestFit="1" customWidth="1"/>
    <col min="147" max="147" width="43.42578125" style="1" bestFit="1" customWidth="1"/>
    <col min="148" max="148" width="48.85546875" style="1" bestFit="1" customWidth="1"/>
    <col min="149" max="149" width="39.42578125" style="1" bestFit="1" customWidth="1"/>
    <col min="150" max="150" width="26.85546875" style="1" bestFit="1" customWidth="1"/>
    <col min="151" max="151" width="47" style="1" bestFit="1" customWidth="1"/>
    <col min="152" max="152" width="40" style="1" bestFit="1" customWidth="1"/>
    <col min="153" max="153" width="83.5703125" style="1" bestFit="1" customWidth="1"/>
    <col min="154" max="154" width="21.42578125" style="1" bestFit="1" customWidth="1"/>
    <col min="155" max="155" width="31.42578125" style="1" bestFit="1" customWidth="1"/>
    <col min="156" max="156" width="27.42578125" style="1" bestFit="1" customWidth="1"/>
    <col min="157" max="157" width="56.85546875" style="1" bestFit="1" customWidth="1"/>
    <col min="158" max="158" width="24.42578125" style="1" bestFit="1" customWidth="1"/>
    <col min="159" max="159" width="22.85546875" style="1" bestFit="1" customWidth="1"/>
    <col min="160" max="160" width="33.85546875" style="1" bestFit="1" customWidth="1"/>
    <col min="161" max="161" width="29" style="1" bestFit="1" customWidth="1"/>
    <col min="162" max="162" width="29.85546875" style="1" bestFit="1" customWidth="1"/>
    <col min="163" max="163" width="36.42578125" style="1" bestFit="1" customWidth="1"/>
    <col min="164" max="164" width="38.5703125" style="1" bestFit="1" customWidth="1"/>
    <col min="165" max="165" width="42" style="1" bestFit="1" customWidth="1"/>
    <col min="166" max="166" width="47.42578125" style="1" bestFit="1" customWidth="1"/>
    <col min="167" max="167" width="37.85546875" style="1" bestFit="1" customWidth="1"/>
    <col min="168" max="168" width="25.42578125" style="1" bestFit="1" customWidth="1"/>
    <col min="169" max="169" width="45.42578125" style="1" bestFit="1" customWidth="1"/>
    <col min="170" max="170" width="38.42578125" style="1" bestFit="1" customWidth="1"/>
    <col min="171" max="171" width="82.140625" style="1" bestFit="1" customWidth="1"/>
    <col min="172" max="172" width="22" style="1" bestFit="1" customWidth="1"/>
    <col min="173" max="173" width="32.140625" style="1" bestFit="1" customWidth="1"/>
    <col min="174" max="174" width="28" style="1" bestFit="1" customWidth="1"/>
    <col min="175" max="175" width="57.42578125" style="1" bestFit="1" customWidth="1"/>
    <col min="176" max="176" width="25.140625" style="1" bestFit="1" customWidth="1"/>
    <col min="177" max="177" width="23.42578125" style="1" bestFit="1" customWidth="1"/>
    <col min="178" max="178" width="34.42578125" style="1" bestFit="1" customWidth="1"/>
    <col min="179" max="179" width="29.42578125" style="1" bestFit="1" customWidth="1"/>
    <col min="180" max="180" width="30.42578125" style="1" bestFit="1" customWidth="1"/>
    <col min="181" max="181" width="37.140625" style="1" bestFit="1" customWidth="1"/>
    <col min="182" max="182" width="39.42578125" style="1" bestFit="1" customWidth="1"/>
    <col min="183" max="183" width="42.42578125" style="1" bestFit="1" customWidth="1"/>
    <col min="184" max="184" width="48" style="1" bestFit="1" customWidth="1"/>
    <col min="185" max="185" width="38.42578125" style="1" bestFit="1" customWidth="1"/>
    <col min="186" max="186" width="25.85546875" style="1" bestFit="1" customWidth="1"/>
    <col min="187" max="187" width="46" style="1" bestFit="1" customWidth="1"/>
    <col min="188" max="188" width="39.140625" style="1" bestFit="1" customWidth="1"/>
    <col min="189" max="189" width="82.5703125" style="1" bestFit="1" customWidth="1"/>
    <col min="190" max="190" width="20" style="1" bestFit="1" customWidth="1"/>
    <col min="191" max="191" width="30.140625" style="1" bestFit="1" customWidth="1"/>
    <col min="192" max="192" width="26" style="1" bestFit="1" customWidth="1"/>
    <col min="193" max="193" width="55.42578125" style="1" bestFit="1" customWidth="1"/>
    <col min="194" max="194" width="23.42578125" style="1" bestFit="1" customWidth="1"/>
    <col min="195" max="195" width="21.42578125" style="1" bestFit="1" customWidth="1"/>
    <col min="196" max="196" width="32.42578125" style="1" bestFit="1" customWidth="1"/>
    <col min="197" max="197" width="27.5703125" style="1" bestFit="1" customWidth="1"/>
    <col min="198" max="198" width="28.42578125" style="1" bestFit="1" customWidth="1"/>
    <col min="199" max="199" width="35.140625" style="1" bestFit="1" customWidth="1"/>
    <col min="200" max="200" width="37.42578125" style="1" bestFit="1" customWidth="1"/>
    <col min="201" max="201" width="40.42578125" style="1" bestFit="1" customWidth="1"/>
    <col min="202" max="202" width="46" style="1" bestFit="1" customWidth="1"/>
    <col min="203" max="203" width="36.42578125" style="1" bestFit="1" customWidth="1"/>
    <col min="204" max="204" width="24" style="1" bestFit="1" customWidth="1"/>
    <col min="205" max="205" width="44.140625" style="1" bestFit="1" customWidth="1"/>
    <col min="206" max="206" width="37.42578125" style="1" bestFit="1" customWidth="1"/>
    <col min="207" max="207" width="80.85546875" style="1" bestFit="1" customWidth="1"/>
    <col min="208" max="208" width="37.140625" style="1" bestFit="1" customWidth="1"/>
    <col min="209" max="209" width="22.85546875" style="1" bestFit="1" customWidth="1"/>
    <col min="210" max="210" width="33" style="1" bestFit="1" customWidth="1"/>
    <col min="211" max="211" width="28.85546875" style="1" bestFit="1" customWidth="1"/>
    <col min="212" max="212" width="58.42578125" style="1" bestFit="1" customWidth="1"/>
    <col min="213" max="213" width="26" style="1" bestFit="1" customWidth="1"/>
    <col min="214" max="214" width="24.42578125" style="1" bestFit="1" customWidth="1"/>
    <col min="215" max="215" width="35.42578125" style="1" bestFit="1" customWidth="1"/>
    <col min="216" max="216" width="30.42578125" style="1" bestFit="1" customWidth="1"/>
    <col min="217" max="217" width="31.42578125" style="1" bestFit="1" customWidth="1"/>
    <col min="218" max="218" width="38" style="1" bestFit="1" customWidth="1"/>
    <col min="219" max="219" width="40.140625" style="1" bestFit="1" customWidth="1"/>
    <col min="220" max="220" width="43.42578125" style="1" bestFit="1" customWidth="1"/>
    <col min="221" max="221" width="48.85546875" style="1" bestFit="1" customWidth="1"/>
    <col min="222" max="222" width="39.42578125" style="1" bestFit="1" customWidth="1"/>
    <col min="223" max="223" width="26.85546875" style="1" bestFit="1" customWidth="1"/>
    <col min="224" max="224" width="47" style="1" bestFit="1" customWidth="1"/>
    <col min="225" max="225" width="40" style="1" bestFit="1" customWidth="1"/>
    <col min="226" max="226" width="83.5703125" style="1" bestFit="1" customWidth="1"/>
    <col min="227" max="227" width="21.42578125" style="1" bestFit="1" customWidth="1"/>
    <col min="228" max="228" width="31.42578125" style="1" bestFit="1" customWidth="1"/>
    <col min="229" max="229" width="27.42578125" style="1" bestFit="1" customWidth="1"/>
    <col min="230" max="230" width="56.85546875" style="1" bestFit="1" customWidth="1"/>
    <col min="231" max="231" width="24.42578125" style="1" bestFit="1" customWidth="1"/>
    <col min="232" max="232" width="22.85546875" style="1" bestFit="1" customWidth="1"/>
    <col min="233" max="233" width="33.85546875" style="1" bestFit="1" customWidth="1"/>
    <col min="234" max="234" width="29" style="1" bestFit="1" customWidth="1"/>
    <col min="235" max="235" width="29.85546875" style="1" bestFit="1" customWidth="1"/>
    <col min="236" max="236" width="36.42578125" style="1" bestFit="1" customWidth="1"/>
    <col min="237" max="237" width="38.5703125" style="1" bestFit="1" customWidth="1"/>
    <col min="238" max="238" width="42" style="1" bestFit="1" customWidth="1"/>
    <col min="239" max="239" width="47.42578125" style="1" bestFit="1" customWidth="1"/>
    <col min="240" max="240" width="37.85546875" style="1" bestFit="1" customWidth="1"/>
    <col min="241" max="241" width="25.42578125" style="1" bestFit="1" customWidth="1"/>
    <col min="242" max="242" width="45.42578125" style="1" bestFit="1" customWidth="1"/>
    <col min="243" max="243" width="38.42578125" style="1" bestFit="1" customWidth="1"/>
    <col min="244" max="244" width="82.140625" style="1" bestFit="1" customWidth="1"/>
    <col min="245" max="245" width="22" style="1" bestFit="1" customWidth="1"/>
    <col min="246" max="246" width="32.140625" style="1" bestFit="1" customWidth="1"/>
    <col min="247" max="247" width="28" style="1" bestFit="1" customWidth="1"/>
    <col min="248" max="248" width="57.42578125" style="1" bestFit="1" customWidth="1"/>
    <col min="249" max="249" width="25.140625" style="1" bestFit="1" customWidth="1"/>
    <col min="250" max="250" width="23.42578125" style="1" bestFit="1" customWidth="1"/>
    <col min="251" max="251" width="34.42578125" style="1" bestFit="1" customWidth="1"/>
    <col min="252" max="252" width="29.42578125" style="1" bestFit="1" customWidth="1"/>
    <col min="253" max="253" width="30.42578125" style="1" bestFit="1" customWidth="1"/>
    <col min="254" max="254" width="37.140625" style="1" bestFit="1" customWidth="1"/>
    <col min="255" max="255" width="39.42578125" style="1" bestFit="1" customWidth="1"/>
    <col min="256" max="256" width="42.42578125" style="1" bestFit="1" customWidth="1"/>
    <col min="257" max="257" width="48" style="1" bestFit="1" customWidth="1"/>
    <col min="258" max="258" width="38.42578125" style="1" bestFit="1" customWidth="1"/>
    <col min="259" max="259" width="25.85546875" style="1" bestFit="1" customWidth="1"/>
    <col min="260" max="260" width="46" style="1" bestFit="1" customWidth="1"/>
    <col min="261" max="261" width="39.140625" style="1" bestFit="1" customWidth="1"/>
    <col min="262" max="262" width="82.5703125" style="1" bestFit="1" customWidth="1"/>
    <col min="263" max="263" width="20" style="1" bestFit="1" customWidth="1"/>
    <col min="264" max="264" width="30.140625" style="1" bestFit="1" customWidth="1"/>
    <col min="265" max="265" width="26" style="1" bestFit="1" customWidth="1"/>
    <col min="266" max="266" width="55.42578125" style="1" bestFit="1" customWidth="1"/>
    <col min="267" max="267" width="23.42578125" style="1" bestFit="1" customWidth="1"/>
    <col min="268" max="268" width="21.42578125" style="1" bestFit="1" customWidth="1"/>
    <col min="269" max="269" width="32.42578125" style="1" bestFit="1" customWidth="1"/>
    <col min="270" max="270" width="27.5703125" style="1" bestFit="1" customWidth="1"/>
    <col min="271" max="271" width="28.42578125" style="1" bestFit="1" customWidth="1"/>
    <col min="272" max="272" width="35.140625" style="1" bestFit="1" customWidth="1"/>
    <col min="273" max="273" width="37.42578125" style="1" bestFit="1" customWidth="1"/>
    <col min="274" max="274" width="40.42578125" style="1" bestFit="1" customWidth="1"/>
    <col min="275" max="275" width="46" style="1" bestFit="1" customWidth="1"/>
    <col min="276" max="276" width="36.42578125" style="1" bestFit="1" customWidth="1"/>
    <col min="277" max="277" width="24" style="1" bestFit="1" customWidth="1"/>
    <col min="278" max="278" width="44.140625" style="1" bestFit="1" customWidth="1"/>
    <col min="279" max="279" width="37.42578125" style="1" bestFit="1" customWidth="1"/>
    <col min="280" max="280" width="80.85546875" style="1" bestFit="1" customWidth="1"/>
    <col min="281" max="281" width="37.140625" style="1" bestFit="1" customWidth="1"/>
    <col min="282" max="282" width="22.85546875" style="1" bestFit="1" customWidth="1"/>
    <col min="283" max="283" width="33" style="1" bestFit="1" customWidth="1"/>
    <col min="284" max="284" width="28.85546875" style="1" bestFit="1" customWidth="1"/>
    <col min="285" max="285" width="58.42578125" style="1" bestFit="1" customWidth="1"/>
    <col min="286" max="286" width="26" style="1" bestFit="1" customWidth="1"/>
    <col min="287" max="287" width="24.42578125" style="1" bestFit="1" customWidth="1"/>
    <col min="288" max="288" width="35.42578125" style="1" bestFit="1" customWidth="1"/>
    <col min="289" max="289" width="30.42578125" style="1" bestFit="1" customWidth="1"/>
    <col min="290" max="290" width="31.42578125" style="1" bestFit="1" customWidth="1"/>
    <col min="291" max="291" width="38" style="1" bestFit="1" customWidth="1"/>
    <col min="292" max="292" width="40.140625" style="1" bestFit="1" customWidth="1"/>
    <col min="293" max="293" width="43.42578125" style="1" bestFit="1" customWidth="1"/>
    <col min="294" max="294" width="48.85546875" style="1" bestFit="1" customWidth="1"/>
    <col min="295" max="295" width="39.42578125" style="1" bestFit="1" customWidth="1"/>
    <col min="296" max="296" width="26.85546875" style="1" bestFit="1" customWidth="1"/>
    <col min="297" max="297" width="47" style="1" bestFit="1" customWidth="1"/>
    <col min="298" max="298" width="40" style="1" bestFit="1" customWidth="1"/>
    <col min="299" max="299" width="83.5703125" style="1" bestFit="1" customWidth="1"/>
    <col min="300" max="300" width="21.42578125" style="1" bestFit="1" customWidth="1"/>
    <col min="301" max="301" width="31.42578125" style="1" bestFit="1" customWidth="1"/>
    <col min="302" max="302" width="27.42578125" style="1" bestFit="1" customWidth="1"/>
    <col min="303" max="303" width="56.85546875" style="1" bestFit="1" customWidth="1"/>
    <col min="304" max="304" width="24.42578125" style="1" bestFit="1" customWidth="1"/>
    <col min="305" max="305" width="22.85546875" style="1" bestFit="1" customWidth="1"/>
    <col min="306" max="306" width="33.85546875" style="1" bestFit="1" customWidth="1"/>
    <col min="307" max="307" width="29" style="1" bestFit="1" customWidth="1"/>
    <col min="308" max="308" width="29.85546875" style="1" bestFit="1" customWidth="1"/>
    <col min="309" max="309" width="36.42578125" style="1" bestFit="1" customWidth="1"/>
    <col min="310" max="310" width="38.5703125" style="1" bestFit="1" customWidth="1"/>
    <col min="311" max="311" width="42" style="1" bestFit="1" customWidth="1"/>
    <col min="312" max="312" width="47.42578125" style="1" bestFit="1" customWidth="1"/>
    <col min="313" max="313" width="37.85546875" style="1" bestFit="1" customWidth="1"/>
    <col min="314" max="314" width="25.42578125" style="1" bestFit="1" customWidth="1"/>
    <col min="315" max="315" width="45.42578125" style="1" bestFit="1" customWidth="1"/>
    <col min="316" max="316" width="38.42578125" style="1" bestFit="1" customWidth="1"/>
    <col min="317" max="317" width="82.140625" style="1" bestFit="1" customWidth="1"/>
    <col min="318" max="318" width="22" style="1" bestFit="1" customWidth="1"/>
    <col min="319" max="319" width="32.140625" style="1" bestFit="1" customWidth="1"/>
    <col min="320" max="320" width="28" style="1" bestFit="1" customWidth="1"/>
    <col min="321" max="321" width="57.42578125" style="1" bestFit="1" customWidth="1"/>
    <col min="322" max="322" width="25.140625" style="1" bestFit="1" customWidth="1"/>
    <col min="323" max="323" width="23.42578125" style="1" bestFit="1" customWidth="1"/>
    <col min="324" max="324" width="34.42578125" style="1" bestFit="1" customWidth="1"/>
    <col min="325" max="325" width="29.42578125" style="1" bestFit="1" customWidth="1"/>
    <col min="326" max="326" width="30.42578125" style="1" bestFit="1" customWidth="1"/>
    <col min="327" max="327" width="37.140625" style="1" bestFit="1" customWidth="1"/>
    <col min="328" max="328" width="39.42578125" style="1" bestFit="1" customWidth="1"/>
    <col min="329" max="329" width="42.42578125" style="1" bestFit="1" customWidth="1"/>
    <col min="330" max="330" width="48" style="1" bestFit="1" customWidth="1"/>
    <col min="331" max="331" width="38.42578125" style="1" bestFit="1" customWidth="1"/>
    <col min="332" max="332" width="25.85546875" style="1" bestFit="1" customWidth="1"/>
    <col min="333" max="333" width="46" style="1" bestFit="1" customWidth="1"/>
    <col min="334" max="334" width="39.140625" style="1" bestFit="1" customWidth="1"/>
    <col min="335" max="335" width="82.5703125" style="1" bestFit="1" customWidth="1"/>
    <col min="336" max="336" width="20" style="1" bestFit="1" customWidth="1"/>
    <col min="337" max="337" width="30.140625" style="1" bestFit="1" customWidth="1"/>
    <col min="338" max="338" width="26" style="1" bestFit="1" customWidth="1"/>
    <col min="339" max="339" width="55.42578125" style="1" bestFit="1" customWidth="1"/>
    <col min="340" max="340" width="23.42578125" style="1" bestFit="1" customWidth="1"/>
    <col min="341" max="341" width="21.42578125" style="1" bestFit="1" customWidth="1"/>
    <col min="342" max="342" width="32.42578125" style="1" bestFit="1" customWidth="1"/>
    <col min="343" max="343" width="27.5703125" style="1" bestFit="1" customWidth="1"/>
    <col min="344" max="344" width="28.42578125" style="1" bestFit="1" customWidth="1"/>
    <col min="345" max="345" width="35.140625" style="1" bestFit="1" customWidth="1"/>
    <col min="346" max="346" width="37.42578125" style="1" bestFit="1" customWidth="1"/>
    <col min="347" max="347" width="40.42578125" style="1" bestFit="1" customWidth="1"/>
    <col min="348" max="348" width="46" style="1" bestFit="1" customWidth="1"/>
    <col min="349" max="349" width="36.42578125" style="1" bestFit="1" customWidth="1"/>
    <col min="350" max="350" width="24" style="1" bestFit="1" customWidth="1"/>
    <col min="351" max="351" width="44.140625" style="1" bestFit="1" customWidth="1"/>
    <col min="352" max="352" width="37.42578125" style="1" bestFit="1" customWidth="1"/>
    <col min="353" max="353" width="80.85546875" style="1" bestFit="1" customWidth="1"/>
    <col min="354" max="354" width="37.140625" style="1" bestFit="1" customWidth="1"/>
    <col min="355" max="16384" width="11.42578125" style="1"/>
  </cols>
  <sheetData>
    <row r="1" spans="1:62" ht="30" customHeight="1" x14ac:dyDescent="0.25">
      <c r="A1" s="88"/>
      <c r="B1" s="88"/>
      <c r="C1" s="73" t="s">
        <v>34</v>
      </c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  <c r="Z1" s="74"/>
      <c r="AA1" s="74"/>
      <c r="AB1" s="74"/>
      <c r="AC1" s="74"/>
      <c r="AD1" s="74"/>
      <c r="AE1" s="74"/>
      <c r="AF1" s="74"/>
      <c r="AG1" s="74"/>
      <c r="AH1" s="74"/>
      <c r="AI1" s="74"/>
      <c r="AJ1" s="74"/>
      <c r="AK1" s="74"/>
      <c r="AL1" s="74"/>
      <c r="AM1" s="74"/>
      <c r="AN1" s="74"/>
      <c r="AO1" s="74"/>
      <c r="AP1" s="74"/>
      <c r="AQ1" s="74"/>
      <c r="AR1" s="74"/>
      <c r="AS1" s="74"/>
      <c r="AT1" s="74"/>
      <c r="AU1" s="74"/>
      <c r="AV1" s="74"/>
      <c r="AW1" s="74"/>
      <c r="AX1" s="74"/>
      <c r="AY1" s="74"/>
      <c r="AZ1" s="74"/>
      <c r="BA1" s="74"/>
      <c r="BB1" s="75"/>
      <c r="BC1" s="35" t="s">
        <v>35</v>
      </c>
      <c r="BD1" s="36"/>
      <c r="BE1" s="36"/>
      <c r="BF1" s="36"/>
      <c r="BG1" s="36"/>
      <c r="BH1" s="36"/>
      <c r="BI1" s="36"/>
      <c r="BJ1" s="37"/>
    </row>
    <row r="2" spans="1:62" ht="30" customHeight="1" x14ac:dyDescent="0.25">
      <c r="A2" s="88"/>
      <c r="B2" s="88"/>
      <c r="C2" s="73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  <c r="AP2" s="74"/>
      <c r="AQ2" s="74"/>
      <c r="AR2" s="74"/>
      <c r="AS2" s="74"/>
      <c r="AT2" s="74"/>
      <c r="AU2" s="74"/>
      <c r="AV2" s="74"/>
      <c r="AW2" s="74"/>
      <c r="AX2" s="74"/>
      <c r="AY2" s="74"/>
      <c r="AZ2" s="74"/>
      <c r="BA2" s="74"/>
      <c r="BB2" s="75"/>
      <c r="BC2" s="35" t="s">
        <v>253</v>
      </c>
      <c r="BD2" s="36"/>
      <c r="BE2" s="36"/>
      <c r="BF2" s="36"/>
      <c r="BG2" s="36"/>
      <c r="BH2" s="36"/>
      <c r="BI2" s="36"/>
      <c r="BJ2" s="37"/>
    </row>
    <row r="3" spans="1:62" ht="30" customHeight="1" x14ac:dyDescent="0.25">
      <c r="A3" s="88"/>
      <c r="B3" s="88"/>
      <c r="C3" s="73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  <c r="AK3" s="74"/>
      <c r="AL3" s="74"/>
      <c r="AM3" s="74"/>
      <c r="AN3" s="74"/>
      <c r="AO3" s="74"/>
      <c r="AP3" s="74"/>
      <c r="AQ3" s="74"/>
      <c r="AR3" s="74"/>
      <c r="AS3" s="74"/>
      <c r="AT3" s="74"/>
      <c r="AU3" s="74"/>
      <c r="AV3" s="74"/>
      <c r="AW3" s="74"/>
      <c r="AX3" s="74"/>
      <c r="AY3" s="74"/>
      <c r="AZ3" s="74"/>
      <c r="BA3" s="74"/>
      <c r="BB3" s="75"/>
      <c r="BC3" s="35" t="s">
        <v>254</v>
      </c>
      <c r="BD3" s="36"/>
      <c r="BE3" s="36"/>
      <c r="BF3" s="36"/>
      <c r="BG3" s="36"/>
      <c r="BH3" s="36"/>
      <c r="BI3" s="36"/>
      <c r="BJ3" s="37"/>
    </row>
    <row r="4" spans="1:62" ht="30" customHeight="1" x14ac:dyDescent="0.25">
      <c r="A4" s="88"/>
      <c r="B4" s="88"/>
      <c r="C4" s="76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  <c r="AA4" s="77"/>
      <c r="AB4" s="77"/>
      <c r="AC4" s="77"/>
      <c r="AD4" s="77"/>
      <c r="AE4" s="77"/>
      <c r="AF4" s="77"/>
      <c r="AG4" s="77"/>
      <c r="AH4" s="77"/>
      <c r="AI4" s="77"/>
      <c r="AJ4" s="77"/>
      <c r="AK4" s="77"/>
      <c r="AL4" s="77"/>
      <c r="AM4" s="77"/>
      <c r="AN4" s="77"/>
      <c r="AO4" s="77"/>
      <c r="AP4" s="77"/>
      <c r="AQ4" s="77"/>
      <c r="AR4" s="77"/>
      <c r="AS4" s="77"/>
      <c r="AT4" s="77"/>
      <c r="AU4" s="77"/>
      <c r="AV4" s="77"/>
      <c r="AW4" s="77"/>
      <c r="AX4" s="77"/>
      <c r="AY4" s="77"/>
      <c r="AZ4" s="77"/>
      <c r="BA4" s="77"/>
      <c r="BB4" s="78"/>
      <c r="BC4" s="38" t="s">
        <v>255</v>
      </c>
      <c r="BD4" s="39"/>
      <c r="BE4" s="39"/>
      <c r="BF4" s="39"/>
      <c r="BG4" s="39"/>
      <c r="BH4" s="39"/>
      <c r="BI4" s="39"/>
      <c r="BJ4" s="40"/>
    </row>
    <row r="5" spans="1:62" ht="23.25" customHeight="1" x14ac:dyDescent="0.25">
      <c r="P5" s="9"/>
      <c r="Q5" s="9"/>
      <c r="BJ5" s="18"/>
    </row>
    <row r="6" spans="1:62" ht="28.5" customHeight="1" thickBot="1" x14ac:dyDescent="0.3">
      <c r="B6" s="5" t="s">
        <v>30</v>
      </c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9"/>
      <c r="BI6" s="19"/>
      <c r="BJ6" s="20"/>
    </row>
    <row r="7" spans="1:62" ht="36.950000000000003" customHeight="1" thickBot="1" x14ac:dyDescent="0.3">
      <c r="A7" s="1"/>
      <c r="B7" s="14">
        <v>2024</v>
      </c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9"/>
      <c r="BI7" s="19"/>
      <c r="BJ7" s="20"/>
    </row>
    <row r="8" spans="1:62" ht="8.4499999999999993" customHeight="1" thickBot="1" x14ac:dyDescent="0.3">
      <c r="A8" s="1"/>
      <c r="B8" s="1"/>
      <c r="C8" s="13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9"/>
      <c r="BI8" s="19"/>
      <c r="BJ8" s="20"/>
    </row>
    <row r="9" spans="1:62" s="2" customFormat="1" ht="38.1" customHeight="1" thickBot="1" x14ac:dyDescent="0.3">
      <c r="A9" s="84" t="s">
        <v>29</v>
      </c>
      <c r="B9" s="84"/>
      <c r="C9" s="84"/>
      <c r="D9" s="84"/>
      <c r="E9" s="84"/>
      <c r="F9" s="84"/>
      <c r="G9" s="84"/>
      <c r="H9" s="84"/>
      <c r="I9" s="84"/>
      <c r="J9" s="84"/>
      <c r="K9" s="84"/>
      <c r="L9" s="84"/>
      <c r="M9" s="84"/>
      <c r="N9" s="84"/>
      <c r="O9" s="81" t="s">
        <v>28</v>
      </c>
      <c r="P9" s="82"/>
      <c r="Q9" s="83"/>
      <c r="R9" s="81" t="s">
        <v>27</v>
      </c>
      <c r="S9" s="82"/>
      <c r="T9" s="82"/>
      <c r="U9" s="82"/>
      <c r="V9" s="82"/>
      <c r="W9" s="82"/>
      <c r="X9" s="82"/>
      <c r="Y9" s="82"/>
      <c r="Z9" s="85" t="s">
        <v>26</v>
      </c>
      <c r="AA9" s="86"/>
      <c r="AB9" s="86"/>
      <c r="AC9" s="86"/>
      <c r="AD9" s="86"/>
      <c r="AE9" s="86"/>
      <c r="AF9" s="86"/>
      <c r="AG9" s="86"/>
      <c r="AH9" s="86"/>
      <c r="AI9" s="86"/>
      <c r="AJ9" s="86"/>
      <c r="AK9" s="86"/>
      <c r="AL9" s="86"/>
      <c r="AM9" s="86"/>
      <c r="AN9" s="87"/>
      <c r="AO9" s="81" t="s">
        <v>25</v>
      </c>
      <c r="AP9" s="82"/>
      <c r="AQ9" s="82"/>
      <c r="AR9" s="82"/>
      <c r="AS9" s="82"/>
      <c r="AT9" s="82"/>
      <c r="AU9" s="82"/>
      <c r="AV9" s="82"/>
      <c r="AW9" s="82"/>
      <c r="AX9" s="82"/>
      <c r="AY9" s="82"/>
      <c r="AZ9" s="82"/>
      <c r="BA9" s="82"/>
      <c r="BB9" s="82"/>
      <c r="BC9" s="82"/>
      <c r="BD9" s="82"/>
      <c r="BE9" s="82"/>
      <c r="BF9" s="82"/>
      <c r="BG9" s="83"/>
      <c r="BH9" s="79" t="s">
        <v>22</v>
      </c>
      <c r="BI9" s="80"/>
      <c r="BJ9" s="21"/>
    </row>
    <row r="10" spans="1:62" s="2" customFormat="1" ht="57" customHeight="1" thickBot="1" x14ac:dyDescent="0.3">
      <c r="A10" s="4" t="s">
        <v>20</v>
      </c>
      <c r="B10" s="4" t="s">
        <v>19</v>
      </c>
      <c r="C10" s="4" t="s">
        <v>18</v>
      </c>
      <c r="D10" s="4" t="s">
        <v>17</v>
      </c>
      <c r="E10" s="4" t="s">
        <v>16</v>
      </c>
      <c r="F10" s="4" t="s">
        <v>15</v>
      </c>
      <c r="G10" s="4" t="s">
        <v>14</v>
      </c>
      <c r="H10" s="4" t="s">
        <v>13</v>
      </c>
      <c r="I10" s="4" t="s">
        <v>12</v>
      </c>
      <c r="J10" s="4" t="s">
        <v>33</v>
      </c>
      <c r="K10" s="4" t="s">
        <v>31</v>
      </c>
      <c r="L10" s="4" t="s">
        <v>11</v>
      </c>
      <c r="M10" s="4" t="s">
        <v>36</v>
      </c>
      <c r="N10" s="4" t="s">
        <v>10</v>
      </c>
      <c r="O10" s="4" t="s">
        <v>32</v>
      </c>
      <c r="P10" s="4" t="s">
        <v>9</v>
      </c>
      <c r="Q10" s="4" t="s">
        <v>37</v>
      </c>
      <c r="R10" s="4" t="s">
        <v>38</v>
      </c>
      <c r="S10" s="4" t="s">
        <v>8</v>
      </c>
      <c r="T10" s="4" t="s">
        <v>7</v>
      </c>
      <c r="U10" s="4" t="s">
        <v>6</v>
      </c>
      <c r="V10" s="4" t="s">
        <v>5</v>
      </c>
      <c r="W10" s="4" t="s">
        <v>4</v>
      </c>
      <c r="X10" s="4" t="s">
        <v>3</v>
      </c>
      <c r="Y10" s="4" t="s">
        <v>2</v>
      </c>
      <c r="Z10" s="4" t="s">
        <v>41</v>
      </c>
      <c r="AA10" s="4" t="s">
        <v>42</v>
      </c>
      <c r="AB10" s="4" t="s">
        <v>43</v>
      </c>
      <c r="AC10" s="4" t="s">
        <v>44</v>
      </c>
      <c r="AD10" s="4" t="s">
        <v>45</v>
      </c>
      <c r="AE10" s="4" t="s">
        <v>46</v>
      </c>
      <c r="AF10" s="4" t="s">
        <v>47</v>
      </c>
      <c r="AG10" s="4" t="s">
        <v>48</v>
      </c>
      <c r="AH10" s="4" t="s">
        <v>49</v>
      </c>
      <c r="AI10" s="4" t="s">
        <v>50</v>
      </c>
      <c r="AJ10" s="4" t="s">
        <v>51</v>
      </c>
      <c r="AK10" s="4" t="s">
        <v>52</v>
      </c>
      <c r="AL10" s="4" t="s">
        <v>53</v>
      </c>
      <c r="AM10" s="4" t="s">
        <v>54</v>
      </c>
      <c r="AN10" s="4" t="s">
        <v>55</v>
      </c>
      <c r="AO10" s="4" t="s">
        <v>57</v>
      </c>
      <c r="AP10" s="4" t="s">
        <v>58</v>
      </c>
      <c r="AQ10" s="4" t="s">
        <v>59</v>
      </c>
      <c r="AR10" s="4" t="s">
        <v>60</v>
      </c>
      <c r="AS10" s="4" t="s">
        <v>61</v>
      </c>
      <c r="AT10" s="4" t="s">
        <v>62</v>
      </c>
      <c r="AU10" s="4" t="s">
        <v>63</v>
      </c>
      <c r="AV10" s="4" t="s">
        <v>64</v>
      </c>
      <c r="AW10" s="4" t="s">
        <v>65</v>
      </c>
      <c r="AX10" s="4" t="s">
        <v>66</v>
      </c>
      <c r="AY10" s="4" t="s">
        <v>67</v>
      </c>
      <c r="AZ10" s="4" t="s">
        <v>68</v>
      </c>
      <c r="BA10" s="4" t="s">
        <v>69</v>
      </c>
      <c r="BB10" s="4" t="s">
        <v>70</v>
      </c>
      <c r="BC10" s="4" t="s">
        <v>56</v>
      </c>
      <c r="BD10" s="4" t="s">
        <v>24</v>
      </c>
      <c r="BE10" s="4" t="s">
        <v>39</v>
      </c>
      <c r="BF10" s="4" t="s">
        <v>40</v>
      </c>
      <c r="BG10" s="4" t="s">
        <v>23</v>
      </c>
      <c r="BH10" s="4" t="s">
        <v>1</v>
      </c>
      <c r="BI10" s="3" t="s">
        <v>0</v>
      </c>
      <c r="BJ10" s="5" t="s">
        <v>21</v>
      </c>
    </row>
    <row r="11" spans="1:62" s="63" customFormat="1" ht="356.25" x14ac:dyDescent="0.25">
      <c r="A11" s="22">
        <v>11</v>
      </c>
      <c r="B11" s="7" t="s">
        <v>71</v>
      </c>
      <c r="C11" s="7" t="s">
        <v>72</v>
      </c>
      <c r="D11" s="7" t="s">
        <v>73</v>
      </c>
      <c r="E11" s="7" t="s">
        <v>74</v>
      </c>
      <c r="F11" s="7" t="s">
        <v>75</v>
      </c>
      <c r="G11" s="7" t="s">
        <v>76</v>
      </c>
      <c r="H11" s="7">
        <v>210206900</v>
      </c>
      <c r="I11" s="7" t="s">
        <v>77</v>
      </c>
      <c r="J11" s="34">
        <v>51229</v>
      </c>
      <c r="K11" s="7" t="s">
        <v>78</v>
      </c>
      <c r="L11" s="7" t="s">
        <v>79</v>
      </c>
      <c r="M11" s="34">
        <v>51229</v>
      </c>
      <c r="N11" s="7">
        <v>51229</v>
      </c>
      <c r="O11" s="22">
        <v>46987</v>
      </c>
      <c r="P11" s="58">
        <f>+(Tabla1[[#This Row],[Meta Ejecutada Vigencia4]]/Tabla1[[#This Row],[Meta Programada Vigencia]])</f>
        <v>0.9171953385777587</v>
      </c>
      <c r="Q11" s="59">
        <f>+Tabla1[[#This Row],[Meta Ejecutada Vigencia4]]/Tabla1[[#This Row],[Meta Programada Cuatrienio3]]/4</f>
        <v>0.22929883464443968</v>
      </c>
      <c r="R11" s="22" t="s">
        <v>323</v>
      </c>
      <c r="S11" s="22" t="s">
        <v>324</v>
      </c>
      <c r="T11" s="60">
        <v>9672461336.8299999</v>
      </c>
      <c r="U11" s="61">
        <v>9672461336.8299999</v>
      </c>
      <c r="V11" s="22" t="s">
        <v>325</v>
      </c>
      <c r="W11" s="22" t="s">
        <v>258</v>
      </c>
      <c r="X11" s="22">
        <v>605047</v>
      </c>
      <c r="Y11" s="22" t="s">
        <v>326</v>
      </c>
      <c r="Z11" s="60">
        <v>9672461336.8299999</v>
      </c>
      <c r="AA11" s="60"/>
      <c r="AB11" s="60"/>
      <c r="AC11" s="60"/>
      <c r="AD11" s="60"/>
      <c r="AE11" s="60"/>
      <c r="AF11" s="60"/>
      <c r="AG11" s="60"/>
      <c r="AH11" s="60"/>
      <c r="AI11" s="60"/>
      <c r="AJ11" s="60"/>
      <c r="AK11" s="60"/>
      <c r="AL11" s="60"/>
      <c r="AM11" s="60"/>
      <c r="AN11" s="60">
        <f>SUM(Tabla1[[#This Row],[Recursos propios 2024]:[Otros 2024]])</f>
        <v>9672461336.8299999</v>
      </c>
      <c r="AO11" s="25">
        <v>9672461336.8299999</v>
      </c>
      <c r="AP11" s="60"/>
      <c r="AQ11" s="60"/>
      <c r="AR11" s="60"/>
      <c r="AS11" s="60"/>
      <c r="AT11" s="60"/>
      <c r="AU11" s="60"/>
      <c r="AV11" s="60"/>
      <c r="AW11" s="60"/>
      <c r="AX11" s="60"/>
      <c r="AY11" s="60"/>
      <c r="AZ11" s="60"/>
      <c r="BA11" s="60"/>
      <c r="BB11" s="60"/>
      <c r="BC11" s="60">
        <f>SUM(Tabla1[[#This Row],[Recursos propios 20242]:[Otros 202415]])</f>
        <v>9672461336.8299999</v>
      </c>
      <c r="BD11" s="41">
        <f>+Tabla1[[#This Row],[Total Comprometido 2024]]/Tabla1[[#This Row],[Total 2024]]</f>
        <v>1</v>
      </c>
      <c r="BE11" s="62">
        <v>7701595652.8299999</v>
      </c>
      <c r="BF11" s="62">
        <v>7689678986.1599998</v>
      </c>
      <c r="BG11" s="60"/>
      <c r="BH11" s="7" t="s">
        <v>248</v>
      </c>
      <c r="BI11" s="7" t="s">
        <v>249</v>
      </c>
      <c r="BJ11" s="7">
        <v>11.16</v>
      </c>
    </row>
    <row r="12" spans="1:62" s="63" customFormat="1" ht="57" x14ac:dyDescent="0.25">
      <c r="A12" s="22">
        <v>11</v>
      </c>
      <c r="B12" s="7"/>
      <c r="C12" s="7"/>
      <c r="D12" s="7"/>
      <c r="E12" s="7"/>
      <c r="F12" s="7"/>
      <c r="G12" s="7"/>
      <c r="H12" s="7"/>
      <c r="I12" s="7"/>
      <c r="J12" s="34"/>
      <c r="K12" s="7"/>
      <c r="L12" s="7"/>
      <c r="M12" s="34"/>
      <c r="N12" s="7"/>
      <c r="O12" s="22"/>
      <c r="P12" s="64"/>
      <c r="Q12" s="59"/>
      <c r="R12" s="65" t="s">
        <v>336</v>
      </c>
      <c r="S12" s="24" t="s">
        <v>337</v>
      </c>
      <c r="T12" s="28">
        <v>3594944130.2799997</v>
      </c>
      <c r="U12" s="66">
        <v>3594944130.2799997</v>
      </c>
      <c r="V12" s="22"/>
      <c r="W12" s="22"/>
      <c r="X12" s="22"/>
      <c r="Y12" s="22"/>
      <c r="Z12" s="60">
        <v>3594944130.2799997</v>
      </c>
      <c r="AA12" s="60"/>
      <c r="AB12" s="60"/>
      <c r="AC12" s="60"/>
      <c r="AD12" s="60"/>
      <c r="AE12" s="60"/>
      <c r="AF12" s="60"/>
      <c r="AG12" s="60"/>
      <c r="AH12" s="60"/>
      <c r="AI12" s="60"/>
      <c r="AJ12" s="60"/>
      <c r="AK12" s="60"/>
      <c r="AL12" s="60"/>
      <c r="AM12" s="60"/>
      <c r="AN12" s="60">
        <f>SUM(Tabla1[[#This Row],[Recursos propios 2024]:[Otros 2024]])</f>
        <v>3594944130.2799997</v>
      </c>
      <c r="AO12" s="25">
        <v>3594944130.2799997</v>
      </c>
      <c r="AP12" s="60"/>
      <c r="AQ12" s="60"/>
      <c r="AR12" s="60"/>
      <c r="AS12" s="60"/>
      <c r="AT12" s="60"/>
      <c r="AU12" s="60"/>
      <c r="AV12" s="60"/>
      <c r="AW12" s="60"/>
      <c r="AX12" s="60"/>
      <c r="AY12" s="60"/>
      <c r="AZ12" s="60"/>
      <c r="BA12" s="60"/>
      <c r="BB12" s="60"/>
      <c r="BC12" s="60">
        <f>SUM(Tabla1[[#This Row],[Recursos propios 20242]:[Otros 202415]])</f>
        <v>3594944130.2799997</v>
      </c>
      <c r="BD12" s="41">
        <f>+Tabla1[[#This Row],[Total Comprometido 2024]]/Tabla1[[#This Row],[Total 2024]]</f>
        <v>1</v>
      </c>
      <c r="BE12" s="62">
        <v>1673918708.1099999</v>
      </c>
      <c r="BF12" s="62">
        <v>1673918708.1099999</v>
      </c>
      <c r="BG12" s="60"/>
      <c r="BH12" s="7"/>
      <c r="BI12" s="7"/>
      <c r="BJ12" s="7"/>
    </row>
    <row r="13" spans="1:62" s="63" customFormat="1" ht="57" x14ac:dyDescent="0.25">
      <c r="A13" s="22">
        <v>11</v>
      </c>
      <c r="B13" s="7"/>
      <c r="C13" s="7"/>
      <c r="D13" s="7"/>
      <c r="E13" s="7"/>
      <c r="F13" s="7"/>
      <c r="G13" s="7"/>
      <c r="H13" s="7"/>
      <c r="I13" s="7"/>
      <c r="J13" s="34"/>
      <c r="K13" s="7"/>
      <c r="L13" s="7"/>
      <c r="M13" s="34"/>
      <c r="N13" s="7"/>
      <c r="O13" s="22"/>
      <c r="P13" s="58"/>
      <c r="Q13" s="59"/>
      <c r="R13" s="65" t="s">
        <v>338</v>
      </c>
      <c r="S13" s="24" t="s">
        <v>339</v>
      </c>
      <c r="T13" s="28">
        <v>1231292530</v>
      </c>
      <c r="U13" s="28">
        <v>1231292530</v>
      </c>
      <c r="V13" s="22"/>
      <c r="W13" s="22"/>
      <c r="X13" s="22"/>
      <c r="Y13" s="22"/>
      <c r="Z13" s="28">
        <v>1231292530</v>
      </c>
      <c r="AA13" s="60"/>
      <c r="AB13" s="60"/>
      <c r="AC13" s="60"/>
      <c r="AD13" s="60"/>
      <c r="AE13" s="60"/>
      <c r="AF13" s="60"/>
      <c r="AG13" s="60"/>
      <c r="AH13" s="60"/>
      <c r="AI13" s="60"/>
      <c r="AJ13" s="60"/>
      <c r="AK13" s="60"/>
      <c r="AL13" s="60"/>
      <c r="AM13" s="60"/>
      <c r="AN13" s="60">
        <f>SUM(Tabla1[[#This Row],[Recursos propios 2024]:[Otros 2024]])</f>
        <v>1231292530</v>
      </c>
      <c r="AO13" s="28">
        <v>1042870344.51</v>
      </c>
      <c r="AP13" s="60"/>
      <c r="AQ13" s="60"/>
      <c r="AR13" s="60"/>
      <c r="AS13" s="60"/>
      <c r="AT13" s="60"/>
      <c r="AU13" s="60"/>
      <c r="AV13" s="60"/>
      <c r="AW13" s="60"/>
      <c r="AX13" s="60"/>
      <c r="AY13" s="60"/>
      <c r="AZ13" s="60"/>
      <c r="BA13" s="60"/>
      <c r="BB13" s="60"/>
      <c r="BC13" s="60">
        <f>SUM(Tabla1[[#This Row],[Recursos propios 20242]:[Otros 202415]])</f>
        <v>1042870344.51</v>
      </c>
      <c r="BD13" s="41">
        <f>+Tabla1[[#This Row],[Total Comprometido 2024]]/Tabla1[[#This Row],[Total 2024]]</f>
        <v>0.84697203881355476</v>
      </c>
      <c r="BE13" s="62">
        <v>0</v>
      </c>
      <c r="BF13" s="62">
        <v>0</v>
      </c>
      <c r="BG13" s="60"/>
      <c r="BH13" s="7"/>
      <c r="BI13" s="7"/>
      <c r="BJ13" s="7"/>
    </row>
    <row r="14" spans="1:62" s="63" customFormat="1" ht="57" x14ac:dyDescent="0.25">
      <c r="A14" s="22">
        <v>11</v>
      </c>
      <c r="B14" s="7"/>
      <c r="C14" s="7"/>
      <c r="D14" s="7"/>
      <c r="E14" s="7"/>
      <c r="F14" s="7"/>
      <c r="G14" s="7"/>
      <c r="H14" s="7"/>
      <c r="I14" s="7"/>
      <c r="J14" s="34"/>
      <c r="K14" s="7"/>
      <c r="L14" s="7"/>
      <c r="M14" s="34"/>
      <c r="N14" s="7"/>
      <c r="O14" s="22"/>
      <c r="P14" s="64"/>
      <c r="Q14" s="59"/>
      <c r="R14" s="24" t="s">
        <v>327</v>
      </c>
      <c r="S14" s="24" t="s">
        <v>328</v>
      </c>
      <c r="T14" s="28">
        <v>3855605239.8600001</v>
      </c>
      <c r="U14" s="66">
        <v>3855605239.8600001</v>
      </c>
      <c r="V14" s="22"/>
      <c r="W14" s="22"/>
      <c r="X14" s="22"/>
      <c r="Y14" s="22"/>
      <c r="Z14" s="28">
        <v>3855605239.8600001</v>
      </c>
      <c r="AA14" s="60"/>
      <c r="AB14" s="60"/>
      <c r="AC14" s="60"/>
      <c r="AD14" s="60"/>
      <c r="AE14" s="60"/>
      <c r="AF14" s="60"/>
      <c r="AG14" s="60"/>
      <c r="AH14" s="60"/>
      <c r="AI14" s="60"/>
      <c r="AJ14" s="60"/>
      <c r="AK14" s="60"/>
      <c r="AL14" s="60"/>
      <c r="AM14" s="60"/>
      <c r="AN14" s="60">
        <f>SUM(Tabla1[[#This Row],[Recursos propios 2024]:[Otros 2024]])</f>
        <v>3855605239.8600001</v>
      </c>
      <c r="AO14" s="28">
        <v>3412012374.8000002</v>
      </c>
      <c r="AP14" s="60"/>
      <c r="AQ14" s="60"/>
      <c r="AR14" s="60"/>
      <c r="AS14" s="60"/>
      <c r="AT14" s="60"/>
      <c r="AU14" s="60"/>
      <c r="AV14" s="60"/>
      <c r="AW14" s="60"/>
      <c r="AX14" s="60"/>
      <c r="AY14" s="60"/>
      <c r="AZ14" s="60"/>
      <c r="BA14" s="60"/>
      <c r="BB14" s="60"/>
      <c r="BC14" s="60">
        <f>SUM(Tabla1[[#This Row],[Recursos propios 20242]:[Otros 202415]])</f>
        <v>3412012374.8000002</v>
      </c>
      <c r="BD14" s="41">
        <f>+Tabla1[[#This Row],[Total Comprometido 2024]]/Tabla1[[#This Row],[Total 2024]]</f>
        <v>0.88494857811841054</v>
      </c>
      <c r="BE14" s="62">
        <v>0</v>
      </c>
      <c r="BF14" s="62">
        <v>0</v>
      </c>
      <c r="BG14" s="60"/>
      <c r="BH14" s="7"/>
      <c r="BI14" s="7"/>
      <c r="BJ14" s="7"/>
    </row>
    <row r="15" spans="1:62" s="63" customFormat="1" ht="57" x14ac:dyDescent="0.25">
      <c r="A15" s="22">
        <v>11</v>
      </c>
      <c r="B15" s="7"/>
      <c r="C15" s="7"/>
      <c r="D15" s="7"/>
      <c r="E15" s="7"/>
      <c r="F15" s="7"/>
      <c r="G15" s="7"/>
      <c r="H15" s="7"/>
      <c r="I15" s="7"/>
      <c r="J15" s="34"/>
      <c r="K15" s="7"/>
      <c r="L15" s="7"/>
      <c r="M15" s="34"/>
      <c r="N15" s="7"/>
      <c r="O15" s="22"/>
      <c r="P15" s="58"/>
      <c r="Q15" s="59"/>
      <c r="R15" s="24" t="s">
        <v>329</v>
      </c>
      <c r="S15" s="24" t="s">
        <v>328</v>
      </c>
      <c r="T15" s="28">
        <v>22296836821</v>
      </c>
      <c r="U15" s="66">
        <v>22296836821</v>
      </c>
      <c r="V15" s="22"/>
      <c r="W15" s="22"/>
      <c r="X15" s="22"/>
      <c r="Y15" s="22"/>
      <c r="Z15" s="28">
        <v>22296836821</v>
      </c>
      <c r="AA15" s="60"/>
      <c r="AB15" s="60"/>
      <c r="AC15" s="60"/>
      <c r="AD15" s="60"/>
      <c r="AE15" s="60"/>
      <c r="AF15" s="60"/>
      <c r="AG15" s="60"/>
      <c r="AH15" s="60"/>
      <c r="AI15" s="60"/>
      <c r="AJ15" s="60"/>
      <c r="AK15" s="60"/>
      <c r="AL15" s="60"/>
      <c r="AM15" s="60"/>
      <c r="AN15" s="60">
        <f>SUM(Tabla1[[#This Row],[Recursos propios 2024]:[Otros 2024]])</f>
        <v>22296836821</v>
      </c>
      <c r="AO15" s="28">
        <v>0</v>
      </c>
      <c r="AP15" s="60"/>
      <c r="AQ15" s="60"/>
      <c r="AR15" s="60"/>
      <c r="AS15" s="60"/>
      <c r="AT15" s="60"/>
      <c r="AU15" s="60"/>
      <c r="AV15" s="60"/>
      <c r="AW15" s="60"/>
      <c r="AX15" s="60"/>
      <c r="AY15" s="60"/>
      <c r="AZ15" s="60"/>
      <c r="BA15" s="60"/>
      <c r="BB15" s="60"/>
      <c r="BC15" s="60">
        <f>SUM(Tabla1[[#This Row],[Recursos propios 20242]:[Otros 202415]])</f>
        <v>0</v>
      </c>
      <c r="BD15" s="41">
        <f>+Tabla1[[#This Row],[Total Comprometido 2024]]/Tabla1[[#This Row],[Total 2024]]</f>
        <v>0</v>
      </c>
      <c r="BE15" s="62">
        <v>0</v>
      </c>
      <c r="BF15" s="62">
        <v>0</v>
      </c>
      <c r="BG15" s="60"/>
      <c r="BH15" s="7"/>
      <c r="BI15" s="7"/>
      <c r="BJ15" s="7"/>
    </row>
    <row r="16" spans="1:62" s="63" customFormat="1" ht="57" x14ac:dyDescent="0.25">
      <c r="A16" s="22">
        <v>11</v>
      </c>
      <c r="B16" s="7"/>
      <c r="C16" s="7"/>
      <c r="D16" s="7"/>
      <c r="E16" s="7"/>
      <c r="F16" s="7"/>
      <c r="G16" s="7"/>
      <c r="H16" s="7"/>
      <c r="I16" s="7"/>
      <c r="J16" s="34"/>
      <c r="K16" s="7"/>
      <c r="L16" s="7"/>
      <c r="M16" s="34"/>
      <c r="N16" s="7"/>
      <c r="O16" s="22"/>
      <c r="P16" s="64"/>
      <c r="Q16" s="59"/>
      <c r="R16" s="24" t="s">
        <v>330</v>
      </c>
      <c r="S16" s="24" t="s">
        <v>331</v>
      </c>
      <c r="T16" s="28">
        <v>20875605640.68</v>
      </c>
      <c r="U16" s="66">
        <v>20875605640.68</v>
      </c>
      <c r="V16" s="22"/>
      <c r="W16" s="22"/>
      <c r="X16" s="22"/>
      <c r="Y16" s="22"/>
      <c r="Z16" s="60">
        <v>20875605640.68</v>
      </c>
      <c r="AA16" s="60"/>
      <c r="AB16" s="60"/>
      <c r="AC16" s="60"/>
      <c r="AD16" s="60"/>
      <c r="AE16" s="60"/>
      <c r="AF16" s="60"/>
      <c r="AG16" s="60"/>
      <c r="AH16" s="60"/>
      <c r="AI16" s="60"/>
      <c r="AJ16" s="60"/>
      <c r="AK16" s="60"/>
      <c r="AL16" s="60"/>
      <c r="AM16" s="60"/>
      <c r="AN16" s="60">
        <f>SUM(Tabla1[[#This Row],[Recursos propios 2024]:[Otros 2024]])</f>
        <v>20875605640.68</v>
      </c>
      <c r="AO16" s="25">
        <v>0</v>
      </c>
      <c r="AP16" s="60"/>
      <c r="AQ16" s="60"/>
      <c r="AR16" s="60"/>
      <c r="AS16" s="60"/>
      <c r="AT16" s="60"/>
      <c r="AU16" s="60"/>
      <c r="AV16" s="60"/>
      <c r="AW16" s="60"/>
      <c r="AX16" s="60"/>
      <c r="AY16" s="60"/>
      <c r="AZ16" s="60"/>
      <c r="BA16" s="60"/>
      <c r="BB16" s="60"/>
      <c r="BC16" s="60">
        <f>SUM(Tabla1[[#This Row],[Recursos propios 20242]:[Otros 202415]])</f>
        <v>0</v>
      </c>
      <c r="BD16" s="41">
        <f>+Tabla1[[#This Row],[Total Comprometido 2024]]/Tabla1[[#This Row],[Total 2024]]</f>
        <v>0</v>
      </c>
      <c r="BE16" s="62">
        <v>0</v>
      </c>
      <c r="BF16" s="62">
        <v>0</v>
      </c>
      <c r="BG16" s="60"/>
      <c r="BH16" s="7"/>
      <c r="BI16" s="7"/>
      <c r="BJ16" s="7"/>
    </row>
    <row r="17" spans="1:62" s="63" customFormat="1" ht="42.75" x14ac:dyDescent="0.25">
      <c r="A17" s="22">
        <v>11</v>
      </c>
      <c r="B17" s="7"/>
      <c r="C17" s="7"/>
      <c r="D17" s="7"/>
      <c r="E17" s="7"/>
      <c r="F17" s="7"/>
      <c r="G17" s="7"/>
      <c r="H17" s="7"/>
      <c r="I17" s="7"/>
      <c r="J17" s="34"/>
      <c r="K17" s="7"/>
      <c r="L17" s="7"/>
      <c r="M17" s="34"/>
      <c r="N17" s="7"/>
      <c r="O17" s="22"/>
      <c r="P17" s="58"/>
      <c r="Q17" s="59"/>
      <c r="R17" s="65" t="s">
        <v>332</v>
      </c>
      <c r="S17" s="24" t="s">
        <v>333</v>
      </c>
      <c r="T17" s="66">
        <v>17919939774.600002</v>
      </c>
      <c r="U17" s="66">
        <v>17919939774.600002</v>
      </c>
      <c r="V17" s="22"/>
      <c r="W17" s="22"/>
      <c r="X17" s="22"/>
      <c r="Y17" s="22"/>
      <c r="Z17" s="60">
        <v>17919939774.600002</v>
      </c>
      <c r="AA17" s="60"/>
      <c r="AB17" s="60"/>
      <c r="AC17" s="60"/>
      <c r="AD17" s="60"/>
      <c r="AE17" s="60"/>
      <c r="AF17" s="60"/>
      <c r="AG17" s="60"/>
      <c r="AH17" s="60"/>
      <c r="AI17" s="60"/>
      <c r="AJ17" s="60"/>
      <c r="AK17" s="60"/>
      <c r="AL17" s="60"/>
      <c r="AM17" s="60"/>
      <c r="AN17" s="60">
        <f>SUM(Tabla1[[#This Row],[Recursos propios 2024]:[Otros 2024]])</f>
        <v>17919939774.600002</v>
      </c>
      <c r="AO17" s="25">
        <v>0</v>
      </c>
      <c r="AP17" s="60"/>
      <c r="AQ17" s="60"/>
      <c r="AR17" s="60"/>
      <c r="AS17" s="60"/>
      <c r="AT17" s="60"/>
      <c r="AU17" s="60"/>
      <c r="AV17" s="60"/>
      <c r="AW17" s="60"/>
      <c r="AX17" s="60"/>
      <c r="AY17" s="60"/>
      <c r="AZ17" s="60"/>
      <c r="BA17" s="60"/>
      <c r="BB17" s="60"/>
      <c r="BC17" s="60">
        <f>SUM(Tabla1[[#This Row],[Recursos propios 20242]:[Otros 202415]])</f>
        <v>0</v>
      </c>
      <c r="BD17" s="41">
        <f>+Tabla1[[#This Row],[Total Comprometido 2024]]/Tabla1[[#This Row],[Total 2024]]</f>
        <v>0</v>
      </c>
      <c r="BE17" s="62">
        <v>0</v>
      </c>
      <c r="BF17" s="62">
        <v>0</v>
      </c>
      <c r="BG17" s="60"/>
      <c r="BH17" s="7"/>
      <c r="BI17" s="7"/>
      <c r="BJ17" s="7"/>
    </row>
    <row r="18" spans="1:62" s="63" customFormat="1" ht="57" x14ac:dyDescent="0.25">
      <c r="A18" s="22">
        <v>11</v>
      </c>
      <c r="B18" s="7"/>
      <c r="C18" s="7"/>
      <c r="D18" s="7"/>
      <c r="E18" s="7"/>
      <c r="F18" s="7"/>
      <c r="G18" s="7"/>
      <c r="H18" s="7"/>
      <c r="I18" s="7"/>
      <c r="J18" s="34"/>
      <c r="K18" s="7"/>
      <c r="L18" s="7"/>
      <c r="M18" s="34"/>
      <c r="N18" s="7"/>
      <c r="O18" s="22"/>
      <c r="P18" s="64"/>
      <c r="Q18" s="59"/>
      <c r="R18" s="65" t="s">
        <v>334</v>
      </c>
      <c r="S18" s="24" t="s">
        <v>335</v>
      </c>
      <c r="T18" s="28">
        <v>13091968522.17</v>
      </c>
      <c r="U18" s="66">
        <v>13091968522.17</v>
      </c>
      <c r="V18" s="22"/>
      <c r="W18" s="22"/>
      <c r="X18" s="22"/>
      <c r="Y18" s="22"/>
      <c r="Z18" s="60">
        <v>13091968522.17</v>
      </c>
      <c r="AA18" s="60"/>
      <c r="AB18" s="60"/>
      <c r="AC18" s="60"/>
      <c r="AD18" s="60"/>
      <c r="AE18" s="60"/>
      <c r="AF18" s="60"/>
      <c r="AG18" s="60"/>
      <c r="AH18" s="60"/>
      <c r="AI18" s="60"/>
      <c r="AJ18" s="60"/>
      <c r="AK18" s="60"/>
      <c r="AL18" s="60"/>
      <c r="AM18" s="60"/>
      <c r="AN18" s="60">
        <f>SUM(Tabla1[[#This Row],[Recursos propios 2024]:[Otros 2024]])</f>
        <v>13091968522.17</v>
      </c>
      <c r="AO18" s="25">
        <v>8357424703.5700006</v>
      </c>
      <c r="AP18" s="60"/>
      <c r="AQ18" s="60"/>
      <c r="AR18" s="60"/>
      <c r="AS18" s="60"/>
      <c r="AT18" s="60"/>
      <c r="AU18" s="60"/>
      <c r="AV18" s="60"/>
      <c r="AW18" s="60"/>
      <c r="AX18" s="60"/>
      <c r="AY18" s="60"/>
      <c r="AZ18" s="60"/>
      <c r="BA18" s="60"/>
      <c r="BB18" s="60"/>
      <c r="BC18" s="60">
        <f>SUM(Tabla1[[#This Row],[Recursos propios 20242]:[Otros 202415]])</f>
        <v>8357424703.5700006</v>
      </c>
      <c r="BD18" s="41">
        <f>+Tabla1[[#This Row],[Total Comprometido 2024]]/Tabla1[[#This Row],[Total 2024]]</f>
        <v>0.63836272516371384</v>
      </c>
      <c r="BE18" s="62">
        <v>7702401370.1900005</v>
      </c>
      <c r="BF18" s="62">
        <v>7662384703.5200005</v>
      </c>
      <c r="BG18" s="60"/>
      <c r="BH18" s="7"/>
      <c r="BI18" s="7"/>
      <c r="BJ18" s="7"/>
    </row>
    <row r="19" spans="1:62" s="15" customFormat="1" ht="71.25" x14ac:dyDescent="0.25">
      <c r="A19" s="23">
        <v>12</v>
      </c>
      <c r="B19" s="8" t="s">
        <v>71</v>
      </c>
      <c r="C19" s="6" t="s">
        <v>72</v>
      </c>
      <c r="D19" s="8" t="s">
        <v>73</v>
      </c>
      <c r="E19" s="6" t="s">
        <v>74</v>
      </c>
      <c r="F19" s="8" t="s">
        <v>80</v>
      </c>
      <c r="G19" s="6" t="s">
        <v>81</v>
      </c>
      <c r="H19" s="8">
        <v>210200800</v>
      </c>
      <c r="I19" s="6" t="s">
        <v>82</v>
      </c>
      <c r="J19" s="8">
        <v>0</v>
      </c>
      <c r="K19" s="8" t="s">
        <v>78</v>
      </c>
      <c r="L19" s="8" t="s">
        <v>83</v>
      </c>
      <c r="M19" s="8">
        <v>2</v>
      </c>
      <c r="N19" s="8">
        <v>2</v>
      </c>
      <c r="O19" s="23"/>
      <c r="P19" s="31">
        <f>+(Tabla1[[#This Row],[Meta Ejecutada Vigencia4]]/Tabla1[[#This Row],[Meta Programada Vigencia]])</f>
        <v>0</v>
      </c>
      <c r="Q19" s="31">
        <f>+Tabla1[[#This Row],[Meta Ejecutada Vigencia4]]/Tabla1[[#This Row],[Meta Programada Cuatrienio3]]/4</f>
        <v>0</v>
      </c>
      <c r="R19" s="24" t="s">
        <v>340</v>
      </c>
      <c r="S19" s="24" t="s">
        <v>341</v>
      </c>
      <c r="T19" s="28">
        <v>2500000000</v>
      </c>
      <c r="U19" s="66">
        <v>2500000000</v>
      </c>
      <c r="V19" s="23"/>
      <c r="W19" s="23"/>
      <c r="X19" s="23"/>
      <c r="Y19" s="22"/>
      <c r="Z19" s="27">
        <v>2500000000</v>
      </c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25"/>
      <c r="AL19" s="25"/>
      <c r="AM19" s="25"/>
      <c r="AN19" s="25">
        <f>SUM(Tabla1[[#This Row],[Recursos propios 2024]:[Otros 2024]])</f>
        <v>2500000000</v>
      </c>
      <c r="AO19" s="25">
        <v>0</v>
      </c>
      <c r="AP19" s="25"/>
      <c r="AQ19" s="25"/>
      <c r="AR19" s="25"/>
      <c r="AS19" s="25"/>
      <c r="AT19" s="25"/>
      <c r="AU19" s="25"/>
      <c r="AV19" s="25"/>
      <c r="AW19" s="25"/>
      <c r="AX19" s="25"/>
      <c r="AY19" s="25"/>
      <c r="AZ19" s="25"/>
      <c r="BA19" s="25"/>
      <c r="BB19" s="25"/>
      <c r="BC19" s="25">
        <f>SUM(Tabla1[[#This Row],[Recursos propios 20242]:[Otros 202415]])</f>
        <v>0</v>
      </c>
      <c r="BD19" s="42">
        <f>+Tabla1[[#This Row],[Total Comprometido 2024]]/Tabla1[[#This Row],[Total 2024]]</f>
        <v>0</v>
      </c>
      <c r="BE19" s="25">
        <v>0</v>
      </c>
      <c r="BF19" s="25">
        <v>0</v>
      </c>
      <c r="BG19" s="25"/>
      <c r="BH19" s="6" t="s">
        <v>248</v>
      </c>
      <c r="BI19" s="6" t="s">
        <v>249</v>
      </c>
      <c r="BJ19" s="6">
        <v>11.16</v>
      </c>
    </row>
    <row r="20" spans="1:62" s="15" customFormat="1" ht="71.25" x14ac:dyDescent="0.25">
      <c r="A20" s="23">
        <v>13</v>
      </c>
      <c r="B20" s="8" t="s">
        <v>71</v>
      </c>
      <c r="C20" s="7" t="s">
        <v>72</v>
      </c>
      <c r="D20" s="8" t="s">
        <v>84</v>
      </c>
      <c r="E20" s="6" t="s">
        <v>74</v>
      </c>
      <c r="F20" s="8" t="s">
        <v>85</v>
      </c>
      <c r="G20" s="6" t="s">
        <v>86</v>
      </c>
      <c r="H20" s="8">
        <v>210602900</v>
      </c>
      <c r="I20" s="6" t="s">
        <v>87</v>
      </c>
      <c r="J20" s="16">
        <v>0</v>
      </c>
      <c r="K20" s="8" t="s">
        <v>78</v>
      </c>
      <c r="L20" s="8" t="s">
        <v>79</v>
      </c>
      <c r="M20" s="34">
        <v>1</v>
      </c>
      <c r="N20" s="7">
        <v>1</v>
      </c>
      <c r="O20" s="22"/>
      <c r="P20" s="31">
        <f>+(Tabla1[[#This Row],[Meta Ejecutada Vigencia4]]/Tabla1[[#This Row],[Meta Programada Vigencia]])</f>
        <v>0</v>
      </c>
      <c r="Q20" s="31">
        <f>+Tabla1[[#This Row],[Meta Ejecutada Vigencia4]]/Tabla1[[#This Row],[Meta Programada Cuatrienio3]]/4</f>
        <v>0</v>
      </c>
      <c r="R20" s="65" t="s">
        <v>342</v>
      </c>
      <c r="S20" s="24" t="s">
        <v>343</v>
      </c>
      <c r="T20" s="28">
        <v>423000000</v>
      </c>
      <c r="U20" s="66">
        <v>423000000</v>
      </c>
      <c r="V20" s="23"/>
      <c r="W20" s="23"/>
      <c r="X20" s="23"/>
      <c r="Y20" s="22"/>
      <c r="Z20" s="28">
        <v>423000000</v>
      </c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25"/>
      <c r="AL20" s="25"/>
      <c r="AM20" s="25"/>
      <c r="AN20" s="25">
        <f>SUM(Tabla1[[#This Row],[Recursos propios 2024]:[Otros 2024]])</f>
        <v>423000000</v>
      </c>
      <c r="AO20" s="25">
        <v>0</v>
      </c>
      <c r="AP20" s="25"/>
      <c r="AQ20" s="25"/>
      <c r="AR20" s="25"/>
      <c r="AS20" s="25"/>
      <c r="AT20" s="25"/>
      <c r="AU20" s="25"/>
      <c r="AV20" s="25"/>
      <c r="AW20" s="25"/>
      <c r="AX20" s="25"/>
      <c r="AY20" s="25"/>
      <c r="AZ20" s="25"/>
      <c r="BA20" s="25"/>
      <c r="BB20" s="25"/>
      <c r="BC20" s="25">
        <f>SUM(Tabla1[[#This Row],[Recursos propios 20242]:[Otros 202415]])</f>
        <v>0</v>
      </c>
      <c r="BD20" s="41">
        <f>+Tabla1[[#This Row],[Total Comprometido 2024]]/Tabla1[[#This Row],[Total 2024]]</f>
        <v>0</v>
      </c>
      <c r="BE20" s="62">
        <v>0</v>
      </c>
      <c r="BF20" s="62">
        <v>0</v>
      </c>
      <c r="BG20" s="25"/>
      <c r="BH20" s="6" t="s">
        <v>248</v>
      </c>
      <c r="BI20" s="6" t="s">
        <v>249</v>
      </c>
      <c r="BJ20" s="6">
        <v>16</v>
      </c>
    </row>
    <row r="21" spans="1:62" s="15" customFormat="1" ht="114" x14ac:dyDescent="0.25">
      <c r="A21" s="23">
        <v>47</v>
      </c>
      <c r="B21" s="8" t="s">
        <v>88</v>
      </c>
      <c r="C21" s="7" t="s">
        <v>89</v>
      </c>
      <c r="D21" s="8" t="s">
        <v>90</v>
      </c>
      <c r="E21" s="6" t="s">
        <v>91</v>
      </c>
      <c r="F21" s="8" t="s">
        <v>92</v>
      </c>
      <c r="G21" s="6" t="s">
        <v>93</v>
      </c>
      <c r="H21" s="8">
        <v>400202000</v>
      </c>
      <c r="I21" s="6" t="s">
        <v>94</v>
      </c>
      <c r="J21" s="16">
        <v>243740</v>
      </c>
      <c r="K21" s="8" t="s">
        <v>95</v>
      </c>
      <c r="L21" s="8" t="s">
        <v>83</v>
      </c>
      <c r="M21" s="34">
        <v>300000</v>
      </c>
      <c r="N21" s="7">
        <v>25225</v>
      </c>
      <c r="O21" s="22">
        <f>1476+520+18223</f>
        <v>20219</v>
      </c>
      <c r="P21" s="31">
        <f>+(Tabla1[[#This Row],[Meta Ejecutada Vigencia4]]/Tabla1[[#This Row],[Meta Programada Vigencia]])</f>
        <v>0.80154608523290383</v>
      </c>
      <c r="Q21" s="31">
        <f>+Tabla1[[#This Row],[Meta Ejecutada Vigencia4]]/Tabla1[[#This Row],[Meta Programada Cuatrienio3]]/4</f>
        <v>1.6849166666666665E-2</v>
      </c>
      <c r="R21" s="46">
        <v>2022680010049</v>
      </c>
      <c r="S21" s="24" t="s">
        <v>256</v>
      </c>
      <c r="T21" s="47">
        <v>493692255</v>
      </c>
      <c r="U21" s="47">
        <v>493692255</v>
      </c>
      <c r="V21" s="23" t="s">
        <v>257</v>
      </c>
      <c r="W21" s="23" t="s">
        <v>258</v>
      </c>
      <c r="X21" s="23">
        <v>57000</v>
      </c>
      <c r="Y21" s="22" t="s">
        <v>259</v>
      </c>
      <c r="Z21" s="25">
        <v>493692255</v>
      </c>
      <c r="AA21" s="25"/>
      <c r="AB21" s="25"/>
      <c r="AC21" s="25"/>
      <c r="AD21" s="25"/>
      <c r="AE21" s="25"/>
      <c r="AF21" s="25"/>
      <c r="AG21" s="25"/>
      <c r="AH21" s="25"/>
      <c r="AI21" s="25"/>
      <c r="AJ21" s="25"/>
      <c r="AK21" s="25"/>
      <c r="AL21" s="25"/>
      <c r="AM21" s="25"/>
      <c r="AN21" s="25">
        <f>SUM(Tabla1[[#This Row],[Recursos propios 2024]:[Otros 2024]])</f>
        <v>493692255</v>
      </c>
      <c r="AO21" s="25">
        <v>493692255</v>
      </c>
      <c r="AP21" s="25"/>
      <c r="AQ21" s="25"/>
      <c r="AR21" s="25"/>
      <c r="AS21" s="25"/>
      <c r="AT21" s="25"/>
      <c r="AU21" s="25"/>
      <c r="AV21" s="25"/>
      <c r="AW21" s="25"/>
      <c r="AX21" s="25"/>
      <c r="AY21" s="25"/>
      <c r="AZ21" s="25"/>
      <c r="BA21" s="25"/>
      <c r="BB21" s="25"/>
      <c r="BC21" s="25">
        <f>SUM(Tabla1[[#This Row],[Recursos propios 20242]:[Otros 202415]])</f>
        <v>493692255</v>
      </c>
      <c r="BD21" s="42">
        <f>+Tabla1[[#This Row],[Total Comprometido 2024]]/Tabla1[[#This Row],[Total 2024]]</f>
        <v>1</v>
      </c>
      <c r="BE21" s="25">
        <f>120871924.46+59241787.87</f>
        <v>180113712.32999998</v>
      </c>
      <c r="BF21" s="25">
        <f>120871924.46+59241787.87</f>
        <v>180113712.32999998</v>
      </c>
      <c r="BG21" s="25"/>
      <c r="BH21" s="6" t="s">
        <v>250</v>
      </c>
      <c r="BI21" s="6" t="s">
        <v>249</v>
      </c>
      <c r="BJ21" s="6">
        <v>11.13</v>
      </c>
    </row>
    <row r="22" spans="1:62" s="15" customFormat="1" ht="99.75" x14ac:dyDescent="0.25">
      <c r="A22" s="23">
        <v>47</v>
      </c>
      <c r="B22" s="8"/>
      <c r="C22" s="8"/>
      <c r="D22" s="8"/>
      <c r="E22" s="8"/>
      <c r="F22" s="8"/>
      <c r="G22" s="6"/>
      <c r="H22" s="8"/>
      <c r="I22" s="6"/>
      <c r="J22" s="16"/>
      <c r="K22" s="8"/>
      <c r="L22" s="8"/>
      <c r="M22" s="16"/>
      <c r="N22" s="8"/>
      <c r="O22" s="23"/>
      <c r="P22" s="67"/>
      <c r="Q22" s="32"/>
      <c r="R22" s="68">
        <v>2023680010052</v>
      </c>
      <c r="S22" s="24" t="s">
        <v>260</v>
      </c>
      <c r="T22" s="69">
        <v>172725229.80000001</v>
      </c>
      <c r="U22" s="69">
        <v>172725229.80000001</v>
      </c>
      <c r="V22" s="23"/>
      <c r="W22" s="23"/>
      <c r="X22" s="23"/>
      <c r="Y22" s="23"/>
      <c r="Z22" s="27">
        <v>172725229.80000001</v>
      </c>
      <c r="AA22" s="27"/>
      <c r="AB22" s="27"/>
      <c r="AC22" s="27"/>
      <c r="AD22" s="27"/>
      <c r="AE22" s="27"/>
      <c r="AF22" s="27"/>
      <c r="AG22" s="27"/>
      <c r="AH22" s="27"/>
      <c r="AI22" s="27"/>
      <c r="AJ22" s="27"/>
      <c r="AK22" s="27"/>
      <c r="AL22" s="27"/>
      <c r="AM22" s="27"/>
      <c r="AN22" s="27">
        <f>SUM(Tabla1[[#This Row],[Recursos propios 2024]:[Otros 2024]])</f>
        <v>172725229.80000001</v>
      </c>
      <c r="AO22" s="27">
        <v>172725229.80000001</v>
      </c>
      <c r="AP22" s="27"/>
      <c r="AQ22" s="27"/>
      <c r="AR22" s="27"/>
      <c r="AS22" s="27"/>
      <c r="AT22" s="27"/>
      <c r="AU22" s="27"/>
      <c r="AV22" s="27"/>
      <c r="AW22" s="27"/>
      <c r="AX22" s="27"/>
      <c r="AY22" s="27"/>
      <c r="AZ22" s="27"/>
      <c r="BA22" s="27"/>
      <c r="BB22" s="27"/>
      <c r="BC22" s="27">
        <f>SUM(Tabla1[[#This Row],[Recursos propios 20242]:[Otros 202415]])</f>
        <v>172725229.80000001</v>
      </c>
      <c r="BD22" s="43">
        <f>+Tabla1[[#This Row],[Total Comprometido 2024]]/Tabla1[[#This Row],[Total 2024]]</f>
        <v>1</v>
      </c>
      <c r="BE22" s="27">
        <v>172725229.80000001</v>
      </c>
      <c r="BF22" s="27">
        <v>172725229.80000001</v>
      </c>
      <c r="BG22" s="27"/>
      <c r="BH22" s="8"/>
      <c r="BI22" s="8"/>
      <c r="BJ22" s="8"/>
    </row>
    <row r="23" spans="1:62" s="15" customFormat="1" ht="85.5" x14ac:dyDescent="0.25">
      <c r="A23" s="23">
        <v>47</v>
      </c>
      <c r="B23" s="8"/>
      <c r="C23" s="8"/>
      <c r="D23" s="8"/>
      <c r="E23" s="8"/>
      <c r="F23" s="8"/>
      <c r="G23" s="6"/>
      <c r="H23" s="8"/>
      <c r="I23" s="6"/>
      <c r="J23" s="16"/>
      <c r="K23" s="8"/>
      <c r="L23" s="8"/>
      <c r="M23" s="16"/>
      <c r="N23" s="8"/>
      <c r="O23" s="23"/>
      <c r="P23" s="67"/>
      <c r="Q23" s="32"/>
      <c r="R23" s="68">
        <v>2022680010054</v>
      </c>
      <c r="S23" s="24" t="s">
        <v>261</v>
      </c>
      <c r="T23" s="69">
        <v>475000000</v>
      </c>
      <c r="U23" s="69">
        <v>475000000</v>
      </c>
      <c r="V23" s="23"/>
      <c r="W23" s="23"/>
      <c r="X23" s="23"/>
      <c r="Y23" s="23"/>
      <c r="Z23" s="27">
        <v>475000000</v>
      </c>
      <c r="AA23" s="27"/>
      <c r="AB23" s="27"/>
      <c r="AC23" s="27"/>
      <c r="AD23" s="27"/>
      <c r="AE23" s="27"/>
      <c r="AF23" s="27"/>
      <c r="AG23" s="27"/>
      <c r="AH23" s="27"/>
      <c r="AI23" s="27"/>
      <c r="AJ23" s="27"/>
      <c r="AK23" s="27"/>
      <c r="AL23" s="27"/>
      <c r="AM23" s="27"/>
      <c r="AN23" s="27">
        <f>SUM(Tabla1[[#This Row],[Recursos propios 2024]:[Otros 2024]])</f>
        <v>475000000</v>
      </c>
      <c r="AO23" s="27">
        <v>475000000</v>
      </c>
      <c r="AP23" s="27"/>
      <c r="AQ23" s="27"/>
      <c r="AR23" s="27"/>
      <c r="AS23" s="27"/>
      <c r="AT23" s="27"/>
      <c r="AU23" s="27"/>
      <c r="AV23" s="27"/>
      <c r="AW23" s="27"/>
      <c r="AX23" s="27"/>
      <c r="AY23" s="27"/>
      <c r="AZ23" s="27"/>
      <c r="BA23" s="27"/>
      <c r="BB23" s="27"/>
      <c r="BC23" s="27">
        <f>SUM(Tabla1[[#This Row],[Recursos propios 20242]:[Otros 202415]])</f>
        <v>475000000</v>
      </c>
      <c r="BD23" s="43">
        <f>+Tabla1[[#This Row],[Total Comprometido 2024]]/Tabla1[[#This Row],[Total 2024]]</f>
        <v>1</v>
      </c>
      <c r="BE23" s="27">
        <f>118750000+61750000</f>
        <v>180500000</v>
      </c>
      <c r="BF23" s="27">
        <f>118750000+61750000</f>
        <v>180500000</v>
      </c>
      <c r="BG23" s="27"/>
      <c r="BH23" s="8"/>
      <c r="BI23" s="8"/>
      <c r="BJ23" s="8"/>
    </row>
    <row r="24" spans="1:62" s="15" customFormat="1" ht="85.5" x14ac:dyDescent="0.25">
      <c r="A24" s="23">
        <v>47</v>
      </c>
      <c r="B24" s="8"/>
      <c r="C24" s="8"/>
      <c r="D24" s="8"/>
      <c r="E24" s="8"/>
      <c r="F24" s="8"/>
      <c r="G24" s="6"/>
      <c r="H24" s="8"/>
      <c r="I24" s="6"/>
      <c r="J24" s="16"/>
      <c r="K24" s="8"/>
      <c r="L24" s="8"/>
      <c r="M24" s="16"/>
      <c r="N24" s="8"/>
      <c r="O24" s="23"/>
      <c r="P24" s="67"/>
      <c r="Q24" s="32"/>
      <c r="R24" s="68">
        <v>2024680010050</v>
      </c>
      <c r="S24" s="24" t="s">
        <v>262</v>
      </c>
      <c r="T24" s="69">
        <v>22054956841.130001</v>
      </c>
      <c r="U24" s="69">
        <v>22054956841.130001</v>
      </c>
      <c r="V24" s="23"/>
      <c r="W24" s="23"/>
      <c r="X24" s="23"/>
      <c r="Y24" s="23"/>
      <c r="Z24" s="27">
        <v>21434725123.59</v>
      </c>
      <c r="AA24" s="27"/>
      <c r="AB24" s="27"/>
      <c r="AC24" s="27"/>
      <c r="AD24" s="27"/>
      <c r="AE24" s="27"/>
      <c r="AF24" s="27"/>
      <c r="AG24" s="27"/>
      <c r="AH24" s="27"/>
      <c r="AI24" s="27"/>
      <c r="AJ24" s="27"/>
      <c r="AK24" s="27"/>
      <c r="AL24" s="27"/>
      <c r="AM24" s="27"/>
      <c r="AN24" s="27">
        <f>SUM(Tabla1[[#This Row],[Recursos propios 2024]:[Otros 2024]])</f>
        <v>21434725123.59</v>
      </c>
      <c r="AO24" s="27"/>
      <c r="AP24" s="27"/>
      <c r="AQ24" s="27"/>
      <c r="AR24" s="27"/>
      <c r="AS24" s="27"/>
      <c r="AT24" s="27"/>
      <c r="AU24" s="27"/>
      <c r="AV24" s="27"/>
      <c r="AW24" s="27"/>
      <c r="AX24" s="27"/>
      <c r="AY24" s="27"/>
      <c r="AZ24" s="27"/>
      <c r="BA24" s="27"/>
      <c r="BB24" s="27"/>
      <c r="BC24" s="27">
        <f>SUM(Tabla1[[#This Row],[Recursos propios 20242]:[Otros 202415]])</f>
        <v>0</v>
      </c>
      <c r="BD24" s="43">
        <f>+Tabla1[[#This Row],[Total Comprometido 2024]]/Tabla1[[#This Row],[Total 2024]]</f>
        <v>0</v>
      </c>
      <c r="BE24" s="27"/>
      <c r="BF24" s="27"/>
      <c r="BG24" s="27"/>
      <c r="BH24" s="8"/>
      <c r="BI24" s="8"/>
      <c r="BJ24" s="8"/>
    </row>
    <row r="25" spans="1:62" s="15" customFormat="1" ht="57" x14ac:dyDescent="0.25">
      <c r="A25" s="23">
        <v>47</v>
      </c>
      <c r="B25" s="8"/>
      <c r="C25" s="8"/>
      <c r="D25" s="8"/>
      <c r="E25" s="8"/>
      <c r="F25" s="8"/>
      <c r="G25" s="6"/>
      <c r="H25" s="8"/>
      <c r="I25" s="6"/>
      <c r="J25" s="16"/>
      <c r="K25" s="8"/>
      <c r="L25" s="8"/>
      <c r="M25" s="16"/>
      <c r="N25" s="8"/>
      <c r="O25" s="23"/>
      <c r="P25" s="67"/>
      <c r="Q25" s="32"/>
      <c r="R25" s="68">
        <v>2024680010257</v>
      </c>
      <c r="S25" s="24" t="s">
        <v>263</v>
      </c>
      <c r="T25" s="69">
        <v>1017291717.54</v>
      </c>
      <c r="U25" s="69">
        <v>1017291717.54</v>
      </c>
      <c r="V25" s="23"/>
      <c r="W25" s="23"/>
      <c r="X25" s="23"/>
      <c r="Y25" s="23"/>
      <c r="Z25" s="27">
        <v>1017291717.54</v>
      </c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>
        <f>SUM(Tabla1[[#This Row],[Recursos propios 2024]:[Otros 2024]])</f>
        <v>1017291717.54</v>
      </c>
      <c r="AO25" s="27"/>
      <c r="AP25" s="27"/>
      <c r="AQ25" s="27"/>
      <c r="AR25" s="27"/>
      <c r="AS25" s="27"/>
      <c r="AT25" s="27"/>
      <c r="AU25" s="27"/>
      <c r="AV25" s="27"/>
      <c r="AW25" s="27"/>
      <c r="AX25" s="27"/>
      <c r="AY25" s="27"/>
      <c r="AZ25" s="27"/>
      <c r="BA25" s="27"/>
      <c r="BB25" s="27"/>
      <c r="BC25" s="27">
        <f>SUM(Tabla1[[#This Row],[Recursos propios 20242]:[Otros 202415]])</f>
        <v>0</v>
      </c>
      <c r="BD25" s="43">
        <f>+Tabla1[[#This Row],[Total Comprometido 2024]]/Tabla1[[#This Row],[Total 2024]]</f>
        <v>0</v>
      </c>
      <c r="BE25" s="27"/>
      <c r="BF25" s="27"/>
      <c r="BG25" s="27"/>
      <c r="BH25" s="8"/>
      <c r="BI25" s="8"/>
      <c r="BJ25" s="8"/>
    </row>
    <row r="26" spans="1:62" s="15" customFormat="1" ht="57" x14ac:dyDescent="0.25">
      <c r="A26" s="23">
        <v>47</v>
      </c>
      <c r="B26" s="8"/>
      <c r="C26" s="8"/>
      <c r="D26" s="8"/>
      <c r="E26" s="8"/>
      <c r="F26" s="8"/>
      <c r="G26" s="6"/>
      <c r="H26" s="8"/>
      <c r="I26" s="6"/>
      <c r="J26" s="16"/>
      <c r="K26" s="8"/>
      <c r="L26" s="8"/>
      <c r="M26" s="16"/>
      <c r="N26" s="8"/>
      <c r="O26" s="23"/>
      <c r="P26" s="67"/>
      <c r="Q26" s="32"/>
      <c r="R26" s="68">
        <v>2024680010079</v>
      </c>
      <c r="S26" s="24" t="s">
        <v>264</v>
      </c>
      <c r="T26" s="69">
        <v>1358682435.8199999</v>
      </c>
      <c r="U26" s="69">
        <v>1358682435.8199999</v>
      </c>
      <c r="V26" s="23"/>
      <c r="W26" s="23"/>
      <c r="X26" s="23"/>
      <c r="Y26" s="23"/>
      <c r="Z26" s="27">
        <v>1358682435.8199999</v>
      </c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7">
        <f>SUM(Tabla1[[#This Row],[Recursos propios 2024]:[Otros 2024]])</f>
        <v>1358682435.8199999</v>
      </c>
      <c r="AO26" s="27"/>
      <c r="AP26" s="27"/>
      <c r="AQ26" s="27"/>
      <c r="AR26" s="27"/>
      <c r="AS26" s="27"/>
      <c r="AT26" s="27"/>
      <c r="AU26" s="27"/>
      <c r="AV26" s="27"/>
      <c r="AW26" s="27"/>
      <c r="AX26" s="27"/>
      <c r="AY26" s="27"/>
      <c r="AZ26" s="27"/>
      <c r="BA26" s="27"/>
      <c r="BB26" s="27"/>
      <c r="BC26" s="27">
        <f>SUM(Tabla1[[#This Row],[Recursos propios 20242]:[Otros 202415]])</f>
        <v>0</v>
      </c>
      <c r="BD26" s="43">
        <f>+Tabla1[[#This Row],[Total Comprometido 2024]]/Tabla1[[#This Row],[Total 2024]]</f>
        <v>0</v>
      </c>
      <c r="BE26" s="27"/>
      <c r="BF26" s="27"/>
      <c r="BG26" s="27"/>
      <c r="BH26" s="8"/>
      <c r="BI26" s="8"/>
      <c r="BJ26" s="8"/>
    </row>
    <row r="27" spans="1:62" s="15" customFormat="1" ht="71.25" x14ac:dyDescent="0.25">
      <c r="A27" s="23">
        <v>47</v>
      </c>
      <c r="B27" s="8"/>
      <c r="C27" s="8"/>
      <c r="D27" s="8"/>
      <c r="E27" s="8"/>
      <c r="F27" s="8"/>
      <c r="G27" s="6"/>
      <c r="H27" s="8"/>
      <c r="I27" s="6"/>
      <c r="J27" s="16"/>
      <c r="K27" s="8"/>
      <c r="L27" s="8"/>
      <c r="M27" s="16"/>
      <c r="N27" s="8"/>
      <c r="O27" s="23"/>
      <c r="P27" s="67"/>
      <c r="Q27" s="32"/>
      <c r="R27" s="68">
        <v>2023680010007</v>
      </c>
      <c r="S27" s="24" t="s">
        <v>265</v>
      </c>
      <c r="T27" s="69">
        <v>660042500</v>
      </c>
      <c r="U27" s="69">
        <v>660042500</v>
      </c>
      <c r="V27" s="23"/>
      <c r="W27" s="23"/>
      <c r="X27" s="23"/>
      <c r="Y27" s="23"/>
      <c r="Z27" s="27">
        <v>660042500</v>
      </c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>
        <f>SUM(Tabla1[[#This Row],[Recursos propios 2024]:[Otros 2024]])</f>
        <v>660042500</v>
      </c>
      <c r="AO27" s="27"/>
      <c r="AP27" s="27"/>
      <c r="AQ27" s="27"/>
      <c r="AR27" s="27"/>
      <c r="AS27" s="27"/>
      <c r="AT27" s="27"/>
      <c r="AU27" s="27"/>
      <c r="AV27" s="27"/>
      <c r="AW27" s="27"/>
      <c r="AX27" s="27"/>
      <c r="AY27" s="27"/>
      <c r="AZ27" s="27"/>
      <c r="BA27" s="27"/>
      <c r="BB27" s="27"/>
      <c r="BC27" s="27">
        <f>SUM(Tabla1[[#This Row],[Recursos propios 20242]:[Otros 202415]])</f>
        <v>0</v>
      </c>
      <c r="BD27" s="43">
        <f>+Tabla1[[#This Row],[Total Comprometido 2024]]/Tabla1[[#This Row],[Total 2024]]</f>
        <v>0</v>
      </c>
      <c r="BE27" s="27"/>
      <c r="BF27" s="27"/>
      <c r="BG27" s="27"/>
      <c r="BH27" s="8"/>
      <c r="BI27" s="8"/>
      <c r="BJ27" s="8"/>
    </row>
    <row r="28" spans="1:62" s="15" customFormat="1" ht="114" x14ac:dyDescent="0.25">
      <c r="A28" s="23">
        <v>47</v>
      </c>
      <c r="B28" s="8"/>
      <c r="C28" s="8"/>
      <c r="D28" s="8"/>
      <c r="E28" s="8"/>
      <c r="F28" s="8"/>
      <c r="G28" s="6"/>
      <c r="H28" s="8"/>
      <c r="I28" s="6"/>
      <c r="J28" s="16"/>
      <c r="K28" s="8"/>
      <c r="L28" s="8"/>
      <c r="M28" s="16"/>
      <c r="N28" s="8"/>
      <c r="O28" s="23"/>
      <c r="P28" s="67"/>
      <c r="Q28" s="32"/>
      <c r="R28" s="68">
        <v>2022680010049</v>
      </c>
      <c r="S28" s="24" t="s">
        <v>256</v>
      </c>
      <c r="T28" s="69">
        <v>2202053985.79</v>
      </c>
      <c r="U28" s="69">
        <v>2202053985.79</v>
      </c>
      <c r="V28" s="23" t="s">
        <v>266</v>
      </c>
      <c r="W28" s="24" t="s">
        <v>267</v>
      </c>
      <c r="X28" s="24" t="s">
        <v>268</v>
      </c>
      <c r="Y28" s="24" t="s">
        <v>269</v>
      </c>
      <c r="Z28" s="27">
        <v>2202053985.79</v>
      </c>
      <c r="AA28" s="27"/>
      <c r="AB28" s="27"/>
      <c r="AC28" s="27"/>
      <c r="AD28" s="27"/>
      <c r="AE28" s="27"/>
      <c r="AF28" s="27"/>
      <c r="AG28" s="27"/>
      <c r="AH28" s="27"/>
      <c r="AI28" s="27"/>
      <c r="AJ28" s="27"/>
      <c r="AK28" s="27"/>
      <c r="AL28" s="27"/>
      <c r="AM28" s="27"/>
      <c r="AN28" s="27">
        <f>SUM(Tabla1[[#This Row],[Recursos propios 2024]:[Otros 2024]])</f>
        <v>2202053985.79</v>
      </c>
      <c r="AO28" s="27">
        <v>2202053985.79</v>
      </c>
      <c r="AP28" s="27"/>
      <c r="AQ28" s="27"/>
      <c r="AR28" s="27"/>
      <c r="AS28" s="27"/>
      <c r="AT28" s="27"/>
      <c r="AU28" s="27"/>
      <c r="AV28" s="27"/>
      <c r="AW28" s="27"/>
      <c r="AX28" s="27"/>
      <c r="AY28" s="27"/>
      <c r="AZ28" s="27"/>
      <c r="BA28" s="27"/>
      <c r="BB28" s="27"/>
      <c r="BC28" s="27">
        <f>SUM(Tabla1[[#This Row],[Recursos propios 20242]:[Otros 202415]])</f>
        <v>2202053985.79</v>
      </c>
      <c r="BD28" s="43">
        <f>+Tabla1[[#This Row],[Total Comprometido 2024]]/Tabla1[[#This Row],[Total 2024]]</f>
        <v>1</v>
      </c>
      <c r="BE28" s="27">
        <v>561321808.92999995</v>
      </c>
      <c r="BF28" s="27">
        <v>561321808.92999995</v>
      </c>
      <c r="BG28" s="27"/>
      <c r="BH28" s="8"/>
      <c r="BI28" s="8"/>
      <c r="BJ28" s="8"/>
    </row>
    <row r="29" spans="1:62" s="15" customFormat="1" ht="71.25" x14ac:dyDescent="0.25">
      <c r="A29" s="23">
        <v>47</v>
      </c>
      <c r="B29" s="8"/>
      <c r="C29" s="8"/>
      <c r="D29" s="8"/>
      <c r="E29" s="8"/>
      <c r="F29" s="8"/>
      <c r="G29" s="6"/>
      <c r="H29" s="8"/>
      <c r="I29" s="6"/>
      <c r="J29" s="16"/>
      <c r="K29" s="8"/>
      <c r="L29" s="8"/>
      <c r="M29" s="16"/>
      <c r="N29" s="8"/>
      <c r="O29" s="23"/>
      <c r="P29" s="67"/>
      <c r="Q29" s="32"/>
      <c r="R29" s="68">
        <v>2024680010072</v>
      </c>
      <c r="S29" s="24" t="s">
        <v>270</v>
      </c>
      <c r="T29" s="69">
        <v>8682859898</v>
      </c>
      <c r="U29" s="69">
        <v>8682859898</v>
      </c>
      <c r="V29" s="72"/>
      <c r="W29" s="72"/>
      <c r="X29" s="72"/>
      <c r="Y29" s="72"/>
      <c r="Z29" s="27">
        <v>8682859898</v>
      </c>
      <c r="AA29" s="27"/>
      <c r="AB29" s="27"/>
      <c r="AC29" s="27"/>
      <c r="AD29" s="27"/>
      <c r="AE29" s="27"/>
      <c r="AF29" s="27"/>
      <c r="AG29" s="27"/>
      <c r="AH29" s="27"/>
      <c r="AI29" s="27"/>
      <c r="AJ29" s="27"/>
      <c r="AK29" s="27"/>
      <c r="AL29" s="27"/>
      <c r="AM29" s="27"/>
      <c r="AN29" s="27">
        <f>SUM(Tabla1[[#This Row],[Recursos propios 2024]:[Otros 2024]])</f>
        <v>8682859898</v>
      </c>
      <c r="AO29" s="27"/>
      <c r="AP29" s="27"/>
      <c r="AQ29" s="27"/>
      <c r="AR29" s="27"/>
      <c r="AS29" s="27"/>
      <c r="AT29" s="27"/>
      <c r="AU29" s="27"/>
      <c r="AV29" s="27"/>
      <c r="AW29" s="27"/>
      <c r="AX29" s="27"/>
      <c r="AY29" s="27"/>
      <c r="AZ29" s="27"/>
      <c r="BA29" s="27"/>
      <c r="BB29" s="27"/>
      <c r="BC29" s="27">
        <f>SUM(Tabla1[[#This Row],[Recursos propios 20242]:[Otros 202415]])</f>
        <v>0</v>
      </c>
      <c r="BD29" s="43">
        <f>+Tabla1[[#This Row],[Total Comprometido 2024]]/Tabla1[[#This Row],[Total 2024]]</f>
        <v>0</v>
      </c>
      <c r="BE29" s="27"/>
      <c r="BF29" s="27"/>
      <c r="BG29" s="27"/>
      <c r="BH29" s="8"/>
      <c r="BI29" s="8"/>
      <c r="BJ29" s="8"/>
    </row>
    <row r="30" spans="1:62" s="15" customFormat="1" ht="57" x14ac:dyDescent="0.25">
      <c r="A30" s="23">
        <v>47</v>
      </c>
      <c r="B30" s="8"/>
      <c r="C30" s="8"/>
      <c r="D30" s="8"/>
      <c r="E30" s="8"/>
      <c r="F30" s="8"/>
      <c r="G30" s="6"/>
      <c r="H30" s="8"/>
      <c r="I30" s="6"/>
      <c r="J30" s="16"/>
      <c r="K30" s="8"/>
      <c r="L30" s="8"/>
      <c r="M30" s="16"/>
      <c r="N30" s="8"/>
      <c r="O30" s="23"/>
      <c r="P30" s="67"/>
      <c r="Q30" s="32"/>
      <c r="R30" s="68">
        <v>2024680010200</v>
      </c>
      <c r="S30" s="24" t="s">
        <v>271</v>
      </c>
      <c r="T30" s="69">
        <v>99985182</v>
      </c>
      <c r="U30" s="69">
        <v>99985182</v>
      </c>
      <c r="V30" s="72"/>
      <c r="W30" s="72" t="s">
        <v>258</v>
      </c>
      <c r="X30" s="72"/>
      <c r="Y30" s="72"/>
      <c r="Z30" s="27">
        <v>99985182</v>
      </c>
      <c r="AA30" s="27"/>
      <c r="AB30" s="27"/>
      <c r="AC30" s="27"/>
      <c r="AD30" s="27"/>
      <c r="AE30" s="27"/>
      <c r="AF30" s="27"/>
      <c r="AG30" s="27"/>
      <c r="AH30" s="27"/>
      <c r="AI30" s="27"/>
      <c r="AJ30" s="27"/>
      <c r="AK30" s="27"/>
      <c r="AL30" s="27"/>
      <c r="AM30" s="27"/>
      <c r="AN30" s="27">
        <f>SUM(Tabla1[[#This Row],[Recursos propios 2024]:[Otros 2024]])</f>
        <v>99985182</v>
      </c>
      <c r="AO30" s="27">
        <v>99985182</v>
      </c>
      <c r="AP30" s="27"/>
      <c r="AQ30" s="27"/>
      <c r="AR30" s="27"/>
      <c r="AS30" s="27"/>
      <c r="AT30" s="27"/>
      <c r="AU30" s="27"/>
      <c r="AV30" s="27"/>
      <c r="AW30" s="27"/>
      <c r="AX30" s="27"/>
      <c r="AY30" s="27"/>
      <c r="AZ30" s="27"/>
      <c r="BA30" s="27"/>
      <c r="BB30" s="27"/>
      <c r="BC30" s="27">
        <f>SUM(Tabla1[[#This Row],[Recursos propios 20242]:[Otros 202415]])</f>
        <v>99985182</v>
      </c>
      <c r="BD30" s="43">
        <f>+Tabla1[[#This Row],[Total Comprometido 2024]]/Tabla1[[#This Row],[Total 2024]]</f>
        <v>1</v>
      </c>
      <c r="BE30" s="27"/>
      <c r="BF30" s="27"/>
      <c r="BG30" s="27"/>
      <c r="BH30" s="8"/>
      <c r="BI30" s="8"/>
      <c r="BJ30" s="8"/>
    </row>
    <row r="31" spans="1:62" s="15" customFormat="1" ht="57.75" customHeight="1" x14ac:dyDescent="0.25">
      <c r="A31" s="23">
        <v>47</v>
      </c>
      <c r="B31" s="8"/>
      <c r="C31" s="8"/>
      <c r="D31" s="8"/>
      <c r="E31" s="8"/>
      <c r="F31" s="8"/>
      <c r="G31" s="6"/>
      <c r="H31" s="8"/>
      <c r="I31" s="6"/>
      <c r="J31" s="16"/>
      <c r="K31" s="8"/>
      <c r="L31" s="8"/>
      <c r="M31" s="16"/>
      <c r="N31" s="8"/>
      <c r="O31" s="23"/>
      <c r="P31" s="67"/>
      <c r="Q31" s="32"/>
      <c r="R31" s="68">
        <v>2024680010076</v>
      </c>
      <c r="S31" s="24" t="s">
        <v>272</v>
      </c>
      <c r="T31" s="69">
        <v>4681330969</v>
      </c>
      <c r="U31" s="69">
        <v>4681330969</v>
      </c>
      <c r="V31" s="23"/>
      <c r="W31" s="23"/>
      <c r="X31" s="23"/>
      <c r="Y31" s="23"/>
      <c r="Z31" s="27">
        <v>4681330969</v>
      </c>
      <c r="AA31" s="27"/>
      <c r="AB31" s="27"/>
      <c r="AC31" s="27"/>
      <c r="AD31" s="27"/>
      <c r="AE31" s="27"/>
      <c r="AF31" s="27"/>
      <c r="AG31" s="27"/>
      <c r="AH31" s="27"/>
      <c r="AI31" s="27"/>
      <c r="AJ31" s="27"/>
      <c r="AK31" s="27"/>
      <c r="AL31" s="27"/>
      <c r="AM31" s="27"/>
      <c r="AN31" s="27">
        <f>SUM(Tabla1[[#This Row],[Recursos propios 2024]:[Otros 2024]])</f>
        <v>4681330969</v>
      </c>
      <c r="AO31" s="27"/>
      <c r="AP31" s="27"/>
      <c r="AQ31" s="27"/>
      <c r="AR31" s="27"/>
      <c r="AS31" s="27"/>
      <c r="AT31" s="27"/>
      <c r="AU31" s="27"/>
      <c r="AV31" s="27"/>
      <c r="AW31" s="27"/>
      <c r="AX31" s="27"/>
      <c r="AY31" s="27"/>
      <c r="AZ31" s="27"/>
      <c r="BA31" s="27"/>
      <c r="BB31" s="27"/>
      <c r="BC31" s="27">
        <f>SUM(Tabla1[[#This Row],[Recursos propios 20242]:[Otros 202415]])</f>
        <v>0</v>
      </c>
      <c r="BD31" s="43">
        <f>+Tabla1[[#This Row],[Total Comprometido 2024]]/Tabla1[[#This Row],[Total 2024]]</f>
        <v>0</v>
      </c>
      <c r="BE31" s="27"/>
      <c r="BF31" s="27"/>
      <c r="BG31" s="27"/>
      <c r="BH31" s="8"/>
      <c r="BI31" s="8"/>
      <c r="BJ31" s="8"/>
    </row>
    <row r="32" spans="1:62" s="15" customFormat="1" ht="99.75" x14ac:dyDescent="0.25">
      <c r="A32" s="23">
        <v>47</v>
      </c>
      <c r="B32" s="8"/>
      <c r="C32" s="8"/>
      <c r="D32" s="8"/>
      <c r="E32" s="8"/>
      <c r="F32" s="8"/>
      <c r="G32" s="6"/>
      <c r="H32" s="8"/>
      <c r="I32" s="6"/>
      <c r="J32" s="16"/>
      <c r="K32" s="8"/>
      <c r="L32" s="8"/>
      <c r="M32" s="16"/>
      <c r="N32" s="8"/>
      <c r="O32" s="23"/>
      <c r="P32" s="67"/>
      <c r="Q32" s="32"/>
      <c r="R32" s="68">
        <v>2023680010054</v>
      </c>
      <c r="S32" s="24" t="s">
        <v>348</v>
      </c>
      <c r="T32" s="69">
        <v>330801395.86000001</v>
      </c>
      <c r="U32" s="69">
        <v>330801395.86000001</v>
      </c>
      <c r="V32" s="23"/>
      <c r="W32" s="23"/>
      <c r="X32" s="23"/>
      <c r="Y32" s="23"/>
      <c r="Z32" s="69">
        <v>330801395.86000001</v>
      </c>
      <c r="AA32" s="27"/>
      <c r="AB32" s="27"/>
      <c r="AC32" s="27"/>
      <c r="AD32" s="27"/>
      <c r="AE32" s="27"/>
      <c r="AF32" s="27"/>
      <c r="AG32" s="27"/>
      <c r="AH32" s="27"/>
      <c r="AI32" s="27"/>
      <c r="AJ32" s="27"/>
      <c r="AK32" s="27"/>
      <c r="AL32" s="27"/>
      <c r="AM32" s="27"/>
      <c r="AN32" s="27">
        <f>SUM(Tabla1[[#This Row],[Recursos propios 2024]:[Otros 2024]])</f>
        <v>330801395.86000001</v>
      </c>
      <c r="AO32" s="27"/>
      <c r="AP32" s="27"/>
      <c r="AQ32" s="27"/>
      <c r="AR32" s="27"/>
      <c r="AS32" s="27"/>
      <c r="AT32" s="27"/>
      <c r="AU32" s="27"/>
      <c r="AV32" s="27"/>
      <c r="AW32" s="27"/>
      <c r="AX32" s="27"/>
      <c r="AY32" s="27"/>
      <c r="AZ32" s="27"/>
      <c r="BA32" s="27"/>
      <c r="BB32" s="27"/>
      <c r="BC32" s="27">
        <f>SUM(Tabla1[[#This Row],[Recursos propios 20242]:[Otros 202415]])</f>
        <v>0</v>
      </c>
      <c r="BD32" s="43">
        <f>+Tabla1[[#This Row],[Total Comprometido 2024]]/Tabla1[[#This Row],[Total 2024]]</f>
        <v>0</v>
      </c>
      <c r="BE32" s="27"/>
      <c r="BF32" s="27"/>
      <c r="BG32" s="27"/>
      <c r="BH32" s="8"/>
      <c r="BI32" s="8"/>
      <c r="BJ32" s="8"/>
    </row>
    <row r="33" spans="1:62" s="15" customFormat="1" ht="28.5" x14ac:dyDescent="0.25">
      <c r="A33" s="23">
        <v>48</v>
      </c>
      <c r="B33" s="8" t="s">
        <v>88</v>
      </c>
      <c r="C33" s="8" t="s">
        <v>89</v>
      </c>
      <c r="D33" s="8" t="s">
        <v>90</v>
      </c>
      <c r="E33" s="6" t="s">
        <v>91</v>
      </c>
      <c r="F33" s="8" t="s">
        <v>96</v>
      </c>
      <c r="G33" s="6" t="s">
        <v>97</v>
      </c>
      <c r="H33" s="8">
        <v>400202100</v>
      </c>
      <c r="I33" s="6" t="s">
        <v>98</v>
      </c>
      <c r="J33" s="8">
        <v>57</v>
      </c>
      <c r="K33" s="8" t="s">
        <v>95</v>
      </c>
      <c r="L33" s="8" t="s">
        <v>83</v>
      </c>
      <c r="M33" s="8">
        <v>2</v>
      </c>
      <c r="N33" s="8">
        <v>0</v>
      </c>
      <c r="O33" s="23"/>
      <c r="P33" s="32" t="e">
        <f>+(Tabla1[[#This Row],[Meta Ejecutada Vigencia4]]/Tabla1[[#This Row],[Meta Programada Vigencia]])</f>
        <v>#DIV/0!</v>
      </c>
      <c r="Q33" s="32">
        <f>+Tabla1[[#This Row],[Meta Ejecutada Vigencia4]]/Tabla1[[#This Row],[Meta Programada Cuatrienio3]]/4</f>
        <v>0</v>
      </c>
      <c r="R33" s="23"/>
      <c r="S33" s="23"/>
      <c r="T33" s="23"/>
      <c r="U33" s="23"/>
      <c r="V33" s="23"/>
      <c r="W33" s="23"/>
      <c r="X33" s="23"/>
      <c r="Y33" s="23"/>
      <c r="Z33" s="27"/>
      <c r="AA33" s="27"/>
      <c r="AB33" s="27"/>
      <c r="AC33" s="27"/>
      <c r="AD33" s="27"/>
      <c r="AE33" s="27"/>
      <c r="AF33" s="27"/>
      <c r="AG33" s="27"/>
      <c r="AH33" s="27"/>
      <c r="AI33" s="27"/>
      <c r="AJ33" s="27"/>
      <c r="AK33" s="27"/>
      <c r="AL33" s="27"/>
      <c r="AM33" s="27"/>
      <c r="AN33" s="27">
        <f>SUM(Tabla1[[#This Row],[Recursos propios 2024]:[Otros 2024]])</f>
        <v>0</v>
      </c>
      <c r="AO33" s="27"/>
      <c r="AP33" s="27"/>
      <c r="AQ33" s="27"/>
      <c r="AR33" s="27"/>
      <c r="AS33" s="27"/>
      <c r="AT33" s="27"/>
      <c r="AU33" s="27"/>
      <c r="AV33" s="27"/>
      <c r="AW33" s="27"/>
      <c r="AX33" s="27"/>
      <c r="AY33" s="27"/>
      <c r="AZ33" s="27"/>
      <c r="BA33" s="27"/>
      <c r="BB33" s="27"/>
      <c r="BC33" s="27">
        <f>SUM(Tabla1[[#This Row],[Recursos propios 20242]:[Otros 202415]])</f>
        <v>0</v>
      </c>
      <c r="BD33" s="43" t="e">
        <f>+Tabla1[[#This Row],[Total Comprometido 2024]]/Tabla1[[#This Row],[Total 2024]]</f>
        <v>#DIV/0!</v>
      </c>
      <c r="BE33" s="27"/>
      <c r="BF33" s="27"/>
      <c r="BG33" s="27"/>
      <c r="BH33" s="6" t="s">
        <v>250</v>
      </c>
      <c r="BI33" s="6" t="s">
        <v>249</v>
      </c>
      <c r="BJ33" s="6">
        <v>11.13</v>
      </c>
    </row>
    <row r="34" spans="1:62" s="15" customFormat="1" ht="71.25" x14ac:dyDescent="0.25">
      <c r="A34" s="23">
        <v>49</v>
      </c>
      <c r="B34" s="6" t="s">
        <v>88</v>
      </c>
      <c r="C34" s="7" t="s">
        <v>89</v>
      </c>
      <c r="D34" s="6" t="s">
        <v>90</v>
      </c>
      <c r="E34" s="6" t="s">
        <v>91</v>
      </c>
      <c r="F34" s="6" t="s">
        <v>99</v>
      </c>
      <c r="G34" s="6" t="s">
        <v>100</v>
      </c>
      <c r="H34" s="6">
        <v>400202200</v>
      </c>
      <c r="I34" s="6" t="s">
        <v>101</v>
      </c>
      <c r="J34" s="17">
        <v>80</v>
      </c>
      <c r="K34" s="6" t="s">
        <v>95</v>
      </c>
      <c r="L34" s="6" t="s">
        <v>83</v>
      </c>
      <c r="M34" s="17">
        <v>100</v>
      </c>
      <c r="N34" s="6">
        <v>0</v>
      </c>
      <c r="O34" s="24"/>
      <c r="P34" s="33" t="e">
        <f>+(Tabla1[[#This Row],[Meta Ejecutada Vigencia4]]/Tabla1[[#This Row],[Meta Programada Vigencia]])</f>
        <v>#DIV/0!</v>
      </c>
      <c r="Q34" s="33">
        <f>+Tabla1[[#This Row],[Meta Ejecutada Vigencia4]]/Tabla1[[#This Row],[Meta Programada Cuatrienio3]]/4</f>
        <v>0</v>
      </c>
      <c r="R34" s="68">
        <v>2024680010045</v>
      </c>
      <c r="S34" s="24" t="s">
        <v>273</v>
      </c>
      <c r="T34" s="48">
        <v>1779807658.1400001</v>
      </c>
      <c r="U34" s="48">
        <v>1779807658.1400001</v>
      </c>
      <c r="V34" s="24"/>
      <c r="W34" s="24"/>
      <c r="X34" s="24"/>
      <c r="Y34" s="22"/>
      <c r="Z34" s="48">
        <v>1779807658.1400001</v>
      </c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28"/>
      <c r="AN34" s="28">
        <f>SUM(Tabla1[[#This Row],[Recursos propios 2024]:[Otros 2024]])</f>
        <v>1779807658.1400001</v>
      </c>
      <c r="AO34" s="28"/>
      <c r="AP34" s="28"/>
      <c r="AQ34" s="28"/>
      <c r="AR34" s="28"/>
      <c r="AS34" s="28"/>
      <c r="AT34" s="28"/>
      <c r="AU34" s="28"/>
      <c r="AV34" s="28"/>
      <c r="AW34" s="28"/>
      <c r="AX34" s="28"/>
      <c r="AY34" s="28"/>
      <c r="AZ34" s="28"/>
      <c r="BA34" s="28"/>
      <c r="BB34" s="28"/>
      <c r="BC34" s="28">
        <f>SUM(Tabla1[[#This Row],[Recursos propios 20242]:[Otros 202415]])</f>
        <v>0</v>
      </c>
      <c r="BD34" s="41">
        <f>+Tabla1[[#This Row],[Total Comprometido 2024]]/Tabla1[[#This Row],[Total 2024]]</f>
        <v>0</v>
      </c>
      <c r="BE34" s="26"/>
      <c r="BF34" s="26"/>
      <c r="BG34" s="28"/>
      <c r="BH34" s="6" t="s">
        <v>250</v>
      </c>
      <c r="BI34" s="6" t="s">
        <v>249</v>
      </c>
      <c r="BJ34" s="6">
        <v>11.13</v>
      </c>
    </row>
    <row r="35" spans="1:62" s="15" customFormat="1" ht="81" customHeight="1" x14ac:dyDescent="0.25">
      <c r="A35" s="23">
        <v>50</v>
      </c>
      <c r="B35" s="8" t="s">
        <v>88</v>
      </c>
      <c r="C35" s="7" t="s">
        <v>89</v>
      </c>
      <c r="D35" s="8" t="s">
        <v>90</v>
      </c>
      <c r="E35" s="6" t="s">
        <v>91</v>
      </c>
      <c r="F35" s="8" t="s">
        <v>102</v>
      </c>
      <c r="G35" s="6" t="s">
        <v>103</v>
      </c>
      <c r="H35" s="8">
        <v>400202600</v>
      </c>
      <c r="I35" s="6" t="s">
        <v>104</v>
      </c>
      <c r="J35" s="8">
        <v>1605851</v>
      </c>
      <c r="K35" s="8" t="s">
        <v>95</v>
      </c>
      <c r="L35" s="8" t="s">
        <v>79</v>
      </c>
      <c r="M35" s="8">
        <v>1605851</v>
      </c>
      <c r="N35" s="8">
        <v>1605851</v>
      </c>
      <c r="O35" s="23">
        <v>1605851</v>
      </c>
      <c r="P35" s="31">
        <f>+(Tabla1[[#This Row],[Meta Ejecutada Vigencia4]]/Tabla1[[#This Row],[Meta Programada Vigencia]])</f>
        <v>1</v>
      </c>
      <c r="Q35" s="31">
        <f>+Tabla1[[#This Row],[Meta Ejecutada Vigencia4]]/Tabla1[[#This Row],[Meta Programada Cuatrienio3]]/4</f>
        <v>0.25</v>
      </c>
      <c r="R35" s="68">
        <v>2024680010046</v>
      </c>
      <c r="S35" s="24" t="s">
        <v>274</v>
      </c>
      <c r="T35" s="48">
        <v>6996363205</v>
      </c>
      <c r="U35" s="48">
        <v>6996363205</v>
      </c>
      <c r="V35" s="24" t="s">
        <v>275</v>
      </c>
      <c r="W35" s="24" t="s">
        <v>258</v>
      </c>
      <c r="X35" s="24" t="s">
        <v>276</v>
      </c>
      <c r="Y35" s="24" t="s">
        <v>277</v>
      </c>
      <c r="Z35" s="27">
        <v>6996363205</v>
      </c>
      <c r="AA35" s="25"/>
      <c r="AB35" s="25"/>
      <c r="AC35" s="25"/>
      <c r="AD35" s="25"/>
      <c r="AE35" s="25"/>
      <c r="AF35" s="25"/>
      <c r="AG35" s="25"/>
      <c r="AH35" s="25"/>
      <c r="AI35" s="25"/>
      <c r="AJ35" s="25"/>
      <c r="AK35" s="25"/>
      <c r="AL35" s="25"/>
      <c r="AM35" s="25"/>
      <c r="AN35" s="25">
        <f>SUM(Tabla1[[#This Row],[Recursos propios 2024]:[Otros 2024]])</f>
        <v>6996363205</v>
      </c>
      <c r="AO35" s="25">
        <f>5175742870+1098575650</f>
        <v>6274318520</v>
      </c>
      <c r="AP35" s="25"/>
      <c r="AQ35" s="25"/>
      <c r="AR35" s="25"/>
      <c r="AS35" s="25"/>
      <c r="AT35" s="25"/>
      <c r="AU35" s="25"/>
      <c r="AV35" s="25"/>
      <c r="AW35" s="25"/>
      <c r="AX35" s="25"/>
      <c r="AY35" s="25"/>
      <c r="AZ35" s="25"/>
      <c r="BA35" s="25"/>
      <c r="BB35" s="25"/>
      <c r="BC35" s="25">
        <f>SUM(Tabla1[[#This Row],[Recursos propios 20242]:[Otros 202415]])</f>
        <v>6274318520</v>
      </c>
      <c r="BD35" s="42">
        <f>+Tabla1[[#This Row],[Total Comprometido 2024]]/Tabla1[[#This Row],[Total 2024]]</f>
        <v>0.8967971410512271</v>
      </c>
      <c r="BE35" s="25">
        <v>1293935717.5</v>
      </c>
      <c r="BF35" s="25">
        <v>1293935717.5</v>
      </c>
      <c r="BG35" s="25"/>
      <c r="BH35" s="6" t="s">
        <v>250</v>
      </c>
      <c r="BI35" s="6" t="s">
        <v>249</v>
      </c>
      <c r="BJ35" s="6">
        <v>11.13</v>
      </c>
    </row>
    <row r="36" spans="1:62" s="15" customFormat="1" ht="85.5" x14ac:dyDescent="0.25">
      <c r="A36" s="23">
        <v>51</v>
      </c>
      <c r="B36" s="6" t="s">
        <v>88</v>
      </c>
      <c r="C36" s="7" t="s">
        <v>72</v>
      </c>
      <c r="D36" s="6" t="s">
        <v>73</v>
      </c>
      <c r="E36" s="6" t="s">
        <v>105</v>
      </c>
      <c r="F36" s="6" t="s">
        <v>106</v>
      </c>
      <c r="G36" s="6" t="s">
        <v>107</v>
      </c>
      <c r="H36" s="6">
        <v>210206200</v>
      </c>
      <c r="I36" s="6" t="s">
        <v>108</v>
      </c>
      <c r="J36" s="17">
        <v>0</v>
      </c>
      <c r="K36" s="6" t="s">
        <v>78</v>
      </c>
      <c r="L36" s="6" t="s">
        <v>83</v>
      </c>
      <c r="M36" s="17">
        <v>50000</v>
      </c>
      <c r="N36" s="6">
        <v>5000</v>
      </c>
      <c r="O36" s="24"/>
      <c r="P36" s="33">
        <f>+(Tabla1[[#This Row],[Meta Ejecutada Vigencia4]]/Tabla1[[#This Row],[Meta Programada Vigencia]])</f>
        <v>0</v>
      </c>
      <c r="Q36" s="33">
        <f>+Tabla1[[#This Row],[Meta Ejecutada Vigencia4]]/Tabla1[[#This Row],[Meta Programada Cuatrienio3]]/4</f>
        <v>0</v>
      </c>
      <c r="R36" s="24" t="s">
        <v>344</v>
      </c>
      <c r="S36" s="24" t="s">
        <v>345</v>
      </c>
      <c r="T36" s="48">
        <v>3000000000</v>
      </c>
      <c r="U36" s="48">
        <v>3000000000</v>
      </c>
      <c r="V36" s="24"/>
      <c r="W36" s="24"/>
      <c r="X36" s="24"/>
      <c r="Y36" s="24"/>
      <c r="Z36" s="48">
        <v>3000000000</v>
      </c>
      <c r="AA36" s="28">
        <v>0</v>
      </c>
      <c r="AB36" s="28"/>
      <c r="AC36" s="28"/>
      <c r="AD36" s="28"/>
      <c r="AE36" s="28"/>
      <c r="AF36" s="28"/>
      <c r="AG36" s="28"/>
      <c r="AH36" s="28"/>
      <c r="AI36" s="28"/>
      <c r="AJ36" s="28"/>
      <c r="AK36" s="28"/>
      <c r="AL36" s="28"/>
      <c r="AM36" s="28"/>
      <c r="AN36" s="28">
        <f>SUM(Tabla1[[#This Row],[Recursos propios 2024]:[Otros 2024]])</f>
        <v>3000000000</v>
      </c>
      <c r="AO36" s="28">
        <v>0</v>
      </c>
      <c r="AP36" s="28">
        <v>0</v>
      </c>
      <c r="AQ36" s="28"/>
      <c r="AR36" s="28"/>
      <c r="AS36" s="28"/>
      <c r="AT36" s="28"/>
      <c r="AU36" s="28"/>
      <c r="AV36" s="28"/>
      <c r="AW36" s="28"/>
      <c r="AX36" s="28"/>
      <c r="AY36" s="28"/>
      <c r="AZ36" s="28"/>
      <c r="BA36" s="28"/>
      <c r="BB36" s="28"/>
      <c r="BC36" s="28">
        <f>SUM(Tabla1[[#This Row],[Recursos propios 20242]:[Otros 202415]])</f>
        <v>0</v>
      </c>
      <c r="BD36" s="44">
        <f>+Tabla1[[#This Row],[Total Comprometido 2024]]/Tabla1[[#This Row],[Total 2024]]</f>
        <v>0</v>
      </c>
      <c r="BE36" s="28">
        <v>0</v>
      </c>
      <c r="BF36" s="28">
        <v>0</v>
      </c>
      <c r="BG36" s="28"/>
      <c r="BH36" s="6" t="s">
        <v>250</v>
      </c>
      <c r="BI36" s="6" t="s">
        <v>249</v>
      </c>
      <c r="BJ36" s="6">
        <v>7.11</v>
      </c>
    </row>
    <row r="37" spans="1:62" s="15" customFormat="1" ht="71.25" x14ac:dyDescent="0.25">
      <c r="A37" s="23">
        <v>57</v>
      </c>
      <c r="B37" s="8" t="s">
        <v>88</v>
      </c>
      <c r="C37" s="7" t="s">
        <v>89</v>
      </c>
      <c r="D37" s="8" t="s">
        <v>109</v>
      </c>
      <c r="E37" s="6" t="s">
        <v>110</v>
      </c>
      <c r="F37" s="8" t="s">
        <v>111</v>
      </c>
      <c r="G37" s="6" t="s">
        <v>112</v>
      </c>
      <c r="H37" s="8">
        <v>400301500</v>
      </c>
      <c r="I37" s="6" t="s">
        <v>113</v>
      </c>
      <c r="J37" s="16">
        <v>0</v>
      </c>
      <c r="K37" s="8" t="s">
        <v>78</v>
      </c>
      <c r="L37" s="8" t="s">
        <v>83</v>
      </c>
      <c r="M37" s="16">
        <v>1</v>
      </c>
      <c r="N37" s="8">
        <v>1</v>
      </c>
      <c r="O37" s="23"/>
      <c r="P37" s="31">
        <f>+(Tabla1[[#This Row],[Meta Ejecutada Vigencia4]]/Tabla1[[#This Row],[Meta Programada Vigencia]])</f>
        <v>0</v>
      </c>
      <c r="Q37" s="31">
        <f>+Tabla1[[#This Row],[Meta Ejecutada Vigencia4]]/Tabla1[[#This Row],[Meta Programada Cuatrienio3]]/4</f>
        <v>0</v>
      </c>
      <c r="R37" s="68">
        <v>2022680010102</v>
      </c>
      <c r="S37" s="24" t="s">
        <v>278</v>
      </c>
      <c r="T37" s="47">
        <v>1488795645.9000001</v>
      </c>
      <c r="U37" s="47">
        <v>1488795645.9000001</v>
      </c>
      <c r="V37" s="23"/>
      <c r="W37" s="23"/>
      <c r="X37" s="23"/>
      <c r="Y37" s="23"/>
      <c r="Z37" s="27">
        <v>328790410</v>
      </c>
      <c r="AA37" s="25"/>
      <c r="AB37" s="25"/>
      <c r="AC37" s="25"/>
      <c r="AD37" s="25"/>
      <c r="AE37" s="25"/>
      <c r="AF37" s="25"/>
      <c r="AG37" s="25"/>
      <c r="AH37" s="25"/>
      <c r="AI37" s="25">
        <v>1119998360.9000001</v>
      </c>
      <c r="AJ37" s="25"/>
      <c r="AK37" s="25"/>
      <c r="AL37" s="25"/>
      <c r="AM37" s="25">
        <v>40006875</v>
      </c>
      <c r="AN37" s="25">
        <f>SUM(Tabla1[[#This Row],[Recursos propios 2024]:[Otros 2024]])</f>
        <v>1488795645.9000001</v>
      </c>
      <c r="AO37" s="25"/>
      <c r="AP37" s="25"/>
      <c r="AQ37" s="25"/>
      <c r="AR37" s="25"/>
      <c r="AS37" s="25"/>
      <c r="AT37" s="25"/>
      <c r="AU37" s="25"/>
      <c r="AV37" s="25"/>
      <c r="AW37" s="25"/>
      <c r="AX37" s="25"/>
      <c r="AY37" s="25"/>
      <c r="AZ37" s="25"/>
      <c r="BA37" s="25"/>
      <c r="BB37" s="25"/>
      <c r="BC37" s="25">
        <f>SUM(Tabla1[[#This Row],[Recursos propios 20242]:[Otros 202415]])</f>
        <v>0</v>
      </c>
      <c r="BD37" s="42">
        <f>+Tabla1[[#This Row],[Total Comprometido 2024]]/Tabla1[[#This Row],[Total 2024]]</f>
        <v>0</v>
      </c>
      <c r="BE37" s="25"/>
      <c r="BF37" s="25"/>
      <c r="BG37" s="25"/>
      <c r="BH37" s="6" t="s">
        <v>250</v>
      </c>
      <c r="BI37" s="6" t="s">
        <v>249</v>
      </c>
      <c r="BJ37" s="6">
        <v>6.11</v>
      </c>
    </row>
    <row r="38" spans="1:62" s="15" customFormat="1" ht="71.25" x14ac:dyDescent="0.25">
      <c r="A38" s="23">
        <v>58</v>
      </c>
      <c r="B38" s="6" t="s">
        <v>88</v>
      </c>
      <c r="C38" s="7" t="s">
        <v>89</v>
      </c>
      <c r="D38" s="6" t="s">
        <v>109</v>
      </c>
      <c r="E38" s="6" t="s">
        <v>110</v>
      </c>
      <c r="F38" s="6" t="s">
        <v>114</v>
      </c>
      <c r="G38" s="6" t="s">
        <v>115</v>
      </c>
      <c r="H38" s="6">
        <v>400301700</v>
      </c>
      <c r="I38" s="6" t="s">
        <v>116</v>
      </c>
      <c r="J38" s="6">
        <v>2</v>
      </c>
      <c r="K38" s="6" t="s">
        <v>78</v>
      </c>
      <c r="L38" s="6" t="s">
        <v>83</v>
      </c>
      <c r="M38" s="6">
        <v>2</v>
      </c>
      <c r="N38" s="6">
        <v>0</v>
      </c>
      <c r="O38" s="24"/>
      <c r="P38" s="33" t="e">
        <f>+(Tabla1[[#This Row],[Meta Ejecutada Vigencia4]]/Tabla1[[#This Row],[Meta Programada Vigencia]])</f>
        <v>#DIV/0!</v>
      </c>
      <c r="Q38" s="33">
        <f>+Tabla1[[#This Row],[Meta Ejecutada Vigencia4]]/Tabla1[[#This Row],[Meta Programada Cuatrienio3]]/4</f>
        <v>0</v>
      </c>
      <c r="R38" s="24"/>
      <c r="S38" s="24"/>
      <c r="T38" s="24"/>
      <c r="U38" s="24"/>
      <c r="V38" s="24"/>
      <c r="W38" s="24"/>
      <c r="X38" s="24"/>
      <c r="Y38" s="24"/>
      <c r="Z38" s="28"/>
      <c r="AA38" s="28"/>
      <c r="AB38" s="28"/>
      <c r="AC38" s="28"/>
      <c r="AD38" s="28"/>
      <c r="AE38" s="28"/>
      <c r="AF38" s="28"/>
      <c r="AG38" s="28"/>
      <c r="AH38" s="28"/>
      <c r="AI38" s="28"/>
      <c r="AJ38" s="28"/>
      <c r="AK38" s="28"/>
      <c r="AL38" s="28"/>
      <c r="AM38" s="28"/>
      <c r="AN38" s="28">
        <f>SUM(Tabla1[[#This Row],[Recursos propios 2024]:[Otros 2024]])</f>
        <v>0</v>
      </c>
      <c r="AO38" s="28"/>
      <c r="AP38" s="28"/>
      <c r="AQ38" s="28"/>
      <c r="AR38" s="28"/>
      <c r="AS38" s="28"/>
      <c r="AT38" s="28"/>
      <c r="AU38" s="28"/>
      <c r="AV38" s="28"/>
      <c r="AW38" s="28"/>
      <c r="AX38" s="28"/>
      <c r="AY38" s="28"/>
      <c r="AZ38" s="28"/>
      <c r="BA38" s="28"/>
      <c r="BB38" s="28"/>
      <c r="BC38" s="28">
        <f>SUM(Tabla1[[#This Row],[Recursos propios 20242]:[Otros 202415]])</f>
        <v>0</v>
      </c>
      <c r="BD38" s="44" t="e">
        <f>+Tabla1[[#This Row],[Total Comprometido 2024]]/Tabla1[[#This Row],[Total 2024]]</f>
        <v>#DIV/0!</v>
      </c>
      <c r="BE38" s="28"/>
      <c r="BF38" s="28"/>
      <c r="BG38" s="28"/>
      <c r="BH38" s="6" t="s">
        <v>250</v>
      </c>
      <c r="BI38" s="6" t="s">
        <v>249</v>
      </c>
      <c r="BJ38" s="6">
        <v>6.11</v>
      </c>
    </row>
    <row r="39" spans="1:62" s="15" customFormat="1" ht="71.25" x14ac:dyDescent="0.25">
      <c r="A39" s="23">
        <v>59</v>
      </c>
      <c r="B39" s="8" t="s">
        <v>88</v>
      </c>
      <c r="C39" s="7" t="s">
        <v>89</v>
      </c>
      <c r="D39" s="8" t="s">
        <v>109</v>
      </c>
      <c r="E39" s="6" t="s">
        <v>110</v>
      </c>
      <c r="F39" s="8" t="s">
        <v>117</v>
      </c>
      <c r="G39" s="6" t="s">
        <v>118</v>
      </c>
      <c r="H39" s="8">
        <v>400302000</v>
      </c>
      <c r="I39" s="6" t="s">
        <v>119</v>
      </c>
      <c r="J39" s="16">
        <v>0</v>
      </c>
      <c r="K39" s="8" t="s">
        <v>78</v>
      </c>
      <c r="L39" s="8" t="s">
        <v>83</v>
      </c>
      <c r="M39" s="16">
        <v>4</v>
      </c>
      <c r="N39" s="8">
        <v>0</v>
      </c>
      <c r="O39" s="23"/>
      <c r="P39" s="31" t="e">
        <f>+(Tabla1[[#This Row],[Meta Ejecutada Vigencia4]]/Tabla1[[#This Row],[Meta Programada Vigencia]])</f>
        <v>#DIV/0!</v>
      </c>
      <c r="Q39" s="31">
        <f>+Tabla1[[#This Row],[Meta Ejecutada Vigencia4]]/Tabla1[[#This Row],[Meta Programada Cuatrienio3]]/4</f>
        <v>0</v>
      </c>
      <c r="R39" s="23"/>
      <c r="S39" s="23"/>
      <c r="T39" s="23"/>
      <c r="U39" s="23"/>
      <c r="V39" s="23"/>
      <c r="W39" s="23"/>
      <c r="X39" s="23"/>
      <c r="Y39" s="23"/>
      <c r="Z39" s="27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>
        <f>SUM(Tabla1[[#This Row],[Recursos propios 2024]:[Otros 2024]])</f>
        <v>0</v>
      </c>
      <c r="AO39" s="25"/>
      <c r="AP39" s="25"/>
      <c r="AQ39" s="25"/>
      <c r="AR39" s="25"/>
      <c r="AS39" s="25"/>
      <c r="AT39" s="25"/>
      <c r="AU39" s="25"/>
      <c r="AV39" s="25"/>
      <c r="AW39" s="25"/>
      <c r="AX39" s="25"/>
      <c r="AY39" s="25"/>
      <c r="AZ39" s="25"/>
      <c r="BA39" s="25"/>
      <c r="BB39" s="25"/>
      <c r="BC39" s="25">
        <f>SUM(Tabla1[[#This Row],[Recursos propios 20242]:[Otros 202415]])</f>
        <v>0</v>
      </c>
      <c r="BD39" s="42" t="e">
        <f>+Tabla1[[#This Row],[Total Comprometido 2024]]/Tabla1[[#This Row],[Total 2024]]</f>
        <v>#DIV/0!</v>
      </c>
      <c r="BE39" s="25"/>
      <c r="BF39" s="25"/>
      <c r="BG39" s="25"/>
      <c r="BH39" s="6" t="s">
        <v>250</v>
      </c>
      <c r="BI39" s="6" t="s">
        <v>249</v>
      </c>
      <c r="BJ39" s="6">
        <v>611</v>
      </c>
    </row>
    <row r="40" spans="1:62" s="15" customFormat="1" ht="71.25" x14ac:dyDescent="0.25">
      <c r="A40" s="23">
        <v>60</v>
      </c>
      <c r="B40" s="6" t="s">
        <v>88</v>
      </c>
      <c r="C40" s="7" t="s">
        <v>89</v>
      </c>
      <c r="D40" s="6" t="s">
        <v>109</v>
      </c>
      <c r="E40" s="6" t="s">
        <v>110</v>
      </c>
      <c r="F40" s="6" t="s">
        <v>120</v>
      </c>
      <c r="G40" s="6" t="s">
        <v>121</v>
      </c>
      <c r="H40" s="6">
        <v>400304402</v>
      </c>
      <c r="I40" s="6" t="s">
        <v>122</v>
      </c>
      <c r="J40" s="6">
        <v>72</v>
      </c>
      <c r="K40" s="6" t="s">
        <v>78</v>
      </c>
      <c r="L40" s="6" t="s">
        <v>83</v>
      </c>
      <c r="M40" s="6">
        <v>80</v>
      </c>
      <c r="N40" s="6">
        <v>0</v>
      </c>
      <c r="O40" s="24"/>
      <c r="P40" s="33" t="e">
        <f>+(Tabla1[[#This Row],[Meta Ejecutada Vigencia4]]/Tabla1[[#This Row],[Meta Programada Vigencia]])</f>
        <v>#DIV/0!</v>
      </c>
      <c r="Q40" s="33">
        <f>+Tabla1[[#This Row],[Meta Ejecutada Vigencia4]]/Tabla1[[#This Row],[Meta Programada Cuatrienio3]]/4</f>
        <v>0</v>
      </c>
      <c r="R40" s="24"/>
      <c r="S40" s="24"/>
      <c r="T40" s="24"/>
      <c r="U40" s="24"/>
      <c r="V40" s="24"/>
      <c r="W40" s="24"/>
      <c r="X40" s="24"/>
      <c r="Y40" s="24"/>
      <c r="Z40" s="28"/>
      <c r="AA40" s="28"/>
      <c r="AB40" s="28"/>
      <c r="AC40" s="28"/>
      <c r="AD40" s="28"/>
      <c r="AE40" s="28"/>
      <c r="AF40" s="28"/>
      <c r="AG40" s="28"/>
      <c r="AH40" s="28"/>
      <c r="AI40" s="48">
        <v>2143334566</v>
      </c>
      <c r="AJ40" s="28"/>
      <c r="AK40" s="28"/>
      <c r="AL40" s="28"/>
      <c r="AM40" s="28"/>
      <c r="AN40" s="28">
        <f>SUM(Tabla1[[#This Row],[Recursos propios 2024]:[Otros 2024]])</f>
        <v>2143334566</v>
      </c>
      <c r="AO40" s="28"/>
      <c r="AP40" s="28"/>
      <c r="AQ40" s="28"/>
      <c r="AR40" s="28"/>
      <c r="AS40" s="28"/>
      <c r="AT40" s="28"/>
      <c r="AU40" s="28"/>
      <c r="AV40" s="28"/>
      <c r="AW40" s="28"/>
      <c r="AX40" s="28"/>
      <c r="AY40" s="28"/>
      <c r="AZ40" s="28"/>
      <c r="BA40" s="28"/>
      <c r="BB40" s="28"/>
      <c r="BC40" s="28">
        <f>SUM(Tabla1[[#This Row],[Recursos propios 20242]:[Otros 202415]])</f>
        <v>0</v>
      </c>
      <c r="BD40" s="44">
        <f>+Tabla1[[#This Row],[Total Comprometido 2024]]/Tabla1[[#This Row],[Total 2024]]</f>
        <v>0</v>
      </c>
      <c r="BE40" s="28"/>
      <c r="BF40" s="28"/>
      <c r="BG40" s="28"/>
      <c r="BH40" s="6" t="s">
        <v>250</v>
      </c>
      <c r="BI40" s="6" t="s">
        <v>249</v>
      </c>
      <c r="BJ40" s="6">
        <v>6.11</v>
      </c>
    </row>
    <row r="41" spans="1:62" s="15" customFormat="1" ht="99.75" x14ac:dyDescent="0.25">
      <c r="A41" s="23">
        <v>61</v>
      </c>
      <c r="B41" s="8" t="s">
        <v>88</v>
      </c>
      <c r="C41" s="6" t="s">
        <v>89</v>
      </c>
      <c r="D41" s="8" t="s">
        <v>109</v>
      </c>
      <c r="E41" s="6" t="s">
        <v>110</v>
      </c>
      <c r="F41" s="8" t="s">
        <v>123</v>
      </c>
      <c r="G41" s="6" t="s">
        <v>124</v>
      </c>
      <c r="H41" s="8">
        <v>400304000</v>
      </c>
      <c r="I41" s="6" t="s">
        <v>125</v>
      </c>
      <c r="J41" s="16">
        <v>0</v>
      </c>
      <c r="K41" s="8" t="s">
        <v>78</v>
      </c>
      <c r="L41" s="8" t="s">
        <v>83</v>
      </c>
      <c r="M41" s="16">
        <v>1</v>
      </c>
      <c r="N41" s="8">
        <v>0</v>
      </c>
      <c r="O41" s="23"/>
      <c r="P41" s="31" t="e">
        <f>+(Tabla1[[#This Row],[Meta Ejecutada Vigencia4]]/Tabla1[[#This Row],[Meta Programada Vigencia]])</f>
        <v>#DIV/0!</v>
      </c>
      <c r="Q41" s="31">
        <f>+Tabla1[[#This Row],[Meta Ejecutada Vigencia4]]/Tabla1[[#This Row],[Meta Programada Cuatrienio3]]/4</f>
        <v>0</v>
      </c>
      <c r="R41" s="23"/>
      <c r="S41" s="23"/>
      <c r="T41" s="23"/>
      <c r="U41" s="23"/>
      <c r="V41" s="23"/>
      <c r="W41" s="23"/>
      <c r="X41" s="23"/>
      <c r="Y41" s="23"/>
      <c r="Z41" s="29"/>
      <c r="AA41" s="25"/>
      <c r="AB41" s="25"/>
      <c r="AC41" s="25"/>
      <c r="AD41" s="25"/>
      <c r="AE41" s="25"/>
      <c r="AF41" s="25"/>
      <c r="AG41" s="25"/>
      <c r="AH41" s="25"/>
      <c r="AI41" s="25"/>
      <c r="AJ41" s="25"/>
      <c r="AK41" s="25"/>
      <c r="AL41" s="25"/>
      <c r="AM41" s="25"/>
      <c r="AN41" s="25">
        <f>SUM(Tabla1[[#This Row],[Recursos propios 2024]:[Otros 2024]])</f>
        <v>0</v>
      </c>
      <c r="AO41" s="25"/>
      <c r="AP41" s="25"/>
      <c r="AQ41" s="25"/>
      <c r="AR41" s="25"/>
      <c r="AS41" s="25"/>
      <c r="AT41" s="25"/>
      <c r="AU41" s="25"/>
      <c r="AV41" s="25"/>
      <c r="AW41" s="25"/>
      <c r="AX41" s="25"/>
      <c r="AY41" s="25"/>
      <c r="AZ41" s="25"/>
      <c r="BA41" s="25"/>
      <c r="BB41" s="25"/>
      <c r="BC41" s="25">
        <f>SUM(Tabla1[[#This Row],[Recursos propios 20242]:[Otros 202415]])</f>
        <v>0</v>
      </c>
      <c r="BD41" s="42" t="e">
        <f>+Tabla1[[#This Row],[Total Comprometido 2024]]/Tabla1[[#This Row],[Total 2024]]</f>
        <v>#DIV/0!</v>
      </c>
      <c r="BE41" s="25"/>
      <c r="BF41" s="25"/>
      <c r="BG41" s="25"/>
      <c r="BH41" s="6" t="s">
        <v>250</v>
      </c>
      <c r="BI41" s="6" t="s">
        <v>249</v>
      </c>
      <c r="BJ41" s="6" t="s">
        <v>251</v>
      </c>
    </row>
    <row r="42" spans="1:62" s="15" customFormat="1" ht="128.25" x14ac:dyDescent="0.25">
      <c r="A42" s="23">
        <v>62</v>
      </c>
      <c r="B42" s="6" t="s">
        <v>88</v>
      </c>
      <c r="C42" s="6" t="s">
        <v>89</v>
      </c>
      <c r="D42" s="6" t="s">
        <v>90</v>
      </c>
      <c r="E42" s="6" t="s">
        <v>91</v>
      </c>
      <c r="F42" s="6" t="s">
        <v>92</v>
      </c>
      <c r="G42" s="6" t="s">
        <v>126</v>
      </c>
      <c r="H42" s="6">
        <v>400202000</v>
      </c>
      <c r="I42" s="6" t="s">
        <v>94</v>
      </c>
      <c r="J42" s="6">
        <v>0</v>
      </c>
      <c r="K42" s="6" t="s">
        <v>95</v>
      </c>
      <c r="L42" s="6" t="s">
        <v>83</v>
      </c>
      <c r="M42" s="6">
        <v>1000</v>
      </c>
      <c r="N42" s="6">
        <v>0</v>
      </c>
      <c r="O42" s="24"/>
      <c r="P42" s="33" t="e">
        <f>+(Tabla1[[#This Row],[Meta Ejecutada Vigencia4]]/Tabla1[[#This Row],[Meta Programada Vigencia]])</f>
        <v>#DIV/0!</v>
      </c>
      <c r="Q42" s="33">
        <f>+Tabla1[[#This Row],[Meta Ejecutada Vigencia4]]/Tabla1[[#This Row],[Meta Programada Cuatrienio3]]/4</f>
        <v>0</v>
      </c>
      <c r="R42" s="24"/>
      <c r="S42" s="24"/>
      <c r="T42" s="24"/>
      <c r="U42" s="24"/>
      <c r="V42" s="24"/>
      <c r="W42" s="24"/>
      <c r="X42" s="24"/>
      <c r="Y42" s="24"/>
      <c r="Z42" s="30"/>
      <c r="AA42" s="28"/>
      <c r="AB42" s="28"/>
      <c r="AC42" s="28"/>
      <c r="AD42" s="28"/>
      <c r="AE42" s="28"/>
      <c r="AF42" s="28"/>
      <c r="AG42" s="28"/>
      <c r="AH42" s="28"/>
      <c r="AI42" s="28"/>
      <c r="AJ42" s="28"/>
      <c r="AK42" s="28"/>
      <c r="AL42" s="28"/>
      <c r="AM42" s="28"/>
      <c r="AN42" s="28">
        <f>SUM(Tabla1[[#This Row],[Recursos propios 2024]:[Otros 2024]])</f>
        <v>0</v>
      </c>
      <c r="AO42" s="28"/>
      <c r="AP42" s="28"/>
      <c r="AQ42" s="28"/>
      <c r="AR42" s="28"/>
      <c r="AS42" s="28"/>
      <c r="AT42" s="28"/>
      <c r="AU42" s="28"/>
      <c r="AV42" s="28"/>
      <c r="AW42" s="28"/>
      <c r="AX42" s="28"/>
      <c r="AY42" s="28"/>
      <c r="AZ42" s="28"/>
      <c r="BA42" s="28"/>
      <c r="BB42" s="28"/>
      <c r="BC42" s="28">
        <f>SUM(Tabla1[[#This Row],[Recursos propios 20242]:[Otros 202415]])</f>
        <v>0</v>
      </c>
      <c r="BD42" s="44" t="e">
        <f>+Tabla1[[#This Row],[Total Comprometido 2024]]/Tabla1[[#This Row],[Total 2024]]</f>
        <v>#DIV/0!</v>
      </c>
      <c r="BE42" s="28"/>
      <c r="BF42" s="28"/>
      <c r="BG42" s="28"/>
      <c r="BH42" s="6" t="s">
        <v>250</v>
      </c>
      <c r="BI42" s="6" t="s">
        <v>249</v>
      </c>
      <c r="BJ42" s="6">
        <v>11.13</v>
      </c>
    </row>
    <row r="43" spans="1:62" s="15" customFormat="1" ht="57" x14ac:dyDescent="0.25">
      <c r="A43" s="23">
        <v>93</v>
      </c>
      <c r="B43" s="8" t="s">
        <v>127</v>
      </c>
      <c r="C43" s="6" t="s">
        <v>128</v>
      </c>
      <c r="D43" s="8" t="s">
        <v>129</v>
      </c>
      <c r="E43" s="6" t="s">
        <v>130</v>
      </c>
      <c r="F43" s="8" t="s">
        <v>131</v>
      </c>
      <c r="G43" s="6" t="s">
        <v>132</v>
      </c>
      <c r="H43" s="8">
        <v>170907800</v>
      </c>
      <c r="I43" s="6" t="s">
        <v>133</v>
      </c>
      <c r="J43" s="8">
        <v>3</v>
      </c>
      <c r="K43" s="8" t="s">
        <v>78</v>
      </c>
      <c r="L43" s="8" t="s">
        <v>79</v>
      </c>
      <c r="M43" s="8">
        <v>1</v>
      </c>
      <c r="N43" s="8">
        <v>0.5</v>
      </c>
      <c r="O43" s="23">
        <v>0.5</v>
      </c>
      <c r="P43" s="31">
        <f>+(Tabla1[[#This Row],[Meta Ejecutada Vigencia4]]/Tabla1[[#This Row],[Meta Programada Vigencia]])</f>
        <v>1</v>
      </c>
      <c r="Q43" s="31">
        <f>+Tabla1[[#This Row],[Meta Ejecutada Vigencia4]]/Tabla1[[#This Row],[Meta Programada Cuatrienio3]]/4</f>
        <v>0.125</v>
      </c>
      <c r="R43" s="68">
        <v>2022680010044</v>
      </c>
      <c r="S43" s="24" t="s">
        <v>279</v>
      </c>
      <c r="T43" s="47">
        <v>3108650566.4899998</v>
      </c>
      <c r="U43" s="47">
        <v>3108650566.4899998</v>
      </c>
      <c r="V43" s="24" t="s">
        <v>280</v>
      </c>
      <c r="W43" s="23" t="s">
        <v>258</v>
      </c>
      <c r="X43" s="23">
        <v>187000</v>
      </c>
      <c r="Y43" s="23" t="s">
        <v>281</v>
      </c>
      <c r="Z43" s="29">
        <v>2996417053.79</v>
      </c>
      <c r="AA43" s="25"/>
      <c r="AB43" s="25"/>
      <c r="AC43" s="25"/>
      <c r="AD43" s="25"/>
      <c r="AE43" s="25">
        <v>45805048</v>
      </c>
      <c r="AF43" s="25"/>
      <c r="AG43" s="25"/>
      <c r="AH43" s="25"/>
      <c r="AI43" s="25"/>
      <c r="AJ43" s="25">
        <v>66428464.700000003</v>
      </c>
      <c r="AK43" s="25"/>
      <c r="AL43" s="25"/>
      <c r="AM43" s="25"/>
      <c r="AN43" s="25">
        <f>SUM(Tabla1[[#This Row],[Recursos propios 2024]:[Otros 2024]])</f>
        <v>3108650566.4899998</v>
      </c>
      <c r="AO43" s="29">
        <v>2996417053.79</v>
      </c>
      <c r="AP43" s="25"/>
      <c r="AQ43" s="25"/>
      <c r="AR43" s="25"/>
      <c r="AS43" s="25"/>
      <c r="AT43" s="25">
        <v>45805048</v>
      </c>
      <c r="AU43" s="25"/>
      <c r="AV43" s="25"/>
      <c r="AW43" s="25"/>
      <c r="AX43" s="25"/>
      <c r="AY43" s="25">
        <v>66428464.700000003</v>
      </c>
      <c r="AZ43" s="25"/>
      <c r="BA43" s="25"/>
      <c r="BB43" s="25"/>
      <c r="BC43" s="25">
        <f>SUM(Tabla1[[#This Row],[Recursos propios 20242]:[Otros 202415]])</f>
        <v>3108650566.4899998</v>
      </c>
      <c r="BD43" s="42">
        <f>+Tabla1[[#This Row],[Total Comprometido 2024]]/Tabla1[[#This Row],[Total 2024]]</f>
        <v>1</v>
      </c>
      <c r="BE43" s="25">
        <f>39736307.84+364035576.27+777506623.9</f>
        <v>1181278508.01</v>
      </c>
      <c r="BF43" s="25">
        <f>39736307.84+364035576.27+151491674.9</f>
        <v>555263559.00999999</v>
      </c>
      <c r="BG43" s="25"/>
      <c r="BH43" s="6" t="s">
        <v>250</v>
      </c>
      <c r="BI43" s="6" t="s">
        <v>249</v>
      </c>
      <c r="BJ43" s="6">
        <v>2.12</v>
      </c>
    </row>
    <row r="44" spans="1:62" s="15" customFormat="1" ht="57" x14ac:dyDescent="0.25">
      <c r="A44" s="23">
        <v>95</v>
      </c>
      <c r="B44" s="6" t="s">
        <v>127</v>
      </c>
      <c r="C44" s="6" t="s">
        <v>134</v>
      </c>
      <c r="D44" s="6" t="s">
        <v>135</v>
      </c>
      <c r="E44" s="6" t="s">
        <v>136</v>
      </c>
      <c r="F44" s="6" t="s">
        <v>137</v>
      </c>
      <c r="G44" s="6" t="s">
        <v>138</v>
      </c>
      <c r="H44" s="6">
        <v>240100800</v>
      </c>
      <c r="I44" s="6" t="s">
        <v>139</v>
      </c>
      <c r="J44" s="6">
        <v>0</v>
      </c>
      <c r="K44" s="6" t="s">
        <v>140</v>
      </c>
      <c r="L44" s="6" t="s">
        <v>83</v>
      </c>
      <c r="M44" s="6">
        <v>1</v>
      </c>
      <c r="N44" s="6">
        <v>0</v>
      </c>
      <c r="O44" s="24"/>
      <c r="P44" s="33" t="e">
        <f>+(Tabla1[[#This Row],[Meta Ejecutada Vigencia4]]/Tabla1[[#This Row],[Meta Programada Vigencia]])</f>
        <v>#DIV/0!</v>
      </c>
      <c r="Q44" s="33">
        <f>+Tabla1[[#This Row],[Meta Ejecutada Vigencia4]]/Tabla1[[#This Row],[Meta Programada Cuatrienio3]]/4</f>
        <v>0</v>
      </c>
      <c r="R44" s="24"/>
      <c r="S44" s="24"/>
      <c r="T44" s="24"/>
      <c r="U44" s="24"/>
      <c r="V44" s="24"/>
      <c r="W44" s="24"/>
      <c r="X44" s="24"/>
      <c r="Y44" s="24"/>
      <c r="Z44" s="28"/>
      <c r="AA44" s="28"/>
      <c r="AB44" s="28"/>
      <c r="AC44" s="28"/>
      <c r="AD44" s="28"/>
      <c r="AE44" s="28"/>
      <c r="AF44" s="28"/>
      <c r="AG44" s="28"/>
      <c r="AH44" s="28"/>
      <c r="AI44" s="28"/>
      <c r="AJ44" s="28"/>
      <c r="AK44" s="28"/>
      <c r="AL44" s="28"/>
      <c r="AM44" s="28"/>
      <c r="AN44" s="28">
        <f>SUM(Tabla1[[#This Row],[Recursos propios 2024]:[Otros 2024]])</f>
        <v>0</v>
      </c>
      <c r="AO44" s="28"/>
      <c r="AP44" s="28"/>
      <c r="AQ44" s="28"/>
      <c r="AR44" s="28"/>
      <c r="AS44" s="28"/>
      <c r="AT44" s="28"/>
      <c r="AU44" s="28"/>
      <c r="AV44" s="28"/>
      <c r="AW44" s="28"/>
      <c r="AX44" s="28"/>
      <c r="AY44" s="28"/>
      <c r="AZ44" s="28"/>
      <c r="BA44" s="28"/>
      <c r="BB44" s="28"/>
      <c r="BC44" s="28">
        <f>SUM(Tabla1[[#This Row],[Recursos propios 20242]:[Otros 202415]])</f>
        <v>0</v>
      </c>
      <c r="BD44" s="44" t="e">
        <f>+Tabla1[[#This Row],[Total Comprometido 2024]]/Tabla1[[#This Row],[Total 2024]]</f>
        <v>#DIV/0!</v>
      </c>
      <c r="BE44" s="28"/>
      <c r="BF44" s="28"/>
      <c r="BG44" s="28"/>
      <c r="BH44" s="6" t="s">
        <v>250</v>
      </c>
      <c r="BI44" s="6" t="s">
        <v>249</v>
      </c>
      <c r="BJ44" s="6">
        <v>11</v>
      </c>
    </row>
    <row r="45" spans="1:62" s="15" customFormat="1" ht="42.75" x14ac:dyDescent="0.25">
      <c r="A45" s="23">
        <v>96</v>
      </c>
      <c r="B45" s="8" t="s">
        <v>127</v>
      </c>
      <c r="C45" s="6" t="s">
        <v>134</v>
      </c>
      <c r="D45" s="8" t="s">
        <v>141</v>
      </c>
      <c r="E45" s="6" t="s">
        <v>142</v>
      </c>
      <c r="F45" s="8" t="s">
        <v>143</v>
      </c>
      <c r="G45" s="6" t="s">
        <v>144</v>
      </c>
      <c r="H45" s="8">
        <v>240212000</v>
      </c>
      <c r="I45" s="6" t="s">
        <v>145</v>
      </c>
      <c r="J45" s="16">
        <v>4</v>
      </c>
      <c r="K45" s="8" t="s">
        <v>78</v>
      </c>
      <c r="L45" s="8" t="s">
        <v>79</v>
      </c>
      <c r="M45" s="16">
        <v>10</v>
      </c>
      <c r="N45" s="8">
        <v>0</v>
      </c>
      <c r="O45" s="23"/>
      <c r="P45" s="31" t="e">
        <f>+(Tabla1[[#This Row],[Meta Ejecutada Vigencia4]]/Tabla1[[#This Row],[Meta Programada Vigencia]])</f>
        <v>#DIV/0!</v>
      </c>
      <c r="Q45" s="31">
        <f>+Tabla1[[#This Row],[Meta Ejecutada Vigencia4]]/Tabla1[[#This Row],[Meta Programada Cuatrienio3]]/4</f>
        <v>0</v>
      </c>
      <c r="R45" s="23"/>
      <c r="S45" s="23"/>
      <c r="T45" s="23"/>
      <c r="U45" s="23"/>
      <c r="V45" s="23"/>
      <c r="W45" s="23"/>
      <c r="X45" s="23"/>
      <c r="Y45" s="23"/>
      <c r="Z45" s="27"/>
      <c r="AA45" s="25"/>
      <c r="AB45" s="25"/>
      <c r="AC45" s="25"/>
      <c r="AD45" s="25"/>
      <c r="AE45" s="25"/>
      <c r="AF45" s="25"/>
      <c r="AG45" s="25"/>
      <c r="AH45" s="25"/>
      <c r="AI45" s="25"/>
      <c r="AJ45" s="25"/>
      <c r="AK45" s="25"/>
      <c r="AL45" s="25"/>
      <c r="AM45" s="25"/>
      <c r="AN45" s="25">
        <f>SUM(Tabla1[[#This Row],[Recursos propios 2024]:[Otros 2024]])</f>
        <v>0</v>
      </c>
      <c r="AO45" s="25"/>
      <c r="AP45" s="25"/>
      <c r="AQ45" s="25"/>
      <c r="AR45" s="25"/>
      <c r="AS45" s="25"/>
      <c r="AT45" s="25"/>
      <c r="AU45" s="25"/>
      <c r="AV45" s="25"/>
      <c r="AW45" s="25"/>
      <c r="AX45" s="25"/>
      <c r="AY45" s="25"/>
      <c r="AZ45" s="25"/>
      <c r="BA45" s="25"/>
      <c r="BB45" s="25"/>
      <c r="BC45" s="25">
        <f>SUM(Tabla1[[#This Row],[Recursos propios 20242]:[Otros 202415]])</f>
        <v>0</v>
      </c>
      <c r="BD45" s="42" t="e">
        <f>+Tabla1[[#This Row],[Total Comprometido 2024]]/Tabla1[[#This Row],[Total 2024]]</f>
        <v>#DIV/0!</v>
      </c>
      <c r="BE45" s="25"/>
      <c r="BF45" s="25"/>
      <c r="BG45" s="25"/>
      <c r="BH45" s="6" t="s">
        <v>250</v>
      </c>
      <c r="BI45" s="6" t="s">
        <v>249</v>
      </c>
      <c r="BJ45" s="6">
        <v>11</v>
      </c>
    </row>
    <row r="46" spans="1:62" s="15" customFormat="1" ht="85.5" x14ac:dyDescent="0.25">
      <c r="A46" s="23">
        <v>97</v>
      </c>
      <c r="B46" s="6" t="s">
        <v>127</v>
      </c>
      <c r="C46" s="6" t="s">
        <v>134</v>
      </c>
      <c r="D46" s="6" t="s">
        <v>141</v>
      </c>
      <c r="E46" s="6" t="s">
        <v>142</v>
      </c>
      <c r="F46" s="6" t="s">
        <v>146</v>
      </c>
      <c r="G46" s="6" t="s">
        <v>147</v>
      </c>
      <c r="H46" s="6">
        <v>240211900</v>
      </c>
      <c r="I46" s="6" t="s">
        <v>148</v>
      </c>
      <c r="J46" s="6">
        <v>0</v>
      </c>
      <c r="K46" s="6" t="s">
        <v>78</v>
      </c>
      <c r="L46" s="6" t="s">
        <v>83</v>
      </c>
      <c r="M46" s="6">
        <v>1</v>
      </c>
      <c r="N46" s="6">
        <v>1</v>
      </c>
      <c r="O46" s="24"/>
      <c r="P46" s="33">
        <f>+(Tabla1[[#This Row],[Meta Ejecutada Vigencia4]]/Tabla1[[#This Row],[Meta Programada Vigencia]])</f>
        <v>0</v>
      </c>
      <c r="Q46" s="33">
        <f>+Tabla1[[#This Row],[Meta Ejecutada Vigencia4]]/Tabla1[[#This Row],[Meta Programada Cuatrienio3]]/4</f>
        <v>0</v>
      </c>
      <c r="R46" s="68">
        <v>2023680010060</v>
      </c>
      <c r="S46" s="24" t="s">
        <v>282</v>
      </c>
      <c r="T46" s="48">
        <v>4491492889</v>
      </c>
      <c r="U46" s="48">
        <v>4491492889</v>
      </c>
      <c r="V46" s="24"/>
      <c r="W46" s="24"/>
      <c r="X46" s="24"/>
      <c r="Y46" s="24"/>
      <c r="Z46" s="28">
        <v>3249905143</v>
      </c>
      <c r="AA46" s="28"/>
      <c r="AB46" s="28"/>
      <c r="AC46" s="28"/>
      <c r="AD46" s="28"/>
      <c r="AE46" s="28">
        <v>1241587746</v>
      </c>
      <c r="AF46" s="28"/>
      <c r="AG46" s="28"/>
      <c r="AH46" s="28"/>
      <c r="AI46" s="28"/>
      <c r="AJ46" s="28"/>
      <c r="AK46" s="28"/>
      <c r="AL46" s="28"/>
      <c r="AM46" s="28"/>
      <c r="AN46" s="28">
        <f>SUM(Tabla1[[#This Row],[Recursos propios 2024]:[Otros 2024]])</f>
        <v>4491492889</v>
      </c>
      <c r="AO46" s="28"/>
      <c r="AP46" s="28"/>
      <c r="AQ46" s="28"/>
      <c r="AR46" s="28"/>
      <c r="AS46" s="28"/>
      <c r="AT46" s="28"/>
      <c r="AU46" s="28"/>
      <c r="AV46" s="28"/>
      <c r="AW46" s="28"/>
      <c r="AX46" s="28"/>
      <c r="AY46" s="28"/>
      <c r="AZ46" s="28"/>
      <c r="BA46" s="28"/>
      <c r="BB46" s="28"/>
      <c r="BC46" s="28">
        <f>SUM(Tabla1[[#This Row],[Recursos propios 20242]:[Otros 202415]])</f>
        <v>0</v>
      </c>
      <c r="BD46" s="44">
        <f>+Tabla1[[#This Row],[Total Comprometido 2024]]/Tabla1[[#This Row],[Total 2024]]</f>
        <v>0</v>
      </c>
      <c r="BE46" s="28"/>
      <c r="BF46" s="28"/>
      <c r="BG46" s="28"/>
      <c r="BH46" s="6" t="s">
        <v>250</v>
      </c>
      <c r="BI46" s="6" t="s">
        <v>249</v>
      </c>
      <c r="BJ46" s="6">
        <v>11</v>
      </c>
    </row>
    <row r="47" spans="1:62" s="15" customFormat="1" ht="42.75" x14ac:dyDescent="0.25">
      <c r="A47" s="23">
        <v>98</v>
      </c>
      <c r="B47" s="8" t="s">
        <v>127</v>
      </c>
      <c r="C47" s="6" t="s">
        <v>134</v>
      </c>
      <c r="D47" s="8" t="s">
        <v>135</v>
      </c>
      <c r="E47" s="6" t="s">
        <v>142</v>
      </c>
      <c r="F47" s="8" t="s">
        <v>149</v>
      </c>
      <c r="G47" s="6" t="s">
        <v>150</v>
      </c>
      <c r="H47" s="8">
        <v>240103900</v>
      </c>
      <c r="I47" s="6" t="s">
        <v>151</v>
      </c>
      <c r="J47" s="16">
        <v>0</v>
      </c>
      <c r="K47" s="8" t="s">
        <v>78</v>
      </c>
      <c r="L47" s="8" t="s">
        <v>83</v>
      </c>
      <c r="M47" s="16">
        <v>2</v>
      </c>
      <c r="N47" s="8">
        <v>0</v>
      </c>
      <c r="O47" s="23"/>
      <c r="P47" s="31" t="e">
        <f>+(Tabla1[[#This Row],[Meta Ejecutada Vigencia4]]/Tabla1[[#This Row],[Meta Programada Vigencia]])</f>
        <v>#DIV/0!</v>
      </c>
      <c r="Q47" s="33">
        <f>+Tabla1[[#This Row],[Meta Ejecutada Vigencia4]]/Tabla1[[#This Row],[Meta Programada Cuatrienio3]]/4</f>
        <v>0</v>
      </c>
      <c r="R47" s="23"/>
      <c r="S47" s="23"/>
      <c r="T47" s="23"/>
      <c r="U47" s="23"/>
      <c r="V47" s="23"/>
      <c r="W47" s="23"/>
      <c r="X47" s="23"/>
      <c r="Y47" s="23"/>
      <c r="Z47" s="27"/>
      <c r="AA47" s="25"/>
      <c r="AB47" s="25"/>
      <c r="AC47" s="25"/>
      <c r="AD47" s="25"/>
      <c r="AE47" s="25"/>
      <c r="AF47" s="25"/>
      <c r="AG47" s="25"/>
      <c r="AH47" s="25"/>
      <c r="AI47" s="25"/>
      <c r="AJ47" s="25"/>
      <c r="AK47" s="25"/>
      <c r="AL47" s="25"/>
      <c r="AM47" s="25"/>
      <c r="AN47" s="25">
        <f>SUM(Tabla1[[#This Row],[Recursos propios 2024]:[Otros 2024]])</f>
        <v>0</v>
      </c>
      <c r="AO47" s="25"/>
      <c r="AP47" s="25"/>
      <c r="AQ47" s="25"/>
      <c r="AR47" s="25"/>
      <c r="AS47" s="25"/>
      <c r="AT47" s="25"/>
      <c r="AU47" s="25"/>
      <c r="AV47" s="25"/>
      <c r="AW47" s="25"/>
      <c r="AX47" s="25"/>
      <c r="AY47" s="25"/>
      <c r="AZ47" s="25"/>
      <c r="BA47" s="25"/>
      <c r="BB47" s="25"/>
      <c r="BC47" s="25">
        <f>SUM(Tabla1[[#This Row],[Recursos propios 20242]:[Otros 202415]])</f>
        <v>0</v>
      </c>
      <c r="BD47" s="42" t="e">
        <f>+Tabla1[[#This Row],[Total Comprometido 2024]]/Tabla1[[#This Row],[Total 2024]]</f>
        <v>#DIV/0!</v>
      </c>
      <c r="BE47" s="25"/>
      <c r="BF47" s="25"/>
      <c r="BG47" s="25"/>
      <c r="BH47" s="6" t="s">
        <v>250</v>
      </c>
      <c r="BI47" s="6" t="s">
        <v>249</v>
      </c>
      <c r="BJ47" s="6">
        <v>11</v>
      </c>
    </row>
    <row r="48" spans="1:62" s="15" customFormat="1" ht="42.75" x14ac:dyDescent="0.25">
      <c r="A48" s="23">
        <v>99</v>
      </c>
      <c r="B48" s="6" t="s">
        <v>127</v>
      </c>
      <c r="C48" s="6" t="s">
        <v>134</v>
      </c>
      <c r="D48" s="6" t="s">
        <v>141</v>
      </c>
      <c r="E48" s="6" t="s">
        <v>142</v>
      </c>
      <c r="F48" s="6" t="s">
        <v>152</v>
      </c>
      <c r="G48" s="6" t="s">
        <v>153</v>
      </c>
      <c r="H48" s="6">
        <v>240208300</v>
      </c>
      <c r="I48" s="6" t="s">
        <v>154</v>
      </c>
      <c r="J48" s="6">
        <v>0</v>
      </c>
      <c r="K48" s="6" t="s">
        <v>78</v>
      </c>
      <c r="L48" s="6" t="s">
        <v>83</v>
      </c>
      <c r="M48" s="6">
        <v>5</v>
      </c>
      <c r="N48" s="6">
        <v>0</v>
      </c>
      <c r="O48" s="24"/>
      <c r="P48" s="31" t="e">
        <f>+(Tabla1[[#This Row],[Meta Ejecutada Vigencia4]]/Tabla1[[#This Row],[Meta Programada Vigencia]])</f>
        <v>#DIV/0!</v>
      </c>
      <c r="Q48" s="33">
        <f>+Tabla1[[#This Row],[Meta Ejecutada Vigencia4]]/Tabla1[[#This Row],[Meta Programada Cuatrienio3]]/4</f>
        <v>0</v>
      </c>
      <c r="R48" s="24"/>
      <c r="S48" s="24"/>
      <c r="T48" s="24"/>
      <c r="U48" s="24"/>
      <c r="V48" s="24"/>
      <c r="W48" s="24"/>
      <c r="X48" s="24"/>
      <c r="Y48" s="24"/>
      <c r="Z48" s="28"/>
      <c r="AA48" s="28"/>
      <c r="AB48" s="28"/>
      <c r="AC48" s="28"/>
      <c r="AD48" s="28"/>
      <c r="AE48" s="28"/>
      <c r="AF48" s="28"/>
      <c r="AG48" s="28"/>
      <c r="AH48" s="28"/>
      <c r="AI48" s="28"/>
      <c r="AJ48" s="28"/>
      <c r="AK48" s="28"/>
      <c r="AL48" s="28"/>
      <c r="AM48" s="28"/>
      <c r="AN48" s="28">
        <f>SUM(Tabla1[[#This Row],[Recursos propios 2024]:[Otros 2024]])</f>
        <v>0</v>
      </c>
      <c r="AO48" s="28"/>
      <c r="AP48" s="28"/>
      <c r="AQ48" s="28"/>
      <c r="AR48" s="28"/>
      <c r="AS48" s="28"/>
      <c r="AT48" s="28"/>
      <c r="AU48" s="28"/>
      <c r="AV48" s="28"/>
      <c r="AW48" s="28"/>
      <c r="AX48" s="28"/>
      <c r="AY48" s="28"/>
      <c r="AZ48" s="28"/>
      <c r="BA48" s="28"/>
      <c r="BB48" s="28"/>
      <c r="BC48" s="28">
        <f>SUM(Tabla1[[#This Row],[Recursos propios 20242]:[Otros 202415]])</f>
        <v>0</v>
      </c>
      <c r="BD48" s="44" t="e">
        <f>+Tabla1[[#This Row],[Total Comprometido 2024]]/Tabla1[[#This Row],[Total 2024]]</f>
        <v>#DIV/0!</v>
      </c>
      <c r="BE48" s="28"/>
      <c r="BF48" s="28"/>
      <c r="BG48" s="28"/>
      <c r="BH48" s="6" t="s">
        <v>250</v>
      </c>
      <c r="BI48" s="6" t="s">
        <v>249</v>
      </c>
      <c r="BJ48" s="6">
        <v>11</v>
      </c>
    </row>
    <row r="49" spans="1:62" s="15" customFormat="1" ht="42.75" x14ac:dyDescent="0.25">
      <c r="A49" s="23">
        <v>100</v>
      </c>
      <c r="B49" s="8" t="s">
        <v>127</v>
      </c>
      <c r="C49" s="7" t="s">
        <v>134</v>
      </c>
      <c r="D49" s="8" t="s">
        <v>141</v>
      </c>
      <c r="E49" s="6" t="s">
        <v>142</v>
      </c>
      <c r="F49" s="8" t="s">
        <v>155</v>
      </c>
      <c r="G49" s="6" t="s">
        <v>156</v>
      </c>
      <c r="H49" s="8">
        <v>240204400</v>
      </c>
      <c r="I49" s="6" t="s">
        <v>157</v>
      </c>
      <c r="J49" s="16">
        <v>3</v>
      </c>
      <c r="K49" s="8" t="s">
        <v>78</v>
      </c>
      <c r="L49" s="8" t="s">
        <v>83</v>
      </c>
      <c r="M49" s="16">
        <v>1</v>
      </c>
      <c r="N49" s="8">
        <v>0</v>
      </c>
      <c r="O49" s="23"/>
      <c r="P49" s="31" t="e">
        <f>+(Tabla1[[#This Row],[Meta Ejecutada Vigencia4]]/Tabla1[[#This Row],[Meta Programada Vigencia]])</f>
        <v>#DIV/0!</v>
      </c>
      <c r="Q49" s="33">
        <f>+Tabla1[[#This Row],[Meta Ejecutada Vigencia4]]/Tabla1[[#This Row],[Meta Programada Cuatrienio3]]/4</f>
        <v>0</v>
      </c>
      <c r="R49" s="23"/>
      <c r="S49" s="23"/>
      <c r="T49" s="23"/>
      <c r="U49" s="23"/>
      <c r="V49" s="23"/>
      <c r="W49" s="23"/>
      <c r="X49" s="23"/>
      <c r="Y49" s="23"/>
      <c r="Z49" s="27"/>
      <c r="AA49" s="25"/>
      <c r="AB49" s="25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5"/>
      <c r="AN49" s="28">
        <f>SUM(Tabla1[[#This Row],[Recursos propios 2024]:[Otros 2024]])</f>
        <v>0</v>
      </c>
      <c r="AO49" s="25"/>
      <c r="AP49" s="25"/>
      <c r="AQ49" s="25"/>
      <c r="AR49" s="25"/>
      <c r="AS49" s="25"/>
      <c r="AT49" s="25"/>
      <c r="AU49" s="25"/>
      <c r="AV49" s="25"/>
      <c r="AW49" s="25"/>
      <c r="AX49" s="25"/>
      <c r="AY49" s="25"/>
      <c r="AZ49" s="25"/>
      <c r="BA49" s="25"/>
      <c r="BB49" s="25"/>
      <c r="BC49" s="25">
        <f>SUM(Tabla1[[#This Row],[Recursos propios 20242]:[Otros 202415]])</f>
        <v>0</v>
      </c>
      <c r="BD49" s="42" t="e">
        <f>+Tabla1[[#This Row],[Total Comprometido 2024]]/Tabla1[[#This Row],[Total 2024]]</f>
        <v>#DIV/0!</v>
      </c>
      <c r="BE49" s="25"/>
      <c r="BF49" s="25"/>
      <c r="BG49" s="25"/>
      <c r="BH49" s="6" t="s">
        <v>250</v>
      </c>
      <c r="BI49" s="6" t="s">
        <v>249</v>
      </c>
      <c r="BJ49" s="6">
        <v>11</v>
      </c>
    </row>
    <row r="50" spans="1:62" s="15" customFormat="1" ht="98.25" customHeight="1" x14ac:dyDescent="0.25">
      <c r="A50" s="23">
        <v>101</v>
      </c>
      <c r="B50" s="6" t="s">
        <v>127</v>
      </c>
      <c r="C50" s="6" t="s">
        <v>134</v>
      </c>
      <c r="D50" s="6" t="s">
        <v>141</v>
      </c>
      <c r="E50" s="6" t="s">
        <v>142</v>
      </c>
      <c r="F50" s="6" t="s">
        <v>158</v>
      </c>
      <c r="G50" s="6" t="s">
        <v>159</v>
      </c>
      <c r="H50" s="6">
        <v>240211800</v>
      </c>
      <c r="I50" s="6" t="s">
        <v>160</v>
      </c>
      <c r="J50" s="6">
        <v>0</v>
      </c>
      <c r="K50" s="6" t="s">
        <v>78</v>
      </c>
      <c r="L50" s="6" t="s">
        <v>83</v>
      </c>
      <c r="M50" s="6">
        <v>4</v>
      </c>
      <c r="N50" s="6">
        <v>2</v>
      </c>
      <c r="O50" s="24">
        <v>1</v>
      </c>
      <c r="P50" s="33">
        <f>+(Tabla1[[#This Row],[Meta Ejecutada Vigencia4]]/Tabla1[[#This Row],[Meta Programada Vigencia]])</f>
        <v>0.5</v>
      </c>
      <c r="Q50" s="33">
        <f>+Tabla1[[#This Row],[Meta Ejecutada Vigencia4]]/Tabla1[[#This Row],[Meta Programada Cuatrienio3]]/4</f>
        <v>6.25E-2</v>
      </c>
      <c r="R50" s="68">
        <v>2024680010007</v>
      </c>
      <c r="S50" s="24" t="s">
        <v>283</v>
      </c>
      <c r="T50" s="48">
        <v>1282056389</v>
      </c>
      <c r="U50" s="48">
        <v>1282056389</v>
      </c>
      <c r="V50" s="71"/>
      <c r="W50" s="71" t="s">
        <v>258</v>
      </c>
      <c r="X50" s="71"/>
      <c r="Y50" s="71"/>
      <c r="Z50" s="48">
        <v>1282056389</v>
      </c>
      <c r="AA50" s="24"/>
      <c r="AB50" s="24"/>
      <c r="AC50" s="24"/>
      <c r="AD50" s="24"/>
      <c r="AE50" s="24"/>
      <c r="AF50" s="24"/>
      <c r="AG50" s="24"/>
      <c r="AH50" s="24"/>
      <c r="AI50" s="24"/>
      <c r="AJ50" s="24"/>
      <c r="AK50" s="24"/>
      <c r="AL50" s="24"/>
      <c r="AM50" s="24"/>
      <c r="AN50" s="28">
        <f>SUM(Tabla1[[#This Row],[Recursos propios 2024]:[Otros 2024]])</f>
        <v>1282056389</v>
      </c>
      <c r="AO50" s="48">
        <v>1254631530.45</v>
      </c>
      <c r="AP50" s="24"/>
      <c r="AQ50" s="24"/>
      <c r="AR50" s="24"/>
      <c r="AS50" s="24"/>
      <c r="AT50" s="24"/>
      <c r="AU50" s="24"/>
      <c r="AV50" s="24"/>
      <c r="AW50" s="24"/>
      <c r="AX50" s="24"/>
      <c r="AY50" s="24"/>
      <c r="AZ50" s="24"/>
      <c r="BA50" s="24"/>
      <c r="BB50" s="24"/>
      <c r="BC50" s="28">
        <f>SUM(Tabla1[[#This Row],[Recursos propios 20242]:[Otros 202415]])</f>
        <v>1254631530.45</v>
      </c>
      <c r="BD50" s="44">
        <f>+Tabla1[[#This Row],[Total Comprometido 2024]]/Tabla1[[#This Row],[Total 2024]]</f>
        <v>0.97860869554155006</v>
      </c>
      <c r="BE50" s="24"/>
      <c r="BF50" s="24"/>
      <c r="BG50" s="24"/>
      <c r="BH50" s="6" t="s">
        <v>250</v>
      </c>
      <c r="BI50" s="6" t="s">
        <v>249</v>
      </c>
      <c r="BJ50" s="6">
        <v>11</v>
      </c>
    </row>
    <row r="51" spans="1:62" s="15" customFormat="1" ht="99.75" x14ac:dyDescent="0.25">
      <c r="A51" s="23">
        <v>101</v>
      </c>
      <c r="B51" s="8"/>
      <c r="C51" s="8"/>
      <c r="D51" s="8"/>
      <c r="E51" s="8"/>
      <c r="F51" s="8"/>
      <c r="G51" s="6"/>
      <c r="H51" s="8"/>
      <c r="I51" s="6"/>
      <c r="J51" s="8"/>
      <c r="K51" s="8"/>
      <c r="L51" s="8"/>
      <c r="M51" s="8"/>
      <c r="N51" s="8"/>
      <c r="O51" s="23"/>
      <c r="P51" s="67"/>
      <c r="Q51" s="32"/>
      <c r="R51" s="68">
        <v>2024680010075</v>
      </c>
      <c r="S51" s="24" t="s">
        <v>284</v>
      </c>
      <c r="T51" s="69">
        <v>2859418341</v>
      </c>
      <c r="U51" s="69">
        <v>2859418341</v>
      </c>
      <c r="V51" s="23"/>
      <c r="W51" s="23"/>
      <c r="X51" s="23"/>
      <c r="Y51" s="23"/>
      <c r="Z51" s="23"/>
      <c r="AA51" s="23"/>
      <c r="AB51" s="23"/>
      <c r="AC51" s="23"/>
      <c r="AD51" s="23"/>
      <c r="AE51" s="69">
        <v>2859418341</v>
      </c>
      <c r="AF51" s="23"/>
      <c r="AG51" s="23"/>
      <c r="AH51" s="23"/>
      <c r="AI51" s="23"/>
      <c r="AJ51" s="23"/>
      <c r="AK51" s="23"/>
      <c r="AL51" s="23"/>
      <c r="AM51" s="23"/>
      <c r="AN51" s="27">
        <f>SUM(Tabla1[[#This Row],[Recursos propios 2024]:[Otros 2024]])</f>
        <v>2859418341</v>
      </c>
      <c r="AO51" s="23"/>
      <c r="AP51" s="23"/>
      <c r="AQ51" s="23"/>
      <c r="AR51" s="23"/>
      <c r="AS51" s="23"/>
      <c r="AT51" s="23"/>
      <c r="AU51" s="23"/>
      <c r="AV51" s="23"/>
      <c r="AW51" s="23"/>
      <c r="AX51" s="23"/>
      <c r="AY51" s="23"/>
      <c r="AZ51" s="23"/>
      <c r="BA51" s="23"/>
      <c r="BB51" s="23"/>
      <c r="BC51" s="27">
        <f>SUM(Tabla1[[#This Row],[Recursos propios 20242]:[Otros 202415]])</f>
        <v>0</v>
      </c>
      <c r="BD51" s="43">
        <f>+Tabla1[[#This Row],[Total Comprometido 2024]]/Tabla1[[#This Row],[Total 2024]]</f>
        <v>0</v>
      </c>
      <c r="BE51" s="23"/>
      <c r="BF51" s="23"/>
      <c r="BG51" s="23"/>
      <c r="BH51" s="8"/>
      <c r="BI51" s="8"/>
      <c r="BJ51" s="8"/>
    </row>
    <row r="52" spans="1:62" s="15" customFormat="1" ht="71.25" x14ac:dyDescent="0.25">
      <c r="A52" s="23">
        <v>102</v>
      </c>
      <c r="B52" s="8" t="s">
        <v>127</v>
      </c>
      <c r="C52" s="8" t="s">
        <v>134</v>
      </c>
      <c r="D52" s="8" t="s">
        <v>141</v>
      </c>
      <c r="E52" s="8" t="s">
        <v>142</v>
      </c>
      <c r="F52" s="8" t="s">
        <v>161</v>
      </c>
      <c r="G52" s="6" t="s">
        <v>162</v>
      </c>
      <c r="H52" s="8">
        <v>240211300</v>
      </c>
      <c r="I52" s="6" t="s">
        <v>163</v>
      </c>
      <c r="J52" s="16">
        <v>0</v>
      </c>
      <c r="K52" s="8" t="s">
        <v>164</v>
      </c>
      <c r="L52" s="8" t="s">
        <v>83</v>
      </c>
      <c r="M52" s="16">
        <v>1</v>
      </c>
      <c r="N52" s="8">
        <v>0.25</v>
      </c>
      <c r="O52" s="23"/>
      <c r="P52" s="31">
        <f>+(Tabla1[[#This Row],[Meta Ejecutada Vigencia4]]/Tabla1[[#This Row],[Meta Programada Vigencia]])</f>
        <v>0</v>
      </c>
      <c r="Q52" s="31">
        <f>+Tabla1[[#This Row],[Meta Ejecutada Vigencia4]]/Tabla1[[#This Row],[Meta Programada Cuatrienio3]]/4</f>
        <v>0</v>
      </c>
      <c r="R52" s="68">
        <v>2022680010100</v>
      </c>
      <c r="S52" s="24" t="s">
        <v>285</v>
      </c>
      <c r="T52" s="47">
        <v>15826521795.24</v>
      </c>
      <c r="U52" s="47">
        <v>15826521795.24</v>
      </c>
      <c r="V52" s="23"/>
      <c r="W52" s="23"/>
      <c r="X52" s="23"/>
      <c r="Y52" s="23"/>
      <c r="Z52" s="47">
        <v>17435600912.240002</v>
      </c>
      <c r="AA52" s="23"/>
      <c r="AB52" s="23"/>
      <c r="AC52" s="23"/>
      <c r="AD52" s="23"/>
      <c r="AE52" s="47">
        <f>917937382-139052785</f>
        <v>778884597</v>
      </c>
      <c r="AF52" s="23"/>
      <c r="AG52" s="23"/>
      <c r="AH52" s="23"/>
      <c r="AI52" s="23"/>
      <c r="AJ52" s="23"/>
      <c r="AK52" s="23"/>
      <c r="AL52" s="23"/>
      <c r="AM52" s="23"/>
      <c r="AN52" s="27">
        <f>SUM(Tabla1[[#This Row],[Recursos propios 2024]:[Otros 2024]])</f>
        <v>18214485509.240002</v>
      </c>
      <c r="AO52" s="23"/>
      <c r="AP52" s="23"/>
      <c r="AQ52" s="23"/>
      <c r="AR52" s="23"/>
      <c r="AS52" s="23"/>
      <c r="AT52" s="23"/>
      <c r="AU52" s="23"/>
      <c r="AV52" s="23"/>
      <c r="AW52" s="23"/>
      <c r="AX52" s="23"/>
      <c r="AY52" s="23"/>
      <c r="AZ52" s="23"/>
      <c r="BA52" s="23"/>
      <c r="BB52" s="23"/>
      <c r="BC52" s="27">
        <f>SUM(Tabla1[[#This Row],[Recursos propios 20242]:[Otros 202415]])</f>
        <v>0</v>
      </c>
      <c r="BD52" s="45">
        <f>+Tabla1[[#This Row],[Total Comprometido 2024]]/Tabla1[[#This Row],[Total 2024]]</f>
        <v>0</v>
      </c>
      <c r="BE52" s="23"/>
      <c r="BF52" s="23"/>
      <c r="BG52" s="23"/>
      <c r="BH52" s="6" t="s">
        <v>250</v>
      </c>
      <c r="BI52" s="6" t="s">
        <v>249</v>
      </c>
      <c r="BJ52" s="6">
        <v>11</v>
      </c>
    </row>
    <row r="53" spans="1:62" s="15" customFormat="1" ht="99.75" x14ac:dyDescent="0.25">
      <c r="A53" s="23">
        <v>103</v>
      </c>
      <c r="B53" s="6" t="s">
        <v>127</v>
      </c>
      <c r="C53" s="6" t="s">
        <v>134</v>
      </c>
      <c r="D53" s="6" t="s">
        <v>141</v>
      </c>
      <c r="E53" s="6" t="s">
        <v>142</v>
      </c>
      <c r="F53" s="6" t="s">
        <v>165</v>
      </c>
      <c r="G53" s="6" t="s">
        <v>166</v>
      </c>
      <c r="H53" s="6">
        <v>240211400</v>
      </c>
      <c r="I53" s="6" t="s">
        <v>167</v>
      </c>
      <c r="J53" s="6">
        <v>14</v>
      </c>
      <c r="K53" s="6" t="s">
        <v>140</v>
      </c>
      <c r="L53" s="6" t="s">
        <v>83</v>
      </c>
      <c r="M53" s="6">
        <v>20</v>
      </c>
      <c r="N53" s="6">
        <v>3</v>
      </c>
      <c r="O53" s="24">
        <f>0.41+2.22</f>
        <v>2.6300000000000003</v>
      </c>
      <c r="P53" s="33">
        <f>+(Tabla1[[#This Row],[Meta Ejecutada Vigencia4]]/Tabla1[[#This Row],[Meta Programada Vigencia]])</f>
        <v>0.87666666666666682</v>
      </c>
      <c r="Q53" s="33">
        <f>+Tabla1[[#This Row],[Meta Ejecutada Vigencia4]]/Tabla1[[#This Row],[Meta Programada Cuatrienio3]]/4</f>
        <v>3.2875000000000001E-2</v>
      </c>
      <c r="R53" s="68">
        <v>2022680010006</v>
      </c>
      <c r="S53" s="24" t="s">
        <v>286</v>
      </c>
      <c r="T53" s="48">
        <v>13231488384.120001</v>
      </c>
      <c r="U53" s="48">
        <v>13231488384.120001</v>
      </c>
      <c r="V53" s="24" t="s">
        <v>257</v>
      </c>
      <c r="W53" s="24" t="s">
        <v>258</v>
      </c>
      <c r="X53" s="24">
        <v>57000</v>
      </c>
      <c r="Y53" s="24" t="s">
        <v>287</v>
      </c>
      <c r="Z53" s="48">
        <v>9427760377.9599991</v>
      </c>
      <c r="AA53" s="24"/>
      <c r="AB53" s="24"/>
      <c r="AC53" s="24"/>
      <c r="AD53" s="24"/>
      <c r="AE53" s="48">
        <v>3803728006.1599998</v>
      </c>
      <c r="AF53" s="24"/>
      <c r="AG53" s="24"/>
      <c r="AH53" s="24"/>
      <c r="AI53" s="24"/>
      <c r="AJ53" s="24"/>
      <c r="AK53" s="24"/>
      <c r="AL53" s="24"/>
      <c r="AM53" s="24"/>
      <c r="AN53" s="28">
        <f>SUM(Tabla1[[#This Row],[Recursos propios 2024]:[Otros 2024]])</f>
        <v>13231488384.119999</v>
      </c>
      <c r="AO53" s="48">
        <v>9427760377.9599991</v>
      </c>
      <c r="AP53" s="24"/>
      <c r="AQ53" s="24"/>
      <c r="AR53" s="24"/>
      <c r="AS53" s="24"/>
      <c r="AT53" s="48">
        <v>3803728006.1599998</v>
      </c>
      <c r="AU53" s="24"/>
      <c r="AV53" s="24"/>
      <c r="AW53" s="24"/>
      <c r="AX53" s="24"/>
      <c r="AY53" s="24"/>
      <c r="AZ53" s="24"/>
      <c r="BA53" s="24"/>
      <c r="BB53" s="24"/>
      <c r="BC53" s="28">
        <f>SUM(Tabla1[[#This Row],[Recursos propios 20242]:[Otros 202415]])</f>
        <v>13231488384.119999</v>
      </c>
      <c r="BD53" s="44">
        <f>+Tabla1[[#This Row],[Total Comprometido 2024]]/Tabla1[[#This Row],[Total 2024]]</f>
        <v>1</v>
      </c>
      <c r="BE53" s="48">
        <v>4439949260.7200003</v>
      </c>
      <c r="BF53" s="48">
        <v>4439949260.7200003</v>
      </c>
      <c r="BG53" s="24"/>
      <c r="BH53" s="6" t="s">
        <v>250</v>
      </c>
      <c r="BI53" s="6" t="s">
        <v>249</v>
      </c>
      <c r="BJ53" s="6">
        <v>11</v>
      </c>
    </row>
    <row r="54" spans="1:62" s="15" customFormat="1" ht="57" x14ac:dyDescent="0.25">
      <c r="A54" s="23">
        <v>103</v>
      </c>
      <c r="B54" s="8"/>
      <c r="C54" s="8"/>
      <c r="D54" s="8"/>
      <c r="E54" s="8"/>
      <c r="F54" s="8"/>
      <c r="G54" s="6"/>
      <c r="H54" s="8"/>
      <c r="I54" s="6"/>
      <c r="J54" s="8"/>
      <c r="K54" s="8"/>
      <c r="L54" s="8"/>
      <c r="M54" s="8"/>
      <c r="N54" s="8"/>
      <c r="O54" s="23"/>
      <c r="P54" s="67"/>
      <c r="Q54" s="32"/>
      <c r="R54" s="46">
        <v>2024680010051</v>
      </c>
      <c r="S54" s="24" t="s">
        <v>288</v>
      </c>
      <c r="T54" s="70">
        <v>4700002750</v>
      </c>
      <c r="U54" s="70">
        <v>4700002750</v>
      </c>
      <c r="V54" s="23"/>
      <c r="W54" s="23"/>
      <c r="X54" s="23"/>
      <c r="Y54" s="23"/>
      <c r="Z54" s="69">
        <v>4700002750</v>
      </c>
      <c r="AA54" s="23"/>
      <c r="AB54" s="23"/>
      <c r="AC54" s="23"/>
      <c r="AD54" s="23"/>
      <c r="AE54" s="47"/>
      <c r="AF54" s="23"/>
      <c r="AG54" s="23"/>
      <c r="AH54" s="23"/>
      <c r="AI54" s="23"/>
      <c r="AJ54" s="23"/>
      <c r="AK54" s="23"/>
      <c r="AL54" s="23"/>
      <c r="AM54" s="23"/>
      <c r="AN54" s="27">
        <f>SUM(Tabla1[[#This Row],[Recursos propios 2024]:[Otros 2024]])</f>
        <v>4700002750</v>
      </c>
      <c r="AO54" s="69"/>
      <c r="AP54" s="23"/>
      <c r="AQ54" s="23"/>
      <c r="AR54" s="23"/>
      <c r="AS54" s="23"/>
      <c r="AT54" s="47"/>
      <c r="AU54" s="23"/>
      <c r="AV54" s="23"/>
      <c r="AW54" s="23"/>
      <c r="AX54" s="23"/>
      <c r="AY54" s="23"/>
      <c r="AZ54" s="23"/>
      <c r="BA54" s="23"/>
      <c r="BB54" s="23"/>
      <c r="BC54" s="27">
        <f>SUM(Tabla1[[#This Row],[Recursos propios 20242]:[Otros 202415]])</f>
        <v>0</v>
      </c>
      <c r="BD54" s="43">
        <f>+Tabla1[[#This Row],[Total Comprometido 2024]]/Tabla1[[#This Row],[Total 2024]]</f>
        <v>0</v>
      </c>
      <c r="BE54" s="47"/>
      <c r="BF54" s="47"/>
      <c r="BG54" s="23"/>
      <c r="BH54" s="8"/>
      <c r="BI54" s="8"/>
      <c r="BJ54" s="8"/>
    </row>
    <row r="55" spans="1:62" s="15" customFormat="1" ht="54" customHeight="1" x14ac:dyDescent="0.25">
      <c r="A55" s="23">
        <v>103</v>
      </c>
      <c r="B55" s="8"/>
      <c r="C55" s="8"/>
      <c r="D55" s="8"/>
      <c r="E55" s="8"/>
      <c r="F55" s="8"/>
      <c r="G55" s="6"/>
      <c r="H55" s="8"/>
      <c r="I55" s="6"/>
      <c r="J55" s="8"/>
      <c r="K55" s="8"/>
      <c r="L55" s="8"/>
      <c r="M55" s="8"/>
      <c r="N55" s="8"/>
      <c r="O55" s="23"/>
      <c r="P55" s="67"/>
      <c r="Q55" s="32"/>
      <c r="R55" s="68">
        <v>2022680010042</v>
      </c>
      <c r="S55" s="24" t="s">
        <v>289</v>
      </c>
      <c r="T55" s="70">
        <v>17301532873</v>
      </c>
      <c r="U55" s="70">
        <v>2737590305</v>
      </c>
      <c r="V55" s="24" t="s">
        <v>290</v>
      </c>
      <c r="W55" s="24" t="s">
        <v>258</v>
      </c>
      <c r="X55" s="24">
        <v>602951</v>
      </c>
      <c r="Y55" s="24" t="s">
        <v>291</v>
      </c>
      <c r="Z55" s="69"/>
      <c r="AA55" s="23"/>
      <c r="AB55" s="23"/>
      <c r="AC55" s="23"/>
      <c r="AD55" s="23"/>
      <c r="AE55" s="47">
        <v>2737590305</v>
      </c>
      <c r="AF55" s="23"/>
      <c r="AG55" s="23"/>
      <c r="AH55" s="23"/>
      <c r="AI55" s="23"/>
      <c r="AJ55" s="23"/>
      <c r="AK55" s="23"/>
      <c r="AL55" s="23"/>
      <c r="AM55" s="23"/>
      <c r="AN55" s="27">
        <f>SUM(Tabla1[[#This Row],[Recursos propios 2024]:[Otros 2024]])</f>
        <v>2737590305</v>
      </c>
      <c r="AO55" s="69"/>
      <c r="AP55" s="23"/>
      <c r="AQ55" s="23"/>
      <c r="AR55" s="23"/>
      <c r="AS55" s="23"/>
      <c r="AT55" s="47">
        <v>2737590305</v>
      </c>
      <c r="AU55" s="23"/>
      <c r="AV55" s="23"/>
      <c r="AW55" s="23"/>
      <c r="AX55" s="23"/>
      <c r="AY55" s="23"/>
      <c r="AZ55" s="23"/>
      <c r="BA55" s="23"/>
      <c r="BB55" s="23"/>
      <c r="BC55" s="27">
        <f>SUM(Tabla1[[#This Row],[Recursos propios 20242]:[Otros 202415]])</f>
        <v>2737590305</v>
      </c>
      <c r="BD55" s="43">
        <f>+Tabla1[[#This Row],[Total Comprometido 2024]]/Tabla1[[#This Row],[Total 2024]]</f>
        <v>1</v>
      </c>
      <c r="BE55" s="47">
        <f>1892325819.08+524543090.22</f>
        <v>2416868909.3000002</v>
      </c>
      <c r="BF55" s="47">
        <f>1892325819.08+524543090.22</f>
        <v>2416868909.3000002</v>
      </c>
      <c r="BG55" s="23"/>
      <c r="BH55" s="8"/>
      <c r="BI55" s="8"/>
      <c r="BJ55" s="8"/>
    </row>
    <row r="56" spans="1:62" s="15" customFormat="1" ht="42.75" x14ac:dyDescent="0.25">
      <c r="A56" s="23">
        <v>104</v>
      </c>
      <c r="B56" s="8" t="s">
        <v>127</v>
      </c>
      <c r="C56" s="8" t="s">
        <v>134</v>
      </c>
      <c r="D56" s="8" t="s">
        <v>141</v>
      </c>
      <c r="E56" s="8" t="s">
        <v>142</v>
      </c>
      <c r="F56" s="8" t="s">
        <v>168</v>
      </c>
      <c r="G56" s="6" t="s">
        <v>169</v>
      </c>
      <c r="H56" s="8">
        <v>240211500</v>
      </c>
      <c r="I56" s="6" t="s">
        <v>170</v>
      </c>
      <c r="J56" s="16">
        <v>0</v>
      </c>
      <c r="K56" s="8" t="s">
        <v>140</v>
      </c>
      <c r="L56" s="8" t="s">
        <v>79</v>
      </c>
      <c r="M56" s="16">
        <v>80</v>
      </c>
      <c r="N56" s="8">
        <v>0</v>
      </c>
      <c r="O56" s="23"/>
      <c r="P56" s="31" t="e">
        <f>+(Tabla1[[#This Row],[Meta Ejecutada Vigencia4]]/Tabla1[[#This Row],[Meta Programada Vigencia]])</f>
        <v>#DIV/0!</v>
      </c>
      <c r="Q56" s="31">
        <f>+Tabla1[[#This Row],[Meta Ejecutada Vigencia4]]/Tabla1[[#This Row],[Meta Programada Cuatrienio3]]/4</f>
        <v>0</v>
      </c>
      <c r="R56" s="23"/>
      <c r="S56" s="23"/>
      <c r="T56" s="23"/>
      <c r="U56" s="23"/>
      <c r="V56" s="23"/>
      <c r="W56" s="23"/>
      <c r="X56" s="23"/>
      <c r="Y56" s="23"/>
      <c r="Z56" s="23"/>
      <c r="AA56" s="23"/>
      <c r="AB56" s="23"/>
      <c r="AC56" s="23"/>
      <c r="AD56" s="23"/>
      <c r="AE56" s="23"/>
      <c r="AF56" s="23"/>
      <c r="AG56" s="23"/>
      <c r="AH56" s="23"/>
      <c r="AI56" s="23"/>
      <c r="AJ56" s="23"/>
      <c r="AK56" s="23"/>
      <c r="AL56" s="23"/>
      <c r="AM56" s="23"/>
      <c r="AN56" s="27">
        <f>SUM(Tabla1[[#This Row],[Recursos propios 2024]:[Otros 2024]])</f>
        <v>0</v>
      </c>
      <c r="AO56" s="23"/>
      <c r="AP56" s="23"/>
      <c r="AQ56" s="23"/>
      <c r="AR56" s="23"/>
      <c r="AS56" s="23"/>
      <c r="AT56" s="23"/>
      <c r="AU56" s="23"/>
      <c r="AV56" s="23"/>
      <c r="AW56" s="23"/>
      <c r="AX56" s="23"/>
      <c r="AY56" s="23"/>
      <c r="AZ56" s="23"/>
      <c r="BA56" s="23"/>
      <c r="BB56" s="23"/>
      <c r="BC56" s="27">
        <f>SUM(Tabla1[[#This Row],[Recursos propios 20242]:[Otros 202415]])</f>
        <v>0</v>
      </c>
      <c r="BD56" s="45" t="e">
        <f>+Tabla1[[#This Row],[Total Comprometido 2024]]/Tabla1[[#This Row],[Total 2024]]</f>
        <v>#DIV/0!</v>
      </c>
      <c r="BE56" s="23"/>
      <c r="BF56" s="23"/>
      <c r="BG56" s="23"/>
      <c r="BH56" s="6" t="s">
        <v>250</v>
      </c>
      <c r="BI56" s="6" t="s">
        <v>249</v>
      </c>
      <c r="BJ56" s="6">
        <v>11</v>
      </c>
    </row>
    <row r="57" spans="1:62" s="15" customFormat="1" ht="71.25" x14ac:dyDescent="0.25">
      <c r="A57" s="23">
        <v>105</v>
      </c>
      <c r="B57" s="6" t="s">
        <v>127</v>
      </c>
      <c r="C57" s="6" t="s">
        <v>134</v>
      </c>
      <c r="D57" s="6" t="s">
        <v>141</v>
      </c>
      <c r="E57" s="6" t="s">
        <v>142</v>
      </c>
      <c r="F57" s="6" t="s">
        <v>171</v>
      </c>
      <c r="G57" s="6" t="s">
        <v>172</v>
      </c>
      <c r="H57" s="6">
        <v>240204200</v>
      </c>
      <c r="I57" s="6" t="s">
        <v>173</v>
      </c>
      <c r="J57" s="6">
        <v>4660</v>
      </c>
      <c r="K57" s="6" t="s">
        <v>174</v>
      </c>
      <c r="L57" s="6" t="s">
        <v>83</v>
      </c>
      <c r="M57" s="6">
        <v>5000</v>
      </c>
      <c r="N57" s="6">
        <v>1000</v>
      </c>
      <c r="O57" s="24"/>
      <c r="P57" s="33">
        <f>+(Tabla1[[#This Row],[Meta Ejecutada Vigencia4]]/Tabla1[[#This Row],[Meta Programada Vigencia]])</f>
        <v>0</v>
      </c>
      <c r="Q57" s="33">
        <f>+Tabla1[[#This Row],[Meta Ejecutada Vigencia4]]/Tabla1[[#This Row],[Meta Programada Cuatrienio3]]/4</f>
        <v>0</v>
      </c>
      <c r="R57" s="68">
        <v>2021680010038</v>
      </c>
      <c r="S57" s="24" t="s">
        <v>292</v>
      </c>
      <c r="T57" s="48">
        <v>204396672</v>
      </c>
      <c r="U57" s="48">
        <v>204396672</v>
      </c>
      <c r="V57" s="24" t="s">
        <v>293</v>
      </c>
      <c r="W57" s="24" t="s">
        <v>258</v>
      </c>
      <c r="X57" s="24">
        <v>20000</v>
      </c>
      <c r="Y57" s="24" t="s">
        <v>294</v>
      </c>
      <c r="Z57" s="48">
        <v>2724902982</v>
      </c>
      <c r="AA57" s="24"/>
      <c r="AB57" s="24"/>
      <c r="AC57" s="24"/>
      <c r="AD57" s="24"/>
      <c r="AE57" s="24"/>
      <c r="AF57" s="24"/>
      <c r="AG57" s="24"/>
      <c r="AH57" s="24"/>
      <c r="AI57" s="24"/>
      <c r="AJ57" s="24"/>
      <c r="AK57" s="24"/>
      <c r="AL57" s="24"/>
      <c r="AM57" s="24"/>
      <c r="AN57" s="28">
        <f>SUM(Tabla1[[#This Row],[Recursos propios 2024]:[Otros 2024]])</f>
        <v>2724902982</v>
      </c>
      <c r="AO57" s="48">
        <v>204396672</v>
      </c>
      <c r="AP57" s="24"/>
      <c r="AQ57" s="24"/>
      <c r="AR57" s="24"/>
      <c r="AS57" s="24"/>
      <c r="AT57" s="24"/>
      <c r="AU57" s="24"/>
      <c r="AV57" s="24"/>
      <c r="AW57" s="24"/>
      <c r="AX57" s="24"/>
      <c r="AY57" s="24"/>
      <c r="AZ57" s="24"/>
      <c r="BA57" s="24"/>
      <c r="BB57" s="24"/>
      <c r="BC57" s="28">
        <f>SUM(Tabla1[[#This Row],[Recursos propios 20242]:[Otros 202415]])</f>
        <v>204396672</v>
      </c>
      <c r="BD57" s="44">
        <f>+Tabla1[[#This Row],[Total Comprometido 2024]]/Tabla1[[#This Row],[Total 2024]]</f>
        <v>7.5010623625938688E-2</v>
      </c>
      <c r="BE57" s="24"/>
      <c r="BF57" s="24"/>
      <c r="BG57" s="24"/>
      <c r="BH57" s="6" t="s">
        <v>250</v>
      </c>
      <c r="BI57" s="6" t="s">
        <v>249</v>
      </c>
      <c r="BJ57" s="6">
        <v>11</v>
      </c>
    </row>
    <row r="58" spans="1:62" s="15" customFormat="1" ht="85.5" x14ac:dyDescent="0.25">
      <c r="A58" s="23">
        <v>106</v>
      </c>
      <c r="B58" s="8" t="s">
        <v>127</v>
      </c>
      <c r="C58" s="8" t="s">
        <v>134</v>
      </c>
      <c r="D58" s="8" t="s">
        <v>141</v>
      </c>
      <c r="E58" s="8" t="s">
        <v>142</v>
      </c>
      <c r="F58" s="8" t="s">
        <v>175</v>
      </c>
      <c r="G58" s="6" t="s">
        <v>176</v>
      </c>
      <c r="H58" s="8">
        <v>240211200</v>
      </c>
      <c r="I58" s="6" t="s">
        <v>177</v>
      </c>
      <c r="J58" s="16">
        <v>110</v>
      </c>
      <c r="K58" s="8" t="s">
        <v>140</v>
      </c>
      <c r="L58" s="8" t="s">
        <v>79</v>
      </c>
      <c r="M58" s="16">
        <v>110</v>
      </c>
      <c r="N58" s="8">
        <v>0</v>
      </c>
      <c r="O58" s="23"/>
      <c r="P58" s="31" t="e">
        <f>+(Tabla1[[#This Row],[Meta Ejecutada Vigencia4]]/Tabla1[[#This Row],[Meta Programada Vigencia]])</f>
        <v>#DIV/0!</v>
      </c>
      <c r="Q58" s="31">
        <f>+Tabla1[[#This Row],[Meta Ejecutada Vigencia4]]/Tabla1[[#This Row],[Meta Programada Cuatrienio3]]/4</f>
        <v>0</v>
      </c>
      <c r="R58" s="68">
        <v>2024680010043</v>
      </c>
      <c r="S58" s="24" t="s">
        <v>295</v>
      </c>
      <c r="T58" s="48">
        <v>1620379446</v>
      </c>
      <c r="U58" s="48">
        <v>1620379446</v>
      </c>
      <c r="V58" s="23"/>
      <c r="W58" s="23"/>
      <c r="X58" s="23"/>
      <c r="Y58" s="23"/>
      <c r="Z58" s="47">
        <v>1620379446</v>
      </c>
      <c r="AA58" s="23"/>
      <c r="AB58" s="23"/>
      <c r="AC58" s="23"/>
      <c r="AD58" s="23"/>
      <c r="AE58" s="23"/>
      <c r="AF58" s="23"/>
      <c r="AG58" s="23"/>
      <c r="AH58" s="23"/>
      <c r="AI58" s="23"/>
      <c r="AJ58" s="23"/>
      <c r="AK58" s="23"/>
      <c r="AL58" s="23"/>
      <c r="AM58" s="23"/>
      <c r="AN58" s="27">
        <f>SUM(Tabla1[[#This Row],[Recursos propios 2024]:[Otros 2024]])</f>
        <v>1620379446</v>
      </c>
      <c r="AO58" s="23"/>
      <c r="AP58" s="23"/>
      <c r="AQ58" s="23"/>
      <c r="AR58" s="23"/>
      <c r="AS58" s="23"/>
      <c r="AT58" s="23"/>
      <c r="AU58" s="23"/>
      <c r="AV58" s="23"/>
      <c r="AW58" s="23"/>
      <c r="AX58" s="23"/>
      <c r="AY58" s="23"/>
      <c r="AZ58" s="23"/>
      <c r="BA58" s="23"/>
      <c r="BB58" s="23"/>
      <c r="BC58" s="27">
        <f>SUM(Tabla1[[#This Row],[Recursos propios 20242]:[Otros 202415]])</f>
        <v>0</v>
      </c>
      <c r="BD58" s="45">
        <f>+Tabla1[[#This Row],[Total Comprometido 2024]]/Tabla1[[#This Row],[Total 2024]]</f>
        <v>0</v>
      </c>
      <c r="BE58" s="23"/>
      <c r="BF58" s="23"/>
      <c r="BG58" s="23"/>
      <c r="BH58" s="6" t="s">
        <v>250</v>
      </c>
      <c r="BI58" s="6" t="s">
        <v>249</v>
      </c>
      <c r="BJ58" s="6">
        <v>11</v>
      </c>
    </row>
    <row r="59" spans="1:62" s="15" customFormat="1" ht="42.75" x14ac:dyDescent="0.25">
      <c r="A59" s="23">
        <v>107</v>
      </c>
      <c r="B59" s="6" t="s">
        <v>127</v>
      </c>
      <c r="C59" s="6" t="s">
        <v>134</v>
      </c>
      <c r="D59" s="6" t="s">
        <v>141</v>
      </c>
      <c r="E59" s="6" t="s">
        <v>142</v>
      </c>
      <c r="F59" s="6" t="s">
        <v>178</v>
      </c>
      <c r="G59" s="6" t="s">
        <v>179</v>
      </c>
      <c r="H59" s="6">
        <v>240207000</v>
      </c>
      <c r="I59" s="6" t="s">
        <v>180</v>
      </c>
      <c r="J59" s="6">
        <v>0</v>
      </c>
      <c r="K59" s="6" t="s">
        <v>78</v>
      </c>
      <c r="L59" s="6" t="s">
        <v>83</v>
      </c>
      <c r="M59" s="6">
        <v>1</v>
      </c>
      <c r="N59" s="6">
        <v>0</v>
      </c>
      <c r="O59" s="24"/>
      <c r="P59" s="33" t="e">
        <f>+(Tabla1[[#This Row],[Meta Ejecutada Vigencia4]]/Tabla1[[#This Row],[Meta Programada Vigencia]])</f>
        <v>#DIV/0!</v>
      </c>
      <c r="Q59" s="33">
        <f>+Tabla1[[#This Row],[Meta Ejecutada Vigencia4]]/Tabla1[[#This Row],[Meta Programada Cuatrienio3]]/4</f>
        <v>0</v>
      </c>
      <c r="R59" s="24"/>
      <c r="S59" s="24"/>
      <c r="T59" s="24"/>
      <c r="U59" s="24"/>
      <c r="V59" s="24"/>
      <c r="W59" s="24"/>
      <c r="X59" s="24"/>
      <c r="Y59" s="24"/>
      <c r="Z59" s="24"/>
      <c r="AA59" s="24"/>
      <c r="AB59" s="24"/>
      <c r="AC59" s="24"/>
      <c r="AD59" s="24"/>
      <c r="AE59" s="24"/>
      <c r="AF59" s="24"/>
      <c r="AG59" s="24"/>
      <c r="AH59" s="24"/>
      <c r="AI59" s="24"/>
      <c r="AJ59" s="24"/>
      <c r="AK59" s="24"/>
      <c r="AL59" s="24"/>
      <c r="AM59" s="24"/>
      <c r="AN59" s="28">
        <f>SUM(Tabla1[[#This Row],[Recursos propios 2024]:[Otros 2024]])</f>
        <v>0</v>
      </c>
      <c r="AO59" s="24"/>
      <c r="AP59" s="24"/>
      <c r="AQ59" s="24"/>
      <c r="AR59" s="24"/>
      <c r="AS59" s="24"/>
      <c r="AT59" s="24"/>
      <c r="AU59" s="24"/>
      <c r="AV59" s="24"/>
      <c r="AW59" s="24"/>
      <c r="AX59" s="24"/>
      <c r="AY59" s="24"/>
      <c r="AZ59" s="24"/>
      <c r="BA59" s="24"/>
      <c r="BB59" s="24"/>
      <c r="BC59" s="28">
        <f>SUM(Tabla1[[#This Row],[Recursos propios 20242]:[Otros 202415]])</f>
        <v>0</v>
      </c>
      <c r="BD59" s="44" t="e">
        <f>+Tabla1[[#This Row],[Total Comprometido 2024]]/Tabla1[[#This Row],[Total 2024]]</f>
        <v>#DIV/0!</v>
      </c>
      <c r="BE59" s="24"/>
      <c r="BF59" s="24"/>
      <c r="BG59" s="24"/>
      <c r="BH59" s="6" t="s">
        <v>250</v>
      </c>
      <c r="BI59" s="6" t="s">
        <v>249</v>
      </c>
      <c r="BJ59" s="6">
        <v>11</v>
      </c>
    </row>
    <row r="60" spans="1:62" s="15" customFormat="1" ht="42.75" x14ac:dyDescent="0.25">
      <c r="A60" s="23">
        <v>108</v>
      </c>
      <c r="B60" s="8" t="s">
        <v>127</v>
      </c>
      <c r="C60" s="8" t="s">
        <v>134</v>
      </c>
      <c r="D60" s="8" t="s">
        <v>141</v>
      </c>
      <c r="E60" s="8" t="s">
        <v>142</v>
      </c>
      <c r="F60" s="8" t="s">
        <v>181</v>
      </c>
      <c r="G60" s="6" t="s">
        <v>182</v>
      </c>
      <c r="H60" s="8">
        <v>240206200</v>
      </c>
      <c r="I60" s="6" t="s">
        <v>183</v>
      </c>
      <c r="J60" s="16">
        <v>0</v>
      </c>
      <c r="K60" s="8" t="s">
        <v>78</v>
      </c>
      <c r="L60" s="8" t="s">
        <v>83</v>
      </c>
      <c r="M60" s="16">
        <v>1</v>
      </c>
      <c r="N60" s="8">
        <v>0</v>
      </c>
      <c r="O60" s="23"/>
      <c r="P60" s="31" t="e">
        <f>+(Tabla1[[#This Row],[Meta Ejecutada Vigencia4]]/Tabla1[[#This Row],[Meta Programada Vigencia]])</f>
        <v>#DIV/0!</v>
      </c>
      <c r="Q60" s="31">
        <f>+Tabla1[[#This Row],[Meta Ejecutada Vigencia4]]/Tabla1[[#This Row],[Meta Programada Cuatrienio3]]/4</f>
        <v>0</v>
      </c>
      <c r="R60" s="23"/>
      <c r="S60" s="23"/>
      <c r="T60" s="23"/>
      <c r="U60" s="23"/>
      <c r="V60" s="23"/>
      <c r="W60" s="23"/>
      <c r="X60" s="23"/>
      <c r="Y60" s="23"/>
      <c r="Z60" s="23"/>
      <c r="AA60" s="23"/>
      <c r="AB60" s="23"/>
      <c r="AC60" s="23"/>
      <c r="AD60" s="23"/>
      <c r="AE60" s="23"/>
      <c r="AF60" s="23"/>
      <c r="AG60" s="23"/>
      <c r="AH60" s="23"/>
      <c r="AI60" s="23"/>
      <c r="AJ60" s="23"/>
      <c r="AK60" s="23"/>
      <c r="AL60" s="23"/>
      <c r="AM60" s="23"/>
      <c r="AN60" s="27">
        <f>SUM(Tabla1[[#This Row],[Recursos propios 2024]:[Otros 2024]])</f>
        <v>0</v>
      </c>
      <c r="AO60" s="23"/>
      <c r="AP60" s="23"/>
      <c r="AQ60" s="23"/>
      <c r="AR60" s="23"/>
      <c r="AS60" s="23"/>
      <c r="AT60" s="23"/>
      <c r="AU60" s="23"/>
      <c r="AV60" s="23"/>
      <c r="AW60" s="23"/>
      <c r="AX60" s="23"/>
      <c r="AY60" s="23"/>
      <c r="AZ60" s="23"/>
      <c r="BA60" s="23"/>
      <c r="BB60" s="23"/>
      <c r="BC60" s="27">
        <f>SUM(Tabla1[[#This Row],[Recursos propios 20242]:[Otros 202415]])</f>
        <v>0</v>
      </c>
      <c r="BD60" s="45" t="e">
        <f>+Tabla1[[#This Row],[Total Comprometido 2024]]/Tabla1[[#This Row],[Total 2024]]</f>
        <v>#DIV/0!</v>
      </c>
      <c r="BE60" s="23"/>
      <c r="BF60" s="23"/>
      <c r="BG60" s="23"/>
      <c r="BH60" s="6" t="s">
        <v>250</v>
      </c>
      <c r="BI60" s="6" t="s">
        <v>249</v>
      </c>
      <c r="BJ60" s="6">
        <v>11</v>
      </c>
    </row>
    <row r="61" spans="1:62" s="15" customFormat="1" ht="85.5" x14ac:dyDescent="0.25">
      <c r="A61" s="23">
        <v>109</v>
      </c>
      <c r="B61" s="6" t="s">
        <v>127</v>
      </c>
      <c r="C61" s="6" t="s">
        <v>134</v>
      </c>
      <c r="D61" s="6" t="s">
        <v>141</v>
      </c>
      <c r="E61" s="6" t="s">
        <v>142</v>
      </c>
      <c r="F61" s="6" t="s">
        <v>184</v>
      </c>
      <c r="G61" s="6" t="s">
        <v>185</v>
      </c>
      <c r="H61" s="6">
        <v>240209400</v>
      </c>
      <c r="I61" s="6" t="s">
        <v>186</v>
      </c>
      <c r="J61" s="6">
        <v>0</v>
      </c>
      <c r="K61" s="6" t="s">
        <v>174</v>
      </c>
      <c r="L61" s="6" t="s">
        <v>83</v>
      </c>
      <c r="M61" s="6">
        <v>10000</v>
      </c>
      <c r="N61" s="6">
        <v>0</v>
      </c>
      <c r="O61" s="24"/>
      <c r="P61" s="33" t="e">
        <f>+(Tabla1[[#This Row],[Meta Ejecutada Vigencia4]]/Tabla1[[#This Row],[Meta Programada Vigencia]])</f>
        <v>#DIV/0!</v>
      </c>
      <c r="Q61" s="33">
        <f>+Tabla1[[#This Row],[Meta Ejecutada Vigencia4]]/Tabla1[[#This Row],[Meta Programada Cuatrienio3]]/4</f>
        <v>0</v>
      </c>
      <c r="R61" s="24"/>
      <c r="S61" s="24"/>
      <c r="T61" s="24"/>
      <c r="U61" s="24"/>
      <c r="V61" s="24"/>
      <c r="W61" s="24"/>
      <c r="X61" s="24"/>
      <c r="Y61" s="24"/>
      <c r="Z61" s="24"/>
      <c r="AA61" s="24"/>
      <c r="AB61" s="24"/>
      <c r="AC61" s="24"/>
      <c r="AD61" s="24"/>
      <c r="AE61" s="24"/>
      <c r="AF61" s="24"/>
      <c r="AG61" s="24"/>
      <c r="AH61" s="24"/>
      <c r="AI61" s="24"/>
      <c r="AJ61" s="24"/>
      <c r="AK61" s="24"/>
      <c r="AL61" s="24"/>
      <c r="AM61" s="24"/>
      <c r="AN61" s="28">
        <f>SUM(Tabla1[[#This Row],[Recursos propios 2024]:[Otros 2024]])</f>
        <v>0</v>
      </c>
      <c r="AO61" s="24"/>
      <c r="AP61" s="24"/>
      <c r="AQ61" s="24"/>
      <c r="AR61" s="24"/>
      <c r="AS61" s="24"/>
      <c r="AT61" s="24"/>
      <c r="AU61" s="24"/>
      <c r="AV61" s="24"/>
      <c r="AW61" s="24"/>
      <c r="AX61" s="24"/>
      <c r="AY61" s="24"/>
      <c r="AZ61" s="24"/>
      <c r="BA61" s="24"/>
      <c r="BB61" s="24"/>
      <c r="BC61" s="28">
        <f>SUM(Tabla1[[#This Row],[Recursos propios 20242]:[Otros 202415]])</f>
        <v>0</v>
      </c>
      <c r="BD61" s="44" t="e">
        <f>+Tabla1[[#This Row],[Total Comprometido 2024]]/Tabla1[[#This Row],[Total 2024]]</f>
        <v>#DIV/0!</v>
      </c>
      <c r="BE61" s="24"/>
      <c r="BF61" s="24"/>
      <c r="BG61" s="24"/>
      <c r="BH61" s="6" t="s">
        <v>250</v>
      </c>
      <c r="BI61" s="6" t="s">
        <v>249</v>
      </c>
      <c r="BJ61" s="6">
        <v>11.13</v>
      </c>
    </row>
    <row r="62" spans="1:62" s="15" customFormat="1" ht="71.25" x14ac:dyDescent="0.25">
      <c r="A62" s="23">
        <v>125</v>
      </c>
      <c r="B62" s="8" t="s">
        <v>127</v>
      </c>
      <c r="C62" s="8" t="s">
        <v>72</v>
      </c>
      <c r="D62" s="8" t="s">
        <v>187</v>
      </c>
      <c r="E62" s="8" t="s">
        <v>188</v>
      </c>
      <c r="F62" s="8" t="s">
        <v>189</v>
      </c>
      <c r="G62" s="6" t="s">
        <v>190</v>
      </c>
      <c r="H62" s="8">
        <v>210101600</v>
      </c>
      <c r="I62" s="6" t="s">
        <v>191</v>
      </c>
      <c r="J62" s="8">
        <v>0</v>
      </c>
      <c r="K62" s="8" t="s">
        <v>78</v>
      </c>
      <c r="L62" s="8" t="s">
        <v>83</v>
      </c>
      <c r="M62" s="8">
        <v>200</v>
      </c>
      <c r="N62" s="8">
        <v>0</v>
      </c>
      <c r="O62" s="23"/>
      <c r="P62" s="31" t="e">
        <f>+(Tabla1[[#This Row],[Meta Ejecutada Vigencia4]]/Tabla1[[#This Row],[Meta Programada Vigencia]])</f>
        <v>#DIV/0!</v>
      </c>
      <c r="Q62" s="31">
        <f>+Tabla1[[#This Row],[Meta Ejecutada Vigencia4]]/Tabla1[[#This Row],[Meta Programada Cuatrienio3]]/4</f>
        <v>0</v>
      </c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3"/>
      <c r="AC62" s="23"/>
      <c r="AD62" s="23"/>
      <c r="AE62" s="23"/>
      <c r="AF62" s="23"/>
      <c r="AG62" s="23"/>
      <c r="AH62" s="23"/>
      <c r="AI62" s="23"/>
      <c r="AJ62" s="23"/>
      <c r="AK62" s="23"/>
      <c r="AL62" s="23"/>
      <c r="AM62" s="23"/>
      <c r="AN62" s="27">
        <f>SUM(Tabla1[[#This Row],[Recursos propios 2024]:[Otros 2024]])</f>
        <v>0</v>
      </c>
      <c r="AO62" s="23"/>
      <c r="AP62" s="23"/>
      <c r="AQ62" s="23"/>
      <c r="AR62" s="23"/>
      <c r="AS62" s="23"/>
      <c r="AT62" s="23"/>
      <c r="AU62" s="23"/>
      <c r="AV62" s="23"/>
      <c r="AW62" s="23"/>
      <c r="AX62" s="23"/>
      <c r="AY62" s="23"/>
      <c r="AZ62" s="23"/>
      <c r="BA62" s="23"/>
      <c r="BB62" s="23"/>
      <c r="BC62" s="27">
        <f>SUM(Tabla1[[#This Row],[Recursos propios 20242]:[Otros 202415]])</f>
        <v>0</v>
      </c>
      <c r="BD62" s="45" t="e">
        <f>+Tabla1[[#This Row],[Total Comprometido 2024]]/Tabla1[[#This Row],[Total 2024]]</f>
        <v>#DIV/0!</v>
      </c>
      <c r="BE62" s="23"/>
      <c r="BF62" s="23"/>
      <c r="BG62" s="23"/>
      <c r="BH62" s="6" t="s">
        <v>250</v>
      </c>
      <c r="BI62" s="6" t="s">
        <v>249</v>
      </c>
      <c r="BJ62" s="6">
        <v>10</v>
      </c>
    </row>
    <row r="63" spans="1:62" s="15" customFormat="1" ht="114" x14ac:dyDescent="0.25">
      <c r="A63" s="23">
        <v>128</v>
      </c>
      <c r="B63" s="6" t="s">
        <v>127</v>
      </c>
      <c r="C63" s="6" t="s">
        <v>89</v>
      </c>
      <c r="D63" s="6" t="s">
        <v>109</v>
      </c>
      <c r="E63" s="6" t="s">
        <v>192</v>
      </c>
      <c r="F63" s="6" t="s">
        <v>193</v>
      </c>
      <c r="G63" s="6" t="s">
        <v>194</v>
      </c>
      <c r="H63" s="6">
        <v>400304700</v>
      </c>
      <c r="I63" s="6" t="s">
        <v>195</v>
      </c>
      <c r="J63" s="17">
        <v>289645</v>
      </c>
      <c r="K63" s="6" t="s">
        <v>78</v>
      </c>
      <c r="L63" s="6" t="s">
        <v>79</v>
      </c>
      <c r="M63" s="17">
        <v>289645</v>
      </c>
      <c r="N63" s="6">
        <v>289645</v>
      </c>
      <c r="O63" s="24">
        <v>289645</v>
      </c>
      <c r="P63" s="33">
        <f>+(Tabla1[[#This Row],[Meta Ejecutada Vigencia4]]/Tabla1[[#This Row],[Meta Programada Vigencia]])</f>
        <v>1</v>
      </c>
      <c r="Q63" s="33">
        <f>+Tabla1[[#This Row],[Meta Ejecutada Vigencia4]]/Tabla1[[#This Row],[Meta Programada Cuatrienio3]]/4</f>
        <v>0.25</v>
      </c>
      <c r="R63" s="68">
        <v>2021680010120</v>
      </c>
      <c r="S63" s="24" t="s">
        <v>296</v>
      </c>
      <c r="T63" s="48">
        <v>3484518813</v>
      </c>
      <c r="U63" s="69">
        <v>3484518813</v>
      </c>
      <c r="V63" s="24" t="s">
        <v>298</v>
      </c>
      <c r="W63" s="24" t="s">
        <v>258</v>
      </c>
      <c r="X63" s="24">
        <v>289000</v>
      </c>
      <c r="Y63" s="24" t="s">
        <v>299</v>
      </c>
      <c r="Z63" s="24"/>
      <c r="AA63" s="24"/>
      <c r="AB63" s="24"/>
      <c r="AC63" s="24"/>
      <c r="AD63" s="24"/>
      <c r="AE63" s="24"/>
      <c r="AF63" s="24"/>
      <c r="AG63" s="24"/>
      <c r="AH63" s="24"/>
      <c r="AI63" s="48">
        <v>3484518813</v>
      </c>
      <c r="AJ63" s="24"/>
      <c r="AK63" s="24"/>
      <c r="AL63" s="24"/>
      <c r="AM63" s="24"/>
      <c r="AN63" s="28">
        <f>SUM(Tabla1[[#This Row],[Recursos propios 2024]:[Otros 2024]])</f>
        <v>3484518813</v>
      </c>
      <c r="AO63" s="24"/>
      <c r="AP63" s="24"/>
      <c r="AQ63" s="24"/>
      <c r="AR63" s="24"/>
      <c r="AS63" s="24"/>
      <c r="AT63" s="24"/>
      <c r="AU63" s="24"/>
      <c r="AV63" s="24"/>
      <c r="AW63" s="24"/>
      <c r="AX63" s="48">
        <v>3484518813</v>
      </c>
      <c r="AY63" s="24"/>
      <c r="AZ63" s="24"/>
      <c r="BA63" s="24"/>
      <c r="BB63" s="24"/>
      <c r="BC63" s="28">
        <f>SUM(Tabla1[[#This Row],[Recursos propios 20242]:[Otros 202415]])</f>
        <v>3484518813</v>
      </c>
      <c r="BD63" s="44">
        <f>+Tabla1[[#This Row],[Total Comprometido 2024]]/Tabla1[[#This Row],[Total 2024]]</f>
        <v>1</v>
      </c>
      <c r="BE63" s="48">
        <v>3484518813</v>
      </c>
      <c r="BF63" s="48">
        <v>3484518813</v>
      </c>
      <c r="BG63" s="24"/>
      <c r="BH63" s="6" t="s">
        <v>250</v>
      </c>
      <c r="BI63" s="6" t="s">
        <v>249</v>
      </c>
      <c r="BJ63" s="6" t="s">
        <v>252</v>
      </c>
    </row>
    <row r="64" spans="1:62" s="15" customFormat="1" ht="71.25" x14ac:dyDescent="0.25">
      <c r="A64" s="23">
        <v>128</v>
      </c>
      <c r="B64" s="8"/>
      <c r="C64" s="8"/>
      <c r="D64" s="8"/>
      <c r="E64" s="8"/>
      <c r="F64" s="8"/>
      <c r="G64" s="6"/>
      <c r="H64" s="8"/>
      <c r="I64" s="6"/>
      <c r="J64" s="16"/>
      <c r="K64" s="8"/>
      <c r="L64" s="8"/>
      <c r="M64" s="16"/>
      <c r="N64" s="8"/>
      <c r="O64" s="23"/>
      <c r="P64" s="67"/>
      <c r="Q64" s="32"/>
      <c r="R64" s="68">
        <v>2024680010048</v>
      </c>
      <c r="S64" s="24" t="s">
        <v>297</v>
      </c>
      <c r="T64" s="70">
        <v>6499518189.4700003</v>
      </c>
      <c r="U64" s="70">
        <v>6499518189.4700003</v>
      </c>
      <c r="V64" s="23"/>
      <c r="W64" s="23"/>
      <c r="X64" s="23"/>
      <c r="Y64" s="23"/>
      <c r="Z64" s="23"/>
      <c r="AA64" s="23"/>
      <c r="AB64" s="23"/>
      <c r="AC64" s="23"/>
      <c r="AD64" s="23"/>
      <c r="AE64" s="23"/>
      <c r="AF64" s="23"/>
      <c r="AG64" s="23"/>
      <c r="AH64" s="23"/>
      <c r="AI64" s="47">
        <v>6499518189.4700003</v>
      </c>
      <c r="AJ64" s="23"/>
      <c r="AK64" s="23"/>
      <c r="AL64" s="23"/>
      <c r="AM64" s="23"/>
      <c r="AN64" s="27">
        <f>SUM(Tabla1[[#This Row],[Recursos propios 2024]:[Otros 2024]])</f>
        <v>6499518189.4700003</v>
      </c>
      <c r="AO64" s="23"/>
      <c r="AP64" s="23"/>
      <c r="AQ64" s="23"/>
      <c r="AR64" s="23"/>
      <c r="AS64" s="23"/>
      <c r="AT64" s="23"/>
      <c r="AU64" s="23"/>
      <c r="AV64" s="23"/>
      <c r="AW64" s="23"/>
      <c r="AX64" s="47">
        <v>2641549076</v>
      </c>
      <c r="AY64" s="23"/>
      <c r="AZ64" s="23"/>
      <c r="BA64" s="23"/>
      <c r="BB64" s="23"/>
      <c r="BC64" s="27">
        <f>SUM(Tabla1[[#This Row],[Recursos propios 20242]:[Otros 202415]])</f>
        <v>2641549076</v>
      </c>
      <c r="BD64" s="43">
        <f>+Tabla1[[#This Row],[Total Comprometido 2024]]/Tabla1[[#This Row],[Total 2024]]</f>
        <v>0.40642229146763936</v>
      </c>
      <c r="BE64" s="47">
        <v>2641549076</v>
      </c>
      <c r="BF64" s="47">
        <v>2641549076</v>
      </c>
      <c r="BG64" s="23"/>
      <c r="BH64" s="8"/>
      <c r="BI64" s="8"/>
      <c r="BJ64" s="8"/>
    </row>
    <row r="65" spans="1:62" s="15" customFormat="1" ht="99.75" x14ac:dyDescent="0.25">
      <c r="A65" s="23">
        <v>129</v>
      </c>
      <c r="B65" s="8" t="s">
        <v>127</v>
      </c>
      <c r="C65" s="8" t="s">
        <v>89</v>
      </c>
      <c r="D65" s="8" t="s">
        <v>109</v>
      </c>
      <c r="E65" s="8" t="s">
        <v>192</v>
      </c>
      <c r="F65" s="8" t="s">
        <v>196</v>
      </c>
      <c r="G65" s="6" t="s">
        <v>197</v>
      </c>
      <c r="H65" s="8">
        <v>400304800</v>
      </c>
      <c r="I65" s="6" t="s">
        <v>198</v>
      </c>
      <c r="J65" s="8">
        <v>24000</v>
      </c>
      <c r="K65" s="8" t="s">
        <v>199</v>
      </c>
      <c r="L65" s="8" t="s">
        <v>83</v>
      </c>
      <c r="M65" s="8">
        <v>18000</v>
      </c>
      <c r="N65" s="8">
        <v>0</v>
      </c>
      <c r="O65" s="23">
        <v>3600</v>
      </c>
      <c r="P65" s="31" t="e">
        <f>+(Tabla1[[#This Row],[Meta Ejecutada Vigencia4]]/Tabla1[[#This Row],[Meta Programada Vigencia]])</f>
        <v>#DIV/0!</v>
      </c>
      <c r="Q65" s="31">
        <f>+Tabla1[[#This Row],[Meta Ejecutada Vigencia4]]/Tabla1[[#This Row],[Meta Programada Cuatrienio3]]/4</f>
        <v>0.05</v>
      </c>
      <c r="R65" s="68">
        <v>2024680010053</v>
      </c>
      <c r="S65" s="24" t="s">
        <v>300</v>
      </c>
      <c r="T65" s="48">
        <v>188055514</v>
      </c>
      <c r="U65" s="47">
        <v>188055514</v>
      </c>
      <c r="V65" s="23" t="s">
        <v>293</v>
      </c>
      <c r="W65" s="23" t="s">
        <v>258</v>
      </c>
      <c r="X65" s="23">
        <v>63000</v>
      </c>
      <c r="Y65" s="24" t="s">
        <v>301</v>
      </c>
      <c r="Z65" s="47">
        <v>188055514</v>
      </c>
      <c r="AA65" s="23"/>
      <c r="AB65" s="23"/>
      <c r="AC65" s="23"/>
      <c r="AD65" s="23"/>
      <c r="AE65" s="23"/>
      <c r="AF65" s="23"/>
      <c r="AG65" s="23"/>
      <c r="AH65" s="23"/>
      <c r="AI65" s="23"/>
      <c r="AJ65" s="23"/>
      <c r="AK65" s="23"/>
      <c r="AL65" s="23"/>
      <c r="AM65" s="23"/>
      <c r="AN65" s="27">
        <f>SUM(Tabla1[[#This Row],[Recursos propios 2024]:[Otros 2024]])</f>
        <v>188055514</v>
      </c>
      <c r="AO65" s="47">
        <v>188055514</v>
      </c>
      <c r="AP65" s="23"/>
      <c r="AQ65" s="23"/>
      <c r="AR65" s="23"/>
      <c r="AS65" s="23"/>
      <c r="AT65" s="23"/>
      <c r="AU65" s="23"/>
      <c r="AV65" s="23"/>
      <c r="AW65" s="23"/>
      <c r="AX65" s="23"/>
      <c r="AY65" s="23"/>
      <c r="AZ65" s="23"/>
      <c r="BA65" s="23"/>
      <c r="BB65" s="23"/>
      <c r="BC65" s="27">
        <f>SUM(Tabla1[[#This Row],[Recursos propios 20242]:[Otros 202415]])</f>
        <v>188055514</v>
      </c>
      <c r="BD65" s="45">
        <f>+Tabla1[[#This Row],[Total Comprometido 2024]]/Tabla1[[#This Row],[Total 2024]]</f>
        <v>1</v>
      </c>
      <c r="BE65" s="23"/>
      <c r="BF65" s="23"/>
      <c r="BG65" s="23"/>
      <c r="BH65" s="6" t="s">
        <v>250</v>
      </c>
      <c r="BI65" s="6" t="s">
        <v>249</v>
      </c>
      <c r="BJ65" s="6" t="s">
        <v>252</v>
      </c>
    </row>
    <row r="66" spans="1:62" s="15" customFormat="1" ht="28.5" x14ac:dyDescent="0.25">
      <c r="A66" s="23">
        <v>135</v>
      </c>
      <c r="B66" s="6" t="s">
        <v>200</v>
      </c>
      <c r="C66" s="6" t="s">
        <v>201</v>
      </c>
      <c r="D66" s="6" t="s">
        <v>202</v>
      </c>
      <c r="E66" s="6" t="s">
        <v>203</v>
      </c>
      <c r="F66" s="6" t="s">
        <v>204</v>
      </c>
      <c r="G66" s="6" t="s">
        <v>205</v>
      </c>
      <c r="H66" s="6">
        <v>430201500</v>
      </c>
      <c r="I66" s="6" t="s">
        <v>206</v>
      </c>
      <c r="J66" s="6">
        <v>0</v>
      </c>
      <c r="K66" s="6" t="s">
        <v>78</v>
      </c>
      <c r="L66" s="6" t="s">
        <v>83</v>
      </c>
      <c r="M66" s="6">
        <v>1</v>
      </c>
      <c r="N66" s="6">
        <v>0</v>
      </c>
      <c r="O66" s="24"/>
      <c r="P66" s="33" t="e">
        <f>+(Tabla1[[#This Row],[Meta Ejecutada Vigencia4]]/Tabla1[[#This Row],[Meta Programada Vigencia]])</f>
        <v>#DIV/0!</v>
      </c>
      <c r="Q66" s="33">
        <f>+Tabla1[[#This Row],[Meta Ejecutada Vigencia4]]/Tabla1[[#This Row],[Meta Programada Cuatrienio3]]/4</f>
        <v>0</v>
      </c>
      <c r="R66" s="24"/>
      <c r="S66" s="24"/>
      <c r="T66" s="24"/>
      <c r="U66" s="24"/>
      <c r="V66" s="24"/>
      <c r="W66" s="24"/>
      <c r="X66" s="24"/>
      <c r="Y66" s="24"/>
      <c r="Z66" s="24"/>
      <c r="AA66" s="24"/>
      <c r="AB66" s="24"/>
      <c r="AC66" s="24"/>
      <c r="AD66" s="24"/>
      <c r="AE66" s="24"/>
      <c r="AF66" s="24"/>
      <c r="AG66" s="24"/>
      <c r="AH66" s="24"/>
      <c r="AI66" s="24"/>
      <c r="AJ66" s="24"/>
      <c r="AK66" s="24"/>
      <c r="AL66" s="24"/>
      <c r="AM66" s="24"/>
      <c r="AN66" s="28">
        <f>SUM(Tabla1[[#This Row],[Recursos propios 2024]:[Otros 2024]])</f>
        <v>0</v>
      </c>
      <c r="AO66" s="24"/>
      <c r="AP66" s="24"/>
      <c r="AQ66" s="24"/>
      <c r="AR66" s="24"/>
      <c r="AS66" s="24"/>
      <c r="AT66" s="24"/>
      <c r="AU66" s="24"/>
      <c r="AV66" s="24"/>
      <c r="AW66" s="24"/>
      <c r="AX66" s="24"/>
      <c r="AY66" s="24"/>
      <c r="AZ66" s="24"/>
      <c r="BA66" s="24"/>
      <c r="BB66" s="24"/>
      <c r="BC66" s="28">
        <f>SUM(Tabla1[[#This Row],[Recursos propios 20242]:[Otros 202415]])</f>
        <v>0</v>
      </c>
      <c r="BD66" s="44" t="e">
        <f>+Tabla1[[#This Row],[Total Comprometido 2024]]/Tabla1[[#This Row],[Total 2024]]</f>
        <v>#DIV/0!</v>
      </c>
      <c r="BE66" s="24"/>
      <c r="BF66" s="24"/>
      <c r="BG66" s="24"/>
      <c r="BH66" s="6" t="s">
        <v>250</v>
      </c>
      <c r="BI66" s="6" t="s">
        <v>249</v>
      </c>
      <c r="BJ66" s="6">
        <v>3</v>
      </c>
    </row>
    <row r="67" spans="1:62" s="15" customFormat="1" ht="71.25" x14ac:dyDescent="0.25">
      <c r="A67" s="23">
        <v>136</v>
      </c>
      <c r="B67" s="8" t="s">
        <v>200</v>
      </c>
      <c r="C67" s="8" t="s">
        <v>201</v>
      </c>
      <c r="D67" s="8" t="s">
        <v>207</v>
      </c>
      <c r="E67" s="8" t="s">
        <v>208</v>
      </c>
      <c r="F67" s="8" t="s">
        <v>209</v>
      </c>
      <c r="G67" s="6" t="s">
        <v>210</v>
      </c>
      <c r="H67" s="8">
        <v>430101100</v>
      </c>
      <c r="I67" s="6" t="s">
        <v>211</v>
      </c>
      <c r="J67" s="16">
        <v>0</v>
      </c>
      <c r="K67" s="8" t="s">
        <v>78</v>
      </c>
      <c r="L67" s="8" t="s">
        <v>83</v>
      </c>
      <c r="M67" s="16">
        <v>4</v>
      </c>
      <c r="N67" s="8">
        <v>1</v>
      </c>
      <c r="O67" s="23">
        <v>0.5</v>
      </c>
      <c r="P67" s="31">
        <f>+(Tabla1[[#This Row],[Meta Ejecutada Vigencia4]]/Tabla1[[#This Row],[Meta Programada Vigencia]])</f>
        <v>0.5</v>
      </c>
      <c r="Q67" s="31">
        <f>+Tabla1[[#This Row],[Meta Ejecutada Vigencia4]]/Tabla1[[#This Row],[Meta Programada Cuatrienio3]]/4</f>
        <v>3.125E-2</v>
      </c>
      <c r="R67" s="68">
        <v>2022680010048</v>
      </c>
      <c r="S67" s="24" t="s">
        <v>302</v>
      </c>
      <c r="T67" s="47">
        <v>952059251.84000003</v>
      </c>
      <c r="U67" s="47">
        <v>952059251.84000003</v>
      </c>
      <c r="V67" s="23" t="s">
        <v>303</v>
      </c>
      <c r="W67" s="23" t="s">
        <v>258</v>
      </c>
      <c r="X67" s="23">
        <v>75000</v>
      </c>
      <c r="Y67" s="24" t="s">
        <v>304</v>
      </c>
      <c r="Z67" s="47">
        <v>188644372</v>
      </c>
      <c r="AA67" s="23"/>
      <c r="AB67" s="23"/>
      <c r="AC67" s="23"/>
      <c r="AD67" s="23"/>
      <c r="AE67" s="47">
        <v>763414879.84000003</v>
      </c>
      <c r="AF67" s="23"/>
      <c r="AG67" s="23"/>
      <c r="AH67" s="23"/>
      <c r="AI67" s="23"/>
      <c r="AJ67" s="23"/>
      <c r="AK67" s="23"/>
      <c r="AL67" s="23"/>
      <c r="AM67" s="23"/>
      <c r="AN67" s="27">
        <f>SUM(Tabla1[[#This Row],[Recursos propios 2024]:[Otros 2024]])</f>
        <v>952059251.84000003</v>
      </c>
      <c r="AO67" s="47">
        <v>188644372</v>
      </c>
      <c r="AP67" s="23"/>
      <c r="AQ67" s="23"/>
      <c r="AR67" s="23"/>
      <c r="AS67" s="23"/>
      <c r="AT67" s="47">
        <v>763409953.84000003</v>
      </c>
      <c r="AU67" s="23"/>
      <c r="AV67" s="23"/>
      <c r="AW67" s="23"/>
      <c r="AX67" s="23"/>
      <c r="AY67" s="23"/>
      <c r="AZ67" s="23"/>
      <c r="BA67" s="23"/>
      <c r="BB67" s="23"/>
      <c r="BC67" s="27">
        <f>SUM(Tabla1[[#This Row],[Recursos propios 20242]:[Otros 202415]])</f>
        <v>952054325.84000003</v>
      </c>
      <c r="BD67" s="45">
        <f>+Tabla1[[#This Row],[Total Comprometido 2024]]/Tabla1[[#This Row],[Total 2024]]</f>
        <v>0.9999948259522814</v>
      </c>
      <c r="BE67" s="47">
        <f>54082489+39115072.99</f>
        <v>93197561.99000001</v>
      </c>
      <c r="BF67" s="47">
        <f>54082489+39115072.99</f>
        <v>93197561.99000001</v>
      </c>
      <c r="BG67" s="23"/>
      <c r="BH67" s="6" t="s">
        <v>250</v>
      </c>
      <c r="BI67" s="6" t="s">
        <v>249</v>
      </c>
      <c r="BJ67" s="6">
        <v>3</v>
      </c>
    </row>
    <row r="68" spans="1:62" s="15" customFormat="1" ht="42.75" x14ac:dyDescent="0.25">
      <c r="A68" s="23">
        <v>136</v>
      </c>
      <c r="B68" s="8"/>
      <c r="C68" s="8"/>
      <c r="D68" s="8"/>
      <c r="E68" s="8"/>
      <c r="F68" s="8"/>
      <c r="G68" s="6"/>
      <c r="H68" s="8"/>
      <c r="I68" s="6"/>
      <c r="J68" s="16"/>
      <c r="K68" s="8"/>
      <c r="L68" s="8"/>
      <c r="M68" s="16"/>
      <c r="N68" s="8"/>
      <c r="O68" s="23"/>
      <c r="P68" s="67"/>
      <c r="Q68" s="32"/>
      <c r="R68" s="68">
        <v>2023680010045</v>
      </c>
      <c r="S68" s="24" t="s">
        <v>305</v>
      </c>
      <c r="T68" s="69"/>
      <c r="U68" s="69">
        <v>105221228</v>
      </c>
      <c r="V68" s="23"/>
      <c r="W68" s="23"/>
      <c r="X68" s="23"/>
      <c r="Y68" s="23"/>
      <c r="Z68" s="69">
        <v>105221228</v>
      </c>
      <c r="AA68" s="23"/>
      <c r="AB68" s="23"/>
      <c r="AC68" s="23"/>
      <c r="AD68" s="23"/>
      <c r="AE68" s="23"/>
      <c r="AF68" s="23"/>
      <c r="AG68" s="23"/>
      <c r="AH68" s="23"/>
      <c r="AI68" s="23"/>
      <c r="AJ68" s="23"/>
      <c r="AK68" s="23"/>
      <c r="AL68" s="23"/>
      <c r="AM68" s="23"/>
      <c r="AN68" s="27">
        <f>SUM(Tabla1[[#This Row],[Recursos propios 2024]:[Otros 2024]])</f>
        <v>105221228</v>
      </c>
      <c r="AO68" s="23"/>
      <c r="AP68" s="23"/>
      <c r="AQ68" s="23"/>
      <c r="AR68" s="23"/>
      <c r="AS68" s="23"/>
      <c r="AT68" s="23"/>
      <c r="AU68" s="23"/>
      <c r="AV68" s="23"/>
      <c r="AW68" s="23"/>
      <c r="AX68" s="23"/>
      <c r="AY68" s="23"/>
      <c r="AZ68" s="23"/>
      <c r="BA68" s="23"/>
      <c r="BB68" s="23"/>
      <c r="BC68" s="27">
        <f>SUM(Tabla1[[#This Row],[Recursos propios 20242]:[Otros 202415]])</f>
        <v>0</v>
      </c>
      <c r="BD68" s="43">
        <f>+Tabla1[[#This Row],[Total Comprometido 2024]]/Tabla1[[#This Row],[Total 2024]]</f>
        <v>0</v>
      </c>
      <c r="BE68" s="23"/>
      <c r="BF68" s="23"/>
      <c r="BG68" s="23"/>
      <c r="BH68" s="8"/>
      <c r="BI68" s="8"/>
      <c r="BJ68" s="8"/>
    </row>
    <row r="69" spans="1:62" s="15" customFormat="1" ht="114" x14ac:dyDescent="0.25">
      <c r="A69" s="23">
        <v>145</v>
      </c>
      <c r="B69" s="6" t="s">
        <v>200</v>
      </c>
      <c r="C69" s="6" t="s">
        <v>212</v>
      </c>
      <c r="D69" s="6" t="s">
        <v>213</v>
      </c>
      <c r="E69" s="6" t="s">
        <v>214</v>
      </c>
      <c r="F69" s="6" t="s">
        <v>215</v>
      </c>
      <c r="G69" s="6" t="s">
        <v>216</v>
      </c>
      <c r="H69" s="6">
        <v>330207300</v>
      </c>
      <c r="I69" s="6" t="s">
        <v>217</v>
      </c>
      <c r="J69" s="6">
        <v>0</v>
      </c>
      <c r="K69" s="6" t="s">
        <v>78</v>
      </c>
      <c r="L69" s="6" t="s">
        <v>83</v>
      </c>
      <c r="M69" s="6">
        <v>2</v>
      </c>
      <c r="N69" s="6">
        <v>1</v>
      </c>
      <c r="O69" s="24"/>
      <c r="P69" s="33">
        <f>+(Tabla1[[#This Row],[Meta Ejecutada Vigencia4]]/Tabla1[[#This Row],[Meta Programada Vigencia]])</f>
        <v>0</v>
      </c>
      <c r="Q69" s="33">
        <f>+Tabla1[[#This Row],[Meta Ejecutada Vigencia4]]/Tabla1[[#This Row],[Meta Programada Cuatrienio3]]/4</f>
        <v>0</v>
      </c>
      <c r="R69" s="68">
        <v>2023680010066</v>
      </c>
      <c r="S69" s="24" t="s">
        <v>306</v>
      </c>
      <c r="T69" s="48">
        <v>724441037</v>
      </c>
      <c r="U69" s="48">
        <v>724441037</v>
      </c>
      <c r="V69" s="24"/>
      <c r="W69" s="24"/>
      <c r="X69" s="24"/>
      <c r="Y69" s="24"/>
      <c r="Z69" s="48">
        <v>724441037</v>
      </c>
      <c r="AA69" s="24"/>
      <c r="AB69" s="24"/>
      <c r="AC69" s="24"/>
      <c r="AD69" s="24"/>
      <c r="AE69" s="24"/>
      <c r="AF69" s="24"/>
      <c r="AG69" s="24"/>
      <c r="AH69" s="24"/>
      <c r="AI69" s="24"/>
      <c r="AJ69" s="24"/>
      <c r="AK69" s="24"/>
      <c r="AL69" s="24"/>
      <c r="AM69" s="24"/>
      <c r="AN69" s="28">
        <f>SUM(Tabla1[[#This Row],[Recursos propios 2024]:[Otros 2024]])</f>
        <v>724441037</v>
      </c>
      <c r="AO69" s="24"/>
      <c r="AP69" s="24"/>
      <c r="AQ69" s="24"/>
      <c r="AR69" s="24"/>
      <c r="AS69" s="24"/>
      <c r="AT69" s="24"/>
      <c r="AU69" s="24"/>
      <c r="AV69" s="24"/>
      <c r="AW69" s="24"/>
      <c r="AX69" s="24"/>
      <c r="AY69" s="24"/>
      <c r="AZ69" s="24"/>
      <c r="BA69" s="24"/>
      <c r="BB69" s="24"/>
      <c r="BC69" s="28">
        <f>SUM(Tabla1[[#This Row],[Recursos propios 20242]:[Otros 202415]])</f>
        <v>0</v>
      </c>
      <c r="BD69" s="44">
        <f>+Tabla1[[#This Row],[Total Comprometido 2024]]/Tabla1[[#This Row],[Total 2024]]</f>
        <v>0</v>
      </c>
      <c r="BE69" s="24"/>
      <c r="BF69" s="24"/>
      <c r="BG69" s="24"/>
      <c r="BH69" s="6" t="s">
        <v>250</v>
      </c>
      <c r="BI69" s="6" t="s">
        <v>249</v>
      </c>
      <c r="BJ69" s="6">
        <v>11</v>
      </c>
    </row>
    <row r="70" spans="1:62" s="15" customFormat="1" ht="71.25" x14ac:dyDescent="0.25">
      <c r="A70" s="23">
        <v>235</v>
      </c>
      <c r="B70" s="8" t="s">
        <v>218</v>
      </c>
      <c r="C70" s="8" t="s">
        <v>219</v>
      </c>
      <c r="D70" s="8" t="s">
        <v>220</v>
      </c>
      <c r="E70" s="8" t="s">
        <v>221</v>
      </c>
      <c r="F70" s="8" t="s">
        <v>222</v>
      </c>
      <c r="G70" s="6" t="s">
        <v>223</v>
      </c>
      <c r="H70" s="8">
        <v>450200700</v>
      </c>
      <c r="I70" s="6" t="s">
        <v>224</v>
      </c>
      <c r="J70" s="8" t="s">
        <v>225</v>
      </c>
      <c r="K70" s="8" t="s">
        <v>78</v>
      </c>
      <c r="L70" s="8" t="s">
        <v>83</v>
      </c>
      <c r="M70" s="8">
        <v>3</v>
      </c>
      <c r="N70" s="8">
        <v>0</v>
      </c>
      <c r="O70" s="23"/>
      <c r="P70" s="31" t="e">
        <f>+(Tabla1[[#This Row],[Meta Ejecutada Vigencia4]]/Tabla1[[#This Row],[Meta Programada Vigencia]])</f>
        <v>#DIV/0!</v>
      </c>
      <c r="Q70" s="31">
        <f>+Tabla1[[#This Row],[Meta Ejecutada Vigencia4]]/Tabla1[[#This Row],[Meta Programada Cuatrienio3]]/4</f>
        <v>0</v>
      </c>
      <c r="R70" s="23"/>
      <c r="S70" s="23"/>
      <c r="T70" s="23"/>
      <c r="U70" s="23"/>
      <c r="V70" s="23"/>
      <c r="W70" s="23"/>
      <c r="X70" s="23"/>
      <c r="Y70" s="23"/>
      <c r="Z70" s="23"/>
      <c r="AA70" s="23"/>
      <c r="AB70" s="23"/>
      <c r="AC70" s="23"/>
      <c r="AD70" s="23"/>
      <c r="AE70" s="23"/>
      <c r="AF70" s="23"/>
      <c r="AG70" s="23"/>
      <c r="AH70" s="23"/>
      <c r="AI70" s="23"/>
      <c r="AJ70" s="23"/>
      <c r="AK70" s="23"/>
      <c r="AL70" s="23"/>
      <c r="AM70" s="23"/>
      <c r="AN70" s="27">
        <f>SUM(Tabla1[[#This Row],[Recursos propios 2024]:[Otros 2024]])</f>
        <v>0</v>
      </c>
      <c r="AO70" s="23"/>
      <c r="AP70" s="23"/>
      <c r="AQ70" s="23"/>
      <c r="AR70" s="23"/>
      <c r="AS70" s="23"/>
      <c r="AT70" s="23"/>
      <c r="AU70" s="23"/>
      <c r="AV70" s="23"/>
      <c r="AW70" s="23"/>
      <c r="AX70" s="23"/>
      <c r="AY70" s="23"/>
      <c r="AZ70" s="23"/>
      <c r="BA70" s="23"/>
      <c r="BB70" s="23"/>
      <c r="BC70" s="27">
        <f>SUM(Tabla1[[#This Row],[Recursos propios 20242]:[Otros 202415]])</f>
        <v>0</v>
      </c>
      <c r="BD70" s="45" t="e">
        <f>+Tabla1[[#This Row],[Total Comprometido 2024]]/Tabla1[[#This Row],[Total 2024]]</f>
        <v>#DIV/0!</v>
      </c>
      <c r="BE70" s="23"/>
      <c r="BF70" s="23"/>
      <c r="BG70" s="23"/>
      <c r="BH70" s="6" t="s">
        <v>250</v>
      </c>
      <c r="BI70" s="6" t="s">
        <v>249</v>
      </c>
      <c r="BJ70" s="6">
        <v>10.11</v>
      </c>
    </row>
    <row r="71" spans="1:62" s="15" customFormat="1" ht="85.5" x14ac:dyDescent="0.25">
      <c r="A71" s="23">
        <v>236</v>
      </c>
      <c r="B71" s="6" t="s">
        <v>218</v>
      </c>
      <c r="C71" s="6" t="s">
        <v>219</v>
      </c>
      <c r="D71" s="6" t="s">
        <v>220</v>
      </c>
      <c r="E71" s="6" t="s">
        <v>221</v>
      </c>
      <c r="F71" s="6" t="s">
        <v>226</v>
      </c>
      <c r="G71" s="6" t="s">
        <v>227</v>
      </c>
      <c r="H71" s="6">
        <v>450200300</v>
      </c>
      <c r="I71" s="6" t="s">
        <v>228</v>
      </c>
      <c r="J71" s="17">
        <v>13</v>
      </c>
      <c r="K71" s="6" t="s">
        <v>78</v>
      </c>
      <c r="L71" s="6" t="s">
        <v>83</v>
      </c>
      <c r="M71" s="17">
        <v>10</v>
      </c>
      <c r="N71" s="6">
        <v>3</v>
      </c>
      <c r="O71" s="24">
        <v>0.2</v>
      </c>
      <c r="P71" s="33">
        <f>+(Tabla1[[#This Row],[Meta Ejecutada Vigencia4]]/Tabla1[[#This Row],[Meta Programada Vigencia]])</f>
        <v>6.6666666666666666E-2</v>
      </c>
      <c r="Q71" s="33">
        <f>+Tabla1[[#This Row],[Meta Ejecutada Vigencia4]]/Tabla1[[#This Row],[Meta Programada Cuatrienio3]]/4</f>
        <v>5.0000000000000001E-3</v>
      </c>
      <c r="R71" s="68">
        <v>2024680010073</v>
      </c>
      <c r="S71" s="24" t="s">
        <v>307</v>
      </c>
      <c r="T71" s="48">
        <v>2276181552.5</v>
      </c>
      <c r="U71" s="48">
        <v>2276181552.5</v>
      </c>
      <c r="V71" s="24"/>
      <c r="W71" s="24"/>
      <c r="X71" s="24"/>
      <c r="Y71" s="24"/>
      <c r="Z71" s="48">
        <v>1448548649.0799999</v>
      </c>
      <c r="AA71" s="24"/>
      <c r="AB71" s="24"/>
      <c r="AC71" s="24"/>
      <c r="AD71" s="24"/>
      <c r="AE71" s="24"/>
      <c r="AF71" s="24"/>
      <c r="AG71" s="24"/>
      <c r="AH71" s="24"/>
      <c r="AI71" s="24"/>
      <c r="AJ71" s="24"/>
      <c r="AK71" s="24"/>
      <c r="AL71" s="24"/>
      <c r="AM71" s="24"/>
      <c r="AN71" s="28">
        <f>SUM(Tabla1[[#This Row],[Recursos propios 2024]:[Otros 2024]])</f>
        <v>1448548649.0799999</v>
      </c>
      <c r="AO71" s="24"/>
      <c r="AP71" s="24"/>
      <c r="AQ71" s="24"/>
      <c r="AR71" s="24"/>
      <c r="AS71" s="24"/>
      <c r="AT71" s="24"/>
      <c r="AU71" s="24"/>
      <c r="AV71" s="24"/>
      <c r="AW71" s="24"/>
      <c r="AX71" s="24"/>
      <c r="AY71" s="24"/>
      <c r="AZ71" s="24"/>
      <c r="BA71" s="24"/>
      <c r="BB71" s="24"/>
      <c r="BC71" s="28">
        <f>SUM(Tabla1[[#This Row],[Recursos propios 20242]:[Otros 202415]])</f>
        <v>0</v>
      </c>
      <c r="BD71" s="44">
        <f>+Tabla1[[#This Row],[Total Comprometido 2024]]/Tabla1[[#This Row],[Total 2024]]</f>
        <v>0</v>
      </c>
      <c r="BE71" s="24"/>
      <c r="BF71" s="24"/>
      <c r="BG71" s="24"/>
      <c r="BH71" s="6" t="s">
        <v>250</v>
      </c>
      <c r="BI71" s="6" t="s">
        <v>249</v>
      </c>
      <c r="BJ71" s="6">
        <v>10</v>
      </c>
    </row>
    <row r="72" spans="1:62" s="15" customFormat="1" ht="99.75" x14ac:dyDescent="0.25">
      <c r="A72" s="23">
        <v>236</v>
      </c>
      <c r="B72" s="8"/>
      <c r="C72" s="8"/>
      <c r="D72" s="8"/>
      <c r="E72" s="8"/>
      <c r="F72" s="8"/>
      <c r="G72" s="6"/>
      <c r="H72" s="8"/>
      <c r="I72" s="6"/>
      <c r="J72" s="16"/>
      <c r="K72" s="8"/>
      <c r="L72" s="8"/>
      <c r="M72" s="16"/>
      <c r="N72" s="8"/>
      <c r="O72" s="23"/>
      <c r="P72" s="67"/>
      <c r="Q72" s="32"/>
      <c r="R72" s="68">
        <v>2023680010038</v>
      </c>
      <c r="S72" s="24" t="s">
        <v>308</v>
      </c>
      <c r="T72" s="70">
        <v>83143049.920000002</v>
      </c>
      <c r="U72" s="70">
        <v>1750450735.1099999</v>
      </c>
      <c r="V72" s="24" t="s">
        <v>309</v>
      </c>
      <c r="W72" s="24" t="s">
        <v>258</v>
      </c>
      <c r="X72" s="24">
        <v>23000</v>
      </c>
      <c r="Y72" s="24" t="s">
        <v>310</v>
      </c>
      <c r="Z72" s="69">
        <v>827632903.32000005</v>
      </c>
      <c r="AA72" s="23"/>
      <c r="AB72" s="23"/>
      <c r="AC72" s="23"/>
      <c r="AD72" s="23"/>
      <c r="AE72" s="23"/>
      <c r="AF72" s="23"/>
      <c r="AG72" s="23"/>
      <c r="AH72" s="23"/>
      <c r="AI72" s="23"/>
      <c r="AJ72" s="23"/>
      <c r="AK72" s="23"/>
      <c r="AL72" s="23"/>
      <c r="AM72" s="23"/>
      <c r="AN72" s="27">
        <f>SUM(Tabla1[[#This Row],[Recursos propios 2024]:[Otros 2024]])</f>
        <v>827632903.32000005</v>
      </c>
      <c r="AO72" s="69">
        <v>83143049.920000002</v>
      </c>
      <c r="AP72" s="23"/>
      <c r="AQ72" s="23"/>
      <c r="AR72" s="23"/>
      <c r="AS72" s="23"/>
      <c r="AT72" s="23"/>
      <c r="AU72" s="23"/>
      <c r="AV72" s="23"/>
      <c r="AW72" s="23"/>
      <c r="AX72" s="23"/>
      <c r="AY72" s="23"/>
      <c r="AZ72" s="23"/>
      <c r="BA72" s="23"/>
      <c r="BB72" s="23"/>
      <c r="BC72" s="27">
        <f>SUM(Tabla1[[#This Row],[Recursos propios 20242]:[Otros 202415]])</f>
        <v>83143049.920000002</v>
      </c>
      <c r="BD72" s="43">
        <f>+Tabla1[[#This Row],[Total Comprometido 2024]]/Tabla1[[#This Row],[Total 2024]]</f>
        <v>0.1004588502782775</v>
      </c>
      <c r="BE72" s="23"/>
      <c r="BF72" s="23"/>
      <c r="BG72" s="23"/>
      <c r="BH72" s="8"/>
      <c r="BI72" s="8"/>
      <c r="BJ72" s="8"/>
    </row>
    <row r="73" spans="1:62" s="15" customFormat="1" ht="128.25" x14ac:dyDescent="0.25">
      <c r="A73" s="23">
        <v>251</v>
      </c>
      <c r="B73" s="8" t="s">
        <v>218</v>
      </c>
      <c r="C73" s="8" t="s">
        <v>219</v>
      </c>
      <c r="D73" s="8" t="s">
        <v>229</v>
      </c>
      <c r="E73" s="8" t="s">
        <v>230</v>
      </c>
      <c r="F73" s="8" t="s">
        <v>231</v>
      </c>
      <c r="G73" s="6" t="s">
        <v>232</v>
      </c>
      <c r="H73" s="8">
        <v>459903100</v>
      </c>
      <c r="I73" s="6" t="s">
        <v>233</v>
      </c>
      <c r="J73" s="8">
        <v>9</v>
      </c>
      <c r="K73" s="8" t="s">
        <v>78</v>
      </c>
      <c r="L73" s="8" t="s">
        <v>79</v>
      </c>
      <c r="M73" s="8">
        <v>9</v>
      </c>
      <c r="N73" s="8">
        <v>9</v>
      </c>
      <c r="O73" s="23">
        <v>9</v>
      </c>
      <c r="P73" s="31">
        <f>+(Tabla1[[#This Row],[Meta Ejecutada Vigencia4]]/Tabla1[[#This Row],[Meta Programada Vigencia]])</f>
        <v>1</v>
      </c>
      <c r="Q73" s="31">
        <f>+Tabla1[[#This Row],[Meta Ejecutada Vigencia4]]/Tabla1[[#This Row],[Meta Programada Cuatrienio3]]/4</f>
        <v>0.25</v>
      </c>
      <c r="R73" s="68">
        <v>2022680010027</v>
      </c>
      <c r="S73" s="24" t="s">
        <v>311</v>
      </c>
      <c r="T73" s="48">
        <v>2010786666.6400001</v>
      </c>
      <c r="U73" s="48">
        <v>2010786666.6400001</v>
      </c>
      <c r="V73" s="24" t="s">
        <v>298</v>
      </c>
      <c r="W73" s="24" t="s">
        <v>258</v>
      </c>
      <c r="X73" s="24">
        <v>605047</v>
      </c>
      <c r="Y73" s="24" t="s">
        <v>312</v>
      </c>
      <c r="Z73" s="47">
        <v>2010786666.74</v>
      </c>
      <c r="AA73" s="23"/>
      <c r="AB73" s="23"/>
      <c r="AC73" s="23"/>
      <c r="AD73" s="23"/>
      <c r="AE73" s="23"/>
      <c r="AF73" s="23"/>
      <c r="AG73" s="23"/>
      <c r="AH73" s="23"/>
      <c r="AI73" s="23"/>
      <c r="AJ73" s="23"/>
      <c r="AK73" s="23"/>
      <c r="AL73" s="23"/>
      <c r="AM73" s="23"/>
      <c r="AN73" s="27">
        <f>SUM(Tabla1[[#This Row],[Recursos propios 2024]:[Otros 2024]])</f>
        <v>2010786666.74</v>
      </c>
      <c r="AO73" s="47">
        <v>2010786666.74</v>
      </c>
      <c r="AP73" s="23"/>
      <c r="AQ73" s="23"/>
      <c r="AR73" s="23"/>
      <c r="AS73" s="23"/>
      <c r="AT73" s="23"/>
      <c r="AU73" s="23"/>
      <c r="AV73" s="23"/>
      <c r="AW73" s="23"/>
      <c r="AX73" s="23"/>
      <c r="AY73" s="23"/>
      <c r="AZ73" s="23"/>
      <c r="BA73" s="23"/>
      <c r="BB73" s="23"/>
      <c r="BC73" s="27">
        <f>SUM(Tabla1[[#This Row],[Recursos propios 20242]:[Otros 202415]])</f>
        <v>2010786666.74</v>
      </c>
      <c r="BD73" s="45">
        <f>+Tabla1[[#This Row],[Total Comprometido 2024]]/Tabla1[[#This Row],[Total 2024]]</f>
        <v>1</v>
      </c>
      <c r="BE73" s="47">
        <v>1997169999.97</v>
      </c>
      <c r="BF73" s="47">
        <v>1994703333.3099999</v>
      </c>
      <c r="BG73" s="23"/>
      <c r="BH73" s="6" t="s">
        <v>250</v>
      </c>
      <c r="BI73" s="6" t="s">
        <v>249</v>
      </c>
      <c r="BJ73" s="6">
        <v>16</v>
      </c>
    </row>
    <row r="74" spans="1:62" s="15" customFormat="1" ht="85.5" x14ac:dyDescent="0.25">
      <c r="A74" s="23">
        <v>251</v>
      </c>
      <c r="B74" s="8"/>
      <c r="C74" s="8"/>
      <c r="D74" s="8"/>
      <c r="E74" s="8"/>
      <c r="F74" s="8"/>
      <c r="G74" s="6"/>
      <c r="H74" s="8"/>
      <c r="I74" s="6"/>
      <c r="J74" s="8"/>
      <c r="K74" s="8"/>
      <c r="L74" s="8"/>
      <c r="M74" s="8"/>
      <c r="N74" s="8"/>
      <c r="O74" s="23"/>
      <c r="P74" s="67"/>
      <c r="Q74" s="32"/>
      <c r="R74" s="46">
        <v>2024680010049</v>
      </c>
      <c r="S74" s="24" t="s">
        <v>313</v>
      </c>
      <c r="T74" s="70">
        <v>3968973333.3600001</v>
      </c>
      <c r="U74" s="70">
        <v>3968973333.3600001</v>
      </c>
      <c r="V74" s="24" t="s">
        <v>298</v>
      </c>
      <c r="W74" s="24" t="s">
        <v>258</v>
      </c>
      <c r="X74" s="24">
        <v>605047</v>
      </c>
      <c r="Y74" s="24" t="s">
        <v>312</v>
      </c>
      <c r="Z74" s="69">
        <v>3968973333.3600001</v>
      </c>
      <c r="AA74" s="23"/>
      <c r="AB74" s="23"/>
      <c r="AC74" s="23"/>
      <c r="AD74" s="23"/>
      <c r="AE74" s="23"/>
      <c r="AF74" s="23"/>
      <c r="AG74" s="23"/>
      <c r="AH74" s="23"/>
      <c r="AI74" s="23"/>
      <c r="AJ74" s="23"/>
      <c r="AK74" s="23"/>
      <c r="AL74" s="23"/>
      <c r="AM74" s="23"/>
      <c r="AN74" s="27">
        <f>SUM(Tabla1[[#This Row],[Recursos propios 2024]:[Otros 2024]])</f>
        <v>3968973333.3600001</v>
      </c>
      <c r="AO74" s="69">
        <v>2732200000.04</v>
      </c>
      <c r="AP74" s="23"/>
      <c r="AQ74" s="23"/>
      <c r="AR74" s="23"/>
      <c r="AS74" s="23"/>
      <c r="AT74" s="23"/>
      <c r="AU74" s="23"/>
      <c r="AV74" s="23"/>
      <c r="AW74" s="23"/>
      <c r="AX74" s="23"/>
      <c r="AY74" s="23"/>
      <c r="AZ74" s="23"/>
      <c r="BA74" s="23"/>
      <c r="BB74" s="23"/>
      <c r="BC74" s="27">
        <f>SUM(Tabla1[[#This Row],[Recursos propios 20242]:[Otros 202415]])</f>
        <v>2732200000.04</v>
      </c>
      <c r="BD74" s="43">
        <f>+Tabla1[[#This Row],[Total Comprometido 2024]]/Tabla1[[#This Row],[Total 2024]]</f>
        <v>0.68838960873718213</v>
      </c>
      <c r="BE74" s="47">
        <v>1067913333.29</v>
      </c>
      <c r="BF74" s="47">
        <v>1036113333.29</v>
      </c>
      <c r="BG74" s="23"/>
      <c r="BH74" s="8"/>
      <c r="BI74" s="8"/>
      <c r="BJ74" s="8"/>
    </row>
    <row r="75" spans="1:62" s="15" customFormat="1" ht="142.5" x14ac:dyDescent="0.25">
      <c r="A75" s="23">
        <v>252</v>
      </c>
      <c r="B75" s="6" t="s">
        <v>218</v>
      </c>
      <c r="C75" s="6" t="s">
        <v>219</v>
      </c>
      <c r="D75" s="6" t="s">
        <v>229</v>
      </c>
      <c r="E75" s="6" t="s">
        <v>230</v>
      </c>
      <c r="F75" s="6" t="s">
        <v>234</v>
      </c>
      <c r="G75" s="6" t="s">
        <v>235</v>
      </c>
      <c r="H75" s="6">
        <v>459901100</v>
      </c>
      <c r="I75" s="6" t="s">
        <v>236</v>
      </c>
      <c r="J75" s="17">
        <v>0</v>
      </c>
      <c r="K75" s="6" t="s">
        <v>78</v>
      </c>
      <c r="L75" s="6" t="s">
        <v>83</v>
      </c>
      <c r="M75" s="17">
        <v>5</v>
      </c>
      <c r="N75" s="6">
        <v>0</v>
      </c>
      <c r="O75" s="24">
        <v>0.5</v>
      </c>
      <c r="P75" s="33" t="e">
        <f>+(Tabla1[[#This Row],[Meta Ejecutada Vigencia4]]/Tabla1[[#This Row],[Meta Programada Vigencia]])</f>
        <v>#DIV/0!</v>
      </c>
      <c r="Q75" s="33">
        <f>+Tabla1[[#This Row],[Meta Ejecutada Vigencia4]]/Tabla1[[#This Row],[Meta Programada Cuatrienio3]]/4</f>
        <v>2.5000000000000001E-2</v>
      </c>
      <c r="R75" s="46">
        <v>2022680010047</v>
      </c>
      <c r="S75" s="24" t="s">
        <v>314</v>
      </c>
      <c r="T75" s="48">
        <v>837720949.74000001</v>
      </c>
      <c r="U75" s="48">
        <v>837720949.74000001</v>
      </c>
      <c r="V75" s="24" t="s">
        <v>315</v>
      </c>
      <c r="W75" s="24" t="s">
        <v>258</v>
      </c>
      <c r="X75" s="24" t="s">
        <v>316</v>
      </c>
      <c r="Y75" s="24" t="s">
        <v>317</v>
      </c>
      <c r="Z75" s="48">
        <v>837720949.74000001</v>
      </c>
      <c r="AA75" s="24"/>
      <c r="AB75" s="24"/>
      <c r="AC75" s="24"/>
      <c r="AD75" s="24"/>
      <c r="AE75" s="24"/>
      <c r="AF75" s="24"/>
      <c r="AG75" s="24"/>
      <c r="AH75" s="24"/>
      <c r="AI75" s="24"/>
      <c r="AJ75" s="24"/>
      <c r="AK75" s="24"/>
      <c r="AL75" s="24"/>
      <c r="AM75" s="24"/>
      <c r="AN75" s="28">
        <f>SUM(Tabla1[[#This Row],[Recursos propios 2024]:[Otros 2024]])</f>
        <v>837720949.74000001</v>
      </c>
      <c r="AO75" s="48">
        <v>837720949.74000001</v>
      </c>
      <c r="AP75" s="24"/>
      <c r="AQ75" s="24"/>
      <c r="AR75" s="24"/>
      <c r="AS75" s="24"/>
      <c r="AT75" s="24"/>
      <c r="AU75" s="24"/>
      <c r="AV75" s="24"/>
      <c r="AW75" s="24"/>
      <c r="AX75" s="24"/>
      <c r="AY75" s="24"/>
      <c r="AZ75" s="24"/>
      <c r="BA75" s="24"/>
      <c r="BB75" s="24"/>
      <c r="BC75" s="28">
        <f>SUM(Tabla1[[#This Row],[Recursos propios 20242]:[Otros 202415]])</f>
        <v>837720949.74000001</v>
      </c>
      <c r="BD75" s="44">
        <f>+Tabla1[[#This Row],[Total Comprometido 2024]]/Tabla1[[#This Row],[Total 2024]]</f>
        <v>1</v>
      </c>
      <c r="BE75" s="24"/>
      <c r="BF75" s="24"/>
      <c r="BG75" s="24"/>
      <c r="BH75" s="6" t="s">
        <v>250</v>
      </c>
      <c r="BI75" s="6" t="s">
        <v>249</v>
      </c>
      <c r="BJ75" s="6">
        <v>16</v>
      </c>
    </row>
    <row r="76" spans="1:62" s="15" customFormat="1" ht="128.25" x14ac:dyDescent="0.25">
      <c r="A76" s="23">
        <v>253</v>
      </c>
      <c r="B76" s="8" t="s">
        <v>218</v>
      </c>
      <c r="C76" s="8" t="s">
        <v>219</v>
      </c>
      <c r="D76" s="8" t="s">
        <v>229</v>
      </c>
      <c r="E76" s="8" t="s">
        <v>230</v>
      </c>
      <c r="F76" s="8" t="s">
        <v>237</v>
      </c>
      <c r="G76" s="6" t="s">
        <v>238</v>
      </c>
      <c r="H76" s="8">
        <v>459900600</v>
      </c>
      <c r="I76" s="6" t="s">
        <v>239</v>
      </c>
      <c r="J76" s="8">
        <v>0</v>
      </c>
      <c r="K76" s="8" t="s">
        <v>78</v>
      </c>
      <c r="L76" s="8" t="s">
        <v>83</v>
      </c>
      <c r="M76" s="8">
        <v>4</v>
      </c>
      <c r="N76" s="8">
        <v>1</v>
      </c>
      <c r="O76" s="23">
        <v>0.5</v>
      </c>
      <c r="P76" s="31">
        <f>+(Tabla1[[#This Row],[Meta Ejecutada Vigencia4]]/Tabla1[[#This Row],[Meta Programada Vigencia]])</f>
        <v>0.5</v>
      </c>
      <c r="Q76" s="31">
        <f>+Tabla1[[#This Row],[Meta Ejecutada Vigencia4]]/Tabla1[[#This Row],[Meta Programada Cuatrienio3]]/4</f>
        <v>3.125E-2</v>
      </c>
      <c r="R76" s="46">
        <v>2023680010012</v>
      </c>
      <c r="S76" s="24" t="s">
        <v>318</v>
      </c>
      <c r="T76" s="48">
        <v>35000000</v>
      </c>
      <c r="U76" s="48">
        <v>35000000</v>
      </c>
      <c r="V76" s="24" t="s">
        <v>319</v>
      </c>
      <c r="W76" s="24" t="s">
        <v>258</v>
      </c>
      <c r="X76" s="24">
        <v>20000</v>
      </c>
      <c r="Y76" s="24" t="s">
        <v>320</v>
      </c>
      <c r="Z76" s="47">
        <v>35000000</v>
      </c>
      <c r="AA76" s="23"/>
      <c r="AB76" s="23"/>
      <c r="AC76" s="23"/>
      <c r="AD76" s="23"/>
      <c r="AE76" s="23"/>
      <c r="AF76" s="23"/>
      <c r="AG76" s="23"/>
      <c r="AH76" s="23"/>
      <c r="AI76" s="23"/>
      <c r="AJ76" s="23"/>
      <c r="AK76" s="23"/>
      <c r="AL76" s="23"/>
      <c r="AM76" s="23"/>
      <c r="AN76" s="27">
        <f>SUM(Tabla1[[#This Row],[Recursos propios 2024]:[Otros 2024]])</f>
        <v>35000000</v>
      </c>
      <c r="AO76" s="47">
        <v>35000000</v>
      </c>
      <c r="AP76" s="23"/>
      <c r="AQ76" s="23"/>
      <c r="AR76" s="23"/>
      <c r="AS76" s="23"/>
      <c r="AT76" s="23"/>
      <c r="AU76" s="23"/>
      <c r="AV76" s="23"/>
      <c r="AW76" s="23"/>
      <c r="AX76" s="23"/>
      <c r="AY76" s="23"/>
      <c r="AZ76" s="23"/>
      <c r="BA76" s="23"/>
      <c r="BB76" s="23"/>
      <c r="BC76" s="27">
        <f>SUM(Tabla1[[#This Row],[Recursos propios 20242]:[Otros 202415]])</f>
        <v>35000000</v>
      </c>
      <c r="BD76" s="45">
        <f>+Tabla1[[#This Row],[Total Comprometido 2024]]/Tabla1[[#This Row],[Total 2024]]</f>
        <v>1</v>
      </c>
      <c r="BE76" s="23"/>
      <c r="BF76" s="23"/>
      <c r="BG76" s="23"/>
      <c r="BH76" s="6" t="s">
        <v>250</v>
      </c>
      <c r="BI76" s="6" t="s">
        <v>249</v>
      </c>
      <c r="BJ76" s="6">
        <v>16</v>
      </c>
    </row>
    <row r="77" spans="1:62" s="15" customFormat="1" ht="99.75" x14ac:dyDescent="0.25">
      <c r="A77" s="23">
        <v>303</v>
      </c>
      <c r="B77" s="6" t="s">
        <v>71</v>
      </c>
      <c r="C77" s="6" t="s">
        <v>72</v>
      </c>
      <c r="D77" s="6" t="s">
        <v>73</v>
      </c>
      <c r="E77" s="6" t="s">
        <v>74</v>
      </c>
      <c r="F77" s="6" t="s">
        <v>240</v>
      </c>
      <c r="G77" s="6" t="s">
        <v>241</v>
      </c>
      <c r="H77" s="6">
        <v>210201000</v>
      </c>
      <c r="I77" s="6" t="s">
        <v>242</v>
      </c>
      <c r="J77" s="6">
        <v>4100</v>
      </c>
      <c r="K77" s="6" t="s">
        <v>243</v>
      </c>
      <c r="L77" s="6" t="s">
        <v>83</v>
      </c>
      <c r="M77" s="6">
        <v>4100</v>
      </c>
      <c r="N77" s="6">
        <v>1000</v>
      </c>
      <c r="O77" s="24"/>
      <c r="P77" s="33">
        <f>+(Tabla1[[#This Row],[Meta Ejecutada Vigencia4]]/Tabla1[[#This Row],[Meta Programada Vigencia]])</f>
        <v>0</v>
      </c>
      <c r="Q77" s="33">
        <f>+Tabla1[[#This Row],[Meta Ejecutada Vigencia4]]/Tabla1[[#This Row],[Meta Programada Cuatrienio3]]/4</f>
        <v>0</v>
      </c>
      <c r="R77" s="24" t="s">
        <v>346</v>
      </c>
      <c r="S77" s="24" t="s">
        <v>347</v>
      </c>
      <c r="T77" s="48">
        <v>5450000000</v>
      </c>
      <c r="U77" s="48">
        <v>5450000000</v>
      </c>
      <c r="V77" s="24"/>
      <c r="W77" s="24"/>
      <c r="X77" s="24"/>
      <c r="Y77" s="24"/>
      <c r="Z77" s="48">
        <v>5450000000</v>
      </c>
      <c r="AA77" s="24"/>
      <c r="AB77" s="24"/>
      <c r="AC77" s="24"/>
      <c r="AD77" s="24"/>
      <c r="AE77" s="24"/>
      <c r="AF77" s="24"/>
      <c r="AG77" s="24"/>
      <c r="AH77" s="24"/>
      <c r="AI77" s="24"/>
      <c r="AJ77" s="24"/>
      <c r="AK77" s="24"/>
      <c r="AL77" s="24"/>
      <c r="AM77" s="24"/>
      <c r="AN77" s="28">
        <f>SUM(Tabla1[[#This Row],[Recursos propios 2024]:[Otros 2024]])</f>
        <v>5450000000</v>
      </c>
      <c r="AO77" s="48">
        <v>5449988457.3699999</v>
      </c>
      <c r="AP77" s="24"/>
      <c r="AQ77" s="24"/>
      <c r="AR77" s="24"/>
      <c r="AS77" s="24"/>
      <c r="AT77" s="24"/>
      <c r="AU77" s="24"/>
      <c r="AV77" s="24"/>
      <c r="AW77" s="24"/>
      <c r="AX77" s="24"/>
      <c r="AY77" s="24"/>
      <c r="AZ77" s="24"/>
      <c r="BA77" s="24"/>
      <c r="BB77" s="24"/>
      <c r="BC77" s="28">
        <f>SUM(Tabla1[[#This Row],[Recursos propios 20242]:[Otros 202415]])</f>
        <v>5449988457.3699999</v>
      </c>
      <c r="BD77" s="44">
        <f>+Tabla1[[#This Row],[Total Comprometido 2024]]/Tabla1[[#This Row],[Total 2024]]</f>
        <v>0.99999788208623852</v>
      </c>
      <c r="BE77" s="48">
        <v>0</v>
      </c>
      <c r="BF77" s="48">
        <v>0</v>
      </c>
      <c r="BG77" s="24"/>
      <c r="BH77" s="6" t="s">
        <v>248</v>
      </c>
      <c r="BI77" s="6" t="s">
        <v>249</v>
      </c>
      <c r="BJ77" s="6">
        <v>16</v>
      </c>
    </row>
    <row r="78" spans="1:62" s="15" customFormat="1" ht="85.5" x14ac:dyDescent="0.25">
      <c r="A78" s="23">
        <v>245</v>
      </c>
      <c r="B78" s="8" t="s">
        <v>218</v>
      </c>
      <c r="C78" s="8" t="s">
        <v>219</v>
      </c>
      <c r="D78" s="8" t="s">
        <v>229</v>
      </c>
      <c r="E78" s="8" t="s">
        <v>230</v>
      </c>
      <c r="F78" s="8" t="s">
        <v>244</v>
      </c>
      <c r="G78" s="6" t="s">
        <v>245</v>
      </c>
      <c r="H78" s="8">
        <v>459900200</v>
      </c>
      <c r="I78" s="6" t="s">
        <v>246</v>
      </c>
      <c r="J78" s="8">
        <v>1</v>
      </c>
      <c r="K78" s="8" t="s">
        <v>247</v>
      </c>
      <c r="L78" s="8" t="s">
        <v>79</v>
      </c>
      <c r="M78" s="8">
        <v>1</v>
      </c>
      <c r="N78" s="8">
        <v>1</v>
      </c>
      <c r="O78" s="23">
        <v>0.62</v>
      </c>
      <c r="P78" s="31">
        <f>+(Tabla1[[#This Row],[Meta Ejecutada Vigencia4]]/Tabla1[[#This Row],[Meta Programada Vigencia]])</f>
        <v>0.62</v>
      </c>
      <c r="Q78" s="31">
        <f>+Tabla1[[#This Row],[Meta Ejecutada Vigencia4]]/Tabla1[[#This Row],[Meta Programada Cuatrienio3]]/4</f>
        <v>0.155</v>
      </c>
      <c r="R78" s="49">
        <v>2024680010071</v>
      </c>
      <c r="S78" s="24" t="s">
        <v>321</v>
      </c>
      <c r="T78" s="48">
        <v>31125392112.549999</v>
      </c>
      <c r="U78" s="48">
        <v>24982523877.669998</v>
      </c>
      <c r="V78" s="24" t="s">
        <v>298</v>
      </c>
      <c r="W78" s="24" t="s">
        <v>258</v>
      </c>
      <c r="X78" s="24">
        <v>650047</v>
      </c>
      <c r="Y78" s="24" t="s">
        <v>322</v>
      </c>
      <c r="Z78" s="47">
        <f>35695765940.89+48244044</f>
        <v>35744009984.889999</v>
      </c>
      <c r="AA78" s="23"/>
      <c r="AB78" s="23"/>
      <c r="AC78" s="23"/>
      <c r="AD78" s="23"/>
      <c r="AE78" s="47">
        <v>601177657.51999998</v>
      </c>
      <c r="AF78" s="23"/>
      <c r="AG78" s="23"/>
      <c r="AH78" s="23"/>
      <c r="AI78" s="23"/>
      <c r="AJ78" s="23"/>
      <c r="AK78" s="23"/>
      <c r="AL78" s="23"/>
      <c r="AM78" s="23"/>
      <c r="AN78" s="27">
        <f>SUM(Tabla1[[#This Row],[Recursos propios 2024]:[Otros 2024]])</f>
        <v>36345187642.409996</v>
      </c>
      <c r="AO78" s="47">
        <f>22546566673.34+307268218.22</f>
        <v>22853834891.560001</v>
      </c>
      <c r="AP78" s="23"/>
      <c r="AQ78" s="23"/>
      <c r="AR78" s="23"/>
      <c r="AS78" s="23"/>
      <c r="AT78" s="23"/>
      <c r="AU78" s="23"/>
      <c r="AV78" s="23"/>
      <c r="AW78" s="23"/>
      <c r="AX78" s="23"/>
      <c r="AY78" s="23"/>
      <c r="AZ78" s="23"/>
      <c r="BA78" s="23"/>
      <c r="BB78" s="23"/>
      <c r="BC78" s="27">
        <f>SUM(Tabla1[[#This Row],[Recursos propios 20242]:[Otros 202415]])</f>
        <v>22853834891.560001</v>
      </c>
      <c r="BD78" s="45">
        <f>+Tabla1[[#This Row],[Total Comprometido 2024]]/Tabla1[[#This Row],[Total 2024]]</f>
        <v>0.62879947453875895</v>
      </c>
      <c r="BE78" s="47">
        <f>13370150069.33+307268218.32</f>
        <v>13677418287.65</v>
      </c>
      <c r="BF78" s="47">
        <f>13370150069.33+307268218.32</f>
        <v>13677418287.65</v>
      </c>
      <c r="BG78" s="23"/>
      <c r="BH78" s="6" t="s">
        <v>250</v>
      </c>
      <c r="BI78" s="6" t="s">
        <v>249</v>
      </c>
      <c r="BJ78" s="6">
        <v>16</v>
      </c>
    </row>
    <row r="79" spans="1:62" s="50" customFormat="1" x14ac:dyDescent="0.25">
      <c r="A79" s="51"/>
      <c r="B79" s="51"/>
      <c r="C79" s="51"/>
      <c r="D79" s="51"/>
      <c r="E79" s="51"/>
      <c r="F79" s="51"/>
      <c r="G79" s="57"/>
      <c r="H79" s="51"/>
      <c r="I79" s="57"/>
      <c r="J79" s="51"/>
      <c r="K79" s="51"/>
      <c r="L79" s="51"/>
      <c r="M79" s="51"/>
      <c r="N79" s="51"/>
      <c r="O79" s="51"/>
      <c r="P79" s="51"/>
      <c r="Q79" s="52"/>
      <c r="R79" s="53"/>
      <c r="S79" s="53"/>
      <c r="T79" s="53"/>
      <c r="U79" s="53"/>
      <c r="V79" s="53"/>
      <c r="W79" s="53"/>
      <c r="X79" s="53"/>
      <c r="Y79" s="53"/>
      <c r="Z79" s="54">
        <f>SUBTOTAL(109,Tabla1[Recursos propios 2024])</f>
        <v>244141865653.07996</v>
      </c>
      <c r="AA79" s="54">
        <f>SUBTOTAL(109,Tabla1[SGP Educación 2024])</f>
        <v>0</v>
      </c>
      <c r="AB79" s="54">
        <f>SUBTOTAL(109,Tabla1[SGP Salud 2024])</f>
        <v>0</v>
      </c>
      <c r="AC79" s="54">
        <f>SUBTOTAL(109,Tabla1[SGP Deporte 2024])</f>
        <v>0</v>
      </c>
      <c r="AD79" s="54">
        <f>SUBTOTAL(109,Tabla1[SGP Cultura 2024])</f>
        <v>0</v>
      </c>
      <c r="AE79" s="54">
        <f>SUBTOTAL(109,Tabla1[SGP Libre inversión 2024])</f>
        <v>12831606580.52</v>
      </c>
      <c r="AF79" s="54">
        <f>SUBTOTAL(109,Tabla1[SGP Libre destinación 2024])</f>
        <v>0</v>
      </c>
      <c r="AG79" s="54">
        <f>SUBTOTAL(109,Tabla1[SGP Alimentación escolar 2024])</f>
        <v>0</v>
      </c>
      <c r="AH79" s="54">
        <f>SUBTOTAL(109,Tabla1[SGP Municipios río Magdalena 2024])</f>
        <v>0</v>
      </c>
      <c r="AI79" s="54">
        <f>SUBTOTAL(109,Tabla1[SGP APSB 2024])</f>
        <v>13247369929.369999</v>
      </c>
      <c r="AJ79" s="54">
        <f>SUBTOTAL(109,Tabla1[Crédito 2024])</f>
        <v>66428464.700000003</v>
      </c>
      <c r="AK79" s="54">
        <f>SUBTOTAL(109,Tabla1[Transferencias de capital - cofinanciación departamento 2024])</f>
        <v>0</v>
      </c>
      <c r="AL79" s="54">
        <f>SUBTOTAL(109,Tabla1[Transferencias de capital - cofinanciación nación 2024])</f>
        <v>0</v>
      </c>
      <c r="AM79" s="54">
        <f>SUBTOTAL(109,Tabla1[Otros 2024])</f>
        <v>40006875</v>
      </c>
      <c r="AN79" s="55">
        <f>SUBTOTAL(109,Tabla1[Total 2024])</f>
        <v>270327277502.66992</v>
      </c>
      <c r="AO79" s="54">
        <f>SUBTOTAL(109,Tabla1[Recursos propios 20242])</f>
        <v>84060067598.149994</v>
      </c>
      <c r="AP79" s="54">
        <f>SUBTOTAL(109,Tabla1[SGP Educación 20243])</f>
        <v>0</v>
      </c>
      <c r="AQ79" s="54">
        <f>SUBTOTAL(109,Tabla1[SGP Salud 20244])</f>
        <v>0</v>
      </c>
      <c r="AR79" s="54">
        <f>SUBTOTAL(109,Tabla1[SGP Deporte 20245])</f>
        <v>0</v>
      </c>
      <c r="AS79" s="54">
        <f>SUBTOTAL(109,Tabla1[SGP Cultura 20246])</f>
        <v>0</v>
      </c>
      <c r="AT79" s="54">
        <f>SUBTOTAL(109,Tabla1[SGP Libre inversión 20247])</f>
        <v>7350533313</v>
      </c>
      <c r="AU79" s="54">
        <f>SUBTOTAL(109,Tabla1[SGP Libre destinación 20248])</f>
        <v>0</v>
      </c>
      <c r="AV79" s="54">
        <f>SUBTOTAL(109,Tabla1[SGP Alimentación escolar 20249])</f>
        <v>0</v>
      </c>
      <c r="AW79" s="54">
        <f>SUBTOTAL(109,Tabla1[SGP Municipios río Magdalena 202410])</f>
        <v>0</v>
      </c>
      <c r="AX79" s="54">
        <f>SUBTOTAL(109,Tabla1[SGP APSB 202411])</f>
        <v>6126067889</v>
      </c>
      <c r="AY79" s="54">
        <f>SUBTOTAL(109,Tabla1[Crédito 202412])</f>
        <v>66428464.700000003</v>
      </c>
      <c r="AZ79" s="54">
        <f>SUBTOTAL(109,Tabla1[Transferencias de capital - cofinanciación departamento 202413])</f>
        <v>0</v>
      </c>
      <c r="BA79" s="54">
        <f>SUBTOTAL(109,Tabla1[Transferencias de capital - cofinanciación nación 202414])</f>
        <v>0</v>
      </c>
      <c r="BB79" s="54">
        <f>SUBTOTAL(109,Tabla1[Otros 202415])</f>
        <v>0</v>
      </c>
      <c r="BC79" s="55">
        <f>SUBTOTAL(109,Tabla1[Total Comprometido 2024])</f>
        <v>97603097264.849991</v>
      </c>
      <c r="BD79" s="54"/>
      <c r="BE79" s="55">
        <f>SUBTOTAL(109,Tabla1[Total Recursos Obligados])</f>
        <v>50466375949.620003</v>
      </c>
      <c r="BF79" s="55">
        <f>SUBTOTAL(109,Tabla1[Total Recursos Pagados])</f>
        <v>49754161000.620003</v>
      </c>
      <c r="BG79" s="54">
        <f>SUBTOTAL(109,Tabla1[Recursos Gestionados])</f>
        <v>0</v>
      </c>
      <c r="BH79" s="51"/>
      <c r="BI79" s="51"/>
      <c r="BJ79" s="51"/>
    </row>
  </sheetData>
  <sheetProtection algorithmName="SHA-512" hashValue="etPW7uPTFvzuOnTKFetosx+QNREOdxj2RL1n2T8FDdWl9wV/slcQOdatRnH3ivXsUBfUEowYx5uU2kLYh87HXA==" saltValue="saQ9TIwRA2669UoD8/YN6Q==" spinCount="100000" sheet="1" formatCells="0" formatColumns="0" formatRows="0" insertRows="0" autoFilter="0"/>
  <mergeCells count="8">
    <mergeCell ref="C1:BB4"/>
    <mergeCell ref="BH9:BI9"/>
    <mergeCell ref="AO9:BG9"/>
    <mergeCell ref="A9:N9"/>
    <mergeCell ref="O9:Q9"/>
    <mergeCell ref="Z9:AN9"/>
    <mergeCell ref="R9:Y9"/>
    <mergeCell ref="A1:B4"/>
  </mergeCells>
  <phoneticPr fontId="10" type="noConversion"/>
  <pageMargins left="0.7" right="0.7" top="0.75" bottom="0.75" header="0.3" footer="0.3"/>
  <pageSetup paperSize="9" orientation="portrait" r:id="rId1"/>
  <drawing r:id="rId2"/>
  <legacy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Plan de Accion</vt:lpstr>
      <vt:lpstr>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MORON</dc:creator>
  <cp:lastModifiedBy>Andrés Fernando Ariza Cartagena</cp:lastModifiedBy>
  <dcterms:created xsi:type="dcterms:W3CDTF">2024-06-03T22:05:35Z</dcterms:created>
  <dcterms:modified xsi:type="dcterms:W3CDTF">2024-11-08T12:57:24Z</dcterms:modified>
</cp:coreProperties>
</file>