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PLANEACION\"/>
    </mc:Choice>
  </mc:AlternateContent>
  <xr:revisionPtr revIDLastSave="0" documentId="13_ncr:1_{BD6AFFF3-615F-4331-AFD4-46486FB77928}"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Hoja2" sheetId="24" r:id="rId9"/>
    <sheet name="Opciones Tratamiento" sheetId="16" state="hidden" r:id="rId10"/>
    <sheet name="Hoja1" sheetId="11" state="hidden" r:id="rId11"/>
  </sheets>
  <calcPr calcId="191028"/>
  <pivotCaches>
    <pivotCache cacheId="22"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7" i="1" l="1"/>
  <c r="Q107" i="1"/>
  <c r="X107" i="1" s="1"/>
  <c r="T106" i="1"/>
  <c r="Q106" i="1"/>
  <c r="T105" i="1"/>
  <c r="Q105" i="1"/>
  <c r="X105" i="1" s="1"/>
  <c r="Y105" i="1" s="1"/>
  <c r="T104" i="1"/>
  <c r="Q104" i="1"/>
  <c r="AB105" i="1" s="1"/>
  <c r="AA105" i="1" s="1"/>
  <c r="T103" i="1"/>
  <c r="Q103" i="1"/>
  <c r="T102" i="1"/>
  <c r="Q102" i="1"/>
  <c r="AB103" i="1" s="1"/>
  <c r="AA103" i="1" s="1"/>
  <c r="K102" i="1"/>
  <c r="L102" i="1" s="1"/>
  <c r="M102" i="1" s="1"/>
  <c r="H102" i="1"/>
  <c r="T101" i="1"/>
  <c r="Q101" i="1"/>
  <c r="X101" i="1" s="1"/>
  <c r="T100" i="1"/>
  <c r="Q100" i="1"/>
  <c r="T99" i="1"/>
  <c r="Q99" i="1"/>
  <c r="X99" i="1" s="1"/>
  <c r="Y99" i="1" s="1"/>
  <c r="T98" i="1"/>
  <c r="Q98" i="1"/>
  <c r="T97" i="1"/>
  <c r="Q97" i="1"/>
  <c r="T96" i="1"/>
  <c r="Q96" i="1"/>
  <c r="K96" i="1"/>
  <c r="L96" i="1" s="1"/>
  <c r="M96" i="1" s="1"/>
  <c r="H96" i="1"/>
  <c r="I96" i="1" s="1"/>
  <c r="AB104" i="1" l="1"/>
  <c r="AA104" i="1" s="1"/>
  <c r="AB106" i="1"/>
  <c r="AA106" i="1" s="1"/>
  <c r="AB107" i="1"/>
  <c r="AA107" i="1" s="1"/>
  <c r="X103" i="1"/>
  <c r="Z103" i="1" s="1"/>
  <c r="X106" i="1"/>
  <c r="Z106" i="1" s="1"/>
  <c r="X104" i="1"/>
  <c r="Z104" i="1" s="1"/>
  <c r="N102" i="1"/>
  <c r="AC105" i="1"/>
  <c r="Z107" i="1"/>
  <c r="Y107" i="1"/>
  <c r="I102" i="1"/>
  <c r="X102" i="1" s="1"/>
  <c r="Y103" i="1"/>
  <c r="AC103" i="1" s="1"/>
  <c r="Y106" i="1"/>
  <c r="Z105" i="1"/>
  <c r="AB98" i="1"/>
  <c r="AA98" i="1" s="1"/>
  <c r="AB102" i="1"/>
  <c r="AA102" i="1" s="1"/>
  <c r="AB101" i="1"/>
  <c r="AA101" i="1" s="1"/>
  <c r="AB99" i="1"/>
  <c r="AA99" i="1" s="1"/>
  <c r="AC99" i="1" s="1"/>
  <c r="X97" i="1"/>
  <c r="Y97" i="1" s="1"/>
  <c r="X100" i="1"/>
  <c r="Z100" i="1" s="1"/>
  <c r="X96" i="1"/>
  <c r="Y96" i="1" s="1"/>
  <c r="X98" i="1"/>
  <c r="Y98" i="1" s="1"/>
  <c r="AB97" i="1"/>
  <c r="AA97" i="1" s="1"/>
  <c r="AB100" i="1"/>
  <c r="AA100" i="1" s="1"/>
  <c r="Y101" i="1"/>
  <c r="Z101" i="1"/>
  <c r="Z99" i="1"/>
  <c r="AB96" i="1"/>
  <c r="AA96" i="1" s="1"/>
  <c r="N96" i="1"/>
  <c r="AC101" i="1" l="1"/>
  <c r="Y100" i="1"/>
  <c r="AC106" i="1"/>
  <c r="AC98" i="1"/>
  <c r="Z98" i="1"/>
  <c r="Z97" i="1"/>
  <c r="Y104" i="1"/>
  <c r="AC104" i="1" s="1"/>
  <c r="AC107" i="1"/>
  <c r="Z102" i="1"/>
  <c r="Y102" i="1"/>
  <c r="AC102" i="1" s="1"/>
  <c r="Z96" i="1"/>
  <c r="AC100" i="1"/>
  <c r="AC97" i="1"/>
  <c r="AC96" i="1"/>
  <c r="L12" i="1" l="1"/>
  <c r="Q13" i="1"/>
  <c r="T13" i="1"/>
  <c r="H12" i="1"/>
  <c r="I12" i="1" s="1"/>
  <c r="Q12" i="1"/>
  <c r="T12" i="1"/>
  <c r="T51" i="1"/>
  <c r="T52" i="1"/>
  <c r="T53" i="1"/>
  <c r="T54" i="1"/>
  <c r="T55" i="1"/>
  <c r="T56" i="1"/>
  <c r="Q56" i="1"/>
  <c r="Q49" i="1"/>
  <c r="T49" i="1"/>
  <c r="X94" i="1"/>
  <c r="T90" i="1"/>
  <c r="T91" i="1"/>
  <c r="T92" i="1"/>
  <c r="T93" i="1"/>
  <c r="T94" i="1"/>
  <c r="T95" i="1"/>
  <c r="X13" i="1" l="1"/>
  <c r="Z13" i="1" s="1"/>
  <c r="AB13" i="1"/>
  <c r="AA13" i="1" s="1"/>
  <c r="X12" i="1"/>
  <c r="Y12" i="1" s="1"/>
  <c r="Q70" i="1"/>
  <c r="Y13" i="1" l="1"/>
  <c r="AC13" i="1" s="1"/>
  <c r="Z12" i="1"/>
  <c r="AB67" i="1"/>
  <c r="AA67" i="1" s="1"/>
  <c r="AC67" i="1" s="1"/>
  <c r="AB68" i="1"/>
  <c r="AA68" i="1" s="1"/>
  <c r="AC68" i="1" s="1"/>
  <c r="AB69" i="1"/>
  <c r="AA69" i="1" s="1"/>
  <c r="AC69" i="1" s="1"/>
  <c r="AB71" i="1"/>
  <c r="AA71" i="1" s="1"/>
  <c r="AB72" i="1"/>
  <c r="AA72" i="1" s="1"/>
  <c r="AB73" i="1"/>
  <c r="AA73" i="1" s="1"/>
  <c r="AB74" i="1"/>
  <c r="AA74" i="1" s="1"/>
  <c r="AB75" i="1"/>
  <c r="AA75" i="1" s="1"/>
  <c r="X71" i="1"/>
  <c r="Z71" i="1" s="1"/>
  <c r="X72" i="1"/>
  <c r="Y72" i="1" s="1"/>
  <c r="X73" i="1"/>
  <c r="Y73" i="1" s="1"/>
  <c r="X74" i="1"/>
  <c r="Y74" i="1" s="1"/>
  <c r="X75" i="1"/>
  <c r="T70" i="1"/>
  <c r="T71" i="1"/>
  <c r="T72" i="1"/>
  <c r="T73" i="1"/>
  <c r="T74" i="1"/>
  <c r="T75" i="1"/>
  <c r="M70" i="1"/>
  <c r="H70" i="1"/>
  <c r="I70" i="1" s="1"/>
  <c r="Q26" i="1"/>
  <c r="Z75" i="1" l="1"/>
  <c r="Y75" i="1"/>
  <c r="Z74" i="1"/>
  <c r="X70" i="1"/>
  <c r="Z70" i="1" s="1"/>
  <c r="Y71" i="1"/>
  <c r="N70" i="1"/>
  <c r="Z73" i="1"/>
  <c r="Z72" i="1"/>
  <c r="Q95" i="1"/>
  <c r="X95" i="1" s="1"/>
  <c r="Q93" i="1"/>
  <c r="X93" i="1" s="1"/>
  <c r="Q92" i="1"/>
  <c r="Q91" i="1"/>
  <c r="X91" i="1" s="1"/>
  <c r="Q90" i="1"/>
  <c r="X90" i="1" s="1"/>
  <c r="T89" i="1"/>
  <c r="Q89" i="1"/>
  <c r="H89" i="1"/>
  <c r="I89" i="1" s="1"/>
  <c r="T88" i="1"/>
  <c r="Q88" i="1"/>
  <c r="K88" i="1"/>
  <c r="T87" i="1"/>
  <c r="Q87" i="1"/>
  <c r="K87" i="1"/>
  <c r="T86" i="1"/>
  <c r="Q86" i="1"/>
  <c r="K86" i="1"/>
  <c r="T85" i="1"/>
  <c r="Q85" i="1"/>
  <c r="K85" i="1"/>
  <c r="T84" i="1"/>
  <c r="Q84" i="1"/>
  <c r="K84" i="1"/>
  <c r="T83" i="1"/>
  <c r="Q83" i="1"/>
  <c r="H83" i="1"/>
  <c r="I83" i="1" s="1"/>
  <c r="T82" i="1"/>
  <c r="Q82" i="1"/>
  <c r="K82" i="1"/>
  <c r="T81" i="1"/>
  <c r="Q81" i="1"/>
  <c r="K81" i="1"/>
  <c r="T80" i="1"/>
  <c r="Q80" i="1"/>
  <c r="K80" i="1"/>
  <c r="T79" i="1"/>
  <c r="Q79" i="1"/>
  <c r="K79" i="1"/>
  <c r="T78" i="1"/>
  <c r="Q78" i="1"/>
  <c r="K78" i="1"/>
  <c r="T76" i="1"/>
  <c r="Q76" i="1"/>
  <c r="H76" i="1"/>
  <c r="I76" i="1" s="1"/>
  <c r="AB93" i="1" l="1"/>
  <c r="AA93" i="1" s="1"/>
  <c r="X92" i="1"/>
  <c r="Y70" i="1"/>
  <c r="AC70" i="1" s="1"/>
  <c r="AB92" i="1"/>
  <c r="AA92" i="1" s="1"/>
  <c r="Y90" i="1"/>
  <c r="AB88" i="1"/>
  <c r="AA88" i="1" s="1"/>
  <c r="X76" i="1"/>
  <c r="Y93" i="1"/>
  <c r="Y91" i="1"/>
  <c r="AB91" i="1"/>
  <c r="AA91" i="1" s="1"/>
  <c r="AB90" i="1"/>
  <c r="AA90" i="1" s="1"/>
  <c r="AB95" i="1"/>
  <c r="AA95" i="1" s="1"/>
  <c r="AB86" i="1"/>
  <c r="AA86" i="1" s="1"/>
  <c r="Z92" i="1"/>
  <c r="AB82" i="1"/>
  <c r="AA82" i="1" s="1"/>
  <c r="X83" i="1"/>
  <c r="Y83" i="1" s="1"/>
  <c r="AB80" i="1"/>
  <c r="AA80" i="1" s="1"/>
  <c r="AB85" i="1"/>
  <c r="AA85" i="1" s="1"/>
  <c r="X85" i="1"/>
  <c r="Z85" i="1" s="1"/>
  <c r="X78" i="1"/>
  <c r="Y78" i="1" s="1"/>
  <c r="X84" i="1"/>
  <c r="Z84" i="1" s="1"/>
  <c r="AB87" i="1"/>
  <c r="AA87" i="1" s="1"/>
  <c r="X89" i="1"/>
  <c r="AB84" i="1"/>
  <c r="AA84" i="1" s="1"/>
  <c r="X81" i="1"/>
  <c r="Z81" i="1" s="1"/>
  <c r="X87" i="1"/>
  <c r="AB81" i="1"/>
  <c r="AA81" i="1" s="1"/>
  <c r="X86" i="1"/>
  <c r="X79" i="1"/>
  <c r="Y79" i="1" s="1"/>
  <c r="AB79" i="1"/>
  <c r="AA79" i="1" s="1"/>
  <c r="X88" i="1"/>
  <c r="X80" i="1"/>
  <c r="Y80" i="1" s="1"/>
  <c r="AB78" i="1"/>
  <c r="AA78" i="1" s="1"/>
  <c r="X82" i="1"/>
  <c r="Q65" i="1"/>
  <c r="AB66" i="1" s="1"/>
  <c r="AA66" i="1" s="1"/>
  <c r="AC66" i="1" s="1"/>
  <c r="Q61" i="1"/>
  <c r="Q62" i="1"/>
  <c r="Q63" i="1"/>
  <c r="Q64" i="1"/>
  <c r="Q51" i="1"/>
  <c r="Q52" i="1"/>
  <c r="Q53" i="1"/>
  <c r="Q54" i="1"/>
  <c r="Q55" i="1"/>
  <c r="T37" i="1"/>
  <c r="T38" i="1"/>
  <c r="T39" i="1"/>
  <c r="T40" i="1"/>
  <c r="T41" i="1"/>
  <c r="T42" i="1"/>
  <c r="Q37" i="1"/>
  <c r="Q38" i="1"/>
  <c r="Q39" i="1"/>
  <c r="Q40" i="1"/>
  <c r="Q41" i="1"/>
  <c r="Q42" i="1"/>
  <c r="T31" i="1"/>
  <c r="T32" i="1"/>
  <c r="T33" i="1"/>
  <c r="T34" i="1"/>
  <c r="T35" i="1"/>
  <c r="T36" i="1"/>
  <c r="Q31" i="1"/>
  <c r="Q32" i="1"/>
  <c r="Q33" i="1"/>
  <c r="Q34" i="1"/>
  <c r="Q35" i="1"/>
  <c r="Q36" i="1"/>
  <c r="H36" i="1"/>
  <c r="T26" i="1"/>
  <c r="T27" i="1"/>
  <c r="T28" i="1"/>
  <c r="T29" i="1"/>
  <c r="T30" i="1"/>
  <c r="H64" i="1"/>
  <c r="I64" i="1" s="1"/>
  <c r="T64" i="1"/>
  <c r="K65" i="1"/>
  <c r="T65" i="1"/>
  <c r="K66" i="1"/>
  <c r="K67" i="1"/>
  <c r="K68" i="1"/>
  <c r="K69" i="1"/>
  <c r="AC93" i="1" l="1"/>
  <c r="Z90" i="1"/>
  <c r="Z83" i="1"/>
  <c r="AC80" i="1"/>
  <c r="Z93" i="1"/>
  <c r="Y81" i="1"/>
  <c r="AC81" i="1" s="1"/>
  <c r="AC79" i="1"/>
  <c r="AC90" i="1"/>
  <c r="AC91" i="1"/>
  <c r="Z91" i="1"/>
  <c r="Y84" i="1"/>
  <c r="AC84" i="1" s="1"/>
  <c r="Y92" i="1"/>
  <c r="AC92" i="1" s="1"/>
  <c r="Z78" i="1"/>
  <c r="Z79" i="1"/>
  <c r="Z89" i="1"/>
  <c r="Y89" i="1"/>
  <c r="Y85" i="1"/>
  <c r="AC85" i="1" s="1"/>
  <c r="Z95" i="1"/>
  <c r="Y95" i="1"/>
  <c r="AC95" i="1" s="1"/>
  <c r="Z87" i="1"/>
  <c r="Y87" i="1"/>
  <c r="AC87" i="1" s="1"/>
  <c r="Z88" i="1"/>
  <c r="Y88" i="1"/>
  <c r="AC88" i="1" s="1"/>
  <c r="Z80" i="1"/>
  <c r="Z86" i="1"/>
  <c r="Y86" i="1"/>
  <c r="AC86" i="1" s="1"/>
  <c r="Z76" i="1"/>
  <c r="Y76" i="1"/>
  <c r="Z82" i="1"/>
  <c r="Y82" i="1"/>
  <c r="AC82" i="1" s="1"/>
  <c r="AC78" i="1"/>
  <c r="X64" i="1"/>
  <c r="Z64" i="1" s="1"/>
  <c r="X65" i="1" s="1"/>
  <c r="Z65" i="1" l="1"/>
  <c r="Y65" i="1"/>
  <c r="Y64" i="1"/>
  <c r="T24" i="1" l="1"/>
  <c r="K63" i="1" l="1"/>
  <c r="K33" i="1"/>
  <c r="K19" i="1"/>
  <c r="K31" i="1"/>
  <c r="K53" i="1"/>
  <c r="K60" i="1"/>
  <c r="K32" i="1"/>
  <c r="K40" i="1"/>
  <c r="K52" i="1"/>
  <c r="K29" i="1"/>
  <c r="K37" i="1"/>
  <c r="K51" i="1"/>
  <c r="K62" i="1"/>
  <c r="K41" i="1"/>
  <c r="K26" i="1"/>
  <c r="K54" i="1"/>
  <c r="K39" i="1"/>
  <c r="K23" i="1"/>
  <c r="K21" i="1"/>
  <c r="K61" i="1"/>
  <c r="K20" i="1"/>
  <c r="K34" i="1"/>
  <c r="K28" i="1"/>
  <c r="K35" i="1"/>
  <c r="K22" i="1"/>
  <c r="K38" i="1"/>
  <c r="K25" i="1"/>
  <c r="K59" i="1"/>
  <c r="K27" i="1"/>
  <c r="K55" i="1"/>
  <c r="F221" i="13" l="1"/>
  <c r="F211" i="13"/>
  <c r="F212" i="13"/>
  <c r="F213" i="13"/>
  <c r="F214" i="13"/>
  <c r="F215" i="13"/>
  <c r="F216" i="13"/>
  <c r="F217" i="13"/>
  <c r="F218" i="13"/>
  <c r="F219" i="13"/>
  <c r="F220" i="13"/>
  <c r="F210" i="13"/>
  <c r="B221" i="13" a="1"/>
  <c r="B221" i="13" l="1"/>
  <c r="Q44" i="1"/>
  <c r="K89" i="1" l="1"/>
  <c r="L89" i="1" s="1"/>
  <c r="K83" i="1"/>
  <c r="L83" i="1" s="1"/>
  <c r="K77" i="1"/>
  <c r="L76" i="1" s="1"/>
  <c r="K64" i="1"/>
  <c r="L64"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6" i="1" l="1"/>
  <c r="AB76" i="1" s="1"/>
  <c r="AA76" i="1" s="1"/>
  <c r="AC76" i="1" s="1"/>
  <c r="N76" i="1"/>
  <c r="N83" i="1"/>
  <c r="M83" i="1"/>
  <c r="AB83" i="1" s="1"/>
  <c r="AA83" i="1" s="1"/>
  <c r="AC83" i="1" s="1"/>
  <c r="N89" i="1"/>
  <c r="M89" i="1"/>
  <c r="AB89" i="1" s="1"/>
  <c r="AA89" i="1" s="1"/>
  <c r="AC89" i="1" s="1"/>
  <c r="N64" i="1"/>
  <c r="M64" i="1"/>
  <c r="AB64" i="1" s="1"/>
  <c r="T63" i="1"/>
  <c r="T62" i="1"/>
  <c r="T61" i="1"/>
  <c r="H56" i="1"/>
  <c r="I56" i="1" s="1"/>
  <c r="H49" i="1"/>
  <c r="I49" i="1" s="1"/>
  <c r="T48" i="1"/>
  <c r="Q48" i="1"/>
  <c r="T47" i="1"/>
  <c r="Q47" i="1"/>
  <c r="T46" i="1"/>
  <c r="Q46" i="1"/>
  <c r="T45" i="1"/>
  <c r="Q45" i="1"/>
  <c r="T44" i="1"/>
  <c r="H42" i="1"/>
  <c r="I42" i="1" s="1"/>
  <c r="I36" i="1"/>
  <c r="Q30" i="1"/>
  <c r="H30" i="1"/>
  <c r="I30" i="1" s="1"/>
  <c r="Q29" i="1"/>
  <c r="Q28" i="1"/>
  <c r="Q27" i="1"/>
  <c r="T25" i="1"/>
  <c r="Q25" i="1"/>
  <c r="Q24" i="1"/>
  <c r="H24" i="1"/>
  <c r="I24" i="1" s="1"/>
  <c r="H18" i="1"/>
  <c r="Q17" i="1"/>
  <c r="Q16" i="1"/>
  <c r="T23" i="1"/>
  <c r="Q23" i="1"/>
  <c r="T22" i="1"/>
  <c r="Q22" i="1"/>
  <c r="T21" i="1"/>
  <c r="Q21" i="1"/>
  <c r="T20" i="1"/>
  <c r="Q20" i="1"/>
  <c r="T19" i="1"/>
  <c r="T18" i="1"/>
  <c r="Q18" i="1"/>
  <c r="AA64" i="1" l="1"/>
  <c r="AC64" i="1" s="1"/>
  <c r="AB65" i="1"/>
  <c r="AA65" i="1" s="1"/>
  <c r="AC65" i="1" s="1"/>
  <c r="X27" i="1"/>
  <c r="X38" i="1"/>
  <c r="X47" i="1"/>
  <c r="X62" i="1"/>
  <c r="Z62" i="1" s="1"/>
  <c r="X32" i="1"/>
  <c r="X29" i="1"/>
  <c r="X40" i="1"/>
  <c r="X54" i="1"/>
  <c r="X35" i="1"/>
  <c r="X34" i="1"/>
  <c r="X33" i="1"/>
  <c r="X30" i="1"/>
  <c r="X53" i="1"/>
  <c r="X52" i="1"/>
  <c r="X55" i="1"/>
  <c r="X61" i="1"/>
  <c r="Z61" i="1" s="1"/>
  <c r="X63" i="1"/>
  <c r="Z63" i="1" s="1"/>
  <c r="X24" i="1"/>
  <c r="X28" i="1"/>
  <c r="X37" i="1"/>
  <c r="X36" i="1"/>
  <c r="X39" i="1"/>
  <c r="X41" i="1"/>
  <c r="X46" i="1"/>
  <c r="X45" i="1"/>
  <c r="X48" i="1"/>
  <c r="AB44" i="1"/>
  <c r="X44" i="1"/>
  <c r="X42" i="1"/>
  <c r="AB37" i="1"/>
  <c r="AB54" i="1"/>
  <c r="AA54" i="1" s="1"/>
  <c r="AB55" i="1"/>
  <c r="AA55" i="1" s="1"/>
  <c r="I18" i="1"/>
  <c r="X18" i="1" s="1"/>
  <c r="Y55" i="1" l="1"/>
  <c r="Z55" i="1"/>
  <c r="Y54" i="1"/>
  <c r="Z54" i="1"/>
  <c r="Y49" i="1"/>
  <c r="Z49" i="1"/>
  <c r="X51" i="1" s="1"/>
  <c r="Y42" i="1"/>
  <c r="Z42" i="1"/>
  <c r="Z44" i="1" s="1"/>
  <c r="Y36" i="1"/>
  <c r="Z36" i="1"/>
  <c r="Y30" i="1"/>
  <c r="Z30" i="1"/>
  <c r="Y24" i="1"/>
  <c r="Z24" i="1"/>
  <c r="Y18" i="1"/>
  <c r="Z18" i="1"/>
  <c r="X19" i="1" s="1"/>
  <c r="X31" i="1" l="1"/>
  <c r="Z31" i="1" s="1"/>
  <c r="Y32" i="1" s="1"/>
  <c r="X25" i="1"/>
  <c r="Y25" i="1" s="1"/>
  <c r="Y44" i="1"/>
  <c r="Y45" i="1"/>
  <c r="Z45"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6" i="1"/>
  <c r="T17" i="1"/>
  <c r="Y31" i="1" l="1"/>
  <c r="Z25" i="1"/>
  <c r="Y61" i="1"/>
  <c r="Y52" i="1"/>
  <c r="Z52" i="1"/>
  <c r="Y51" i="1"/>
  <c r="Z51" i="1"/>
  <c r="Y37" i="1"/>
  <c r="Z37" i="1"/>
  <c r="Y38" i="1" s="1"/>
  <c r="Y34" i="1"/>
  <c r="Y19" i="1"/>
  <c r="Z19" i="1"/>
  <c r="X20" i="1" s="1"/>
  <c r="Y20" i="1" s="1"/>
  <c r="X26" i="1" l="1"/>
  <c r="Z26" i="1" s="1"/>
  <c r="Z27" i="1" s="1"/>
  <c r="Z38" i="1"/>
  <c r="Z39" i="1" s="1"/>
  <c r="Y62" i="1"/>
  <c r="Y27" i="1"/>
  <c r="Y46" i="1"/>
  <c r="Z46" i="1"/>
  <c r="Y47" i="1" s="1"/>
  <c r="Y39" i="1"/>
  <c r="Y53" i="1"/>
  <c r="Z53" i="1"/>
  <c r="Y33" i="1"/>
  <c r="Z33" i="1"/>
  <c r="Z34" i="1"/>
  <c r="Z20" i="1"/>
  <c r="X21" i="1" s="1"/>
  <c r="Y21" i="1" s="1"/>
  <c r="Y26" i="1" l="1"/>
  <c r="Y63" i="1"/>
  <c r="Z47" i="1"/>
  <c r="Y48" i="1" s="1"/>
  <c r="Z40" i="1"/>
  <c r="Y40" i="1"/>
  <c r="Y28" i="1"/>
  <c r="Z28" i="1"/>
  <c r="Y29" i="1" s="1"/>
  <c r="Y35" i="1"/>
  <c r="Z35" i="1"/>
  <c r="Z21" i="1"/>
  <c r="X22" i="1" s="1"/>
  <c r="Z22" i="1" s="1"/>
  <c r="X23" i="1" s="1"/>
  <c r="Y41" i="1" l="1"/>
  <c r="Z41" i="1"/>
  <c r="Z48" i="1"/>
  <c r="Z29" i="1"/>
  <c r="Y22" i="1"/>
  <c r="Y23" i="1"/>
  <c r="Z23" i="1"/>
  <c r="X16" i="1" l="1"/>
  <c r="Y16" i="1" l="1"/>
  <c r="Z16" i="1"/>
  <c r="X17" i="1" s="1"/>
  <c r="Y17" i="1" l="1"/>
  <c r="Z17" i="1"/>
  <c r="K42" i="1" l="1"/>
  <c r="L42" i="1" s="1"/>
  <c r="K30" i="1"/>
  <c r="L30" i="1" s="1"/>
  <c r="K24" i="1"/>
  <c r="L24" i="1" s="1"/>
  <c r="K58" i="1"/>
  <c r="L56" i="1" s="1"/>
  <c r="K50" i="1"/>
  <c r="L49" i="1" s="1"/>
  <c r="K36" i="1"/>
  <c r="L36" i="1" s="1"/>
  <c r="K18" i="1"/>
  <c r="L18" i="1" s="1"/>
  <c r="M12" i="1" l="1"/>
  <c r="AB12" i="1" s="1"/>
  <c r="AA12" i="1" s="1"/>
  <c r="AC12" i="1" s="1"/>
  <c r="N12"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49" i="1"/>
  <c r="AH34" i="18"/>
  <c r="AH42" i="18"/>
  <c r="AH18" i="18"/>
  <c r="AB10" i="18"/>
  <c r="J26" i="18"/>
  <c r="V18" i="18"/>
  <c r="V42" i="18"/>
  <c r="J42" i="18"/>
  <c r="P10" i="18"/>
  <c r="AB26" i="18"/>
  <c r="J34" i="18"/>
  <c r="J18" i="18"/>
  <c r="AH10" i="18"/>
  <c r="AB34" i="18"/>
  <c r="P26" i="18"/>
  <c r="P34" i="18"/>
  <c r="V34" i="18"/>
  <c r="AH26" i="18"/>
  <c r="J10" i="18"/>
  <c r="N49"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B42" i="1"/>
  <c r="AA42" i="1" s="1"/>
  <c r="AB18" i="1"/>
  <c r="AB24" i="1"/>
  <c r="AB49" i="1"/>
  <c r="AB36" i="1"/>
  <c r="AA36" i="1" s="1"/>
  <c r="AA30" i="1" l="1"/>
  <c r="AB31" i="1"/>
  <c r="AA31" i="1" s="1"/>
  <c r="AA49" i="1"/>
  <c r="V22" i="19" s="1"/>
  <c r="AB51" i="1"/>
  <c r="AA51" i="1" s="1"/>
  <c r="AA24" i="1"/>
  <c r="AB28" i="19" s="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4" i="1"/>
  <c r="AB45" i="1"/>
  <c r="AA45" i="1" s="1"/>
  <c r="AB46" i="1"/>
  <c r="AB52" i="1"/>
  <c r="AA52" i="1" s="1"/>
  <c r="AB53" i="1"/>
  <c r="AA53" i="1" s="1"/>
  <c r="AB32" i="1"/>
  <c r="V27" i="19" l="1"/>
  <c r="AH8" i="19"/>
  <c r="AC24" i="1"/>
  <c r="V38" i="19"/>
  <c r="P18" i="19"/>
  <c r="J18" i="19"/>
  <c r="P8" i="19"/>
  <c r="AB8" i="19"/>
  <c r="AH18" i="19"/>
  <c r="AB18" i="19"/>
  <c r="AH38" i="19"/>
  <c r="AB38" i="19"/>
  <c r="J48" i="19"/>
  <c r="J38" i="19"/>
  <c r="V8" i="19"/>
  <c r="P28" i="19"/>
  <c r="V28" i="19"/>
  <c r="J28" i="19"/>
  <c r="V18" i="19"/>
  <c r="AH48" i="19"/>
  <c r="AB48" i="19"/>
  <c r="J8" i="19"/>
  <c r="P48" i="19"/>
  <c r="P38" i="19"/>
  <c r="V48" i="19"/>
  <c r="AH28" i="19"/>
  <c r="P47" i="19"/>
  <c r="AB26" i="1"/>
  <c r="P7" i="19"/>
  <c r="AH17" i="19"/>
  <c r="V37" i="19"/>
  <c r="J7" i="19"/>
  <c r="AB17" i="19"/>
  <c r="P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2" i="1"/>
  <c r="AB33" i="1"/>
  <c r="AB61"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62" i="1"/>
  <c r="AB63" i="1"/>
  <c r="AA63"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<sst xmlns="http://schemas.openxmlformats.org/spreadsheetml/2006/main" count="671" uniqueCount="397">
  <si>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</si>
  <si>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</si>
  <si>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</si>
  <si>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</si>
  <si>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</si>
  <si>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</si>
  <si>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</si>
  <si>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</si>
  <si>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</si>
  <si>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</si>
  <si>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</si>
  <si>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</si>
  <si>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</si>
  <si>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</si>
  <si>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</si>
  <si>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</si>
  <si>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</si>
  <si>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</si>
  <si>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</si>
  <si>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</si>
  <si>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</si>
  <si>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</si>
  <si>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</si>
  <si>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</si>
  <si>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</si>
  <si>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</si>
  <si>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</si>
  <si>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</si>
  <si>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</si>
  <si>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</si>
  <si>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</si>
  <si>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</si>
  <si>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</si>
  <si>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</si>
  <si>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</si>
  <si>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</si>
  <si>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</si>
  <si>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</si>
  <si>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</si>
  <si>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</si>
  <si>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</si>
  <si>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</si>
  <si>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</si>
  <si>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</si>
  <si>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</si>
  <si>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</si>
  <si>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</si>
  <si>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</si>
  <si>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</si>
  <si>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</si>
  <si>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</si>
  <si>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</si>
  <si>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</si>
  <si>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</si>
  <si>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</si>
  <si>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</si>
  <si>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</si>
  <si>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</si>
  <si>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</si>
  <si>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</si>
  <si>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</si>
  <si>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</si>
  <si>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</si>
  <si>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</si>
  <si>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</si>
  <si>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</si>
  <si>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</si>
  <si>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</si>
  <si>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</si>
  <si>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</si>
  <si>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</si>
  <si>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</si>
  <si>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</si>
  <si>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</si>
  <si>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</si>
  <si>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</si>
  <si>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</si>
  <si>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</si>
  <si>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PLANEACIÓN Y DIRECCIONAMIENTO ESTRATÉGICO</t>
  </si>
  <si>
    <t>ALCANCE:</t>
  </si>
  <si>
    <t>Inicia con la planificación de actividades referentes a: Identificación de líneas base y diagnósticos para la formulación y desarrollo de planes, programas y proyectos  institucionales,  el  establecimiento  de  políticas  públicas, la  formulación  y  actualización  de  planes,  programas  y  proyectos, la  planificación  y desarrollo del Plan de Ordenamiento Territorial-POT; continúa con la aprobación de planes parciales o de implantación, la Caracterización de la población registrada en  el SISBEN,  la revisión  general  de estratificación  socioeconómica  urbana  y rural,  la asesoría,  acompañamiento,seguimiento,  monitoreo  y cumplimiento  del  Plan  de  Desarrollo  Municipal, la  emisión  de  conceptos  de  uso  de  suelo,  expedición  de  permisos  de  intervención  y  certificaciones  de estratificación,  legalización  de  asentamientos  humanos, y la  elaboración y  presentación de  informes  de seguimiento  y  su retroalimentación a  todos los procesos, y finaliza con el tratamiento deAcciones Correctivas, Preventivas y de Mejora, y Planes de Mejoramiento planteados y/o actualizados</t>
  </si>
  <si>
    <t>OBJETIVOS ESTRATÉGICOS</t>
  </si>
  <si>
    <t>OBJETIVO DEL PROCESO</t>
  </si>
  <si>
    <t>PLANEACIÓN INSTITUCIONAL</t>
  </si>
  <si>
    <t>PUNTOS DE RIESGO EN LA CADENA DE VALOR</t>
  </si>
  <si>
    <t>Dirigir, formular, coordinar y ejecutar los planes, programas y proyectos de la administración municipal, acorde a los lineamientos nacionales, departamentales y necesidades identificadas de la comunidad, para contribuir con el bienestar y el progreso de los ciudadanos con sostenibilidad social, económica, urbana y ambiental.</t>
  </si>
  <si>
    <t>Plan Desarrollo Municipal 
Plan de Ordenamiento Territorial
Plan Anticorrupción
Planes de trabajo del MIPG</t>
  </si>
  <si>
    <t>Formulación de planes, programas, y proyectos y seguimiento a planes institucionales.</t>
  </si>
  <si>
    <t>MATRIZ DOFA</t>
  </si>
  <si>
    <t>DEBILIDADES</t>
  </si>
  <si>
    <t>AMENAZAS</t>
  </si>
  <si>
    <t>Demora en la entrega de información a nivel general</t>
  </si>
  <si>
    <t>Inestabilidad cambiaria</t>
  </si>
  <si>
    <t>Debilidad en el proceso de implementación de la Politica Gestión del Conocimiento</t>
  </si>
  <si>
    <t xml:space="preserve">Crisis económica </t>
  </si>
  <si>
    <t>Falta de planeación y gestión para el logro de compromisos adquiridos</t>
  </si>
  <si>
    <t>Disminución del recaudo de la entidad territorial</t>
  </si>
  <si>
    <t>Infraestructura tecnológica deficiente</t>
  </si>
  <si>
    <t>Alta tasa de informalidad</t>
  </si>
  <si>
    <t>La pérdida de la curva de aprendizaje por la no continuidad del personal contratista</t>
  </si>
  <si>
    <t>Crisis política y humanitaria en Venezuela</t>
  </si>
  <si>
    <t>El espacio físico de las oficinas no es adecuado para el desarrollo de las actividades propias y de atención a la comunidad</t>
  </si>
  <si>
    <t>Altos niveles de inseguridad ciudadana</t>
  </si>
  <si>
    <t>Insuficiencia de recurso humano y financiero para atender toda la problemática del Municipio</t>
  </si>
  <si>
    <t>Normas que afectan los objetivos de la institución</t>
  </si>
  <si>
    <t>Deficiente receptividad de las dependencias frente a la aplicación de instrumentos de monitoreo y seguimiento a los procesos</t>
  </si>
  <si>
    <t>Población en situación de vulnerabilidad.</t>
  </si>
  <si>
    <t xml:space="preserve">Falta de un sistema eficaz que optimice  la trazabilidad y respuesta oportuna de las PQRSD </t>
  </si>
  <si>
    <t>Polarización Política Nacional.</t>
  </si>
  <si>
    <t>Deficientes controles en la sistematización de la información que se genera en la dependencia (Pérdida de memoria institucional)</t>
  </si>
  <si>
    <t>Recortes presupuestales del orden Nacional y Departamental</t>
  </si>
  <si>
    <t xml:space="preserve">Alternancia en el trabajo </t>
  </si>
  <si>
    <t>Cambios normativos frecuentes en temas de contratación pública</t>
  </si>
  <si>
    <t>Pérdida de confianza por parte de la comunidad, hacía la institución.</t>
  </si>
  <si>
    <t>Altos niveles de población flotante de personas en situación de desplazamiento</t>
  </si>
  <si>
    <t xml:space="preserve">Deficiencia en la claridad por parte de cada área de sus competencias. </t>
  </si>
  <si>
    <t>Alteraciones en el orden público</t>
  </si>
  <si>
    <t>FORTALEZAS</t>
  </si>
  <si>
    <t>OPORTUNIDADES</t>
  </si>
  <si>
    <t>Experiencia y compromisos de los servidores públicos vinculados al proceso</t>
  </si>
  <si>
    <t>La participación de la comunidad en los procesos de planificación</t>
  </si>
  <si>
    <t>Planeación del desarrollo territorial</t>
  </si>
  <si>
    <t>La gestión preventida que realiza la Oficina de Control Interno de Gestión</t>
  </si>
  <si>
    <t>Cumplimiento en el seguimiento al Plan de Desarrollo en sus líneas de acción</t>
  </si>
  <si>
    <t>Vias de acceso</t>
  </si>
  <si>
    <t>Implementación y mejoramiento del Modelo Integrado de Planeación y Gestión - MIPG.</t>
  </si>
  <si>
    <t>Situación Geopolítica de la entidad territorial</t>
  </si>
  <si>
    <t>Política de Administración de Riesgos actualizada</t>
  </si>
  <si>
    <t>Políticas de transferencia de recursos</t>
  </si>
  <si>
    <t>Empoderamiento, responsabilidad y compromiso por el líder del proceso Planeación Estratégica</t>
  </si>
  <si>
    <t>Reconocimiento de la atención de calidad brindada por los servidores públicos</t>
  </si>
  <si>
    <t>Conocimiento del desarrollo de los procesos</t>
  </si>
  <si>
    <t>Buena posición en el ranking de ciudades prósperas de Colombia</t>
  </si>
  <si>
    <t>Identificación del patrimonio inmobiliario del municipio.</t>
  </si>
  <si>
    <t>Desarrollo e implementacion de plataformas tecnológicas que facilitan las actividades laborales</t>
  </si>
  <si>
    <t>Capacitación y mejoramiento de procesos por parte de funcionarios</t>
  </si>
  <si>
    <t>Buenas prácticas bajo lineamientos del Departamento Nacional de Planeación y Departamento Administrativo de la Función Pública.</t>
  </si>
  <si>
    <t>Herramientas de planificación dinámicas para el seguimiento y monitoreo de planes institucionales</t>
  </si>
  <si>
    <t xml:space="preserve">Medios de transporte </t>
  </si>
  <si>
    <t>Trabajo en equipo y excelentes relaciones interpersonales</t>
  </si>
  <si>
    <t xml:space="preserve">Gestión en habilidades comportamentales o conductuales para los servidores públicos. </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</si>
  <si>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</si>
  <si>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</si>
  <si>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</si>
  <si>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</si>
  <si>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</si>
  <si>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</si>
  <si>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</si>
  <si>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</si>
  <si>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</si>
  <si>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</si>
  <si>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</si>
  <si>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</si>
  <si>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</si>
  <si>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</si>
  <si>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</si>
  <si>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</si>
  <si>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</si>
  <si>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</si>
  <si>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</si>
  <si>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</si>
  <si>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</si>
  <si>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</si>
  <si>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</si>
  <si>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</si>
  <si>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</si>
  <si>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</si>
  <si>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</si>
  <si>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</si>
  <si>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</si>
  <si>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</si>
  <si>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</si>
  <si>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</si>
  <si>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</si>
  <si>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</si>
  <si>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</si>
  <si>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</si>
  <si>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</si>
  <si>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</si>
  <si>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</si>
  <si>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Posibilidad de afectación reputacional por posibles investigaciones y sanciones disciplinarias por entes de control, debido al incumplimiento en la entrega del documento del Plan de Desarrollo al Concejo Municipal en los plazos establecidos en la ley y lineamientos del orden nacional, departamental, territorial</t>
  </si>
  <si>
    <t>Ejecucion y Administracion de procesos</t>
  </si>
  <si>
    <t xml:space="preserve">     El riesgo afecta la imagen de de la entidad con efecto publicitario sostenido a nivel de sector administrativo, nivel departamental o municipal</t>
  </si>
  <si>
    <t xml:space="preserve">La Secretaria de Planeación Municipal y el equipo de formulador del  Plan de Desarrollo Municipal 2024-2027, verifica las etapas de la formulacion en las fechas establecidas en el cronograma </t>
  </si>
  <si>
    <t>Detectivo</t>
  </si>
  <si>
    <t>Manual</t>
  </si>
  <si>
    <t>Documentado</t>
  </si>
  <si>
    <t>Continua</t>
  </si>
  <si>
    <t>Con Registro</t>
  </si>
  <si>
    <t>Reducir (mitigar)</t>
  </si>
  <si>
    <t xml:space="preserve">Realizar 1 informe de cumplimiento de las etapas de la formulacion del Plan de Desarrollo Municipal 2024-2027 en las fechas establecidas en el cronograma </t>
  </si>
  <si>
    <t>Secretaria de Planeación</t>
  </si>
  <si>
    <t>Económico y Reputacional</t>
  </si>
  <si>
    <t>Incumplimiento en las normas vigentes en las diferentes etapas de la contratación (precontractual, contractual y postcontractual) que puedan afectar la obtención y cumplimiento del objeto contractual</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</si>
  <si>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</si>
  <si>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 xml:space="preserve">     El riesgo afecta la imagen de la entidad con algunos usuarios de relevancia frente al logro de los objetivos</t>
  </si>
  <si>
    <t>Preventivo</t>
  </si>
  <si>
    <t xml:space="preserve">Profesional de Contratación </t>
  </si>
  <si>
    <t>Económico</t>
  </si>
  <si>
    <t xml:space="preserve">Incumplimiento de requisitos mínimos en la presentación de proyectos de inversión por parte de las oficinas gestoras. </t>
  </si>
  <si>
    <t>Posibilidad de afectación económica por investigaciones disciplinarias y sanciones por entes de control debido al incumplimiento de requisitos mínimos en la presentación de proyectos de inversión por parte de las oficinas gestoras</t>
  </si>
  <si>
    <t xml:space="preserve">     Entre 10 y 50 SMLMV </t>
  </si>
  <si>
    <t>El profesional del Banco de Proyectos, realiza la revisión técnico - documental del proyecto de inversión, verificando el cumplimiento de los requisitos sectoriales (Ley 2056 de 2020, Decreto reglamentario 1821 de 2020 y demás normas transitorias) y descritos en el formato F-DPM-1210-238,37-016 Ficha de verificación de requisitos.</t>
  </si>
  <si>
    <t>Realizar una (1) jornada semestral de socialización de formulación y seguimiento en proyectos de inversión</t>
  </si>
  <si>
    <t>Líder del Banco de Proyectos</t>
  </si>
  <si>
    <t xml:space="preserve">El profesional con el rol de control de formulación y viabilidad, verifica los requisitos y viabilidad metodológica de proyectos en la plataforma Sistema Unificado de Inversión y Finanzas Públicas - SUIFP </t>
  </si>
  <si>
    <t>Expedir el 100% de las certificaciones del Banco de Proyectos, una vez realizado el proceso de registros y ajustes de los proyectos de inversión</t>
  </si>
  <si>
    <t xml:space="preserve">El profesional responsable del seguimiento verifica la informacion registrada del avance (fisico, financiero y de gestion) del proyecto a traves de la plataforma "Seguimiento de Inversion Publica SPI-DNP" </t>
  </si>
  <si>
    <t>Realizar un seguimiento trimetral a la informacion registrada del avance (fisico, financiero y de gestion) del proyecto a traves de la plataforma "Seguimiento de Inversion Publica SPI-DNP"</t>
  </si>
  <si>
    <t>debilidades en el seguimiento y control de los requisitos mínimos en la presentación y ejecución de proyectos de presupuestos participativos</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</si>
  <si>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</si>
  <si>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Los profesionales del equipo facilitador de Presupuestos Participativos, verifican los requisitos de los proyectos priorizados para cada vigencia de acuerdo con lo establecido en la normatividad vigente y en los formatos ACTA ASAMBLEA DE RESIDENTES PARA GENERAR EL ACUERDO DE BARRIO O VEREDA F-DPM-1210-238,37-017; ACTA REUNIÓN CERRADA PARA GENERAR EL ACUERDO DE COMUNA O CORREGIMIENTO F-DPM-1210-238,37-019.</t>
  </si>
  <si>
    <t>Realizar un (1) informe anual de cumplimiento de requisitos en los proyectos priorizados, ante el Comité Técnico de Presupuestos Participativos</t>
  </si>
  <si>
    <t>Profesional de Presupuestos Participativos</t>
  </si>
  <si>
    <t>Los profesionales del equipo facilitador de Presupuestos Participativos verifica el estado de avance físico y presupuestal de la ejecución del proyecto mediante la herramienta de seguimiento y control de la Estrategia de Presupuestos Participativos de la administración municipal</t>
  </si>
  <si>
    <t>Realizar 4 seguimientos al cumplimiento de la ejecución de la Estrategia de Presupuestos Participativos de la administración municipal de acuerdo con la herramienta elaborada por el equipo de Presupuestos Participativos</t>
  </si>
  <si>
    <t>Investigaciones disciplinarias y sanciones por entes de control; y demandas de los peticionarios</t>
  </si>
  <si>
    <t xml:space="preserve">Incumplimiento de los tiempos de respuesta a las solicitudes asignadas a la Secretaría de Planeación por deficiencias en la trazabilidad de la información </t>
  </si>
  <si>
    <t xml:space="preserve">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 </t>
  </si>
  <si>
    <t>El Enlace designado para la administración de la plataforma Sistema Gestión de Solicitudes del Ciudadano - GSC de la Secretaría de Planeación verifica que las solicitudes internas y externas, se resuelvan dentro de los términos dispuestos por la ley a través de la plataforma</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</si>
  <si>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</si>
  <si>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</si>
  <si>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2/001/2024</t>
  </si>
  <si>
    <t>Debido a la desactualización de la información catastral básica para mantener los procesos de  actualización de estratos a nivel urbano y rural del municipio</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</si>
  <si>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</si>
  <si>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El coordinador del Grupo de Estratificación revisa y actualiza la información catastral de los predios urbanos y rurales del municipio, teniendo en cuenta la información remitida por parte del ente catastral de acuerdo con la normatividad vigente</t>
  </si>
  <si>
    <t xml:space="preserve">Realizar y radicar una (1) solicitud semestral a la autoridad catastral sobre la necesidad de la entrega oportuna de la información actualizada de los predios urbanos y rurales del municipio </t>
  </si>
  <si>
    <t>Secretario de Planeación y Coordinador del Grupo de Estratificación</t>
  </si>
  <si>
    <t>Revisar y actualizar semestralmente la base de datos de acuerdo con las novedades que se presenten en cada periodo</t>
  </si>
  <si>
    <t>Coordinador GES</t>
  </si>
  <si>
    <t xml:space="preserve">Posibles investigaciones de entes de control y pérdida de confianza y credibilidad </t>
  </si>
  <si>
    <t xml:space="preserve">Deficiente información técnica en factores de amenaza y riesgo que reposa en el municipio, genera demora en la respuesta de las solicitudes de legalización de asentamientos </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</si>
  <si>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</si>
  <si>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Profesional encargado</t>
  </si>
  <si>
    <t>Disminución de recursos por parte del sistema general de participación, para la implementación y ejecución de los programas sociales en el ente territorial  y suspensión de la publicación de la base de datos por parte del DNP</t>
  </si>
  <si>
    <t xml:space="preserve">Debido a la falta de claridad por parte del personal del Grupo SISBEN en cuanto a los conceptos técnicos y normativos establecidos en el Decreto 441 de marzo de 2017 del DNP y normas que lo complemente y/o modifiquen </t>
  </si>
  <si>
    <t xml:space="preserve">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 </t>
  </si>
  <si>
    <t xml:space="preserve">El Coordinador del SISBEN verifica que el personal adscrito al SISBEN esté capacitado en cuanto a los conceptos técnicos y normativos establecidos en el Decreto 441 de marzo de 2017 del DNP y normas que lo complemente y/o modifiquen </t>
  </si>
  <si>
    <t>Coordinador Sisben</t>
  </si>
  <si>
    <t>Realizar un seguimiento mensual al proceso de aplicación de encuestas adelantado por la oficina SISBEN</t>
  </si>
  <si>
    <t>Investigaciones disciplinarias y sanciones por entes de control.</t>
  </si>
  <si>
    <t>Incumplimiento de la normatividad archivística en los documentos emanados de la Secretaría de Planeación</t>
  </si>
  <si>
    <t>Posibilidad de afectación reputacional por posibles investigaciones y sanciones disciplinarias por entes de control, debido al incumplimiento de la Ley 594 del 2000 en los documentos emanados por la Secretaría de Planeación</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</si>
  <si>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</si>
  <si>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de Planeación en los tiempos establecidos en el cronograma del  Archivo Central</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</si>
  <si>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</si>
  <si>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</si>
  <si>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</si>
  <si>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Moderado</t>
  </si>
  <si>
    <t xml:space="preserve">Profesional encargado </t>
  </si>
  <si>
    <t xml:space="preserve">Sanciones e investigaciones disciplinarias de entes de control </t>
  </si>
  <si>
    <t>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</si>
  <si>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</si>
  <si>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Posibles investigaciones, sanciones y/o condenas promovidas por entes de control</t>
  </si>
  <si>
    <t>Incumplimiento en la cobertura de las garantías que amparan los riesgos definidos en la etapa precontractual de acuerdo al Manual de Contratación M-GJ-1140-170-001</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</si>
  <si>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</si>
  <si>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La persona encargada por el ordenador del gasto realizará la verificación de los amparos exigidos en los contratos suscritos en la Secretaría de Planeación, dando aplicación al  Manual de Contratación M-GJ-1140-170-001.</t>
  </si>
  <si>
    <t xml:space="preserve">Realizar 1 seguimiento semestral a los amparos exigidos tomando una muestra aleatoria del 50% a los contratos suscritos en la Secretaría de Planeación, dando aplicación al  Manual de Contratación M-GJ-1140-170-001 </t>
  </si>
  <si>
    <t xml:space="preserve">Investigaciones y sanciones  por entes de control </t>
  </si>
  <si>
    <t>debido a la falta de seguimiento de los planes no articulados con los lineamientos del orden nacional, departamental, territorial y plan financiero</t>
  </si>
  <si>
    <t>Posibilidad de afectación reputacional por posibles investigaciones y sanciones disciplinarias por entes de control, debido a la falta de seguimiento de los planes no articulados con los lineamientos del orden nacional, departamental, territorial y plan financiero</t>
  </si>
  <si>
    <t>El profesional especializado de la Secretaría de Planeación, realiza seguimiento al Plan de Desarrollo Municipal 2024-2027, con el objetivo de verificar el avance en el cumplimiento físico de las metas y/o ejecución de recursos financieros, siguiendo los lineamientos del orden nacional y normas vigentes.</t>
  </si>
  <si>
    <t>Secretario de Planeación
Profesional Especializado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</si>
  <si>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</si>
  <si>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</si>
  <si>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</si>
  <si>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</si>
  <si>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</si>
  <si>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</si>
  <si>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</si>
  <si>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</si>
  <si>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</si>
  <si>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</si>
  <si>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</si>
  <si>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</si>
  <si>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</si>
  <si>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</si>
  <si>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</si>
  <si>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</si>
  <si>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</si>
  <si>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</si>
  <si>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</si>
  <si>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</si>
  <si>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</si>
  <si>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</si>
  <si>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</si>
  <si>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</si>
  <si>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</si>
  <si>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</si>
  <si>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</si>
  <si>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</si>
  <si>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</si>
  <si>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</si>
  <si>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</si>
  <si>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</si>
  <si>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</si>
  <si>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</si>
  <si>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</si>
  <si>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</si>
  <si>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</si>
  <si>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</si>
  <si>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</si>
  <si>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</si>
  <si>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</si>
  <si>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</si>
  <si>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</si>
  <si>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</si>
  <si>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</si>
  <si>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</si>
  <si>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</si>
  <si>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</si>
  <si>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</si>
  <si>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</si>
  <si>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</si>
  <si>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</si>
  <si>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</si>
  <si>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</si>
  <si>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</si>
  <si>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</si>
  <si>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</si>
  <si>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</si>
  <si>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</si>
  <si>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</si>
  <si>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</si>
  <si>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</si>
  <si>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</si>
  <si>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</si>
  <si>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</si>
  <si>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</si>
  <si>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</si>
  <si>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</si>
  <si>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</si>
  <si>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</si>
  <si>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</si>
  <si>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</si>
  <si>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</si>
  <si>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</si>
  <si>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</si>
  <si>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</si>
  <si>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</si>
  <si>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</si>
  <si>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</si>
  <si>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</si>
  <si>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</si>
  <si>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</si>
  <si>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</si>
  <si>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</si>
  <si>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</si>
  <si>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</si>
  <si>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</si>
  <si>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</si>
  <si>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</si>
  <si>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</si>
  <si>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</si>
  <si>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</si>
  <si>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</si>
  <si>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</si>
  <si>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</si>
  <si>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</si>
  <si>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</si>
  <si>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</si>
  <si>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</si>
  <si>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</si>
  <si>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</si>
  <si>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</si>
  <si>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</si>
  <si>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</si>
  <si>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</si>
  <si>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</si>
  <si>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</si>
  <si>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Realizar una socialización mensual al personal adscrito al SISBEN encargados de verificar el manejo de los diferentes procesos, normatividad y aplicación de la misma (Decreto 441 de marzo 2017).</t>
  </si>
  <si>
    <t>Realizar 1 seguimiento en el año al Plan de Desarrollo Municipal para verificar el avance en el cumplimiento físico de metas y ejecución de recursos financieros</t>
  </si>
  <si>
    <r>
      <t>debido al incumplimiento en la entrega del docume</t>
    </r>
    <r>
      <rPr>
        <sz val="10"/>
        <color theme="1"/>
        <rFont val="Arial Narrow"/>
        <family val="2"/>
      </rPr>
      <t>nto del Plan de Desarrollo al Concejo Municipal en los plazos establecidos en la ley y lineamientos del orden nacional, departamenta</t>
    </r>
    <r>
      <rPr>
        <sz val="11"/>
        <color theme="1"/>
        <rFont val="Arial Narrow"/>
        <family val="2"/>
      </rPr>
      <t>l, territorial</t>
    </r>
  </si>
  <si>
    <t>El grupo de profesionales encargado de revisar y verificar la información de amenaza, vulnerabilidad y riesgo conforme a los resultados de los estudios AVR realizados en el municipio de Bucaramanga, de acuerdo con las solicitudes realizadas por las diferentes entidades o la misma comunidad, se encargará de direccionarla de manera oportuna.</t>
  </si>
  <si>
    <t>Realizar un informe consolidado y/o la información compilada de los estudios AVR (54 Sectores), la cual será enviada a las diferentes entidades que les aplique por competencia. De igual manera esta información servirá como insumo eficaz para ofrecer respuesta oportuna a la comunidad.</t>
  </si>
  <si>
    <t>Realizar 1 una socialización o mesa de trabajo mensual, con las comunidades que lo solicite con el fin de verificar la pertinencia de iniciar un proceso de legalización</t>
  </si>
  <si>
    <t>Realizar 3 piezas gráficas semestral para ser divulgadas en los diferentes medios de comunicación, que incluyan la oferta de servicios del SISBEN y los puntos de atención</t>
  </si>
  <si>
    <t>Realizar reunión de trabajo mensual de seguimiento, liderada por la Secretaria de despacho con los supervisores a fin de revisar el estado de saldos pendientes de pago de las reservas presupuestales emitido por la Secretaría de Hacienda</t>
  </si>
  <si>
    <t>Realizar reunión de trabajo mensual de seguimiento, liderada por la Secretaria de despacho con los supervisores a fin de revisar el estado de los pasivos exigibles emitido por la Secretaría de Hacienda</t>
  </si>
  <si>
    <t>Depurar y sanear el 100% de los pasivos exigibles y vigencias expiradas existentes en la Secretaria de Planeación e informará a la Secretaría de Hacienda de acuerdo con la Resolución 193 de 2016 de la Contaduría General de la Nación</t>
  </si>
  <si>
    <t>Secretaria de Planeación
Profesional encargada</t>
  </si>
  <si>
    <t>Secretaria de Planeación
Supervisores
Profesional encargada presupuesto</t>
  </si>
  <si>
    <t>Secretaria de Planeación
Profesional encargada presupuesto</t>
  </si>
  <si>
    <t>debido al incumplimiento legal y contractual de pago irregular de anticipos conforme al clausulado del contrato</t>
  </si>
  <si>
    <t>Posibilidad de afectación reputacional por posibles Investigaciones y sanciones por entes de control debido al incumplimiento legal y contractual por pago irregular de anticipos conforme al clausulado del contrato</t>
  </si>
  <si>
    <t>El profesional de contratación estructurará los estudios previos y pliegos de condiciones que permita la adecuada planeación de la forma de pago de dineros a titulo de anticipo pactada en el clausulado de los contratos que se celebren</t>
  </si>
  <si>
    <t>Establecer en el 100% de los estudios previos y pliego de condiciones la forma en que se entregará el pago de dineros a titulo de anticipo</t>
  </si>
  <si>
    <t>Secretaria de Planeación
Profesional de contratación</t>
  </si>
  <si>
    <t>debido al incumplimiento de las acciones correctivas en los tiempos estipulados y plasmados en los Planes de Mejoramiento suscritos</t>
  </si>
  <si>
    <t>Posibilidad de afectación reputacional por investigaciones de entes de control debido al incumplimiento de las acciones correctivas en los tiempos estipulados y plasmados en los Planes de Mejoramiento suscritos</t>
  </si>
  <si>
    <t xml:space="preserve">Investigaciones de entes de control </t>
  </si>
  <si>
    <t xml:space="preserve">La profesional encargada revisa las acciones correctivas establecidas y plasmadas en los Planes de Mejoramiento suscritos con los entes de control, a través de seguimientos con los responsables de su cumplimiento </t>
  </si>
  <si>
    <t>Realizar  2 seguimientos a las acciones establecidas en los Planes de Mejoramiento suscritos con los entes de control</t>
  </si>
  <si>
    <t>La Secretaria de Planeación, supervisores, el profesional líder de contratación y el profesional encargado de presupuesto en la Secretaría de Planeación,  realizaran el seguimiento al presupuesto en materia de contratación, conforme al principio de planeación con el fin de evitar la constitución de reservas presupuestales a través del sistema financiero</t>
  </si>
  <si>
    <t>La Secretaria de Planeación, supervisores y el profesional encargado de presupuesto de la Secretaría de Planeación, identificaran los pasivos exigibles y/o vigencias expiradas de la Secretaría de Planeación, y mediante seguimientos realizaran la respectiva acción de depuración acorde a la normatividad vigente</t>
  </si>
  <si>
    <t>El profesional encargado de la contratación analizará el cumplimiento de las normas vigentes en las diferentes etapas de contratación (precontractual, contractual y postcontractual), de los procesos celebrados por la Secretaría de Planeación como ordenadora del gasto mediante la elaboración de un informe.</t>
  </si>
  <si>
    <t>Elaborar un informe a una muestra aleatoria al 20% de los contratos celebrados por la Secretaría de Planeación (segundo semestre) como ordenadora del gasto, donde se verifique el cumplimiento de las normas vigentes en las diferentes etapas de contratación (precontractual, contractual y postcontractual).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</si>
</sst>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79998168889431442"/>
        <bgColor indexed="64"/>
      </patternFill>
    </fill>
  </fills>
  <borders count="11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style="dashed">
        <color rgb="FFE26B0A"/>
      </left>
      <right style="dashed">
        <color rgb="FFE26B0A"/>
      </right>
      <top style="dashed">
        <color rgb="FFE26B0A"/>
      </top>
      <bottom style="dashed">
        <color rgb="FFE26B0A"/>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36">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14" fontId="50" fillId="0" borderId="2" xfId="0" applyNumberFormat="1" applyFont="1" applyBorder="1" applyAlignment="1" applyProtection="1">
      <alignment horizontal="center" vertical="center"/>
      <protection locked="0"/>
    </xf>
    <xf numFmtId="0" fontId="1" fillId="0" borderId="4" xfId="0" applyFont="1" applyBorder="1" applyAlignment="1" applyProtection="1">
      <alignment horizontal="center" textRotation="90"/>
      <protection locked="0"/>
    </xf>
    <xf numFmtId="0" fontId="50"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justify" vertical="center" wrapText="1"/>
      <protection locked="0"/>
    </xf>
    <xf numFmtId="14" fontId="1" fillId="3" borderId="2" xfId="0" applyNumberFormat="1"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0" fontId="59" fillId="3" borderId="47" xfId="0" applyFont="1" applyFill="1" applyBorder="1" applyAlignment="1">
      <alignment horizontal="center" vertical="center" wrapText="1"/>
    </xf>
    <xf numFmtId="0" fontId="3" fillId="0" borderId="114" xfId="0" applyFont="1" applyBorder="1" applyAlignment="1">
      <alignment horizontal="justify" vertical="center" wrapText="1"/>
    </xf>
    <xf numFmtId="14" fontId="3" fillId="0" borderId="114" xfId="0" applyNumberFormat="1" applyFont="1" applyBorder="1" applyAlignment="1">
      <alignment horizontal="center" vertical="center"/>
    </xf>
    <xf numFmtId="14" fontId="65" fillId="0" borderId="114" xfId="0" applyNumberFormat="1" applyFont="1" applyBorder="1" applyAlignment="1">
      <alignment horizontal="center" vertical="center"/>
    </xf>
    <xf numFmtId="14" fontId="1" fillId="0" borderId="10" xfId="0" applyNumberFormat="1" applyFont="1" applyBorder="1" applyAlignment="1" applyProtection="1">
      <alignment horizontal="center" vertical="center"/>
      <protection locked="0"/>
    </xf>
    <xf numFmtId="9" fontId="1" fillId="0" borderId="8"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0" fontId="1" fillId="0" borderId="4" xfId="0" applyFont="1" applyBorder="1" applyAlignment="1">
      <alignment horizontal="center" vertical="center"/>
    </xf>
    <xf numFmtId="0" fontId="3" fillId="18" borderId="114" xfId="0" applyFont="1" applyFill="1" applyBorder="1" applyAlignment="1">
      <alignment horizontal="justify" vertical="center" wrapText="1"/>
    </xf>
    <xf numFmtId="0" fontId="3" fillId="3" borderId="114" xfId="0" applyFont="1" applyFill="1" applyBorder="1" applyAlignment="1">
      <alignment horizontal="justify" vertical="center" wrapText="1"/>
    </xf>
    <xf numFmtId="164" fontId="1" fillId="0" borderId="5" xfId="1" applyNumberFormat="1" applyFont="1" applyBorder="1" applyAlignment="1">
      <alignment vertical="center"/>
    </xf>
    <xf numFmtId="0" fontId="6" fillId="3" borderId="2" xfId="0" applyFont="1" applyFill="1" applyBorder="1" applyAlignment="1" applyProtection="1">
      <alignment horizontal="center" vertical="center" wrapText="1"/>
      <protection locked="0"/>
    </xf>
    <xf numFmtId="0" fontId="50" fillId="3" borderId="2" xfId="0" applyFont="1" applyFill="1" applyBorder="1" applyAlignment="1" applyProtection="1">
      <alignment horizontal="justify" vertical="center" wrapText="1"/>
      <protection locked="0"/>
    </xf>
    <xf numFmtId="14" fontId="2" fillId="0" borderId="2" xfId="0" applyNumberFormat="1" applyFont="1" applyBorder="1" applyAlignment="1" applyProtection="1">
      <alignment horizontal="center" vertical="top"/>
      <protection locked="0"/>
    </xf>
    <xf numFmtId="0" fontId="6" fillId="0" borderId="5" xfId="0" applyFont="1" applyBorder="1" applyAlignment="1" applyProtection="1">
      <alignment vertical="center" wrapText="1"/>
      <protection locked="0"/>
    </xf>
    <xf numFmtId="0" fontId="1" fillId="0" borderId="5" xfId="0" applyFont="1" applyBorder="1" applyAlignment="1" applyProtection="1">
      <alignment vertical="center"/>
      <protection hidden="1"/>
    </xf>
    <xf numFmtId="0" fontId="1" fillId="0" borderId="5" xfId="0" applyFont="1" applyBorder="1" applyAlignment="1" applyProtection="1">
      <alignment vertical="center" textRotation="90"/>
      <protection locked="0"/>
    </xf>
    <xf numFmtId="9" fontId="1" fillId="0" borderId="5" xfId="0" applyNumberFormat="1" applyFont="1" applyBorder="1" applyAlignment="1" applyProtection="1">
      <alignment vertical="center"/>
      <protection hidden="1"/>
    </xf>
    <xf numFmtId="0" fontId="4" fillId="0" borderId="5" xfId="0" applyFont="1" applyBorder="1" applyAlignment="1" applyProtection="1">
      <alignment vertical="center" textRotation="90" wrapText="1"/>
      <protection hidden="1"/>
    </xf>
    <xf numFmtId="0" fontId="4" fillId="0" borderId="5" xfId="0" applyFont="1" applyBorder="1" applyAlignment="1" applyProtection="1">
      <alignment vertical="center" textRotation="90"/>
      <protection hidden="1"/>
    </xf>
    <xf numFmtId="0" fontId="6" fillId="3" borderId="10" xfId="0" applyFont="1" applyFill="1" applyBorder="1" applyAlignment="1" applyProtection="1">
      <alignment horizontal="justify" vertical="center" wrapText="1"/>
      <protection locked="0"/>
    </xf>
    <xf numFmtId="0" fontId="58" fillId="0" borderId="4"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9" fontId="1" fillId="0" borderId="8"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6" fillId="21" borderId="10" xfId="0" applyFont="1" applyFill="1" applyBorder="1" applyAlignment="1" applyProtection="1">
      <alignment horizontal="justify" vertical="center" wrapText="1"/>
      <protection locked="0"/>
    </xf>
    <xf numFmtId="0" fontId="50" fillId="20" borderId="2" xfId="0" applyFont="1" applyFill="1" applyBorder="1" applyAlignment="1" applyProtection="1">
      <alignment horizontal="justify" vertical="center" wrapText="1"/>
      <protection locked="0"/>
    </xf>
    <xf numFmtId="0" fontId="6" fillId="20" borderId="10" xfId="0" applyFont="1" applyFill="1" applyBorder="1" applyAlignment="1" applyProtection="1">
      <alignment horizontal="justify" vertical="center" wrapText="1"/>
      <protection locked="0"/>
    </xf>
    <xf numFmtId="0" fontId="6" fillId="20" borderId="2" xfId="0" applyFont="1" applyFill="1" applyBorder="1" applyAlignment="1" applyProtection="1">
      <alignment horizontal="justify" vertical="center" wrapText="1"/>
      <protection locked="0"/>
    </xf>
    <xf numFmtId="0" fontId="6" fillId="20" borderId="2" xfId="0" applyFont="1" applyFill="1" applyBorder="1" applyAlignment="1" applyProtection="1">
      <alignment horizontal="center" vertical="center" wrapText="1"/>
      <protection locked="0"/>
    </xf>
    <xf numFmtId="14" fontId="1" fillId="20" borderId="10" xfId="0" applyNumberFormat="1" applyFont="1" applyFill="1" applyBorder="1" applyAlignment="1" applyProtection="1">
      <alignment horizontal="center" vertical="center"/>
      <protection locked="0"/>
    </xf>
    <xf numFmtId="14" fontId="1" fillId="20" borderId="2" xfId="0" applyNumberFormat="1" applyFont="1" applyFill="1" applyBorder="1" applyAlignment="1" applyProtection="1">
      <alignment horizontal="center" vertical="center"/>
      <protection locked="0"/>
    </xf>
    <xf numFmtId="0" fontId="6" fillId="22" borderId="2" xfId="0" applyFont="1" applyFill="1" applyBorder="1" applyAlignment="1" applyProtection="1">
      <alignment horizontal="justify" vertical="center" wrapText="1"/>
      <protection locked="0"/>
    </xf>
    <xf numFmtId="0" fontId="50" fillId="22" borderId="2" xfId="0" applyFont="1" applyFill="1" applyBorder="1" applyAlignment="1" applyProtection="1">
      <alignment horizontal="center" vertical="center" wrapText="1"/>
      <protection locked="0"/>
    </xf>
    <xf numFmtId="14" fontId="6" fillId="22" borderId="2" xfId="0" applyNumberFormat="1" applyFont="1" applyFill="1" applyBorder="1" applyAlignment="1" applyProtection="1">
      <alignment horizontal="center" vertical="center"/>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0" fillId="18" borderId="101" xfId="0" applyFont="1" applyFill="1" applyBorder="1" applyAlignment="1">
      <alignment horizontal="left" vertical="center" wrapText="1" indent="1"/>
    </xf>
    <xf numFmtId="0" fontId="50" fillId="18" borderId="102" xfId="0" applyFont="1" applyFill="1" applyBorder="1" applyAlignment="1">
      <alignment horizontal="left" vertical="center" wrapText="1" indent="1"/>
    </xf>
    <xf numFmtId="0" fontId="50"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5" fillId="0" borderId="110" xfId="0" applyFont="1" applyBorder="1" applyAlignment="1">
      <alignment horizontal="left" vertical="center" wrapText="1"/>
    </xf>
    <xf numFmtId="0" fontId="65"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65" fillId="0" borderId="110" xfId="0" applyFont="1" applyBorder="1" applyAlignment="1">
      <alignment horizontal="left" vertical="center"/>
    </xf>
    <xf numFmtId="0" fontId="65" fillId="0" borderId="38" xfId="0" applyFont="1" applyBorder="1" applyAlignment="1">
      <alignment horizontal="left" vertical="center"/>
    </xf>
    <xf numFmtId="0" fontId="65" fillId="0" borderId="108" xfId="0" applyFont="1" applyBorder="1" applyAlignment="1">
      <alignment horizontal="left" vertical="center"/>
    </xf>
    <xf numFmtId="0" fontId="65"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1" xfId="0" applyFont="1" applyBorder="1" applyAlignment="1">
      <alignment horizontal="left" wrapText="1"/>
    </xf>
    <xf numFmtId="0" fontId="65"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5" fillId="0" borderId="98" xfId="0" applyFont="1" applyBorder="1" applyAlignment="1">
      <alignment horizontal="left" wrapText="1"/>
    </xf>
    <xf numFmtId="0" fontId="65"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5" xfId="0" applyFont="1" applyBorder="1" applyAlignment="1">
      <alignment horizontal="center" vertical="top"/>
    </xf>
    <xf numFmtId="0" fontId="6" fillId="0" borderId="5" xfId="0" applyFont="1" applyBorder="1" applyAlignment="1" applyProtection="1">
      <alignment horizontal="justify" vertical="center" wrapText="1"/>
      <protection locked="0"/>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3"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 fillId="20" borderId="4" xfId="0" applyFont="1" applyFill="1" applyBorder="1" applyAlignment="1" applyProtection="1">
      <alignment horizontal="center" vertical="center" wrapText="1"/>
      <protection locked="0"/>
    </xf>
    <xf numFmtId="0" fontId="2" fillId="20" borderId="8" xfId="0" applyFont="1" applyFill="1" applyBorder="1" applyAlignment="1" applyProtection="1">
      <alignment horizontal="center" vertical="center" wrapText="1"/>
      <protection locked="0"/>
    </xf>
    <xf numFmtId="0" fontId="2" fillId="20" borderId="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6" fillId="3" borderId="4" xfId="0" applyFont="1" applyFill="1" applyBorder="1" applyAlignment="1" applyProtection="1">
      <alignment horizontal="justify" vertical="center" wrapText="1"/>
      <protection locked="0"/>
    </xf>
    <xf numFmtId="0" fontId="6" fillId="3" borderId="8" xfId="0" applyFont="1" applyFill="1" applyBorder="1" applyAlignment="1" applyProtection="1">
      <alignment horizontal="justify"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36" fillId="3" borderId="6" xfId="0" applyFont="1" applyFill="1" applyBorder="1" applyAlignment="1" applyProtection="1">
      <alignment horizontal="left" vertical="center" wrapText="1"/>
      <protection locked="0"/>
    </xf>
    <xf numFmtId="0" fontId="36" fillId="3" borderId="10"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 fillId="3" borderId="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wrapText="1"/>
      <protection locked="0"/>
    </xf>
    <xf numFmtId="0" fontId="2" fillId="3" borderId="113"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50" fillId="20" borderId="4" xfId="0" applyFont="1" applyFill="1" applyBorder="1" applyAlignment="1" applyProtection="1">
      <alignment horizontal="justify" vertical="center" wrapText="1"/>
      <protection locked="0"/>
    </xf>
    <xf numFmtId="0" fontId="50" fillId="20" borderId="5" xfId="0" applyFont="1" applyFill="1" applyBorder="1" applyAlignment="1" applyProtection="1">
      <alignment horizontal="justify"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73">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6A1B9785-0952-48C7-961F-6CA73ACE2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264" t="s">
        <v>0</v>
      </c>
      <c r="C2" s="265"/>
      <c r="D2" s="265"/>
      <c r="E2" s="265"/>
      <c r="F2" s="265"/>
      <c r="G2" s="265"/>
      <c r="H2" s="266"/>
    </row>
    <row r="3" spans="1:8" x14ac:dyDescent="0.25">
      <c r="B3" s="118"/>
      <c r="C3" s="119"/>
      <c r="D3" s="119"/>
      <c r="E3" s="119"/>
      <c r="F3" s="119"/>
      <c r="G3" s="119"/>
      <c r="H3" s="120"/>
    </row>
    <row r="4" spans="1:8" ht="63" customHeight="1" x14ac:dyDescent="0.25">
      <c r="B4" s="267" t="s">
        <v>1</v>
      </c>
      <c r="C4" s="268"/>
      <c r="D4" s="268"/>
      <c r="E4" s="268"/>
      <c r="F4" s="268"/>
      <c r="G4" s="268"/>
      <c r="H4" s="269"/>
    </row>
    <row r="5" spans="1:8" ht="63" customHeight="1" x14ac:dyDescent="0.25">
      <c r="B5" s="270"/>
      <c r="C5" s="271"/>
      <c r="D5" s="271"/>
      <c r="E5" s="271"/>
      <c r="F5" s="271"/>
      <c r="G5" s="271"/>
      <c r="H5" s="272"/>
    </row>
    <row r="6" spans="1:8" ht="16.5" x14ac:dyDescent="0.25">
      <c r="A6" s="121"/>
      <c r="B6" s="273" t="s">
        <v>2</v>
      </c>
      <c r="C6" s="274"/>
      <c r="D6" s="274"/>
      <c r="E6" s="274"/>
      <c r="F6" s="274"/>
      <c r="G6" s="274"/>
      <c r="H6" s="275"/>
    </row>
    <row r="7" spans="1:8" ht="95.25" customHeight="1" x14ac:dyDescent="0.25">
      <c r="A7" s="121"/>
      <c r="B7" s="276" t="s">
        <v>3</v>
      </c>
      <c r="C7" s="276"/>
      <c r="D7" s="276"/>
      <c r="E7" s="276"/>
      <c r="F7" s="276"/>
      <c r="G7" s="276"/>
      <c r="H7" s="277"/>
    </row>
    <row r="8" spans="1:8" ht="16.5" x14ac:dyDescent="0.25">
      <c r="A8" s="121"/>
      <c r="B8" s="122"/>
      <c r="C8" s="123"/>
      <c r="D8" s="123"/>
      <c r="E8" s="123"/>
      <c r="F8" s="123"/>
      <c r="G8" s="123"/>
      <c r="H8" s="124"/>
    </row>
    <row r="9" spans="1:8" ht="16.5" customHeight="1" x14ac:dyDescent="0.25">
      <c r="A9" s="121"/>
      <c r="B9" s="278" t="s">
        <v>4</v>
      </c>
      <c r="C9" s="278"/>
      <c r="D9" s="278"/>
      <c r="E9" s="278"/>
      <c r="F9" s="278"/>
      <c r="G9" s="278"/>
      <c r="H9" s="279"/>
    </row>
    <row r="10" spans="1:8" ht="16.5" customHeight="1" x14ac:dyDescent="0.25">
      <c r="A10" s="121"/>
      <c r="B10" s="278"/>
      <c r="C10" s="278"/>
      <c r="D10" s="278"/>
      <c r="E10" s="278"/>
      <c r="F10" s="278"/>
      <c r="G10" s="278"/>
      <c r="H10" s="279"/>
    </row>
    <row r="11" spans="1:8" ht="11.65" customHeight="1" x14ac:dyDescent="0.25">
      <c r="A11" s="121"/>
      <c r="B11" s="278"/>
      <c r="C11" s="278"/>
      <c r="D11" s="278"/>
      <c r="E11" s="278"/>
      <c r="F11" s="278"/>
      <c r="G11" s="278"/>
      <c r="H11" s="279"/>
    </row>
    <row r="12" spans="1:8" ht="11.65" customHeight="1" thickBot="1" x14ac:dyDescent="0.3">
      <c r="A12" s="121"/>
      <c r="B12" s="125"/>
      <c r="C12" s="125"/>
      <c r="D12" s="125"/>
      <c r="E12" s="125"/>
      <c r="F12" s="125"/>
      <c r="G12" s="125"/>
      <c r="H12" s="126"/>
    </row>
    <row r="13" spans="1:8" ht="15.4" customHeight="1" thickTop="1" x14ac:dyDescent="0.25">
      <c r="A13" s="121"/>
      <c r="B13" s="125"/>
      <c r="C13" s="263" t="s">
        <v>5</v>
      </c>
      <c r="D13" s="256"/>
      <c r="E13" s="257" t="s">
        <v>6</v>
      </c>
      <c r="F13" s="258"/>
      <c r="G13" s="125"/>
      <c r="H13" s="126"/>
    </row>
    <row r="14" spans="1:8" ht="11.65" customHeight="1" x14ac:dyDescent="0.25">
      <c r="A14" s="121"/>
      <c r="B14" s="125"/>
      <c r="C14" s="244" t="s">
        <v>7</v>
      </c>
      <c r="D14" s="245"/>
      <c r="E14" s="246" t="s">
        <v>8</v>
      </c>
      <c r="F14" s="241"/>
      <c r="G14" s="125"/>
      <c r="H14" s="126"/>
    </row>
    <row r="15" spans="1:8" ht="11.65" customHeight="1" x14ac:dyDescent="0.25">
      <c r="A15" s="121"/>
      <c r="B15" s="125"/>
      <c r="C15" s="244" t="s">
        <v>9</v>
      </c>
      <c r="D15" s="245"/>
      <c r="E15" s="246" t="s">
        <v>10</v>
      </c>
      <c r="F15" s="241"/>
      <c r="G15" s="125"/>
      <c r="H15" s="126"/>
    </row>
    <row r="16" spans="1:8" ht="11.65" customHeight="1" x14ac:dyDescent="0.25">
      <c r="A16" s="121"/>
      <c r="B16" s="125"/>
      <c r="C16" s="244" t="s">
        <v>11</v>
      </c>
      <c r="D16" s="245"/>
      <c r="E16" s="246" t="s">
        <v>12</v>
      </c>
      <c r="F16" s="241"/>
      <c r="G16" s="125"/>
      <c r="H16" s="126"/>
    </row>
    <row r="17" spans="1:8" ht="13.5" customHeight="1" x14ac:dyDescent="0.25">
      <c r="A17" s="121"/>
      <c r="B17" s="125"/>
      <c r="C17" s="244" t="s">
        <v>13</v>
      </c>
      <c r="D17" s="245"/>
      <c r="E17" s="246" t="s">
        <v>14</v>
      </c>
      <c r="F17" s="241"/>
      <c r="G17" s="125"/>
      <c r="H17" s="127"/>
    </row>
    <row r="18" spans="1:8" ht="12.4" customHeight="1" x14ac:dyDescent="0.25">
      <c r="A18" s="121"/>
      <c r="B18" s="125"/>
      <c r="C18" s="244" t="s">
        <v>15</v>
      </c>
      <c r="D18" s="245"/>
      <c r="E18" s="247" t="s">
        <v>16</v>
      </c>
      <c r="F18" s="241"/>
      <c r="G18" s="125"/>
      <c r="H18" s="126"/>
    </row>
    <row r="19" spans="1:8" ht="24" customHeight="1" thickBot="1" x14ac:dyDescent="0.3">
      <c r="A19" s="121"/>
      <c r="B19" s="125"/>
      <c r="C19" s="248" t="s">
        <v>17</v>
      </c>
      <c r="D19" s="249"/>
      <c r="E19" s="250" t="s">
        <v>18</v>
      </c>
      <c r="F19" s="251"/>
      <c r="G19" s="125"/>
      <c r="H19" s="126"/>
    </row>
    <row r="20" spans="1:8" ht="11.65" customHeight="1" thickTop="1" x14ac:dyDescent="0.25">
      <c r="A20" s="121"/>
      <c r="B20" s="125"/>
      <c r="C20" s="128"/>
      <c r="D20" s="128"/>
      <c r="E20" s="128"/>
      <c r="F20" s="128"/>
      <c r="G20" s="125"/>
      <c r="H20" s="126"/>
    </row>
    <row r="21" spans="1:8" ht="27.4" customHeight="1" thickBot="1" x14ac:dyDescent="0.3">
      <c r="A21" s="121"/>
      <c r="B21" s="252" t="s">
        <v>19</v>
      </c>
      <c r="C21" s="253"/>
      <c r="D21" s="253"/>
      <c r="E21" s="253"/>
      <c r="F21" s="253"/>
      <c r="G21" s="253"/>
      <c r="H21" s="254"/>
    </row>
    <row r="22" spans="1:8" ht="15.75" thickTop="1" x14ac:dyDescent="0.25">
      <c r="A22" s="121"/>
      <c r="B22" s="129"/>
      <c r="C22" s="255" t="s">
        <v>5</v>
      </c>
      <c r="D22" s="256"/>
      <c r="E22" s="257" t="s">
        <v>6</v>
      </c>
      <c r="F22" s="258"/>
      <c r="G22" s="128"/>
      <c r="H22" s="130"/>
    </row>
    <row r="23" spans="1:8" ht="13.5" customHeight="1" x14ac:dyDescent="0.25">
      <c r="A23" s="121"/>
      <c r="B23" s="131"/>
      <c r="C23" s="259" t="s">
        <v>7</v>
      </c>
      <c r="D23" s="260"/>
      <c r="E23" s="261" t="s">
        <v>8</v>
      </c>
      <c r="F23" s="262"/>
      <c r="G23" s="132"/>
      <c r="H23" s="133"/>
    </row>
    <row r="24" spans="1:8" ht="13.5" customHeight="1" x14ac:dyDescent="0.25">
      <c r="A24" s="121"/>
      <c r="B24" s="131"/>
      <c r="C24" s="238" t="s">
        <v>20</v>
      </c>
      <c r="D24" s="239"/>
      <c r="E24" s="240" t="s">
        <v>14</v>
      </c>
      <c r="F24" s="241"/>
      <c r="G24" s="132"/>
      <c r="H24" s="133"/>
    </row>
    <row r="25" spans="1:8" ht="13.5" customHeight="1" x14ac:dyDescent="0.25">
      <c r="A25" s="121"/>
      <c r="B25" s="131"/>
      <c r="C25" s="238" t="s">
        <v>9</v>
      </c>
      <c r="D25" s="239"/>
      <c r="E25" s="240" t="s">
        <v>10</v>
      </c>
      <c r="F25" s="241"/>
      <c r="G25" s="132"/>
      <c r="H25" s="133"/>
    </row>
    <row r="26" spans="1:8" ht="22.9" customHeight="1" x14ac:dyDescent="0.25">
      <c r="A26" s="121"/>
      <c r="B26" s="131"/>
      <c r="C26" s="238" t="s">
        <v>21</v>
      </c>
      <c r="D26" s="239"/>
      <c r="E26" s="242" t="s">
        <v>22</v>
      </c>
      <c r="F26" s="243"/>
      <c r="G26" s="132"/>
      <c r="H26" s="133"/>
    </row>
    <row r="27" spans="1:8" ht="69.75" customHeight="1" x14ac:dyDescent="0.25">
      <c r="A27" s="121"/>
      <c r="B27" s="131"/>
      <c r="C27" s="229" t="s">
        <v>23</v>
      </c>
      <c r="D27" s="237"/>
      <c r="E27" s="230" t="s">
        <v>24</v>
      </c>
      <c r="F27" s="231"/>
      <c r="G27" s="132"/>
      <c r="H27" s="134"/>
    </row>
    <row r="28" spans="1:8" ht="34.5" customHeight="1" x14ac:dyDescent="0.25">
      <c r="B28" s="135"/>
      <c r="C28" s="236" t="s">
        <v>25</v>
      </c>
      <c r="D28" s="237"/>
      <c r="E28" s="230" t="s">
        <v>26</v>
      </c>
      <c r="F28" s="231"/>
      <c r="G28" s="132"/>
      <c r="H28" s="134"/>
    </row>
    <row r="29" spans="1:8" ht="27.75" customHeight="1" x14ac:dyDescent="0.25">
      <c r="B29" s="135"/>
      <c r="C29" s="236" t="s">
        <v>27</v>
      </c>
      <c r="D29" s="237"/>
      <c r="E29" s="230" t="s">
        <v>28</v>
      </c>
      <c r="F29" s="231"/>
      <c r="G29" s="132"/>
      <c r="H29" s="134"/>
    </row>
    <row r="30" spans="1:8" ht="28.5" customHeight="1" x14ac:dyDescent="0.25">
      <c r="B30" s="135"/>
      <c r="C30" s="236" t="s">
        <v>29</v>
      </c>
      <c r="D30" s="237"/>
      <c r="E30" s="230" t="s">
        <v>30</v>
      </c>
      <c r="F30" s="231"/>
      <c r="G30" s="132"/>
      <c r="H30" s="134"/>
    </row>
    <row r="31" spans="1:8" ht="72.75" customHeight="1" x14ac:dyDescent="0.25">
      <c r="B31" s="135"/>
      <c r="C31" s="236" t="s">
        <v>31</v>
      </c>
      <c r="D31" s="237"/>
      <c r="E31" s="230" t="s">
        <v>32</v>
      </c>
      <c r="F31" s="231"/>
      <c r="G31" s="132"/>
      <c r="H31" s="134"/>
    </row>
    <row r="32" spans="1:8" ht="64.5" customHeight="1" x14ac:dyDescent="0.25">
      <c r="B32" s="135"/>
      <c r="C32" s="236" t="s">
        <v>33</v>
      </c>
      <c r="D32" s="237"/>
      <c r="E32" s="230" t="s">
        <v>34</v>
      </c>
      <c r="F32" s="231"/>
      <c r="G32" s="132"/>
      <c r="H32" s="134"/>
    </row>
    <row r="33" spans="2:8" ht="71.25" customHeight="1" x14ac:dyDescent="0.25">
      <c r="B33" s="135"/>
      <c r="C33" s="228" t="s">
        <v>35</v>
      </c>
      <c r="D33" s="229"/>
      <c r="E33" s="230" t="s">
        <v>36</v>
      </c>
      <c r="F33" s="231"/>
      <c r="G33" s="132"/>
      <c r="H33" s="134"/>
    </row>
    <row r="34" spans="2:8" ht="55.5" customHeight="1" x14ac:dyDescent="0.25">
      <c r="B34" s="135"/>
      <c r="C34" s="228" t="s">
        <v>37</v>
      </c>
      <c r="D34" s="229"/>
      <c r="E34" s="230" t="s">
        <v>38</v>
      </c>
      <c r="F34" s="231"/>
      <c r="G34" s="132"/>
      <c r="H34" s="134"/>
    </row>
    <row r="35" spans="2:8" ht="42" customHeight="1" x14ac:dyDescent="0.25">
      <c r="B35" s="135"/>
      <c r="C35" s="228" t="s">
        <v>39</v>
      </c>
      <c r="D35" s="229"/>
      <c r="E35" s="230" t="s">
        <v>40</v>
      </c>
      <c r="F35" s="231"/>
      <c r="G35" s="132"/>
      <c r="H35" s="134"/>
    </row>
    <row r="36" spans="2:8" ht="59.25" customHeight="1" x14ac:dyDescent="0.25">
      <c r="B36" s="135"/>
      <c r="C36" s="228" t="s">
        <v>41</v>
      </c>
      <c r="D36" s="229"/>
      <c r="E36" s="230" t="s">
        <v>42</v>
      </c>
      <c r="F36" s="231"/>
      <c r="G36" s="132"/>
      <c r="H36" s="134"/>
    </row>
    <row r="37" spans="2:8" ht="23.25" customHeight="1" x14ac:dyDescent="0.25">
      <c r="B37" s="135"/>
      <c r="C37" s="228" t="s">
        <v>43</v>
      </c>
      <c r="D37" s="229"/>
      <c r="E37" s="230" t="s">
        <v>44</v>
      </c>
      <c r="F37" s="231"/>
      <c r="G37" s="132"/>
      <c r="H37" s="134"/>
    </row>
    <row r="38" spans="2:8" ht="30.75" customHeight="1" x14ac:dyDescent="0.25">
      <c r="B38" s="135"/>
      <c r="C38" s="228" t="s">
        <v>45</v>
      </c>
      <c r="D38" s="229"/>
      <c r="E38" s="230" t="s">
        <v>46</v>
      </c>
      <c r="F38" s="231"/>
      <c r="G38" s="132"/>
      <c r="H38" s="134"/>
    </row>
    <row r="39" spans="2:8" ht="35.25" customHeight="1" x14ac:dyDescent="0.25">
      <c r="B39" s="135"/>
      <c r="C39" s="228" t="s">
        <v>45</v>
      </c>
      <c r="D39" s="229"/>
      <c r="E39" s="230" t="s">
        <v>46</v>
      </c>
      <c r="F39" s="231"/>
      <c r="G39" s="132"/>
      <c r="H39" s="134"/>
    </row>
    <row r="40" spans="2:8" ht="33" customHeight="1" x14ac:dyDescent="0.25">
      <c r="B40" s="135"/>
      <c r="C40" s="228" t="s">
        <v>47</v>
      </c>
      <c r="D40" s="229"/>
      <c r="E40" s="230" t="s">
        <v>48</v>
      </c>
      <c r="F40" s="231"/>
      <c r="G40" s="132"/>
      <c r="H40" s="134"/>
    </row>
    <row r="41" spans="2:8" ht="30" customHeight="1" x14ac:dyDescent="0.25">
      <c r="B41" s="135"/>
      <c r="C41" s="228" t="s">
        <v>49</v>
      </c>
      <c r="D41" s="229"/>
      <c r="E41" s="230" t="s">
        <v>50</v>
      </c>
      <c r="F41" s="231"/>
      <c r="G41" s="132"/>
      <c r="H41" s="134"/>
    </row>
    <row r="42" spans="2:8" ht="35.25" customHeight="1" x14ac:dyDescent="0.25">
      <c r="B42" s="135"/>
      <c r="C42" s="228" t="s">
        <v>51</v>
      </c>
      <c r="D42" s="229"/>
      <c r="E42" s="230" t="s">
        <v>52</v>
      </c>
      <c r="F42" s="231"/>
      <c r="G42" s="132"/>
      <c r="H42" s="134"/>
    </row>
    <row r="43" spans="2:8" ht="31.5" customHeight="1" x14ac:dyDescent="0.25">
      <c r="B43" s="135"/>
      <c r="C43" s="228" t="s">
        <v>53</v>
      </c>
      <c r="D43" s="229"/>
      <c r="E43" s="230" t="s">
        <v>54</v>
      </c>
      <c r="F43" s="231"/>
      <c r="G43" s="132"/>
      <c r="H43" s="134"/>
    </row>
    <row r="44" spans="2:8" ht="54" customHeight="1" x14ac:dyDescent="0.25">
      <c r="B44" s="135"/>
      <c r="C44" s="228" t="s">
        <v>55</v>
      </c>
      <c r="D44" s="229"/>
      <c r="E44" s="230" t="s">
        <v>56</v>
      </c>
      <c r="F44" s="231"/>
      <c r="G44" s="132"/>
      <c r="H44" s="134"/>
    </row>
    <row r="45" spans="2:8" ht="59.25" customHeight="1" x14ac:dyDescent="0.25">
      <c r="B45" s="135"/>
      <c r="C45" s="228" t="s">
        <v>57</v>
      </c>
      <c r="D45" s="229"/>
      <c r="E45" s="230" t="s">
        <v>58</v>
      </c>
      <c r="F45" s="231"/>
      <c r="G45" s="132"/>
      <c r="H45" s="134"/>
    </row>
    <row r="46" spans="2:8" ht="84" customHeight="1" x14ac:dyDescent="0.25">
      <c r="B46" s="135"/>
      <c r="C46" s="228" t="s">
        <v>59</v>
      </c>
      <c r="D46" s="229"/>
      <c r="E46" s="230" t="s">
        <v>60</v>
      </c>
      <c r="F46" s="231"/>
      <c r="G46" s="132"/>
      <c r="H46" s="134"/>
    </row>
    <row r="47" spans="2:8" ht="82.5" customHeight="1" x14ac:dyDescent="0.25">
      <c r="B47" s="135"/>
      <c r="C47" s="228" t="s">
        <v>61</v>
      </c>
      <c r="D47" s="229"/>
      <c r="E47" s="230" t="s">
        <v>62</v>
      </c>
      <c r="F47" s="231"/>
      <c r="G47" s="132"/>
      <c r="H47" s="134"/>
    </row>
    <row r="48" spans="2:8" ht="46.5" customHeight="1" thickBot="1" x14ac:dyDescent="0.3">
      <c r="B48" s="135"/>
      <c r="C48" s="232"/>
      <c r="D48" s="233"/>
      <c r="E48" s="234"/>
      <c r="F48" s="235"/>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354</v>
      </c>
      <c r="E2" t="s">
        <v>198</v>
      </c>
    </row>
    <row r="3" spans="2:5" x14ac:dyDescent="0.25">
      <c r="B3" t="s">
        <v>355</v>
      </c>
      <c r="E3" t="s">
        <v>178</v>
      </c>
    </row>
    <row r="4" spans="2:5" x14ac:dyDescent="0.25">
      <c r="B4" t="s">
        <v>356</v>
      </c>
      <c r="E4" t="s">
        <v>192</v>
      </c>
    </row>
    <row r="5" spans="2:5" x14ac:dyDescent="0.25">
      <c r="B5" t="s">
        <v>189</v>
      </c>
    </row>
    <row r="8" spans="2:5" x14ac:dyDescent="0.25">
      <c r="B8" t="s">
        <v>357</v>
      </c>
    </row>
    <row r="9" spans="2:5" x14ac:dyDescent="0.25">
      <c r="B9" t="s">
        <v>358</v>
      </c>
    </row>
    <row r="10" spans="2:5" x14ac:dyDescent="0.25">
      <c r="B10" t="s">
        <v>359</v>
      </c>
    </row>
    <row r="13" spans="2:5" x14ac:dyDescent="0.25">
      <c r="B13" t="s">
        <v>360</v>
      </c>
    </row>
    <row r="14" spans="2:5" x14ac:dyDescent="0.25">
      <c r="B14" t="s">
        <v>181</v>
      </c>
    </row>
    <row r="15" spans="2:5" x14ac:dyDescent="0.25">
      <c r="B15" t="s">
        <v>361</v>
      </c>
    </row>
    <row r="16" spans="2:5" x14ac:dyDescent="0.25">
      <c r="B16" t="s">
        <v>362</v>
      </c>
    </row>
    <row r="17" spans="2:2" x14ac:dyDescent="0.25">
      <c r="B17" t="s">
        <v>363</v>
      </c>
    </row>
    <row r="18" spans="2:2" x14ac:dyDescent="0.25">
      <c r="B18" t="s">
        <v>364</v>
      </c>
    </row>
    <row r="19" spans="2:2" x14ac:dyDescent="0.25">
      <c r="B19" t="s">
        <v>365</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196</v>
      </c>
    </row>
    <row r="4" spans="1:1" x14ac:dyDescent="0.2">
      <c r="A4" s="9" t="s">
        <v>184</v>
      </c>
    </row>
    <row r="5" spans="1:1" x14ac:dyDescent="0.2">
      <c r="A5" s="9" t="s">
        <v>337</v>
      </c>
    </row>
    <row r="6" spans="1:1" x14ac:dyDescent="0.2">
      <c r="A6" s="9" t="s">
        <v>339</v>
      </c>
    </row>
    <row r="7" spans="1:1" x14ac:dyDescent="0.2">
      <c r="A7" s="9" t="s">
        <v>185</v>
      </c>
    </row>
    <row r="8" spans="1:1" x14ac:dyDescent="0.2">
      <c r="A8" s="9" t="s">
        <v>186</v>
      </c>
    </row>
    <row r="9" spans="1:1" x14ac:dyDescent="0.2">
      <c r="A9" s="9" t="s">
        <v>345</v>
      </c>
    </row>
    <row r="10" spans="1:1" x14ac:dyDescent="0.2">
      <c r="A10" s="9" t="s">
        <v>187</v>
      </c>
    </row>
    <row r="11" spans="1:1" x14ac:dyDescent="0.2">
      <c r="A11" s="9" t="s">
        <v>348</v>
      </c>
    </row>
    <row r="12" spans="1:1" x14ac:dyDescent="0.2">
      <c r="A12" s="9" t="s">
        <v>366</v>
      </c>
    </row>
    <row r="13" spans="1:1" x14ac:dyDescent="0.2">
      <c r="A13" s="9" t="s">
        <v>367</v>
      </c>
    </row>
    <row r="14" spans="1:1" x14ac:dyDescent="0.2">
      <c r="A14" s="9" t="s">
        <v>368</v>
      </c>
    </row>
    <row r="16" spans="1:1" x14ac:dyDescent="0.2">
      <c r="A16" s="9" t="s">
        <v>369</v>
      </c>
    </row>
    <row r="17" spans="1:1" x14ac:dyDescent="0.2">
      <c r="A17" s="9" t="s">
        <v>354</v>
      </c>
    </row>
    <row r="18" spans="1:1" x14ac:dyDescent="0.2">
      <c r="A18" s="9" t="s">
        <v>355</v>
      </c>
    </row>
    <row r="20" spans="1:1" x14ac:dyDescent="0.2">
      <c r="A20" s="9" t="s">
        <v>358</v>
      </c>
    </row>
    <row r="21" spans="1:1" x14ac:dyDescent="0.2">
      <c r="A21" s="9" t="s">
        <v>359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30F8-FBBC-4343-AD66-2294B8120D43}">
  <sheetPr>
    <tabColor theme="6" tint="0.39997558519241921"/>
  </sheetPr>
  <dimension ref="B1:AZ42"/>
  <sheetViews>
    <sheetView showGridLines="0" zoomScaleNormal="100" workbookViewId="0">
      <selection activeCell="F12" sqref="F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284"/>
      <c r="C2" s="287" t="s">
        <v>69</v>
      </c>
      <c r="D2" s="288"/>
      <c r="E2" s="288"/>
      <c r="F2" s="145" t="s">
        <v>70</v>
      </c>
      <c r="AZ2" s="144" t="s">
        <v>71</v>
      </c>
    </row>
    <row r="3" spans="2:52" ht="18" customHeight="1" thickBot="1" x14ac:dyDescent="0.3">
      <c r="B3" s="285"/>
      <c r="C3" s="289"/>
      <c r="D3" s="290"/>
      <c r="E3" s="290"/>
      <c r="F3" s="146" t="s">
        <v>72</v>
      </c>
      <c r="AZ3" s="144" t="s">
        <v>73</v>
      </c>
    </row>
    <row r="4" spans="2:52" ht="18" customHeight="1" thickBot="1" x14ac:dyDescent="0.3">
      <c r="B4" s="285"/>
      <c r="C4" s="289"/>
      <c r="D4" s="290"/>
      <c r="E4" s="290"/>
      <c r="F4" s="146" t="s">
        <v>74</v>
      </c>
      <c r="AZ4" s="144" t="s">
        <v>75</v>
      </c>
    </row>
    <row r="5" spans="2:52" ht="18" customHeight="1" thickBot="1" x14ac:dyDescent="0.3">
      <c r="B5" s="286"/>
      <c r="C5" s="291"/>
      <c r="D5" s="292"/>
      <c r="E5" s="292"/>
      <c r="F5" s="146" t="s">
        <v>76</v>
      </c>
      <c r="AZ5" s="147"/>
    </row>
    <row r="6" spans="2:52" ht="18" customHeight="1" thickBot="1" x14ac:dyDescent="0.3">
      <c r="B6" s="148"/>
      <c r="C6" s="149"/>
      <c r="D6" s="149"/>
      <c r="E6" s="149"/>
      <c r="F6" s="150"/>
      <c r="AZ6" s="147"/>
    </row>
    <row r="7" spans="2:52" ht="33.4" customHeight="1" x14ac:dyDescent="0.25">
      <c r="B7" s="151" t="s">
        <v>77</v>
      </c>
      <c r="C7" s="293" t="s">
        <v>78</v>
      </c>
      <c r="D7" s="294"/>
      <c r="E7" s="294"/>
      <c r="F7" s="295"/>
      <c r="AZ7" s="147"/>
    </row>
    <row r="8" spans="2:52" ht="70.5" customHeight="1" thickBot="1" x14ac:dyDescent="0.3">
      <c r="B8" s="152" t="s">
        <v>79</v>
      </c>
      <c r="C8" s="296" t="s">
        <v>80</v>
      </c>
      <c r="D8" s="297"/>
      <c r="E8" s="297"/>
      <c r="F8" s="298"/>
      <c r="AZ8" s="147"/>
    </row>
    <row r="9" spans="2:52" ht="16.5" thickBot="1" x14ac:dyDescent="0.3">
      <c r="B9" s="299"/>
      <c r="C9" s="299"/>
      <c r="D9" s="299"/>
      <c r="E9" s="299"/>
      <c r="F9" s="299"/>
    </row>
    <row r="10" spans="2:52" ht="15.6" customHeight="1" thickBot="1" x14ac:dyDescent="0.3">
      <c r="B10" s="300" t="s">
        <v>69</v>
      </c>
      <c r="C10" s="301"/>
      <c r="D10" s="301"/>
      <c r="E10" s="301"/>
      <c r="F10" s="302"/>
    </row>
    <row r="11" spans="2:52" ht="32.25" thickBot="1" x14ac:dyDescent="0.3">
      <c r="B11" s="280" t="s">
        <v>81</v>
      </c>
      <c r="C11" s="281"/>
      <c r="D11" s="182" t="s">
        <v>82</v>
      </c>
      <c r="E11" s="182" t="s">
        <v>83</v>
      </c>
      <c r="F11" s="153" t="s">
        <v>84</v>
      </c>
    </row>
    <row r="12" spans="2:52" ht="152.25" customHeight="1" thickBot="1" x14ac:dyDescent="0.3">
      <c r="B12" s="282" t="s">
        <v>71</v>
      </c>
      <c r="C12" s="283"/>
      <c r="D12" s="154" t="s">
        <v>85</v>
      </c>
      <c r="E12" s="155" t="s">
        <v>86</v>
      </c>
      <c r="F12" s="191" t="s">
        <v>87</v>
      </c>
    </row>
    <row r="14" spans="2:52" ht="18" x14ac:dyDescent="0.25">
      <c r="B14" s="311" t="s">
        <v>88</v>
      </c>
      <c r="C14" s="311"/>
      <c r="D14" s="311"/>
      <c r="E14" s="311"/>
      <c r="F14" s="311"/>
    </row>
    <row r="15" spans="2:52" ht="15.75" thickBot="1" x14ac:dyDescent="0.3">
      <c r="B15" s="156"/>
    </row>
    <row r="16" spans="2:52" ht="16.5" thickBot="1" x14ac:dyDescent="0.3">
      <c r="B16" s="312" t="s">
        <v>89</v>
      </c>
      <c r="C16" s="313"/>
      <c r="D16" s="314"/>
      <c r="E16" s="312" t="s">
        <v>90</v>
      </c>
      <c r="F16" s="314"/>
    </row>
    <row r="17" spans="2:6" ht="15" customHeight="1" x14ac:dyDescent="0.25">
      <c r="B17" s="315" t="s">
        <v>91</v>
      </c>
      <c r="C17" s="316"/>
      <c r="D17" s="317"/>
      <c r="E17" s="318" t="s">
        <v>92</v>
      </c>
      <c r="F17" s="319"/>
    </row>
    <row r="18" spans="2:6" ht="15" customHeight="1" x14ac:dyDescent="0.25">
      <c r="B18" s="303" t="s">
        <v>93</v>
      </c>
      <c r="C18" s="304"/>
      <c r="D18" s="305"/>
      <c r="E18" s="306" t="s">
        <v>94</v>
      </c>
      <c r="F18" s="307"/>
    </row>
    <row r="19" spans="2:6" ht="15" customHeight="1" x14ac:dyDescent="0.25">
      <c r="B19" s="308" t="s">
        <v>95</v>
      </c>
      <c r="C19" s="309"/>
      <c r="D19" s="310"/>
      <c r="E19" s="306" t="s">
        <v>96</v>
      </c>
      <c r="F19" s="307"/>
    </row>
    <row r="20" spans="2:6" ht="15" customHeight="1" x14ac:dyDescent="0.25">
      <c r="B20" s="308" t="s">
        <v>97</v>
      </c>
      <c r="C20" s="309"/>
      <c r="D20" s="310"/>
      <c r="E20" s="320" t="s">
        <v>98</v>
      </c>
      <c r="F20" s="321"/>
    </row>
    <row r="21" spans="2:6" ht="15" customHeight="1" x14ac:dyDescent="0.3">
      <c r="B21" s="322" t="s">
        <v>99</v>
      </c>
      <c r="C21" s="323"/>
      <c r="D21" s="324"/>
      <c r="E21" s="325" t="s">
        <v>100</v>
      </c>
      <c r="F21" s="326"/>
    </row>
    <row r="22" spans="2:6" ht="30" customHeight="1" x14ac:dyDescent="0.3">
      <c r="B22" s="322" t="s">
        <v>101</v>
      </c>
      <c r="C22" s="323"/>
      <c r="D22" s="324"/>
      <c r="E22" s="325" t="s">
        <v>102</v>
      </c>
      <c r="F22" s="326"/>
    </row>
    <row r="23" spans="2:6" ht="15" customHeight="1" x14ac:dyDescent="0.25">
      <c r="B23" s="327" t="s">
        <v>103</v>
      </c>
      <c r="C23" s="328"/>
      <c r="D23" s="329"/>
      <c r="E23" s="306" t="s">
        <v>104</v>
      </c>
      <c r="F23" s="307"/>
    </row>
    <row r="24" spans="2:6" ht="28.5" customHeight="1" x14ac:dyDescent="0.25">
      <c r="B24" s="330" t="s">
        <v>105</v>
      </c>
      <c r="C24" s="331"/>
      <c r="D24" s="326"/>
      <c r="E24" s="325" t="s">
        <v>106</v>
      </c>
      <c r="F24" s="326"/>
    </row>
    <row r="25" spans="2:6" ht="18.75" customHeight="1" x14ac:dyDescent="0.25">
      <c r="B25" s="327" t="s">
        <v>107</v>
      </c>
      <c r="C25" s="328"/>
      <c r="D25" s="329"/>
      <c r="E25" s="320" t="s">
        <v>108</v>
      </c>
      <c r="F25" s="321"/>
    </row>
    <row r="26" spans="2:6" ht="30" customHeight="1" x14ac:dyDescent="0.25">
      <c r="B26" s="308" t="s">
        <v>109</v>
      </c>
      <c r="C26" s="309"/>
      <c r="D26" s="310"/>
      <c r="E26" s="332" t="s">
        <v>110</v>
      </c>
      <c r="F26" s="333"/>
    </row>
    <row r="27" spans="2:6" ht="15" customHeight="1" x14ac:dyDescent="0.25">
      <c r="B27" s="327" t="s">
        <v>111</v>
      </c>
      <c r="C27" s="328"/>
      <c r="D27" s="329"/>
      <c r="E27" s="332" t="s">
        <v>112</v>
      </c>
      <c r="F27" s="333"/>
    </row>
    <row r="28" spans="2:6" ht="15" customHeight="1" x14ac:dyDescent="0.25">
      <c r="B28" s="327" t="s">
        <v>113</v>
      </c>
      <c r="C28" s="328"/>
      <c r="D28" s="329"/>
      <c r="E28" s="332" t="s">
        <v>114</v>
      </c>
      <c r="F28" s="333"/>
    </row>
    <row r="29" spans="2:6" ht="15" customHeight="1" x14ac:dyDescent="0.25">
      <c r="B29" s="327" t="s">
        <v>115</v>
      </c>
      <c r="C29" s="328"/>
      <c r="D29" s="329"/>
      <c r="E29" s="334" t="s">
        <v>116</v>
      </c>
      <c r="F29" s="335"/>
    </row>
    <row r="30" spans="2:6" ht="15" customHeight="1" thickBot="1" x14ac:dyDescent="0.35">
      <c r="B30" s="336"/>
      <c r="C30" s="337"/>
      <c r="D30" s="338"/>
      <c r="E30" s="339"/>
      <c r="F30" s="340"/>
    </row>
    <row r="31" spans="2:6" ht="15" customHeight="1" thickBot="1" x14ac:dyDescent="0.3">
      <c r="B31" s="341" t="s">
        <v>117</v>
      </c>
      <c r="C31" s="342"/>
      <c r="D31" s="342"/>
      <c r="E31" s="343" t="s">
        <v>118</v>
      </c>
      <c r="F31" s="344"/>
    </row>
    <row r="32" spans="2:6" ht="15.75" customHeight="1" x14ac:dyDescent="0.3">
      <c r="B32" s="345" t="s">
        <v>119</v>
      </c>
      <c r="C32" s="346"/>
      <c r="D32" s="347"/>
      <c r="E32" s="348" t="s">
        <v>120</v>
      </c>
      <c r="F32" s="349"/>
    </row>
    <row r="33" spans="2:6" ht="16.5" x14ac:dyDescent="0.3">
      <c r="B33" s="350" t="s">
        <v>121</v>
      </c>
      <c r="C33" s="351"/>
      <c r="D33" s="352"/>
      <c r="E33" s="330" t="s">
        <v>122</v>
      </c>
      <c r="F33" s="326"/>
    </row>
    <row r="34" spans="2:6" ht="16.5" x14ac:dyDescent="0.25">
      <c r="B34" s="330" t="s">
        <v>123</v>
      </c>
      <c r="C34" s="331"/>
      <c r="D34" s="326"/>
      <c r="E34" s="353" t="s">
        <v>124</v>
      </c>
      <c r="F34" s="307"/>
    </row>
    <row r="35" spans="2:6" ht="16.5" x14ac:dyDescent="0.3">
      <c r="B35" s="353" t="s">
        <v>125</v>
      </c>
      <c r="C35" s="354"/>
      <c r="D35" s="307"/>
      <c r="E35" s="355" t="s">
        <v>126</v>
      </c>
      <c r="F35" s="356"/>
    </row>
    <row r="36" spans="2:6" ht="16.5" x14ac:dyDescent="0.3">
      <c r="B36" s="353" t="s">
        <v>127</v>
      </c>
      <c r="C36" s="354"/>
      <c r="D36" s="307"/>
      <c r="E36" s="350" t="s">
        <v>128</v>
      </c>
      <c r="F36" s="352"/>
    </row>
    <row r="37" spans="2:6" ht="16.5" x14ac:dyDescent="0.25">
      <c r="B37" s="353" t="s">
        <v>129</v>
      </c>
      <c r="C37" s="354"/>
      <c r="D37" s="307"/>
      <c r="E37" s="353" t="s">
        <v>130</v>
      </c>
      <c r="F37" s="307"/>
    </row>
    <row r="38" spans="2:6" ht="16.5" x14ac:dyDescent="0.25">
      <c r="B38" s="353" t="s">
        <v>131</v>
      </c>
      <c r="C38" s="354"/>
      <c r="D38" s="307"/>
      <c r="E38" s="330" t="s">
        <v>132</v>
      </c>
      <c r="F38" s="326"/>
    </row>
    <row r="39" spans="2:6" ht="16.5" x14ac:dyDescent="0.25">
      <c r="B39" s="353" t="s">
        <v>133</v>
      </c>
      <c r="C39" s="354"/>
      <c r="D39" s="307"/>
      <c r="E39" s="330" t="s">
        <v>134</v>
      </c>
      <c r="F39" s="326"/>
    </row>
    <row r="40" spans="2:6" ht="16.5" x14ac:dyDescent="0.25">
      <c r="B40" s="330" t="s">
        <v>135</v>
      </c>
      <c r="C40" s="331"/>
      <c r="D40" s="326"/>
      <c r="E40" s="330" t="s">
        <v>136</v>
      </c>
      <c r="F40" s="326"/>
    </row>
    <row r="41" spans="2:6" ht="16.5" x14ac:dyDescent="0.3">
      <c r="B41" s="362" t="s">
        <v>137</v>
      </c>
      <c r="C41" s="363"/>
      <c r="D41" s="364"/>
      <c r="E41" s="362" t="s">
        <v>138</v>
      </c>
      <c r="F41" s="364"/>
    </row>
    <row r="42" spans="2:6" ht="17.25" thickBot="1" x14ac:dyDescent="0.35">
      <c r="B42" s="357" t="s">
        <v>139</v>
      </c>
      <c r="C42" s="358"/>
      <c r="D42" s="359"/>
      <c r="E42" s="360" t="s">
        <v>140</v>
      </c>
      <c r="F42" s="361"/>
    </row>
  </sheetData>
  <mergeCells count="63">
    <mergeCell ref="B38:D38"/>
    <mergeCell ref="E38:F38"/>
    <mergeCell ref="B42:D42"/>
    <mergeCell ref="E42:F42"/>
    <mergeCell ref="B39:D39"/>
    <mergeCell ref="E39:F39"/>
    <mergeCell ref="B40:D40"/>
    <mergeCell ref="E40:F40"/>
    <mergeCell ref="B41:D41"/>
    <mergeCell ref="E41:F41"/>
    <mergeCell ref="B35:D35"/>
    <mergeCell ref="E35:F35"/>
    <mergeCell ref="B36:D36"/>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8:D18"/>
    <mergeCell ref="E18:F18"/>
    <mergeCell ref="B19:D19"/>
    <mergeCell ref="E19:F19"/>
    <mergeCell ref="B14:F14"/>
    <mergeCell ref="B16:D16"/>
    <mergeCell ref="E16:F16"/>
    <mergeCell ref="B17:D17"/>
    <mergeCell ref="E17:F17"/>
    <mergeCell ref="B11:C11"/>
    <mergeCell ref="B12:C12"/>
    <mergeCell ref="B2:B5"/>
    <mergeCell ref="C2:E5"/>
    <mergeCell ref="C7:F7"/>
    <mergeCell ref="C8:F8"/>
    <mergeCell ref="B9:F9"/>
    <mergeCell ref="B10:F10"/>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3BE5E934-9A44-4EBC-9995-2D33E0A5481B}">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110"/>
  <sheetViews>
    <sheetView tabSelected="1" topLeftCell="V18" zoomScale="115" zoomScaleNormal="115" workbookViewId="0">
      <selection activeCell="AE18" sqref="AE18"/>
    </sheetView>
  </sheetViews>
  <sheetFormatPr baseColWidth="10" defaultColWidth="11.42578125" defaultRowHeight="16.5" x14ac:dyDescent="0.3"/>
  <cols>
    <col min="1" max="1" width="4" style="2" bestFit="1" customWidth="1"/>
    <col min="2" max="2" width="14.140625" style="2" customWidth="1"/>
    <col min="3" max="3" width="19.42578125" style="2" customWidth="1"/>
    <col min="4" max="4" width="25.5703125" style="2" customWidth="1"/>
    <col min="5" max="5" width="38.425781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85546875" style="181"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7.140625" style="18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36"/>
      <c r="B1" s="437"/>
      <c r="C1" s="437"/>
      <c r="D1" s="438"/>
      <c r="E1" s="421" t="s">
        <v>141</v>
      </c>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2"/>
      <c r="AH1" s="422"/>
      <c r="AI1" s="423"/>
      <c r="AJ1" s="416" t="s">
        <v>142</v>
      </c>
      <c r="AK1" s="417"/>
    </row>
    <row r="2" spans="1:69" ht="15" customHeight="1" x14ac:dyDescent="0.3">
      <c r="A2" s="439"/>
      <c r="B2" s="440"/>
      <c r="C2" s="440"/>
      <c r="D2" s="441"/>
      <c r="E2" s="424"/>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6"/>
      <c r="AJ2" s="418" t="s">
        <v>143</v>
      </c>
      <c r="AK2" s="419"/>
    </row>
    <row r="3" spans="1:69" ht="15" customHeight="1" x14ac:dyDescent="0.3">
      <c r="A3" s="439"/>
      <c r="B3" s="440"/>
      <c r="C3" s="440"/>
      <c r="D3" s="441"/>
      <c r="E3" s="424"/>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6"/>
      <c r="AJ3" s="418" t="s">
        <v>144</v>
      </c>
      <c r="AK3" s="420"/>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42"/>
      <c r="B4" s="443"/>
      <c r="C4" s="443"/>
      <c r="D4" s="444"/>
      <c r="E4" s="427"/>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9"/>
      <c r="AJ4" s="416" t="s">
        <v>145</v>
      </c>
      <c r="AK4" s="41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80"/>
      <c r="Q5" s="7"/>
      <c r="R5" s="7"/>
      <c r="S5" s="7"/>
      <c r="T5" s="7"/>
      <c r="U5" s="7"/>
      <c r="V5" s="7"/>
      <c r="W5" s="7"/>
      <c r="X5" s="7"/>
      <c r="Y5" s="7"/>
      <c r="Z5" s="7"/>
      <c r="AA5" s="7"/>
      <c r="AB5" s="7"/>
      <c r="AC5" s="7"/>
      <c r="AD5" s="7"/>
      <c r="AE5" s="180"/>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459" t="s">
        <v>146</v>
      </c>
      <c r="B6" s="460"/>
      <c r="C6" s="451" t="s">
        <v>78</v>
      </c>
      <c r="D6" s="452"/>
      <c r="E6" s="452"/>
      <c r="F6" s="452"/>
      <c r="G6" s="452"/>
      <c r="H6" s="452"/>
      <c r="I6" s="452"/>
      <c r="J6" s="452"/>
      <c r="K6" s="452"/>
      <c r="L6" s="452"/>
      <c r="M6" s="452"/>
      <c r="N6" s="453"/>
      <c r="O6" s="432"/>
      <c r="P6" s="432"/>
      <c r="Q6" s="432"/>
      <c r="R6" s="7"/>
      <c r="S6" s="7"/>
      <c r="T6" s="7"/>
      <c r="U6" s="7"/>
      <c r="V6" s="7"/>
      <c r="W6" s="7"/>
      <c r="X6" s="7"/>
      <c r="Y6" s="7"/>
      <c r="Z6" s="7"/>
      <c r="AA6" s="7"/>
      <c r="AB6" s="7"/>
      <c r="AC6" s="7"/>
      <c r="AD6" s="7"/>
      <c r="AE6" s="180"/>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45" customHeight="1" x14ac:dyDescent="0.3">
      <c r="A7" s="459" t="s">
        <v>147</v>
      </c>
      <c r="B7" s="460"/>
      <c r="C7" s="466" t="s">
        <v>85</v>
      </c>
      <c r="D7" s="467"/>
      <c r="E7" s="467"/>
      <c r="F7" s="467"/>
      <c r="G7" s="467"/>
      <c r="H7" s="467"/>
      <c r="I7" s="467"/>
      <c r="J7" s="467"/>
      <c r="K7" s="467"/>
      <c r="L7" s="467"/>
      <c r="M7" s="467"/>
      <c r="N7" s="468"/>
      <c r="O7" s="7"/>
      <c r="P7" s="180"/>
      <c r="Q7" s="7"/>
      <c r="R7" s="7"/>
      <c r="S7" s="7"/>
      <c r="T7" s="7"/>
      <c r="U7" s="7"/>
      <c r="V7" s="7"/>
      <c r="W7" s="7"/>
      <c r="X7" s="7"/>
      <c r="Y7" s="7"/>
      <c r="Z7" s="7"/>
      <c r="AA7" s="7"/>
      <c r="AB7" s="7"/>
      <c r="AC7" s="7"/>
      <c r="AD7" s="7"/>
      <c r="AE7" s="180"/>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83.25" customHeight="1" x14ac:dyDescent="0.3">
      <c r="A8" s="459" t="s">
        <v>148</v>
      </c>
      <c r="B8" s="460"/>
      <c r="C8" s="469" t="s">
        <v>80</v>
      </c>
      <c r="D8" s="470"/>
      <c r="E8" s="470"/>
      <c r="F8" s="470"/>
      <c r="G8" s="470"/>
      <c r="H8" s="470"/>
      <c r="I8" s="470"/>
      <c r="J8" s="470"/>
      <c r="K8" s="470"/>
      <c r="L8" s="470"/>
      <c r="M8" s="470"/>
      <c r="N8" s="471"/>
      <c r="O8" s="7"/>
      <c r="P8" s="180"/>
      <c r="Q8" s="7"/>
      <c r="R8" s="7"/>
      <c r="S8" s="7"/>
      <c r="T8" s="7"/>
      <c r="U8" s="7"/>
      <c r="V8" s="7"/>
      <c r="W8" s="7"/>
      <c r="X8" s="7"/>
      <c r="Y8" s="7"/>
      <c r="Z8" s="7"/>
      <c r="AA8" s="7"/>
      <c r="AB8" s="7"/>
      <c r="AC8" s="7"/>
      <c r="AD8" s="7"/>
      <c r="AE8" s="180"/>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433" t="s">
        <v>149</v>
      </c>
      <c r="B9" s="434"/>
      <c r="C9" s="434"/>
      <c r="D9" s="434"/>
      <c r="E9" s="434"/>
      <c r="F9" s="434"/>
      <c r="G9" s="435"/>
      <c r="H9" s="433" t="s">
        <v>150</v>
      </c>
      <c r="I9" s="434"/>
      <c r="J9" s="434"/>
      <c r="K9" s="434"/>
      <c r="L9" s="434"/>
      <c r="M9" s="434"/>
      <c r="N9" s="435"/>
      <c r="O9" s="433" t="s">
        <v>151</v>
      </c>
      <c r="P9" s="434"/>
      <c r="Q9" s="434"/>
      <c r="R9" s="434"/>
      <c r="S9" s="434"/>
      <c r="T9" s="434"/>
      <c r="U9" s="434"/>
      <c r="V9" s="434"/>
      <c r="W9" s="435"/>
      <c r="X9" s="433" t="s">
        <v>152</v>
      </c>
      <c r="Y9" s="434"/>
      <c r="Z9" s="434"/>
      <c r="AA9" s="434"/>
      <c r="AB9" s="434"/>
      <c r="AC9" s="434"/>
      <c r="AD9" s="435"/>
      <c r="AE9" s="433" t="s">
        <v>153</v>
      </c>
      <c r="AF9" s="434"/>
      <c r="AG9" s="434"/>
      <c r="AH9" s="434"/>
      <c r="AI9" s="434"/>
      <c r="AJ9" s="434"/>
      <c r="AK9" s="435"/>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461" t="s">
        <v>154</v>
      </c>
      <c r="B10" s="464" t="s">
        <v>23</v>
      </c>
      <c r="C10" s="431" t="s">
        <v>25</v>
      </c>
      <c r="D10" s="431" t="s">
        <v>27</v>
      </c>
      <c r="E10" s="463" t="s">
        <v>29</v>
      </c>
      <c r="F10" s="430" t="s">
        <v>31</v>
      </c>
      <c r="G10" s="431" t="s">
        <v>155</v>
      </c>
      <c r="H10" s="473" t="s">
        <v>156</v>
      </c>
      <c r="I10" s="474" t="s">
        <v>157</v>
      </c>
      <c r="J10" s="430" t="s">
        <v>158</v>
      </c>
      <c r="K10" s="430" t="s">
        <v>159</v>
      </c>
      <c r="L10" s="476" t="s">
        <v>160</v>
      </c>
      <c r="M10" s="474" t="s">
        <v>157</v>
      </c>
      <c r="N10" s="431" t="s">
        <v>37</v>
      </c>
      <c r="O10" s="477" t="s">
        <v>161</v>
      </c>
      <c r="P10" s="465" t="s">
        <v>39</v>
      </c>
      <c r="Q10" s="430" t="s">
        <v>41</v>
      </c>
      <c r="R10" s="465" t="s">
        <v>162</v>
      </c>
      <c r="S10" s="465"/>
      <c r="T10" s="465"/>
      <c r="U10" s="465"/>
      <c r="V10" s="465"/>
      <c r="W10" s="465"/>
      <c r="X10" s="472" t="s">
        <v>163</v>
      </c>
      <c r="Y10" s="472" t="s">
        <v>164</v>
      </c>
      <c r="Z10" s="472" t="s">
        <v>157</v>
      </c>
      <c r="AA10" s="472" t="s">
        <v>165</v>
      </c>
      <c r="AB10" s="472" t="s">
        <v>157</v>
      </c>
      <c r="AC10" s="472" t="s">
        <v>166</v>
      </c>
      <c r="AD10" s="477" t="s">
        <v>57</v>
      </c>
      <c r="AE10" s="465" t="s">
        <v>153</v>
      </c>
      <c r="AF10" s="465" t="s">
        <v>167</v>
      </c>
      <c r="AG10" s="465" t="s">
        <v>168</v>
      </c>
      <c r="AH10" s="430" t="s">
        <v>169</v>
      </c>
      <c r="AI10" s="465" t="s">
        <v>170</v>
      </c>
      <c r="AJ10" s="465" t="s">
        <v>171</v>
      </c>
      <c r="AK10" s="465"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462"/>
      <c r="B11" s="464"/>
      <c r="C11" s="465"/>
      <c r="D11" s="465"/>
      <c r="E11" s="464"/>
      <c r="F11" s="431"/>
      <c r="G11" s="465"/>
      <c r="H11" s="431"/>
      <c r="I11" s="475"/>
      <c r="J11" s="431"/>
      <c r="K11" s="431"/>
      <c r="L11" s="475"/>
      <c r="M11" s="475"/>
      <c r="N11" s="465"/>
      <c r="O11" s="478"/>
      <c r="P11" s="465"/>
      <c r="Q11" s="431"/>
      <c r="R11" s="6" t="s">
        <v>172</v>
      </c>
      <c r="S11" s="6" t="s">
        <v>173</v>
      </c>
      <c r="T11" s="6" t="s">
        <v>174</v>
      </c>
      <c r="U11" s="6" t="s">
        <v>175</v>
      </c>
      <c r="V11" s="6" t="s">
        <v>176</v>
      </c>
      <c r="W11" s="6" t="s">
        <v>177</v>
      </c>
      <c r="X11" s="472"/>
      <c r="Y11" s="472"/>
      <c r="Z11" s="472"/>
      <c r="AA11" s="472"/>
      <c r="AB11" s="472"/>
      <c r="AC11" s="472"/>
      <c r="AD11" s="478"/>
      <c r="AE11" s="465"/>
      <c r="AF11" s="465"/>
      <c r="AG11" s="465"/>
      <c r="AH11" s="431"/>
      <c r="AI11" s="465"/>
      <c r="AJ11" s="465"/>
      <c r="AK11" s="465"/>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75" customHeight="1" x14ac:dyDescent="0.25">
      <c r="A12" s="368">
        <v>1</v>
      </c>
      <c r="B12" s="365" t="s">
        <v>178</v>
      </c>
      <c r="C12" s="365" t="s">
        <v>179</v>
      </c>
      <c r="D12" s="365" t="s">
        <v>372</v>
      </c>
      <c r="E12" s="404" t="s">
        <v>180</v>
      </c>
      <c r="F12" s="365" t="s">
        <v>181</v>
      </c>
      <c r="G12" s="398">
        <v>150</v>
      </c>
      <c r="H12" s="392" t="str">
        <f>IF(G12&lt;=0,"",IF(G12&lt;=2,"Muy Baja",IF(G12&lt;=24,"Baja",IF(G12&lt;=500,"Media",IF(G12&lt;=5000,"Alta","Muy Alta")))))</f>
        <v>Media</v>
      </c>
      <c r="I12" s="389">
        <f>IF(H12="","",IF(H12="Muy Baja",0.2,IF(H12="Baja",0.4,IF(H12="Media",0.6,IF(H12="Alta",0.8,IF(H12="Muy Alta",1,))))))</f>
        <v>0.6</v>
      </c>
      <c r="J12" s="395" t="s">
        <v>182</v>
      </c>
      <c r="K12" s="395" t="s">
        <v>182</v>
      </c>
      <c r="L12" s="392" t="str">
        <f>IF(OR(K12='Tabla Impacto'!$C$11,K12='Tabla Impacto'!$D$11),"Leve",IF(OR(K12='Tabla Impacto'!$C$12,K12='Tabla Impacto'!$D$12),"Menor",IF(OR(K12='Tabla Impacto'!$C$13,K12='Tabla Impacto'!$D$13),"Moderado",IF(OR(K12='Tabla Impacto'!$C$14,K12='Tabla Impacto'!$D$14),"Mayor",IF(OR(K12='Tabla Impacto'!$C$15,K12='Tabla Impacto'!$D$15),"Catastrófico","")))))</f>
        <v>Mayor</v>
      </c>
      <c r="M12" s="389">
        <f>IF(L12="","",IF(L12="Leve",0.2,IF(L12="Menor",0.4,IF(L12="Moderado",0.6,IF(L12="Mayor",0.8,IF(L12="Catastrófico",1,))))))</f>
        <v>0.8</v>
      </c>
      <c r="N12" s="411"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199">
        <v>1</v>
      </c>
      <c r="P12" s="177" t="s">
        <v>183</v>
      </c>
      <c r="Q12" s="197" t="str">
        <f>IF(OR(R12="Preventivo",R12="Detectivo"),"Probabilidad",IF(R12="Correctivo","Impacto",""))</f>
        <v>Probabilidad</v>
      </c>
      <c r="R12" s="163" t="s">
        <v>184</v>
      </c>
      <c r="S12" s="163" t="s">
        <v>185</v>
      </c>
      <c r="T12" s="161" t="str">
        <f>IF(AND(R12="Preventivo",S12="Automático"),"50%",IF(AND(R12="Preventivo",S12="Manual"),"40%",IF(AND(R12="Detectivo",S12="Automático"),"40%",IF(AND(R12="Detectivo",S12="Manual"),"30%",IF(AND(R12="Correctivo",S12="Automático"),"35%",IF(AND(R12="Correctivo",S12="Manual"),"25%",""))))))</f>
        <v>30%</v>
      </c>
      <c r="U12" s="163" t="s">
        <v>186</v>
      </c>
      <c r="V12" s="163" t="s">
        <v>187</v>
      </c>
      <c r="W12" s="163" t="s">
        <v>188</v>
      </c>
      <c r="X12" s="198">
        <f>IFERROR(IF(Q12="Probabilidad",(I12-(+I12*T12)),IF(Q12="Impacto",I12,"")),"")</f>
        <v>0.42</v>
      </c>
      <c r="Y12" s="213" t="str">
        <f>IFERROR(IF(X12="","",IF(X12&lt;=0.2,"Muy Baja",IF(X12&lt;=0.4,"Baja",IF(X12&lt;=0.6,"Media",IF(X12&lt;=0.8,"Alta","Muy Alta"))))),"")</f>
        <v>Media</v>
      </c>
      <c r="Z12" s="161">
        <f>+X12</f>
        <v>0.42</v>
      </c>
      <c r="AA12" s="213" t="str">
        <f>IFERROR(IF(AB12="","",IF(AB12&lt;=0.2,"Leve",IF(AB12&lt;=0.4,"Menor",IF(AB12&lt;=0.6,"Moderado",IF(AB12&lt;=0.8,"Mayor","Catastrófico"))))),"")</f>
        <v>Mayor</v>
      </c>
      <c r="AB12" s="161">
        <f>IFERROR(IF(Q12="Impacto",(M12-(+M12*T12)),IF(Q12="Probabilidad",M12,"")),"")</f>
        <v>0.8</v>
      </c>
      <c r="AC12" s="21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3" t="s">
        <v>189</v>
      </c>
      <c r="AE12" s="177" t="s">
        <v>190</v>
      </c>
      <c r="AF12" s="174" t="s">
        <v>191</v>
      </c>
      <c r="AG12" s="175">
        <v>45293</v>
      </c>
      <c r="AH12" s="175">
        <v>45473</v>
      </c>
      <c r="AI12" s="164"/>
      <c r="AJ12" s="164"/>
      <c r="AK12" s="117"/>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ht="18.75" customHeight="1" x14ac:dyDescent="0.3">
      <c r="A13" s="369"/>
      <c r="B13" s="366"/>
      <c r="C13" s="366"/>
      <c r="D13" s="366"/>
      <c r="E13" s="405"/>
      <c r="F13" s="366"/>
      <c r="G13" s="399"/>
      <c r="H13" s="393"/>
      <c r="I13" s="390"/>
      <c r="J13" s="396"/>
      <c r="K13" s="396"/>
      <c r="L13" s="393"/>
      <c r="M13" s="390"/>
      <c r="N13" s="412"/>
      <c r="O13" s="5">
        <v>2</v>
      </c>
      <c r="P13" s="177"/>
      <c r="Q13" s="162" t="str">
        <f>IF(OR(R13="Preventivo",R13="Detectivo"),"Probabilidad",IF(R13="Correctivo","Impacto",""))</f>
        <v/>
      </c>
      <c r="R13" s="157"/>
      <c r="S13" s="157"/>
      <c r="T13" s="158" t="str">
        <f t="shared" ref="T13:T17" si="0">IF(AND(R13="Preventivo",S13="Automático"),"50%",IF(AND(R13="Preventivo",S13="Manual"),"40%",IF(AND(R13="Detectivo",S13="Automático"),"40%",IF(AND(R13="Detectivo",S13="Manual"),"30%",IF(AND(R13="Correctivo",S13="Automático"),"35%",IF(AND(R13="Correctivo",S13="Manual"),"25%",""))))))</f>
        <v/>
      </c>
      <c r="U13" s="157"/>
      <c r="V13" s="157"/>
      <c r="W13" s="157"/>
      <c r="X13" s="159" t="str">
        <f>IFERROR(IF(AND(Q12="Probabilidad",Q13="Probabilidad"),(Z12-(+Z12*T13)),IF(Q13="Probabilidad",(I12-(+I12*T13)),IF(Q13="Impacto",Z12,""))),"")</f>
        <v/>
      </c>
      <c r="Y13" s="160" t="str">
        <f t="shared" ref="Y13:Y63" si="1">IFERROR(IF(X13="","",IF(X13&lt;=0.2,"Muy Baja",IF(X13&lt;=0.4,"Baja",IF(X13&lt;=0.6,"Media",IF(X13&lt;=0.8,"Alta","Muy Alta"))))),"")</f>
        <v/>
      </c>
      <c r="Z13" s="161" t="str">
        <f t="shared" ref="Z13:Z17" si="2">+X13</f>
        <v/>
      </c>
      <c r="AA13" s="160" t="str">
        <f t="shared" ref="AA13:AA63" si="3">IFERROR(IF(AB13="","",IF(AB13&lt;=0.2,"Leve",IF(AB13&lt;=0.4,"Menor",IF(AB13&lt;=0.6,"Moderado",IF(AB13&lt;=0.8,"Mayor","Catastrófico"))))),"")</f>
        <v/>
      </c>
      <c r="AB13" s="161" t="str">
        <f>IFERROR(IF(AND(Q12="Impacto",Q13="Impacto"),(AB12-(+AB12*T13)),IF(Q13="Impacto",(M12-(+M12*T13)),IF(Q13="Probabilidad",AB12,""))),"")</f>
        <v/>
      </c>
      <c r="AC13" s="16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3"/>
      <c r="AE13" s="114"/>
      <c r="AF13" s="114"/>
      <c r="AG13" s="114"/>
      <c r="AH13" s="114"/>
      <c r="AI13" s="114"/>
      <c r="AJ13" s="113"/>
      <c r="AK13" s="166"/>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8" customHeight="1" x14ac:dyDescent="0.3">
      <c r="A14" s="369"/>
      <c r="B14" s="366"/>
      <c r="C14" s="366"/>
      <c r="D14" s="366"/>
      <c r="E14" s="405"/>
      <c r="F14" s="366"/>
      <c r="G14" s="399"/>
      <c r="H14" s="393"/>
      <c r="I14" s="390"/>
      <c r="J14" s="396"/>
      <c r="K14" s="396"/>
      <c r="L14" s="393"/>
      <c r="M14" s="390"/>
      <c r="N14" s="412"/>
      <c r="O14" s="104">
        <v>3</v>
      </c>
      <c r="P14" s="178"/>
      <c r="Q14" s="105"/>
      <c r="R14" s="106"/>
      <c r="S14" s="106"/>
      <c r="T14" s="107"/>
      <c r="U14" s="116"/>
      <c r="V14" s="116"/>
      <c r="W14" s="116"/>
      <c r="X14" s="108"/>
      <c r="Y14" s="109"/>
      <c r="Z14" s="110"/>
      <c r="AA14" s="109"/>
      <c r="AB14" s="110"/>
      <c r="AC14" s="111"/>
      <c r="AD14" s="112"/>
      <c r="AE14" s="188"/>
      <c r="AF14" s="114"/>
      <c r="AG14" s="115"/>
      <c r="AH14" s="115"/>
      <c r="AI14" s="115"/>
      <c r="AJ14" s="113"/>
      <c r="AK14" s="114"/>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8" customHeight="1" x14ac:dyDescent="0.3">
      <c r="A15" s="369"/>
      <c r="B15" s="366"/>
      <c r="C15" s="366"/>
      <c r="D15" s="366"/>
      <c r="E15" s="405"/>
      <c r="F15" s="366"/>
      <c r="G15" s="399"/>
      <c r="H15" s="393"/>
      <c r="I15" s="390"/>
      <c r="J15" s="396"/>
      <c r="K15" s="396"/>
      <c r="L15" s="393"/>
      <c r="M15" s="390"/>
      <c r="N15" s="412"/>
      <c r="O15" s="104">
        <v>4</v>
      </c>
      <c r="P15" s="177"/>
      <c r="Q15" s="105"/>
      <c r="R15" s="106"/>
      <c r="S15" s="106"/>
      <c r="T15" s="107"/>
      <c r="U15" s="106"/>
      <c r="V15" s="106"/>
      <c r="W15" s="106"/>
      <c r="X15" s="108"/>
      <c r="Y15" s="109"/>
      <c r="Z15" s="110"/>
      <c r="AA15" s="109"/>
      <c r="AB15" s="110"/>
      <c r="AC15" s="111"/>
      <c r="AD15" s="112"/>
      <c r="AE15" s="188"/>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69"/>
      <c r="B16" s="366"/>
      <c r="C16" s="366"/>
      <c r="D16" s="366"/>
      <c r="E16" s="405"/>
      <c r="F16" s="366"/>
      <c r="G16" s="399"/>
      <c r="H16" s="393"/>
      <c r="I16" s="390"/>
      <c r="J16" s="396"/>
      <c r="K16" s="396"/>
      <c r="L16" s="393"/>
      <c r="M16" s="390"/>
      <c r="N16" s="412"/>
      <c r="O16" s="104">
        <v>5</v>
      </c>
      <c r="P16" s="177"/>
      <c r="Q16" s="105" t="str">
        <f t="shared" ref="Q16:Q17" si="5">IF(OR(R16="Preventivo",R16="Detectivo"),"Probabilidad",IF(R16="Correctivo","Impacto",""))</f>
        <v/>
      </c>
      <c r="R16" s="106"/>
      <c r="S16" s="106"/>
      <c r="T16" s="107" t="str">
        <f t="shared" si="0"/>
        <v/>
      </c>
      <c r="U16" s="106"/>
      <c r="V16" s="106"/>
      <c r="W16" s="106"/>
      <c r="X16" s="108" t="str">
        <f t="shared" ref="X16:X17" si="6">IFERROR(IF(AND(Q15="Probabilidad",Q16="Probabilidad"),(Z15-(+Z15*T16)),IF(AND(Q15="Impacto",Q16="Probabilidad"),(Z14-(+Z14*T16)),IF(Q16="Impacto",Z15,""))),"")</f>
        <v/>
      </c>
      <c r="Y16" s="109" t="str">
        <f t="shared" si="1"/>
        <v/>
      </c>
      <c r="Z16" s="110" t="str">
        <f t="shared" si="2"/>
        <v/>
      </c>
      <c r="AA16" s="109" t="str">
        <f t="shared" si="3"/>
        <v/>
      </c>
      <c r="AB16" s="110" t="str">
        <f t="shared" ref="AB16:AB17" si="7">IFERROR(IF(AND(Q15="Impacto",Q16="Impacto"),(AB15-(+AB15*T16)),IF(AND(Q15="Probabilidad",Q16="Impacto"),(AB14-(+AB14*T16)),IF(Q16="Probabilidad",AB15,""))),"")</f>
        <v/>
      </c>
      <c r="AC16" s="111" t="str">
        <f t="shared" si="4"/>
        <v/>
      </c>
      <c r="AD16" s="112"/>
      <c r="AE16" s="188"/>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70"/>
      <c r="B17" s="367"/>
      <c r="C17" s="367"/>
      <c r="D17" s="367"/>
      <c r="E17" s="406"/>
      <c r="F17" s="367"/>
      <c r="G17" s="400"/>
      <c r="H17" s="394"/>
      <c r="I17" s="391"/>
      <c r="J17" s="397"/>
      <c r="K17" s="397"/>
      <c r="L17" s="394"/>
      <c r="M17" s="391"/>
      <c r="N17" s="413"/>
      <c r="O17" s="104">
        <v>6</v>
      </c>
      <c r="P17" s="177"/>
      <c r="Q17" s="105" t="str">
        <f t="shared" si="5"/>
        <v/>
      </c>
      <c r="R17" s="106"/>
      <c r="S17" s="106"/>
      <c r="T17" s="107" t="str">
        <f t="shared" si="0"/>
        <v/>
      </c>
      <c r="U17" s="106"/>
      <c r="V17" s="106"/>
      <c r="W17" s="106"/>
      <c r="X17" s="108" t="str">
        <f t="shared" si="6"/>
        <v/>
      </c>
      <c r="Y17" s="109" t="str">
        <f t="shared" si="1"/>
        <v/>
      </c>
      <c r="Z17" s="110" t="str">
        <f t="shared" si="2"/>
        <v/>
      </c>
      <c r="AA17" s="109" t="str">
        <f t="shared" si="3"/>
        <v/>
      </c>
      <c r="AB17" s="110" t="str">
        <f t="shared" si="7"/>
        <v/>
      </c>
      <c r="AC17" s="111" t="str">
        <f t="shared" si="4"/>
        <v/>
      </c>
      <c r="AD17" s="112"/>
      <c r="AE17" s="188"/>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00.5" customHeight="1" x14ac:dyDescent="0.3">
      <c r="A18" s="368">
        <v>2</v>
      </c>
      <c r="B18" s="365" t="s">
        <v>192</v>
      </c>
      <c r="C18" s="365" t="s">
        <v>179</v>
      </c>
      <c r="D18" s="365" t="s">
        <v>193</v>
      </c>
      <c r="E18" s="404" t="s">
        <v>194</v>
      </c>
      <c r="F18" s="365" t="s">
        <v>181</v>
      </c>
      <c r="G18" s="398">
        <v>170</v>
      </c>
      <c r="H18" s="392" t="str">
        <f>IF(G18&lt;=0,"",IF(G18&lt;=2,"Muy Baja",IF(G18&lt;=24,"Baja",IF(G18&lt;=500,"Media",IF(G18&lt;=5000,"Alta","Muy Alta")))))</f>
        <v>Media</v>
      </c>
      <c r="I18" s="389">
        <f>IF(H18="","",IF(H18="Muy Baja",0.2,IF(H18="Baja",0.4,IF(H18="Media",0.6,IF(H18="Alta",0.8,IF(H18="Muy Alta",1,))))))</f>
        <v>0.6</v>
      </c>
      <c r="J18" s="395" t="s">
        <v>195</v>
      </c>
      <c r="K18" s="389"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92" t="str">
        <f>IF(OR(K18='Tabla Impacto'!$C$11,K18='Tabla Impacto'!$D$11),"Leve",IF(OR(K18='Tabla Impacto'!$C$12,K18='Tabla Impacto'!$D$12),"Menor",IF(OR(K18='Tabla Impacto'!$C$13,K18='Tabla Impacto'!$D$13),"Moderado",IF(OR(K18='Tabla Impacto'!$C$14,K18='Tabla Impacto'!$D$14),"Mayor",IF(OR(K18='Tabla Impacto'!$C$15,K18='Tabla Impacto'!$D$15),"Catastrófico","")))))</f>
        <v>Moderado</v>
      </c>
      <c r="M18" s="389">
        <f>IF(L18="","",IF(L18="Leve",0.2,IF(L18="Menor",0.4,IF(L18="Moderado",0.6,IF(L18="Mayor",0.8,IF(L18="Catastrófico",1,))))))</f>
        <v>0.6</v>
      </c>
      <c r="N18" s="411"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4">
        <v>1</v>
      </c>
      <c r="P18" s="225" t="s">
        <v>395</v>
      </c>
      <c r="Q18" s="162" t="str">
        <f>IF(OR(R18="Preventivo",R18="Detectivo"),"Probabilidad",IF(R18="Correctivo","Impacto",""))</f>
        <v>Probabilidad</v>
      </c>
      <c r="R18" s="168" t="s">
        <v>196</v>
      </c>
      <c r="S18" s="168" t="s">
        <v>185</v>
      </c>
      <c r="T18" s="169" t="str">
        <f>IF(AND(R18="Preventivo",S18="Automático"),"50%",IF(AND(R18="Preventivo",S18="Manual"),"40%",IF(AND(R18="Detectivo",S18="Automático"),"40%",IF(AND(R18="Detectivo",S18="Manual"),"30%",IF(AND(R18="Correctivo",S18="Automático"),"35%",IF(AND(R18="Correctivo",S18="Manual"),"25%",""))))))</f>
        <v>40%</v>
      </c>
      <c r="U18" s="168" t="s">
        <v>186</v>
      </c>
      <c r="V18" s="168" t="s">
        <v>187</v>
      </c>
      <c r="W18" s="168" t="s">
        <v>188</v>
      </c>
      <c r="X18" s="159">
        <f>IFERROR(IF(Q18="Probabilidad",(I18-(+I18*T18)),IF(Q18="Impacto",I18,"")),"")</f>
        <v>0.36</v>
      </c>
      <c r="Y18" s="170" t="str">
        <f>IFERROR(IF(X18="","",IF(X18&lt;=0.2,"Muy Baja",IF(X18&lt;=0.4,"Baja",IF(X18&lt;=0.6,"Media",IF(X18&lt;=0.8,"Alta","Muy Alta"))))),"")</f>
        <v>Baja</v>
      </c>
      <c r="Z18" s="171">
        <f>+X18</f>
        <v>0.36</v>
      </c>
      <c r="AA18" s="170" t="str">
        <f>IFERROR(IF(AB18="","",IF(AB18&lt;=0.2,"Leve",IF(AB18&lt;=0.4,"Menor",IF(AB18&lt;=0.6,"Moderado",IF(AB18&lt;=0.8,"Mayor","Catastrófico"))))),"")</f>
        <v>Moderado</v>
      </c>
      <c r="AB18" s="171">
        <f>IFERROR(IF(Q18="Impacto",(M18-(+M18*T18)),IF(Q18="Probabilidad",M18,"")),"")</f>
        <v>0.6</v>
      </c>
      <c r="AC18" s="17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3" t="s">
        <v>189</v>
      </c>
      <c r="AE18" s="225" t="s">
        <v>396</v>
      </c>
      <c r="AF18" s="226" t="s">
        <v>197</v>
      </c>
      <c r="AG18" s="227">
        <v>45597</v>
      </c>
      <c r="AH18" s="227">
        <v>45642</v>
      </c>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9.5" customHeight="1" x14ac:dyDescent="0.3">
      <c r="A19" s="369"/>
      <c r="B19" s="366"/>
      <c r="C19" s="366"/>
      <c r="D19" s="366"/>
      <c r="E19" s="405"/>
      <c r="F19" s="366"/>
      <c r="G19" s="399"/>
      <c r="H19" s="393"/>
      <c r="I19" s="390"/>
      <c r="J19" s="396"/>
      <c r="K19" s="390">
        <f>IF(NOT(ISERROR(MATCH(J19,_xlfn.ANCHORARRAY(E30),0))),I32&amp;"Por favor no seleccionar los criterios de impacto",J19)</f>
        <v>0</v>
      </c>
      <c r="L19" s="393"/>
      <c r="M19" s="390"/>
      <c r="N19" s="412"/>
      <c r="O19" s="104">
        <v>2</v>
      </c>
      <c r="Q19" s="162"/>
      <c r="R19" s="168"/>
      <c r="S19" s="168"/>
      <c r="T19" s="169" t="str">
        <f t="shared" ref="T19:T23" si="8">IF(AND(R19="Preventivo",S19="Automático"),"50%",IF(AND(R19="Preventivo",S19="Manual"),"40%",IF(AND(R19="Detectivo",S19="Automático"),"40%",IF(AND(R19="Detectivo",S19="Manual"),"30%",IF(AND(R19="Correctivo",S19="Automático"),"35%",IF(AND(R19="Correctivo",S19="Manual"),"25%",""))))))</f>
        <v/>
      </c>
      <c r="U19" s="168"/>
      <c r="V19" s="168"/>
      <c r="W19" s="168"/>
      <c r="X19" s="159" t="str">
        <f>IFERROR(IF(AND(Q18="Probabilidad",Q19="Probabilidad"),(Z18-(+Z18*T19)),IF(Q19="Probabilidad",(I18-(+I18*T19)),IF(Q19="Impacto",Z18,""))),"")</f>
        <v/>
      </c>
      <c r="Y19" s="170" t="str">
        <f t="shared" si="1"/>
        <v/>
      </c>
      <c r="Z19" s="171" t="str">
        <f t="shared" ref="Z19:Z23" si="9">+X19</f>
        <v/>
      </c>
      <c r="AA19" s="170" t="str">
        <f t="shared" si="3"/>
        <v/>
      </c>
      <c r="AB19" s="171" t="str">
        <f>IFERROR(IF(AND(Q18="Impacto",Q19="Impacto"),(AB18-(+AB18*T19)),IF(Q19="Impacto",(M18-(+M18*T19)),IF(Q19="Probabilidad",AB18,""))),"")</f>
        <v/>
      </c>
      <c r="AC19" s="17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3"/>
      <c r="AE19" s="177"/>
      <c r="AF19" s="176"/>
      <c r="AG19" s="175"/>
      <c r="AH19" s="175"/>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8" customHeight="1" x14ac:dyDescent="0.3">
      <c r="A20" s="369"/>
      <c r="B20" s="366"/>
      <c r="C20" s="366"/>
      <c r="D20" s="366"/>
      <c r="E20" s="405"/>
      <c r="F20" s="366"/>
      <c r="G20" s="399"/>
      <c r="H20" s="393"/>
      <c r="I20" s="390"/>
      <c r="J20" s="396"/>
      <c r="K20" s="390">
        <f>IF(NOT(ISERROR(MATCH(J20,_xlfn.ANCHORARRAY(E31),0))),I33&amp;"Por favor no seleccionar los criterios de impacto",J20)</f>
        <v>0</v>
      </c>
      <c r="L20" s="393"/>
      <c r="M20" s="390"/>
      <c r="N20" s="412"/>
      <c r="O20" s="104">
        <v>3</v>
      </c>
      <c r="P20" s="179"/>
      <c r="Q20" s="162" t="str">
        <f>IF(OR(R20="Preventivo",R20="Detectivo"),"Probabilidad",IF(R20="Correctivo","Impacto",""))</f>
        <v/>
      </c>
      <c r="R20" s="168"/>
      <c r="S20" s="168"/>
      <c r="T20" s="169" t="str">
        <f t="shared" si="8"/>
        <v/>
      </c>
      <c r="U20" s="168"/>
      <c r="V20" s="168"/>
      <c r="W20" s="168"/>
      <c r="X20" s="159" t="str">
        <f>IFERROR(IF(AND(Q19="Probabilidad",Q20="Probabilidad"),(Z19-(+Z19*T20)),IF(AND(Q19="Impacto",Q20="Probabilidad"),(Z18-(+Z18*T20)),IF(Q20="Impacto",Z19,""))),"")</f>
        <v/>
      </c>
      <c r="Y20" s="170" t="str">
        <f t="shared" si="1"/>
        <v/>
      </c>
      <c r="Z20" s="171" t="str">
        <f t="shared" si="9"/>
        <v/>
      </c>
      <c r="AA20" s="170" t="str">
        <f t="shared" si="3"/>
        <v/>
      </c>
      <c r="AB20" s="171" t="str">
        <f>IFERROR(IF(AND(Q19="Impacto",Q20="Impacto"),(AB19-(+AB19*T20)),IF(AND(Q19="Probabilidad",Q20="Impacto"),(AB18-(+AB18*T20)),IF(Q20="Probabilidad",AB19,""))),"")</f>
        <v/>
      </c>
      <c r="AC20" s="172" t="str">
        <f t="shared" si="10"/>
        <v/>
      </c>
      <c r="AD20" s="173"/>
      <c r="AE20" s="177"/>
      <c r="AF20" s="176"/>
      <c r="AG20" s="175"/>
      <c r="AH20" s="175"/>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customHeight="1" x14ac:dyDescent="0.3">
      <c r="A21" s="369"/>
      <c r="B21" s="366"/>
      <c r="C21" s="366"/>
      <c r="D21" s="366"/>
      <c r="E21" s="405"/>
      <c r="F21" s="366"/>
      <c r="G21" s="399"/>
      <c r="H21" s="393"/>
      <c r="I21" s="390"/>
      <c r="J21" s="396"/>
      <c r="K21" s="390">
        <f>IF(NOT(ISERROR(MATCH(J21,_xlfn.ANCHORARRAY(E32),0))),I34&amp;"Por favor no seleccionar los criterios de impacto",J21)</f>
        <v>0</v>
      </c>
      <c r="L21" s="393"/>
      <c r="M21" s="390"/>
      <c r="N21" s="412"/>
      <c r="O21" s="104">
        <v>4</v>
      </c>
      <c r="P21" s="177"/>
      <c r="Q21" s="105" t="str">
        <f t="shared" ref="Q21:Q23" si="11">IF(OR(R21="Preventivo",R21="Detectivo"),"Probabilidad",IF(R21="Correctivo","Impacto",""))</f>
        <v/>
      </c>
      <c r="R21" s="106"/>
      <c r="S21" s="106"/>
      <c r="T21" s="107" t="str">
        <f t="shared" si="8"/>
        <v/>
      </c>
      <c r="U21" s="106"/>
      <c r="V21" s="106"/>
      <c r="W21" s="106"/>
      <c r="X21" s="108" t="str">
        <f t="shared" ref="X21:X23" si="12">IFERROR(IF(AND(Q20="Probabilidad",Q21="Probabilidad"),(Z20-(+Z20*T21)),IF(AND(Q20="Impacto",Q21="Probabilidad"),(Z19-(+Z19*T21)),IF(Q21="Impacto",Z20,""))),"")</f>
        <v/>
      </c>
      <c r="Y21" s="109" t="str">
        <f t="shared" si="1"/>
        <v/>
      </c>
      <c r="Z21" s="110" t="str">
        <f t="shared" si="9"/>
        <v/>
      </c>
      <c r="AA21" s="109" t="str">
        <f t="shared" si="3"/>
        <v/>
      </c>
      <c r="AB21" s="110" t="str">
        <f t="shared" ref="AB21:AB23" si="13">IFERROR(IF(AND(Q20="Impacto",Q21="Impacto"),(AB20-(+AB20*T21)),IF(AND(Q20="Probabilidad",Q21="Impacto"),(AB19-(+AB19*T21)),IF(Q21="Probabilidad",AB20,""))),"")</f>
        <v/>
      </c>
      <c r="AC21" s="11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2"/>
      <c r="AE21" s="188"/>
      <c r="AF21" s="114"/>
      <c r="AG21" s="115"/>
      <c r="AH21" s="115"/>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customHeight="1" x14ac:dyDescent="0.3">
      <c r="A22" s="369"/>
      <c r="B22" s="366"/>
      <c r="C22" s="366"/>
      <c r="D22" s="366"/>
      <c r="E22" s="405"/>
      <c r="F22" s="366"/>
      <c r="G22" s="399"/>
      <c r="H22" s="393"/>
      <c r="I22" s="390"/>
      <c r="J22" s="396"/>
      <c r="K22" s="390">
        <f>IF(NOT(ISERROR(MATCH(J22,_xlfn.ANCHORARRAY(E33),0))),I35&amp;"Por favor no seleccionar los criterios de impacto",J22)</f>
        <v>0</v>
      </c>
      <c r="L22" s="393"/>
      <c r="M22" s="390"/>
      <c r="N22" s="412"/>
      <c r="O22" s="104">
        <v>5</v>
      </c>
      <c r="P22" s="177"/>
      <c r="Q22" s="105" t="str">
        <f t="shared" si="11"/>
        <v/>
      </c>
      <c r="R22" s="106"/>
      <c r="S22" s="106"/>
      <c r="T22" s="107" t="str">
        <f t="shared" si="8"/>
        <v/>
      </c>
      <c r="U22" s="106"/>
      <c r="V22" s="106"/>
      <c r="W22" s="106"/>
      <c r="X22" s="108" t="str">
        <f t="shared" si="12"/>
        <v/>
      </c>
      <c r="Y22" s="109" t="str">
        <f t="shared" si="1"/>
        <v/>
      </c>
      <c r="Z22" s="110" t="str">
        <f t="shared" si="9"/>
        <v/>
      </c>
      <c r="AA22" s="109" t="str">
        <f t="shared" si="3"/>
        <v/>
      </c>
      <c r="AB22" s="110" t="str">
        <f t="shared" si="13"/>
        <v/>
      </c>
      <c r="AC22" s="11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88"/>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customHeight="1" x14ac:dyDescent="0.3">
      <c r="A23" s="370"/>
      <c r="B23" s="367"/>
      <c r="C23" s="367"/>
      <c r="D23" s="367"/>
      <c r="E23" s="406"/>
      <c r="F23" s="367"/>
      <c r="G23" s="400"/>
      <c r="H23" s="394"/>
      <c r="I23" s="391"/>
      <c r="J23" s="397"/>
      <c r="K23" s="391">
        <f>IF(NOT(ISERROR(MATCH(J23,_xlfn.ANCHORARRAY(E34),0))),I36&amp;"Por favor no seleccionar los criterios de impacto",J23)</f>
        <v>0</v>
      </c>
      <c r="L23" s="394"/>
      <c r="M23" s="391"/>
      <c r="N23" s="413"/>
      <c r="O23" s="104">
        <v>6</v>
      </c>
      <c r="P23" s="177"/>
      <c r="Q23" s="105" t="str">
        <f t="shared" si="11"/>
        <v/>
      </c>
      <c r="R23" s="106"/>
      <c r="S23" s="106"/>
      <c r="T23" s="107" t="str">
        <f t="shared" si="8"/>
        <v/>
      </c>
      <c r="U23" s="106"/>
      <c r="V23" s="106"/>
      <c r="W23" s="106"/>
      <c r="X23" s="108" t="str">
        <f t="shared" si="12"/>
        <v/>
      </c>
      <c r="Y23" s="109" t="str">
        <f t="shared" si="1"/>
        <v/>
      </c>
      <c r="Z23" s="110" t="str">
        <f t="shared" si="9"/>
        <v/>
      </c>
      <c r="AA23" s="109" t="str">
        <f t="shared" si="3"/>
        <v/>
      </c>
      <c r="AB23" s="110" t="str">
        <f t="shared" si="13"/>
        <v/>
      </c>
      <c r="AC23" s="111" t="str">
        <f t="shared" si="14"/>
        <v/>
      </c>
      <c r="AD23" s="112"/>
      <c r="AE23" s="188"/>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82.5" customHeight="1" x14ac:dyDescent="0.3">
      <c r="A24" s="368">
        <v>3</v>
      </c>
      <c r="B24" s="365" t="s">
        <v>198</v>
      </c>
      <c r="C24" s="365" t="s">
        <v>179</v>
      </c>
      <c r="D24" s="365" t="s">
        <v>199</v>
      </c>
      <c r="E24" s="404" t="s">
        <v>200</v>
      </c>
      <c r="F24" s="365" t="s">
        <v>181</v>
      </c>
      <c r="G24" s="398">
        <v>327</v>
      </c>
      <c r="H24" s="392" t="str">
        <f>IF(G24&lt;=0,"",IF(G24&lt;=2,"Muy Baja",IF(G24&lt;=24,"Baja",IF(G24&lt;=500,"Media",IF(G24&lt;=5000,"Alta","Muy Alta")))))</f>
        <v>Media</v>
      </c>
      <c r="I24" s="389">
        <f>IF(H24="","",IF(H24="Muy Baja",0.2,IF(H24="Baja",0.4,IF(H24="Media",0.6,IF(H24="Alta",0.8,IF(H24="Muy Alta",1,))))))</f>
        <v>0.6</v>
      </c>
      <c r="J24" s="395" t="s">
        <v>201</v>
      </c>
      <c r="K24" s="389" t="str">
        <f>IF(NOT(ISERROR(MATCH(J24,'Tabla Impacto'!$B$221:$B$223,0))),'Tabla Impacto'!$F$223&amp;"Por favor no seleccionar los criterios de impacto(Afectación Económica o presupuestal y Pérdida Reputacional)",J24)</f>
        <v xml:space="preserve">     Entre 10 y 50 SMLMV </v>
      </c>
      <c r="L24" s="392" t="str">
        <f>IF(OR(K24='Tabla Impacto'!$C$11,K24='Tabla Impacto'!$D$11),"Leve",IF(OR(K24='Tabla Impacto'!$C$12,K24='Tabla Impacto'!$D$12),"Menor",IF(OR(K24='Tabla Impacto'!$C$13,K24='Tabla Impacto'!$D$13),"Moderado",IF(OR(K24='Tabla Impacto'!$C$14,K24='Tabla Impacto'!$D$14),"Mayor",IF(OR(K24='Tabla Impacto'!$C$15,K24='Tabla Impacto'!$D$15),"Catastrófico","")))))</f>
        <v>Menor</v>
      </c>
      <c r="M24" s="389">
        <f>IF(L24="","",IF(L24="Leve",0.2,IF(L24="Menor",0.4,IF(L24="Moderado",0.6,IF(L24="Mayor",0.8,IF(L24="Catastrófico",1,))))))</f>
        <v>0.4</v>
      </c>
      <c r="N24" s="411"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04">
        <v>1</v>
      </c>
      <c r="P24" s="177" t="s">
        <v>202</v>
      </c>
      <c r="Q24" s="162" t="str">
        <f>IF(OR(R24="Preventivo",R24="Detectivo"),"Probabilidad",IF(R24="Correctivo","Impacto",""))</f>
        <v>Probabilidad</v>
      </c>
      <c r="R24" s="168" t="s">
        <v>196</v>
      </c>
      <c r="S24" s="168" t="s">
        <v>185</v>
      </c>
      <c r="T24" s="169" t="str">
        <f>IF(AND(R24="Preventivo",S24="Automático"),"50%",IF(AND(R24="Preventivo",S24="Manual"),"40%",IF(AND(R24="Detectivo",S24="Automático"),"40%",IF(AND(R24="Detectivo",S24="Manual"),"30%",IF(AND(R24="Correctivo",S24="Automático"),"35%",IF(AND(R24="Correctivo",S24="Manual"),"25%",""))))))</f>
        <v>40%</v>
      </c>
      <c r="U24" s="168" t="s">
        <v>186</v>
      </c>
      <c r="V24" s="168" t="s">
        <v>187</v>
      </c>
      <c r="W24" s="168" t="s">
        <v>188</v>
      </c>
      <c r="X24" s="159">
        <f>IFERROR(IF(Q24="Probabilidad",(I24-(+I24*T24)),IF(Q24="Impacto",I24,"")),"")</f>
        <v>0.36</v>
      </c>
      <c r="Y24" s="170" t="str">
        <f>IFERROR(IF(X24="","",IF(X24&lt;=0.2,"Muy Baja",IF(X24&lt;=0.4,"Baja",IF(X24&lt;=0.6,"Media",IF(X24&lt;=0.8,"Alta","Muy Alta"))))),"")</f>
        <v>Baja</v>
      </c>
      <c r="Z24" s="171">
        <f>+X24</f>
        <v>0.36</v>
      </c>
      <c r="AA24" s="170" t="str">
        <f>IFERROR(IF(AB24="","",IF(AB24&lt;=0.2,"Leve",IF(AB24&lt;=0.4,"Menor",IF(AB24&lt;=0.6,"Moderado",IF(AB24&lt;=0.8,"Mayor","Catastrófico"))))),"")</f>
        <v>Menor</v>
      </c>
      <c r="AB24" s="171">
        <f>IFERROR(IF(Q24="Impacto",(M24-(+M24*T24)),IF(Q24="Probabilidad",M24,"")),"")</f>
        <v>0.4</v>
      </c>
      <c r="AC24" s="17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73" t="s">
        <v>189</v>
      </c>
      <c r="AE24" s="186" t="s">
        <v>203</v>
      </c>
      <c r="AF24" s="174" t="s">
        <v>204</v>
      </c>
      <c r="AG24" s="175">
        <v>45373</v>
      </c>
      <c r="AH24" s="175">
        <v>45642</v>
      </c>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65.25" customHeight="1" x14ac:dyDescent="0.3">
      <c r="A25" s="369"/>
      <c r="B25" s="366"/>
      <c r="C25" s="366"/>
      <c r="D25" s="366"/>
      <c r="E25" s="405"/>
      <c r="F25" s="366"/>
      <c r="G25" s="399"/>
      <c r="H25" s="393"/>
      <c r="I25" s="390"/>
      <c r="J25" s="396"/>
      <c r="K25" s="390">
        <f>IF(NOT(ISERROR(MATCH(J25,_xlfn.ANCHORARRAY(E36),0))),I38&amp;"Por favor no seleccionar los criterios de impacto",J25)</f>
        <v>0</v>
      </c>
      <c r="L25" s="393"/>
      <c r="M25" s="390"/>
      <c r="N25" s="412"/>
      <c r="O25" s="104">
        <v>2</v>
      </c>
      <c r="P25" s="186" t="s">
        <v>205</v>
      </c>
      <c r="Q25" s="162" t="str">
        <f>IF(OR(R25="Preventivo",R25="Detectivo"),"Probabilidad",IF(R25="Correctivo","Impacto",""))</f>
        <v>Probabilidad</v>
      </c>
      <c r="R25" s="168" t="s">
        <v>196</v>
      </c>
      <c r="S25" s="168" t="s">
        <v>185</v>
      </c>
      <c r="T25" s="169" t="str">
        <f t="shared" ref="T25:T41" si="15">IF(AND(R25="Preventivo",S25="Automático"),"50%",IF(AND(R25="Preventivo",S25="Manual"),"40%",IF(AND(R25="Detectivo",S25="Automático"),"40%",IF(AND(R25="Detectivo",S25="Manual"),"30%",IF(AND(R25="Correctivo",S25="Automático"),"35%",IF(AND(R25="Correctivo",S25="Manual"),"25%",""))))))</f>
        <v>40%</v>
      </c>
      <c r="U25" s="168" t="s">
        <v>186</v>
      </c>
      <c r="V25" s="168" t="s">
        <v>187</v>
      </c>
      <c r="W25" s="168" t="s">
        <v>188</v>
      </c>
      <c r="X25" s="159">
        <f>IFERROR(IF(AND(Q24="Probabilidad",Q25="Probabilidad"),(Z24-(+Z24*T25)),IF(Q25="Probabilidad",(I24-(+I24*T25)),IF(Q25="Impacto",Z24,""))),"")</f>
        <v>0.216</v>
      </c>
      <c r="Y25" s="170" t="str">
        <f t="shared" si="1"/>
        <v>Baja</v>
      </c>
      <c r="Z25" s="171">
        <f t="shared" ref="Z25:Z29" si="16">+X25</f>
        <v>0.216</v>
      </c>
      <c r="AA25" s="170" t="str">
        <f t="shared" si="3"/>
        <v>Menor</v>
      </c>
      <c r="AB25" s="171">
        <f>IFERROR(IF(AND(Q24="Impacto",Q25="Impacto"),(AB24-(+AB24*T25)),IF(Q25="Impacto",(M24-(+M24*T25)),IF(Q25="Probabilidad",AB24,""))),"")</f>
        <v>0.4</v>
      </c>
      <c r="AC25" s="172"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73" t="s">
        <v>189</v>
      </c>
      <c r="AE25" s="186" t="s">
        <v>206</v>
      </c>
      <c r="AF25" s="174" t="s">
        <v>204</v>
      </c>
      <c r="AG25" s="175">
        <v>45300</v>
      </c>
      <c r="AH25" s="175">
        <v>45642</v>
      </c>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61.5" customHeight="1" x14ac:dyDescent="0.3">
      <c r="A26" s="369"/>
      <c r="B26" s="366"/>
      <c r="C26" s="366"/>
      <c r="D26" s="366"/>
      <c r="E26" s="405"/>
      <c r="F26" s="366"/>
      <c r="G26" s="399"/>
      <c r="H26" s="393"/>
      <c r="I26" s="390"/>
      <c r="J26" s="396"/>
      <c r="K26" s="390">
        <f>IF(NOT(ISERROR(MATCH(J26,_xlfn.ANCHORARRAY(E37),0))),I39&amp;"Por favor no seleccionar los criterios de impacto",J26)</f>
        <v>0</v>
      </c>
      <c r="L26" s="393"/>
      <c r="M26" s="390"/>
      <c r="N26" s="412"/>
      <c r="O26" s="104">
        <v>3</v>
      </c>
      <c r="P26" s="186" t="s">
        <v>207</v>
      </c>
      <c r="Q26" s="162" t="str">
        <f>IF(OR(R26="Preventivo",R26="Detectivo"),"Probabilidad",IF(R26="Correctivo","Impacto",""))</f>
        <v>Probabilidad</v>
      </c>
      <c r="R26" s="168" t="s">
        <v>196</v>
      </c>
      <c r="S26" s="168" t="s">
        <v>185</v>
      </c>
      <c r="T26" s="169" t="str">
        <f t="shared" si="15"/>
        <v>40%</v>
      </c>
      <c r="U26" s="168" t="s">
        <v>186</v>
      </c>
      <c r="V26" s="168" t="s">
        <v>187</v>
      </c>
      <c r="W26" s="168" t="s">
        <v>188</v>
      </c>
      <c r="X26" s="159">
        <f>IFERROR(IF(AND(Q25="Probabilidad",Q26="Probabilidad"),(Z25-(+Z25*T26)),IF(AND(Q25="Impacto",Q26="Probabilidad"),(Z24-(+Z24*T26)),IF(Q26="Impacto",Z25,""))),"")</f>
        <v>0.12959999999999999</v>
      </c>
      <c r="Y26" s="170" t="str">
        <f t="shared" si="1"/>
        <v>Muy Baja</v>
      </c>
      <c r="Z26" s="171">
        <f t="shared" si="16"/>
        <v>0.12959999999999999</v>
      </c>
      <c r="AA26" s="170" t="str">
        <f t="shared" si="3"/>
        <v>Menor</v>
      </c>
      <c r="AB26" s="171">
        <f>IFERROR(IF(AND(Q25="Impacto",Q26="Impacto"),(AB25-(+AB25*T26)),IF(AND(Q25="Probabilidad",Q26="Impacto"),(AB24-(+AB24*T26)),IF(Q26="Probabilidad",AB25,""))),"")</f>
        <v>0.4</v>
      </c>
      <c r="AC26" s="172" t="str">
        <f t="shared" si="17"/>
        <v>Bajo</v>
      </c>
      <c r="AD26" s="173" t="s">
        <v>189</v>
      </c>
      <c r="AE26" s="186" t="s">
        <v>208</v>
      </c>
      <c r="AF26" s="174" t="s">
        <v>204</v>
      </c>
      <c r="AG26" s="175">
        <v>45373</v>
      </c>
      <c r="AH26" s="175">
        <v>45642</v>
      </c>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customHeight="1" x14ac:dyDescent="0.3">
      <c r="A27" s="369"/>
      <c r="B27" s="366"/>
      <c r="C27" s="366"/>
      <c r="D27" s="366"/>
      <c r="E27" s="405"/>
      <c r="F27" s="366"/>
      <c r="G27" s="399"/>
      <c r="H27" s="393"/>
      <c r="I27" s="390"/>
      <c r="J27" s="396"/>
      <c r="K27" s="390">
        <f>IF(NOT(ISERROR(MATCH(J27,_xlfn.ANCHORARRAY(E38),0))),I40&amp;"Por favor no seleccionar los criterios de impacto",J27)</f>
        <v>0</v>
      </c>
      <c r="L27" s="393"/>
      <c r="M27" s="390"/>
      <c r="N27" s="412"/>
      <c r="O27" s="104">
        <v>4</v>
      </c>
      <c r="P27" s="177"/>
      <c r="Q27" s="105" t="str">
        <f t="shared" ref="Q27:Q29" si="18">IF(OR(R27="Preventivo",R27="Detectivo"),"Probabilidad",IF(R27="Correctivo","Impacto",""))</f>
        <v/>
      </c>
      <c r="R27" s="106"/>
      <c r="S27" s="106"/>
      <c r="T27" s="169" t="str">
        <f t="shared" si="15"/>
        <v/>
      </c>
      <c r="U27" s="106"/>
      <c r="V27" s="106"/>
      <c r="W27" s="106"/>
      <c r="X27" s="108" t="str">
        <f t="shared" ref="X27:X29" si="19">IFERROR(IF(AND(Q26="Probabilidad",Q27="Probabilidad"),(Z26-(+Z26*T27)),IF(AND(Q26="Impacto",Q27="Probabilidad"),(Z25-(+Z25*T27)),IF(Q27="Impacto",Z26,""))),"")</f>
        <v/>
      </c>
      <c r="Y27" s="109" t="str">
        <f t="shared" si="1"/>
        <v/>
      </c>
      <c r="Z27" s="110" t="str">
        <f t="shared" si="16"/>
        <v/>
      </c>
      <c r="AA27" s="109" t="str">
        <f t="shared" si="3"/>
        <v/>
      </c>
      <c r="AB27" s="110" t="str">
        <f t="shared" ref="AB27:AB29" si="20">IFERROR(IF(AND(Q26="Impacto",Q27="Impacto"),(AB26-(+AB26*T27)),IF(AND(Q26="Probabilidad",Q27="Impacto"),(AB25-(+AB25*T27)),IF(Q27="Probabilidad",AB26,""))),"")</f>
        <v/>
      </c>
      <c r="AC27" s="11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2"/>
      <c r="AE27" s="188"/>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customHeight="1" x14ac:dyDescent="0.3">
      <c r="A28" s="369"/>
      <c r="B28" s="366"/>
      <c r="C28" s="366"/>
      <c r="D28" s="366"/>
      <c r="E28" s="405"/>
      <c r="F28" s="366"/>
      <c r="G28" s="399"/>
      <c r="H28" s="393"/>
      <c r="I28" s="390"/>
      <c r="J28" s="396"/>
      <c r="K28" s="390">
        <f>IF(NOT(ISERROR(MATCH(J28,_xlfn.ANCHORARRAY(E39),0))),I41&amp;"Por favor no seleccionar los criterios de impacto",J28)</f>
        <v>0</v>
      </c>
      <c r="L28" s="393"/>
      <c r="M28" s="390"/>
      <c r="N28" s="412"/>
      <c r="O28" s="104">
        <v>5</v>
      </c>
      <c r="P28" s="177"/>
      <c r="Q28" s="105" t="str">
        <f t="shared" si="18"/>
        <v/>
      </c>
      <c r="R28" s="106"/>
      <c r="S28" s="106"/>
      <c r="T28" s="169" t="str">
        <f t="shared" si="15"/>
        <v/>
      </c>
      <c r="U28" s="106"/>
      <c r="V28" s="106"/>
      <c r="W28" s="106"/>
      <c r="X28" s="108" t="str">
        <f t="shared" si="19"/>
        <v/>
      </c>
      <c r="Y28" s="109" t="str">
        <f t="shared" si="1"/>
        <v/>
      </c>
      <c r="Z28" s="110" t="str">
        <f t="shared" si="16"/>
        <v/>
      </c>
      <c r="AA28" s="109" t="str">
        <f t="shared" si="3"/>
        <v/>
      </c>
      <c r="AB28" s="110" t="str">
        <f t="shared" si="20"/>
        <v/>
      </c>
      <c r="AC28" s="111"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88"/>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customHeight="1" x14ac:dyDescent="0.3">
      <c r="A29" s="370"/>
      <c r="B29" s="367"/>
      <c r="C29" s="367"/>
      <c r="D29" s="367"/>
      <c r="E29" s="406"/>
      <c r="F29" s="367"/>
      <c r="G29" s="400"/>
      <c r="H29" s="394"/>
      <c r="I29" s="391"/>
      <c r="J29" s="397"/>
      <c r="K29" s="391">
        <f>IF(NOT(ISERROR(MATCH(J29,_xlfn.ANCHORARRAY(E40),0))),I42&amp;"Por favor no seleccionar los criterios de impacto",J29)</f>
        <v>0</v>
      </c>
      <c r="L29" s="394"/>
      <c r="M29" s="391"/>
      <c r="N29" s="413"/>
      <c r="O29" s="104">
        <v>6</v>
      </c>
      <c r="P29" s="177"/>
      <c r="Q29" s="105" t="str">
        <f t="shared" si="18"/>
        <v/>
      </c>
      <c r="R29" s="106"/>
      <c r="S29" s="106"/>
      <c r="T29" s="169" t="str">
        <f t="shared" si="15"/>
        <v/>
      </c>
      <c r="U29" s="106"/>
      <c r="V29" s="106"/>
      <c r="W29" s="106"/>
      <c r="X29" s="108" t="str">
        <f t="shared" si="19"/>
        <v/>
      </c>
      <c r="Y29" s="109" t="str">
        <f t="shared" si="1"/>
        <v/>
      </c>
      <c r="Z29" s="110" t="str">
        <f t="shared" si="16"/>
        <v/>
      </c>
      <c r="AA29" s="109" t="str">
        <f t="shared" si="3"/>
        <v/>
      </c>
      <c r="AB29" s="110" t="str">
        <f t="shared" si="20"/>
        <v/>
      </c>
      <c r="AC29" s="111" t="str">
        <f t="shared" si="21"/>
        <v/>
      </c>
      <c r="AD29" s="112"/>
      <c r="AE29" s="188"/>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09.5" customHeight="1" x14ac:dyDescent="0.3">
      <c r="A30" s="368">
        <v>4</v>
      </c>
      <c r="B30" s="401" t="s">
        <v>192</v>
      </c>
      <c r="C30" s="365" t="s">
        <v>179</v>
      </c>
      <c r="D30" s="365" t="s">
        <v>209</v>
      </c>
      <c r="E30" s="404" t="s">
        <v>210</v>
      </c>
      <c r="F30" s="365" t="s">
        <v>181</v>
      </c>
      <c r="G30" s="479">
        <v>65</v>
      </c>
      <c r="H30" s="392" t="str">
        <f>IF(G30&lt;=0,"",IF(G30&lt;=2,"Muy Baja",IF(G30&lt;=24,"Baja",IF(G30&lt;=500,"Media",IF(G30&lt;=5000,"Alta","Muy Alta")))))</f>
        <v>Media</v>
      </c>
      <c r="I30" s="389">
        <f>IF(H30="","",IF(H30="Muy Baja",0.2,IF(H30="Baja",0.4,IF(H30="Media",0.6,IF(H30="Alta",0.8,IF(H30="Muy Alta",1,))))))</f>
        <v>0.6</v>
      </c>
      <c r="J30" s="395" t="s">
        <v>195</v>
      </c>
      <c r="K30" s="389"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92" t="str">
        <f>IF(OR(K30='Tabla Impacto'!$C$11,K30='Tabla Impacto'!$D$11),"Leve",IF(OR(K30='Tabla Impacto'!$C$12,K30='Tabla Impacto'!$D$12),"Menor",IF(OR(K30='Tabla Impacto'!$C$13,K30='Tabla Impacto'!$D$13),"Moderado",IF(OR(K30='Tabla Impacto'!$C$14,K30='Tabla Impacto'!$D$14),"Mayor",IF(OR(K30='Tabla Impacto'!$C$15,K30='Tabla Impacto'!$D$15),"Catastrófico","")))))</f>
        <v>Moderado</v>
      </c>
      <c r="M30" s="389">
        <f>IF(L30="","",IF(L30="Leve",0.2,IF(L30="Menor",0.4,IF(L30="Moderado",0.6,IF(L30="Mayor",0.8,IF(L30="Catastrófico",1,))))))</f>
        <v>0.6</v>
      </c>
      <c r="N30" s="411"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104">
        <v>1</v>
      </c>
      <c r="P30" s="192" t="s">
        <v>211</v>
      </c>
      <c r="Q30" s="162" t="str">
        <f>IF(OR(R30="Preventivo",R30="Detectivo"),"Probabilidad",IF(R30="Correctivo","Impacto",""))</f>
        <v>Probabilidad</v>
      </c>
      <c r="R30" s="168" t="s">
        <v>196</v>
      </c>
      <c r="S30" s="168" t="s">
        <v>185</v>
      </c>
      <c r="T30" s="169" t="str">
        <f t="shared" si="15"/>
        <v>40%</v>
      </c>
      <c r="U30" s="168" t="s">
        <v>186</v>
      </c>
      <c r="V30" s="168" t="s">
        <v>187</v>
      </c>
      <c r="W30" s="168" t="s">
        <v>188</v>
      </c>
      <c r="X30" s="159">
        <f>IFERROR(IF(Q30="Probabilidad",(I30-(+I30*T30)),IF(Q30="Impacto",I30,"")),"")</f>
        <v>0.36</v>
      </c>
      <c r="Y30" s="170" t="str">
        <f>IFERROR(IF(X30="","",IF(X30&lt;=0.2,"Muy Baja",IF(X30&lt;=0.4,"Baja",IF(X30&lt;=0.6,"Media",IF(X30&lt;=0.8,"Alta","Muy Alta"))))),"")</f>
        <v>Baja</v>
      </c>
      <c r="Z30" s="171">
        <f>+X30</f>
        <v>0.36</v>
      </c>
      <c r="AA30" s="170" t="str">
        <f>IFERROR(IF(AB30="","",IF(AB30&lt;=0.2,"Leve",IF(AB30&lt;=0.4,"Menor",IF(AB30&lt;=0.6,"Moderado",IF(AB30&lt;=0.8,"Mayor","Catastrófico"))))),"")</f>
        <v>Moderado</v>
      </c>
      <c r="AB30" s="171">
        <f>IFERROR(IF(Q30="Impacto",(M30-(+M30*T30)),IF(Q30="Probabilidad",M30,"")),"")</f>
        <v>0.6</v>
      </c>
      <c r="AC30" s="17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73" t="s">
        <v>189</v>
      </c>
      <c r="AE30" s="201" t="s">
        <v>212</v>
      </c>
      <c r="AF30" s="174" t="s">
        <v>213</v>
      </c>
      <c r="AG30" s="193">
        <v>45489</v>
      </c>
      <c r="AH30" s="193">
        <v>45642</v>
      </c>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86.25" customHeight="1" x14ac:dyDescent="0.3">
      <c r="A31" s="369"/>
      <c r="B31" s="402"/>
      <c r="C31" s="366"/>
      <c r="D31" s="366"/>
      <c r="E31" s="405"/>
      <c r="F31" s="366"/>
      <c r="G31" s="480"/>
      <c r="H31" s="393"/>
      <c r="I31" s="390"/>
      <c r="J31" s="396"/>
      <c r="K31" s="390">
        <f>IF(NOT(ISERROR(MATCH(J31,_xlfn.ANCHORARRAY(E42),0))),I45&amp;"Por favor no seleccionar los criterios de impacto",J31)</f>
        <v>0</v>
      </c>
      <c r="L31" s="393"/>
      <c r="M31" s="390"/>
      <c r="N31" s="412"/>
      <c r="O31" s="104">
        <v>2</v>
      </c>
      <c r="P31" s="200" t="s">
        <v>214</v>
      </c>
      <c r="Q31" s="162" t="str">
        <f t="shared" ref="Q31:Q41" si="22">IF(OR(R31="Preventivo",R31="Detectivo"),"Probabilidad",IF(R31="Correctivo","Impacto",""))</f>
        <v>Probabilidad</v>
      </c>
      <c r="R31" s="168" t="s">
        <v>196</v>
      </c>
      <c r="S31" s="168" t="s">
        <v>185</v>
      </c>
      <c r="T31" s="169" t="str">
        <f t="shared" si="15"/>
        <v>40%</v>
      </c>
      <c r="U31" s="168" t="s">
        <v>186</v>
      </c>
      <c r="V31" s="168" t="s">
        <v>187</v>
      </c>
      <c r="W31" s="168" t="s">
        <v>188</v>
      </c>
      <c r="X31" s="159">
        <f>IFERROR(IF(AND(Q30="Probabilidad",Q31="Probabilidad"),(Z30-(+Z30*T31)),IF(Q31="Probabilidad",(I30-(+I30*T31)),IF(Q31="Impacto",Z30,""))),"")</f>
        <v>0.216</v>
      </c>
      <c r="Y31" s="170" t="str">
        <f t="shared" si="1"/>
        <v>Baja</v>
      </c>
      <c r="Z31" s="171">
        <f t="shared" ref="Z31:Z35" si="23">+X31</f>
        <v>0.216</v>
      </c>
      <c r="AA31" s="170" t="str">
        <f t="shared" si="3"/>
        <v>Moderado</v>
      </c>
      <c r="AB31" s="171">
        <f>IFERROR(IF(AND(Q30="Impacto",Q31="Impacto"),(AB30-(+AB30*T31)),IF(Q31="Impacto",(M30-(+M30*T31)),IF(Q31="Probabilidad",AB30,""))),"")</f>
        <v>0.6</v>
      </c>
      <c r="AC31" s="172"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173" t="s">
        <v>189</v>
      </c>
      <c r="AE31" s="201" t="s">
        <v>215</v>
      </c>
      <c r="AF31" s="174" t="s">
        <v>213</v>
      </c>
      <c r="AG31" s="194">
        <v>45373</v>
      </c>
      <c r="AH31" s="194">
        <v>45642</v>
      </c>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customHeight="1" x14ac:dyDescent="0.3">
      <c r="A32" s="369"/>
      <c r="B32" s="402"/>
      <c r="C32" s="366"/>
      <c r="D32" s="366"/>
      <c r="E32" s="405"/>
      <c r="F32" s="366"/>
      <c r="G32" s="480"/>
      <c r="H32" s="393"/>
      <c r="I32" s="390"/>
      <c r="J32" s="396"/>
      <c r="K32" s="390">
        <f>IF(NOT(ISERROR(MATCH(J32,_xlfn.ANCHORARRAY(E44),0))),I46&amp;"Por favor no seleccionar los criterios de impacto",J32)</f>
        <v>0</v>
      </c>
      <c r="L32" s="393"/>
      <c r="M32" s="390"/>
      <c r="N32" s="412"/>
      <c r="O32" s="104">
        <v>3</v>
      </c>
      <c r="P32" s="178"/>
      <c r="Q32" s="162" t="str">
        <f t="shared" si="22"/>
        <v/>
      </c>
      <c r="R32" s="106"/>
      <c r="S32" s="106"/>
      <c r="T32" s="169" t="str">
        <f t="shared" si="15"/>
        <v/>
      </c>
      <c r="U32" s="106"/>
      <c r="V32" s="106"/>
      <c r="W32" s="106"/>
      <c r="X32" s="108" t="str">
        <f>IFERROR(IF(AND(Q31="Probabilidad",Q32="Probabilidad"),(Z31-(+Z31*T32)),IF(AND(Q31="Impacto",Q32="Probabilidad"),(Z30-(+Z30*T32)),IF(Q32="Impacto",Z31,""))),"")</f>
        <v/>
      </c>
      <c r="Y32" s="109" t="str">
        <f t="shared" si="1"/>
        <v/>
      </c>
      <c r="Z32" s="110" t="str">
        <f t="shared" si="23"/>
        <v/>
      </c>
      <c r="AA32" s="109" t="str">
        <f t="shared" si="3"/>
        <v/>
      </c>
      <c r="AB32" s="110" t="str">
        <f>IFERROR(IF(AND(Q31="Impacto",Q32="Impacto"),(AB31-(+AB31*T32)),IF(AND(Q31="Probabilidad",Q32="Impacto"),(AB30-(+AB30*T32)),IF(Q32="Probabilidad",AB31,""))),"")</f>
        <v/>
      </c>
      <c r="AC32" s="111" t="str">
        <f t="shared" si="24"/>
        <v/>
      </c>
      <c r="AD32" s="112"/>
      <c r="AE32" s="188"/>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customHeight="1" x14ac:dyDescent="0.3">
      <c r="A33" s="369"/>
      <c r="B33" s="402"/>
      <c r="C33" s="366"/>
      <c r="D33" s="366"/>
      <c r="E33" s="405"/>
      <c r="F33" s="366"/>
      <c r="G33" s="480"/>
      <c r="H33" s="393"/>
      <c r="I33" s="390"/>
      <c r="J33" s="396"/>
      <c r="K33" s="390">
        <f>IF(NOT(ISERROR(MATCH(J33,_xlfn.ANCHORARRAY(E45),0))),I47&amp;"Por favor no seleccionar los criterios de impacto",J33)</f>
        <v>0</v>
      </c>
      <c r="L33" s="393"/>
      <c r="M33" s="390"/>
      <c r="N33" s="412"/>
      <c r="O33" s="104">
        <v>4</v>
      </c>
      <c r="P33" s="177"/>
      <c r="Q33" s="162" t="str">
        <f t="shared" si="22"/>
        <v/>
      </c>
      <c r="R33" s="106"/>
      <c r="S33" s="106"/>
      <c r="T33" s="169" t="str">
        <f t="shared" si="15"/>
        <v/>
      </c>
      <c r="U33" s="106"/>
      <c r="V33" s="106"/>
      <c r="W33" s="106"/>
      <c r="X33" s="108" t="str">
        <f t="shared" ref="X33:X35" si="25">IFERROR(IF(AND(Q32="Probabilidad",Q33="Probabilidad"),(Z32-(+Z32*T33)),IF(AND(Q32="Impacto",Q33="Probabilidad"),(Z31-(+Z31*T33)),IF(Q33="Impacto",Z32,""))),"")</f>
        <v/>
      </c>
      <c r="Y33" s="109" t="str">
        <f t="shared" si="1"/>
        <v/>
      </c>
      <c r="Z33" s="110" t="str">
        <f t="shared" si="23"/>
        <v/>
      </c>
      <c r="AA33" s="109" t="str">
        <f t="shared" si="3"/>
        <v/>
      </c>
      <c r="AB33" s="110" t="str">
        <f t="shared" ref="AB33:AB35" si="26">IFERROR(IF(AND(Q32="Impacto",Q33="Impacto"),(AB32-(+AB32*T33)),IF(AND(Q32="Probabilidad",Q33="Impacto"),(AB31-(+AB31*T33)),IF(Q33="Probabilidad",AB32,""))),"")</f>
        <v/>
      </c>
      <c r="AC33" s="11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2"/>
      <c r="AE33" s="188"/>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customHeight="1" x14ac:dyDescent="0.3">
      <c r="A34" s="369"/>
      <c r="B34" s="402"/>
      <c r="C34" s="366"/>
      <c r="D34" s="366"/>
      <c r="E34" s="405"/>
      <c r="F34" s="366"/>
      <c r="G34" s="480"/>
      <c r="H34" s="393"/>
      <c r="I34" s="390"/>
      <c r="J34" s="396"/>
      <c r="K34" s="390">
        <f>IF(NOT(ISERROR(MATCH(J34,_xlfn.ANCHORARRAY(E46),0))),I48&amp;"Por favor no seleccionar los criterios de impacto",J34)</f>
        <v>0</v>
      </c>
      <c r="L34" s="393"/>
      <c r="M34" s="390"/>
      <c r="N34" s="412"/>
      <c r="O34" s="104">
        <v>5</v>
      </c>
      <c r="P34" s="177"/>
      <c r="Q34" s="162" t="str">
        <f t="shared" si="22"/>
        <v/>
      </c>
      <c r="R34" s="106"/>
      <c r="S34" s="106"/>
      <c r="T34" s="169" t="str">
        <f t="shared" si="15"/>
        <v/>
      </c>
      <c r="U34" s="106"/>
      <c r="V34" s="106"/>
      <c r="W34" s="106"/>
      <c r="X34" s="108" t="str">
        <f t="shared" si="25"/>
        <v/>
      </c>
      <c r="Y34" s="109" t="str">
        <f>IFERROR(IF(X34="","",IF(X34&lt;=0.2,"Muy Baja",IF(X34&lt;=0.4,"Baja",IF(X34&lt;=0.6,"Media",IF(X34&lt;=0.8,"Alta","Muy Alta"))))),"")</f>
        <v/>
      </c>
      <c r="Z34" s="110" t="str">
        <f t="shared" si="23"/>
        <v/>
      </c>
      <c r="AA34" s="109" t="str">
        <f t="shared" si="3"/>
        <v/>
      </c>
      <c r="AB34" s="110" t="str">
        <f t="shared" si="26"/>
        <v/>
      </c>
      <c r="AC34" s="111" t="str">
        <f t="shared" ref="AC34:AC35" si="27">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88"/>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customHeight="1" x14ac:dyDescent="0.3">
      <c r="A35" s="370"/>
      <c r="B35" s="403"/>
      <c r="C35" s="367"/>
      <c r="D35" s="367"/>
      <c r="E35" s="406"/>
      <c r="F35" s="367"/>
      <c r="G35" s="481"/>
      <c r="H35" s="394"/>
      <c r="I35" s="391"/>
      <c r="J35" s="397"/>
      <c r="K35" s="391">
        <f>IF(NOT(ISERROR(MATCH(J35,_xlfn.ANCHORARRAY(E47),0))),I49&amp;"Por favor no seleccionar los criterios de impacto",J35)</f>
        <v>0</v>
      </c>
      <c r="L35" s="394"/>
      <c r="M35" s="391"/>
      <c r="N35" s="413"/>
      <c r="O35" s="104">
        <v>6</v>
      </c>
      <c r="P35" s="177"/>
      <c r="Q35" s="162" t="str">
        <f t="shared" si="22"/>
        <v/>
      </c>
      <c r="R35" s="106"/>
      <c r="S35" s="106"/>
      <c r="T35" s="169" t="str">
        <f t="shared" si="15"/>
        <v/>
      </c>
      <c r="U35" s="106"/>
      <c r="V35" s="106"/>
      <c r="W35" s="106"/>
      <c r="X35" s="108" t="str">
        <f t="shared" si="25"/>
        <v/>
      </c>
      <c r="Y35" s="109" t="str">
        <f t="shared" si="1"/>
        <v/>
      </c>
      <c r="Z35" s="110" t="str">
        <f t="shared" si="23"/>
        <v/>
      </c>
      <c r="AA35" s="109" t="str">
        <f t="shared" si="3"/>
        <v/>
      </c>
      <c r="AB35" s="110" t="str">
        <f t="shared" si="26"/>
        <v/>
      </c>
      <c r="AC35" s="111" t="str">
        <f t="shared" si="27"/>
        <v/>
      </c>
      <c r="AD35" s="112"/>
      <c r="AE35" s="188"/>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75" customHeight="1" x14ac:dyDescent="0.3">
      <c r="A36" s="368">
        <v>5</v>
      </c>
      <c r="B36" s="365" t="s">
        <v>192</v>
      </c>
      <c r="C36" s="365" t="s">
        <v>216</v>
      </c>
      <c r="D36" s="365" t="s">
        <v>217</v>
      </c>
      <c r="E36" s="404" t="s">
        <v>218</v>
      </c>
      <c r="F36" s="365" t="s">
        <v>181</v>
      </c>
      <c r="G36" s="398">
        <v>2800</v>
      </c>
      <c r="H36" s="392" t="str">
        <f>IF(G36&lt;=0,"",IF(G36&lt;=2,"Muy Baja",IF(G36&lt;=24,"Baja",IF(G36&lt;=500,"Media",IF(G36&lt;=5000,"Alta","Muy Alta")))))</f>
        <v>Alta</v>
      </c>
      <c r="I36" s="389">
        <f>IF(H36="","",IF(H36="Muy Baja",0.2,IF(H36="Baja",0.4,IF(H36="Media",0.6,IF(H36="Alta",0.8,IF(H36="Muy Alta",1,))))))</f>
        <v>0.8</v>
      </c>
      <c r="J36" s="395" t="s">
        <v>195</v>
      </c>
      <c r="K36" s="389" t="str">
        <f>IF(NOT(ISERROR(MATCH(J36,'Tabla Impacto'!$B$221:$B$223,0))),'Tabla Impacto'!$F$223&amp;"Por favor no seleccionar los criterios de impacto(Afectación Económica o presupuestal y Pérdida Reputacional)",J36)</f>
        <v xml:space="preserve">     El riesgo afecta la imagen de la entidad con algunos usuarios de relevancia frente al logro de los objetivos</v>
      </c>
      <c r="L36" s="392" t="str">
        <f>IF(OR(K36='Tabla Impacto'!$C$11,K36='Tabla Impacto'!$D$11),"Leve",IF(OR(K36='Tabla Impacto'!$C$12,K36='Tabla Impacto'!$D$12),"Menor",IF(OR(K36='Tabla Impacto'!$C$13,K36='Tabla Impacto'!$D$13),"Moderado",IF(OR(K36='Tabla Impacto'!$C$14,K36='Tabla Impacto'!$D$14),"Mayor",IF(OR(K36='Tabla Impacto'!$C$15,K36='Tabla Impacto'!$D$15),"Catastrófico","")))))</f>
        <v>Moderado</v>
      </c>
      <c r="M36" s="389">
        <f>IF(L36="","",IF(L36="Leve",0.2,IF(L36="Menor",0.4,IF(L36="Moderado",0.6,IF(L36="Mayor",0.8,IF(L36="Catastrófico",1,))))))</f>
        <v>0.6</v>
      </c>
      <c r="N36" s="411"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Alto</v>
      </c>
      <c r="O36" s="104">
        <v>1</v>
      </c>
      <c r="P36" s="177" t="s">
        <v>219</v>
      </c>
      <c r="Q36" s="162" t="str">
        <f t="shared" si="22"/>
        <v>Probabilidad</v>
      </c>
      <c r="R36" s="168" t="s">
        <v>196</v>
      </c>
      <c r="S36" s="168" t="s">
        <v>185</v>
      </c>
      <c r="T36" s="169" t="str">
        <f t="shared" si="15"/>
        <v>40%</v>
      </c>
      <c r="U36" s="168" t="s">
        <v>186</v>
      </c>
      <c r="V36" s="168" t="s">
        <v>187</v>
      </c>
      <c r="W36" s="168" t="s">
        <v>188</v>
      </c>
      <c r="X36" s="159">
        <f>IFERROR(IF(Q36="Probabilidad",(I36-(+I36*T36)),IF(Q36="Impacto",I36,"")),"")</f>
        <v>0.48</v>
      </c>
      <c r="Y36" s="170" t="str">
        <f>IFERROR(IF(X36="","",IF(X36&lt;=0.2,"Muy Baja",IF(X36&lt;=0.4,"Baja",IF(X36&lt;=0.6,"Media",IF(X36&lt;=0.8,"Alta","Muy Alta"))))),"")</f>
        <v>Media</v>
      </c>
      <c r="Z36" s="171">
        <f>+X36</f>
        <v>0.48</v>
      </c>
      <c r="AA36" s="170" t="str">
        <f>IFERROR(IF(AB36="","",IF(AB36&lt;=0.2,"Leve",IF(AB36&lt;=0.4,"Menor",IF(AB36&lt;=0.6,"Moderado",IF(AB36&lt;=0.8,"Mayor","Catastrófico"))))),"")</f>
        <v>Moderado</v>
      </c>
      <c r="AB36" s="171">
        <f>IFERROR(IF(Q36="Impacto",(M36-(+M36*T36)),IF(Q36="Probabilidad",M36,"")),"")</f>
        <v>0.6</v>
      </c>
      <c r="AC36" s="17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184" t="s">
        <v>189</v>
      </c>
      <c r="AE36" s="185" t="s">
        <v>220</v>
      </c>
      <c r="AF36" s="174" t="s">
        <v>221</v>
      </c>
      <c r="AG36" s="175" t="s">
        <v>222</v>
      </c>
      <c r="AH36" s="175">
        <v>45642</v>
      </c>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customHeight="1" x14ac:dyDescent="0.3">
      <c r="A37" s="369"/>
      <c r="B37" s="366"/>
      <c r="C37" s="366"/>
      <c r="D37" s="366"/>
      <c r="E37" s="405"/>
      <c r="F37" s="366"/>
      <c r="G37" s="399"/>
      <c r="H37" s="393"/>
      <c r="I37" s="390"/>
      <c r="J37" s="396"/>
      <c r="K37" s="390">
        <f>IF(NOT(ISERROR(MATCH(J37,_xlfn.ANCHORARRAY(E49),0))),I52&amp;"Por favor no seleccionar los criterios de impacto",J37)</f>
        <v>0</v>
      </c>
      <c r="L37" s="393"/>
      <c r="M37" s="390"/>
      <c r="N37" s="412"/>
      <c r="O37" s="104">
        <v>2</v>
      </c>
      <c r="P37" s="177"/>
      <c r="Q37" s="162" t="str">
        <f t="shared" si="22"/>
        <v/>
      </c>
      <c r="R37" s="106"/>
      <c r="S37" s="106"/>
      <c r="T37" s="169" t="str">
        <f t="shared" si="15"/>
        <v/>
      </c>
      <c r="U37" s="106"/>
      <c r="V37" s="106"/>
      <c r="W37" s="106"/>
      <c r="X37" s="108" t="str">
        <f>IFERROR(IF(AND(Q36="Probabilidad",Q37="Probabilidad"),(Z36-(+Z36*T37)),IF(Q37="Probabilidad",(I36-(+I36*T37)),IF(Q37="Impacto",Z36,""))),"")</f>
        <v/>
      </c>
      <c r="Y37" s="109" t="str">
        <f t="shared" si="1"/>
        <v/>
      </c>
      <c r="Z37" s="110" t="str">
        <f t="shared" ref="Z37:Z41" si="28">+X37</f>
        <v/>
      </c>
      <c r="AA37" s="109" t="str">
        <f t="shared" si="3"/>
        <v/>
      </c>
      <c r="AB37" s="110" t="str">
        <f>IFERROR(IF(AND(Q36="Impacto",Q37="Impacto"),(AB36-(+AB36*T37)),IF(Q37="Impacto",(M36-(+M36*T37)),IF(Q37="Probabilidad",AB36,""))),"")</f>
        <v/>
      </c>
      <c r="AC37" s="111" t="str">
        <f t="shared" ref="AC37:AC38" si="29">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2"/>
      <c r="AE37" s="188"/>
      <c r="AF37" s="114"/>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customHeight="1" x14ac:dyDescent="0.3">
      <c r="A38" s="369"/>
      <c r="B38" s="366"/>
      <c r="C38" s="366"/>
      <c r="D38" s="366"/>
      <c r="E38" s="405"/>
      <c r="F38" s="366"/>
      <c r="G38" s="399"/>
      <c r="H38" s="393"/>
      <c r="I38" s="390"/>
      <c r="J38" s="396"/>
      <c r="K38" s="390">
        <f>IF(NOT(ISERROR(MATCH(J38,_xlfn.ANCHORARRAY(E51),0))),I53&amp;"Por favor no seleccionar los criterios de impacto",J38)</f>
        <v>0</v>
      </c>
      <c r="L38" s="393"/>
      <c r="M38" s="390"/>
      <c r="N38" s="412"/>
      <c r="O38" s="104">
        <v>3</v>
      </c>
      <c r="P38" s="178"/>
      <c r="Q38" s="162" t="str">
        <f t="shared" si="22"/>
        <v/>
      </c>
      <c r="R38" s="106"/>
      <c r="S38" s="106"/>
      <c r="T38" s="169" t="str">
        <f t="shared" si="15"/>
        <v/>
      </c>
      <c r="U38" s="106"/>
      <c r="V38" s="106"/>
      <c r="W38" s="106"/>
      <c r="X38" s="108" t="str">
        <f>IFERROR(IF(AND(Q37="Probabilidad",Q38="Probabilidad"),(Z37-(+Z37*T38)),IF(AND(Q37="Impacto",Q38="Probabilidad"),(Z36-(+Z36*T38)),IF(Q38="Impacto",Z37,""))),"")</f>
        <v/>
      </c>
      <c r="Y38" s="109" t="str">
        <f t="shared" si="1"/>
        <v/>
      </c>
      <c r="Z38" s="110" t="str">
        <f t="shared" si="28"/>
        <v/>
      </c>
      <c r="AA38" s="109" t="str">
        <f t="shared" si="3"/>
        <v/>
      </c>
      <c r="AB38" s="110" t="str">
        <f>IFERROR(IF(AND(Q37="Impacto",Q38="Impacto"),(AB37-(+AB37*T38)),IF(AND(Q37="Probabilidad",Q38="Impacto"),(AB36-(+AB36*T38)),IF(Q38="Probabilidad",AB37,""))),"")</f>
        <v/>
      </c>
      <c r="AC38" s="111" t="str">
        <f t="shared" si="29"/>
        <v/>
      </c>
      <c r="AD38" s="112"/>
      <c r="AE38" s="188"/>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customHeight="1" x14ac:dyDescent="0.3">
      <c r="A39" s="369"/>
      <c r="B39" s="366"/>
      <c r="C39" s="366"/>
      <c r="D39" s="366"/>
      <c r="E39" s="405"/>
      <c r="F39" s="366"/>
      <c r="G39" s="399"/>
      <c r="H39" s="393"/>
      <c r="I39" s="390"/>
      <c r="J39" s="396"/>
      <c r="K39" s="390">
        <f>IF(NOT(ISERROR(MATCH(J39,_xlfn.ANCHORARRAY(E52),0))),I54&amp;"Por favor no seleccionar los criterios de impacto",J39)</f>
        <v>0</v>
      </c>
      <c r="L39" s="393"/>
      <c r="M39" s="390"/>
      <c r="N39" s="412"/>
      <c r="O39" s="104">
        <v>4</v>
      </c>
      <c r="P39" s="177"/>
      <c r="Q39" s="162" t="str">
        <f t="shared" si="22"/>
        <v/>
      </c>
      <c r="R39" s="106"/>
      <c r="S39" s="106"/>
      <c r="T39" s="169" t="str">
        <f t="shared" si="15"/>
        <v/>
      </c>
      <c r="U39" s="106"/>
      <c r="V39" s="106"/>
      <c r="W39" s="106"/>
      <c r="X39" s="108" t="str">
        <f t="shared" ref="X39:X41" si="30">IFERROR(IF(AND(Q38="Probabilidad",Q39="Probabilidad"),(Z38-(+Z38*T39)),IF(AND(Q38="Impacto",Q39="Probabilidad"),(Z37-(+Z37*T39)),IF(Q39="Impacto",Z38,""))),"")</f>
        <v/>
      </c>
      <c r="Y39" s="109" t="str">
        <f t="shared" si="1"/>
        <v/>
      </c>
      <c r="Z39" s="110" t="str">
        <f t="shared" si="28"/>
        <v/>
      </c>
      <c r="AA39" s="109" t="str">
        <f t="shared" si="3"/>
        <v/>
      </c>
      <c r="AB39" s="110" t="str">
        <f t="shared" ref="AB39:AB41" si="31">IFERROR(IF(AND(Q38="Impacto",Q39="Impacto"),(AB38-(+AB38*T39)),IF(AND(Q38="Probabilidad",Q39="Impacto"),(AB37-(+AB37*T39)),IF(Q39="Probabilidad",AB38,""))),"")</f>
        <v/>
      </c>
      <c r="AC39" s="11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2"/>
      <c r="AE39" s="188"/>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customHeight="1" x14ac:dyDescent="0.3">
      <c r="A40" s="369"/>
      <c r="B40" s="366"/>
      <c r="C40" s="366"/>
      <c r="D40" s="366"/>
      <c r="E40" s="405"/>
      <c r="F40" s="366"/>
      <c r="G40" s="399"/>
      <c r="H40" s="393"/>
      <c r="I40" s="390"/>
      <c r="J40" s="396"/>
      <c r="K40" s="390">
        <f>IF(NOT(ISERROR(MATCH(J40,_xlfn.ANCHORARRAY(E53),0))),I55&amp;"Por favor no seleccionar los criterios de impacto",J40)</f>
        <v>0</v>
      </c>
      <c r="L40" s="393"/>
      <c r="M40" s="390"/>
      <c r="N40" s="412"/>
      <c r="O40" s="104">
        <v>5</v>
      </c>
      <c r="P40" s="177"/>
      <c r="Q40" s="162" t="str">
        <f t="shared" si="22"/>
        <v/>
      </c>
      <c r="R40" s="106"/>
      <c r="S40" s="106"/>
      <c r="T40" s="169" t="str">
        <f t="shared" si="15"/>
        <v/>
      </c>
      <c r="U40" s="106"/>
      <c r="V40" s="106"/>
      <c r="W40" s="106"/>
      <c r="X40" s="108" t="str">
        <f t="shared" si="30"/>
        <v/>
      </c>
      <c r="Y40" s="109" t="str">
        <f t="shared" si="1"/>
        <v/>
      </c>
      <c r="Z40" s="110" t="str">
        <f t="shared" si="28"/>
        <v/>
      </c>
      <c r="AA40" s="109" t="str">
        <f t="shared" si="3"/>
        <v/>
      </c>
      <c r="AB40" s="110" t="str">
        <f t="shared" si="31"/>
        <v/>
      </c>
      <c r="AC40" s="111" t="str">
        <f t="shared" ref="AC40:AC41" si="3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88"/>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customHeight="1" x14ac:dyDescent="0.3">
      <c r="A41" s="370"/>
      <c r="B41" s="367"/>
      <c r="C41" s="367"/>
      <c r="D41" s="367"/>
      <c r="E41" s="406"/>
      <c r="F41" s="367"/>
      <c r="G41" s="400"/>
      <c r="H41" s="394"/>
      <c r="I41" s="391"/>
      <c r="J41" s="397"/>
      <c r="K41" s="391">
        <f>IF(NOT(ISERROR(MATCH(J41,_xlfn.ANCHORARRAY(E54),0))),I56&amp;"Por favor no seleccionar los criterios de impacto",J41)</f>
        <v>0</v>
      </c>
      <c r="L41" s="394"/>
      <c r="M41" s="391"/>
      <c r="N41" s="413"/>
      <c r="O41" s="104">
        <v>6</v>
      </c>
      <c r="P41" s="177"/>
      <c r="Q41" s="162" t="str">
        <f t="shared" si="22"/>
        <v/>
      </c>
      <c r="R41" s="106"/>
      <c r="S41" s="106"/>
      <c r="T41" s="169" t="str">
        <f t="shared" si="15"/>
        <v/>
      </c>
      <c r="U41" s="106"/>
      <c r="V41" s="106"/>
      <c r="W41" s="106"/>
      <c r="X41" s="108" t="str">
        <f t="shared" si="30"/>
        <v/>
      </c>
      <c r="Y41" s="109" t="str">
        <f t="shared" si="1"/>
        <v/>
      </c>
      <c r="Z41" s="110" t="str">
        <f t="shared" si="28"/>
        <v/>
      </c>
      <c r="AA41" s="109" t="str">
        <f t="shared" si="3"/>
        <v/>
      </c>
      <c r="AB41" s="110" t="str">
        <f t="shared" si="31"/>
        <v/>
      </c>
      <c r="AC41" s="111" t="str">
        <f t="shared" si="32"/>
        <v/>
      </c>
      <c r="AD41" s="112"/>
      <c r="AE41" s="188"/>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66.75" customHeight="1" x14ac:dyDescent="0.3">
      <c r="A42" s="368">
        <v>6</v>
      </c>
      <c r="B42" s="365" t="s">
        <v>192</v>
      </c>
      <c r="C42" s="365" t="s">
        <v>179</v>
      </c>
      <c r="D42" s="365" t="s">
        <v>223</v>
      </c>
      <c r="E42" s="404" t="s">
        <v>224</v>
      </c>
      <c r="F42" s="365" t="s">
        <v>181</v>
      </c>
      <c r="G42" s="398">
        <v>2</v>
      </c>
      <c r="H42" s="392" t="str">
        <f>IF(G42&lt;=0,"",IF(G42&lt;=2,"Muy Baja",IF(G42&lt;=24,"Baja",IF(G42&lt;=500,"Media",IF(G42&lt;=5000,"Alta","Muy Alta")))))</f>
        <v>Muy Baja</v>
      </c>
      <c r="I42" s="389">
        <f>IF(H42="","",IF(H42="Muy Baja",0.2,IF(H42="Baja",0.4,IF(H42="Media",0.6,IF(H42="Alta",0.8,IF(H42="Muy Alta",1,))))))</f>
        <v>0.2</v>
      </c>
      <c r="J42" s="395" t="s">
        <v>182</v>
      </c>
      <c r="K42" s="389" t="str">
        <f>IF(NOT(ISERROR(MATCH(J42,'Tabla Impacto'!$B$221:$B$223,0))),'Tabla Impacto'!$F$223&amp;"Por favor no seleccionar los criterios de impacto(Afectación Económica o presupuestal y Pérdida Reputacional)",J42)</f>
        <v xml:space="preserve">     El riesgo afecta la imagen de de la entidad con efecto publicitario sostenido a nivel de sector administrativo, nivel departamental o municipal</v>
      </c>
      <c r="L42" s="392" t="str">
        <f>IF(OR(K42='Tabla Impacto'!$C$11,K42='Tabla Impacto'!$D$11),"Leve",IF(OR(K42='Tabla Impacto'!$C$12,K42='Tabla Impacto'!$D$12),"Menor",IF(OR(K42='Tabla Impacto'!$C$13,K42='Tabla Impacto'!$D$13),"Moderado",IF(OR(K42='Tabla Impacto'!$C$14,K42='Tabla Impacto'!$D$14),"Mayor",IF(OR(K42='Tabla Impacto'!$C$15,K42='Tabla Impacto'!$D$15),"Catastrófico","")))))</f>
        <v>Mayor</v>
      </c>
      <c r="M42" s="389">
        <f>IF(L42="","",IF(L42="Leve",0.2,IF(L42="Menor",0.4,IF(L42="Moderado",0.6,IF(L42="Mayor",0.8,IF(L42="Catastrófico",1,))))))</f>
        <v>0.8</v>
      </c>
      <c r="N42" s="411"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Alto</v>
      </c>
      <c r="O42" s="409">
        <v>1</v>
      </c>
      <c r="P42" s="407" t="s">
        <v>225</v>
      </c>
      <c r="Q42" s="374" t="str">
        <f>IF(OR(R42="Preventivo",R42="Detectivo"),"Probabilidad",IF(R42="Correctivo","Impacto",""))</f>
        <v>Probabilidad</v>
      </c>
      <c r="R42" s="371" t="s">
        <v>196</v>
      </c>
      <c r="S42" s="371" t="s">
        <v>185</v>
      </c>
      <c r="T42" s="377" t="str">
        <f>IF(AND(R42="Preventivo",S42="Automático"),"50%",IF(AND(R42="Preventivo",S42="Manual"),"40%",IF(AND(R42="Detectivo",S42="Automático"),"40%",IF(AND(R42="Detectivo",S42="Manual"),"30%",IF(AND(R42="Correctivo",S42="Automático"),"35%",IF(AND(R42="Correctivo",S42="Manual"),"25%",""))))))</f>
        <v>40%</v>
      </c>
      <c r="U42" s="371" t="s">
        <v>186</v>
      </c>
      <c r="V42" s="371" t="s">
        <v>187</v>
      </c>
      <c r="W42" s="371" t="s">
        <v>188</v>
      </c>
      <c r="X42" s="380">
        <f>IFERROR(IF(Q42="Probabilidad",(I42-(+I42*T42)),IF(Q42="Impacto",I42,"")),"")</f>
        <v>0.12</v>
      </c>
      <c r="Y42" s="383" t="str">
        <f>IFERROR(IF(X42="","",IF(X42&lt;=0.2,"Muy Baja",IF(X42&lt;=0.4,"Baja",IF(X42&lt;=0.6,"Media",IF(X42&lt;=0.8,"Alta","Muy Alta"))))),"")</f>
        <v>Muy Baja</v>
      </c>
      <c r="Z42" s="377">
        <f>+X42</f>
        <v>0.12</v>
      </c>
      <c r="AA42" s="383" t="str">
        <f>IFERROR(IF(AB42="","",IF(AB42&lt;=0.2,"Leve",IF(AB42&lt;=0.4,"Menor",IF(AB42&lt;=0.6,"Moderado",IF(AB42&lt;=0.8,"Mayor","Catastrófico"))))),"")</f>
        <v>Mayor</v>
      </c>
      <c r="AB42" s="377">
        <f>IFERROR(IF(Q42="Impacto",(M42-(+M42*T42)),IF(Q42="Probabilidad",M42,"")),"")</f>
        <v>0.8</v>
      </c>
      <c r="AC42" s="386"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Alto</v>
      </c>
      <c r="AD42" s="371" t="s">
        <v>189</v>
      </c>
      <c r="AE42" s="177" t="s">
        <v>226</v>
      </c>
      <c r="AF42" s="174" t="s">
        <v>227</v>
      </c>
      <c r="AG42" s="183">
        <v>45352</v>
      </c>
      <c r="AH42" s="183">
        <v>45642</v>
      </c>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60" customHeight="1" x14ac:dyDescent="0.3">
      <c r="A43" s="369"/>
      <c r="B43" s="366"/>
      <c r="C43" s="366"/>
      <c r="D43" s="366"/>
      <c r="E43" s="405"/>
      <c r="F43" s="366"/>
      <c r="G43" s="399"/>
      <c r="H43" s="393"/>
      <c r="I43" s="390"/>
      <c r="J43" s="396"/>
      <c r="K43" s="390"/>
      <c r="L43" s="393"/>
      <c r="M43" s="390"/>
      <c r="N43" s="412"/>
      <c r="O43" s="414"/>
      <c r="P43" s="415"/>
      <c r="Q43" s="376"/>
      <c r="R43" s="373"/>
      <c r="S43" s="373"/>
      <c r="T43" s="379"/>
      <c r="U43" s="373"/>
      <c r="V43" s="373"/>
      <c r="W43" s="373"/>
      <c r="X43" s="382"/>
      <c r="Y43" s="385"/>
      <c r="Z43" s="379"/>
      <c r="AA43" s="385"/>
      <c r="AB43" s="379"/>
      <c r="AC43" s="388"/>
      <c r="AD43" s="373"/>
      <c r="AE43" s="185" t="s">
        <v>228</v>
      </c>
      <c r="AF43" s="176" t="s">
        <v>229</v>
      </c>
      <c r="AG43" s="175">
        <v>45352</v>
      </c>
      <c r="AH43" s="175">
        <v>45642</v>
      </c>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customHeight="1" x14ac:dyDescent="0.3">
      <c r="A44" s="369"/>
      <c r="B44" s="366"/>
      <c r="C44" s="366"/>
      <c r="D44" s="366"/>
      <c r="E44" s="405"/>
      <c r="F44" s="366"/>
      <c r="G44" s="399"/>
      <c r="H44" s="393"/>
      <c r="I44" s="390"/>
      <c r="J44" s="396"/>
      <c r="K44" s="390"/>
      <c r="L44" s="393"/>
      <c r="M44" s="390"/>
      <c r="N44" s="412"/>
      <c r="O44" s="104">
        <v>2</v>
      </c>
      <c r="P44" s="177"/>
      <c r="Q44" s="105" t="str">
        <f>IF(OR(R44="Preventivo",R44="Detectivo"),"Probabilidad",IF(R44="Correctivo","Impacto",""))</f>
        <v/>
      </c>
      <c r="R44" s="106"/>
      <c r="S44" s="106"/>
      <c r="T44" s="107" t="str">
        <f t="shared" ref="T44:T48" si="33">IF(AND(R44="Preventivo",S44="Automático"),"50%",IF(AND(R44="Preventivo",S44="Manual"),"40%",IF(AND(R44="Detectivo",S44="Automático"),"40%",IF(AND(R44="Detectivo",S44="Manual"),"30%",IF(AND(R44="Correctivo",S44="Automático"),"35%",IF(AND(R44="Correctivo",S44="Manual"),"25%",""))))))</f>
        <v/>
      </c>
      <c r="U44" s="106"/>
      <c r="V44" s="106"/>
      <c r="W44" s="106"/>
      <c r="X44" s="108" t="str">
        <f>IFERROR(IF(AND(Q42="Probabilidad",Q44="Probabilidad"),(Z42-(+Z42*T44)),IF(Q44="Probabilidad",(I42-(+I42*T44)),IF(Q44="Impacto",Z42,""))),"")</f>
        <v/>
      </c>
      <c r="Y44" s="109" t="str">
        <f t="shared" si="1"/>
        <v/>
      </c>
      <c r="Z44" s="110" t="str">
        <f t="shared" ref="Z44:Z48" si="34">+X44</f>
        <v/>
      </c>
      <c r="AA44" s="109" t="str">
        <f t="shared" si="3"/>
        <v/>
      </c>
      <c r="AB44" s="110" t="str">
        <f>IFERROR(IF(AND(Q42="Impacto",Q44="Impacto"),(AB42-(+AB42*T44)),IF(Q44="Impacto",(M42-(+M42*T44)),IF(Q44="Probabilidad",AB42,""))),"")</f>
        <v/>
      </c>
      <c r="AC44" s="111"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2"/>
      <c r="AE44" s="188"/>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customHeight="1" x14ac:dyDescent="0.3">
      <c r="A45" s="369"/>
      <c r="B45" s="366"/>
      <c r="C45" s="366"/>
      <c r="D45" s="366"/>
      <c r="E45" s="405"/>
      <c r="F45" s="366"/>
      <c r="G45" s="399"/>
      <c r="H45" s="393"/>
      <c r="I45" s="390"/>
      <c r="J45" s="396"/>
      <c r="K45" s="390"/>
      <c r="L45" s="393"/>
      <c r="M45" s="390"/>
      <c r="N45" s="412"/>
      <c r="O45" s="104">
        <v>3</v>
      </c>
      <c r="P45" s="178"/>
      <c r="Q45" s="105" t="str">
        <f>IF(OR(R45="Preventivo",R45="Detectivo"),"Probabilidad",IF(R45="Correctivo","Impacto",""))</f>
        <v/>
      </c>
      <c r="R45" s="106"/>
      <c r="S45" s="106"/>
      <c r="T45" s="107" t="str">
        <f t="shared" si="33"/>
        <v/>
      </c>
      <c r="U45" s="106"/>
      <c r="V45" s="106"/>
      <c r="W45" s="106"/>
      <c r="X45" s="108" t="str">
        <f>IFERROR(IF(AND(Q44="Probabilidad",Q45="Probabilidad"),(Z44-(+Z44*T45)),IF(AND(Q44="Impacto",Q45="Probabilidad"),(Z42-(+Z42*T45)),IF(Q45="Impacto",Z44,""))),"")</f>
        <v/>
      </c>
      <c r="Y45" s="109" t="str">
        <f t="shared" si="1"/>
        <v/>
      </c>
      <c r="Z45" s="110" t="str">
        <f t="shared" si="34"/>
        <v/>
      </c>
      <c r="AA45" s="109" t="str">
        <f t="shared" si="3"/>
        <v/>
      </c>
      <c r="AB45" s="110" t="str">
        <f>IFERROR(IF(AND(Q44="Impacto",Q45="Impacto"),(AB44-(+AB44*T45)),IF(AND(Q44="Probabilidad",Q45="Impacto"),(AB42-(+AB42*T45)),IF(Q45="Probabilidad",AB44,""))),"")</f>
        <v/>
      </c>
      <c r="AC45" s="111" t="str">
        <f t="shared" si="35"/>
        <v/>
      </c>
      <c r="AD45" s="112"/>
      <c r="AE45" s="188"/>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customHeight="1" x14ac:dyDescent="0.3">
      <c r="A46" s="369"/>
      <c r="B46" s="366"/>
      <c r="C46" s="366"/>
      <c r="D46" s="366"/>
      <c r="E46" s="405"/>
      <c r="F46" s="366"/>
      <c r="G46" s="399"/>
      <c r="H46" s="393"/>
      <c r="I46" s="390"/>
      <c r="J46" s="396"/>
      <c r="K46" s="390"/>
      <c r="L46" s="393"/>
      <c r="M46" s="390"/>
      <c r="N46" s="412"/>
      <c r="O46" s="104">
        <v>4</v>
      </c>
      <c r="P46" s="177"/>
      <c r="Q46" s="105" t="str">
        <f t="shared" ref="Q46:Q48" si="36">IF(OR(R46="Preventivo",R46="Detectivo"),"Probabilidad",IF(R46="Correctivo","Impacto",""))</f>
        <v/>
      </c>
      <c r="R46" s="106"/>
      <c r="S46" s="106"/>
      <c r="T46" s="107" t="str">
        <f t="shared" si="33"/>
        <v/>
      </c>
      <c r="U46" s="106"/>
      <c r="V46" s="106"/>
      <c r="W46" s="106"/>
      <c r="X46" s="108" t="str">
        <f t="shared" ref="X46:X48" si="37">IFERROR(IF(AND(Q45="Probabilidad",Q46="Probabilidad"),(Z45-(+Z45*T46)),IF(AND(Q45="Impacto",Q46="Probabilidad"),(Z44-(+Z44*T46)),IF(Q46="Impacto",Z45,""))),"")</f>
        <v/>
      </c>
      <c r="Y46" s="109" t="str">
        <f t="shared" si="1"/>
        <v/>
      </c>
      <c r="Z46" s="110" t="str">
        <f t="shared" si="34"/>
        <v/>
      </c>
      <c r="AA46" s="109" t="str">
        <f t="shared" si="3"/>
        <v/>
      </c>
      <c r="AB46" s="110" t="str">
        <f t="shared" ref="AB46:AB48" si="38">IFERROR(IF(AND(Q45="Impacto",Q46="Impacto"),(AB45-(+AB45*T46)),IF(AND(Q45="Probabilidad",Q46="Impacto"),(AB44-(+AB44*T46)),IF(Q46="Probabilidad",AB45,""))),"")</f>
        <v/>
      </c>
      <c r="AC46" s="11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88"/>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customHeight="1" x14ac:dyDescent="0.3">
      <c r="A47" s="369"/>
      <c r="B47" s="366"/>
      <c r="C47" s="366"/>
      <c r="D47" s="366"/>
      <c r="E47" s="405"/>
      <c r="F47" s="366"/>
      <c r="G47" s="399"/>
      <c r="H47" s="393"/>
      <c r="I47" s="390"/>
      <c r="J47" s="396"/>
      <c r="K47" s="390"/>
      <c r="L47" s="393"/>
      <c r="M47" s="390"/>
      <c r="N47" s="412"/>
      <c r="O47" s="104">
        <v>5</v>
      </c>
      <c r="P47" s="177"/>
      <c r="Q47" s="105" t="str">
        <f t="shared" si="36"/>
        <v/>
      </c>
      <c r="R47" s="106"/>
      <c r="S47" s="106"/>
      <c r="T47" s="107" t="str">
        <f t="shared" si="33"/>
        <v/>
      </c>
      <c r="U47" s="106"/>
      <c r="V47" s="106"/>
      <c r="W47" s="106"/>
      <c r="X47" s="108" t="str">
        <f t="shared" si="37"/>
        <v/>
      </c>
      <c r="Y47" s="109" t="str">
        <f t="shared" si="1"/>
        <v/>
      </c>
      <c r="Z47" s="110" t="str">
        <f t="shared" si="34"/>
        <v/>
      </c>
      <c r="AA47" s="109" t="str">
        <f t="shared" si="3"/>
        <v/>
      </c>
      <c r="AB47" s="110" t="str">
        <f t="shared" si="38"/>
        <v/>
      </c>
      <c r="AC47" s="111" t="str">
        <f t="shared" ref="AC47" si="39">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88"/>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customHeight="1" x14ac:dyDescent="0.3">
      <c r="A48" s="370"/>
      <c r="B48" s="367"/>
      <c r="C48" s="367"/>
      <c r="D48" s="367"/>
      <c r="E48" s="406"/>
      <c r="F48" s="367"/>
      <c r="G48" s="400"/>
      <c r="H48" s="394"/>
      <c r="I48" s="391"/>
      <c r="J48" s="397"/>
      <c r="K48" s="391"/>
      <c r="L48" s="394"/>
      <c r="M48" s="391"/>
      <c r="N48" s="413"/>
      <c r="O48" s="104">
        <v>6</v>
      </c>
      <c r="P48" s="177"/>
      <c r="Q48" s="105" t="str">
        <f t="shared" si="36"/>
        <v/>
      </c>
      <c r="R48" s="106"/>
      <c r="S48" s="106"/>
      <c r="T48" s="107" t="str">
        <f t="shared" si="33"/>
        <v/>
      </c>
      <c r="U48" s="106"/>
      <c r="V48" s="106"/>
      <c r="W48" s="106"/>
      <c r="X48" s="108" t="str">
        <f t="shared" si="37"/>
        <v/>
      </c>
      <c r="Y48" s="109" t="str">
        <f t="shared" si="1"/>
        <v/>
      </c>
      <c r="Z48" s="110" t="str">
        <f t="shared" si="34"/>
        <v/>
      </c>
      <c r="AA48" s="109" t="str">
        <f>IFERROR(IF(AB48="","",IF(AB48&lt;=0.2,"Leve",IF(AB48&lt;=0.4,"Menor",IF(AB48&lt;=0.6,"Moderado",IF(AB48&lt;=0.8,"Mayor","Catastrófico"))))),"")</f>
        <v/>
      </c>
      <c r="AB48" s="110" t="str">
        <f t="shared" si="38"/>
        <v/>
      </c>
      <c r="AC48" s="11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2"/>
      <c r="AE48" s="188"/>
      <c r="AF48" s="114"/>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90.75" customHeight="1" x14ac:dyDescent="0.3">
      <c r="A49" s="368">
        <v>7</v>
      </c>
      <c r="B49" s="365" t="s">
        <v>178</v>
      </c>
      <c r="C49" s="365" t="s">
        <v>230</v>
      </c>
      <c r="D49" s="365" t="s">
        <v>231</v>
      </c>
      <c r="E49" s="404" t="s">
        <v>232</v>
      </c>
      <c r="F49" s="365" t="s">
        <v>181</v>
      </c>
      <c r="G49" s="398">
        <v>24</v>
      </c>
      <c r="H49" s="392" t="str">
        <f>IF(G49&lt;=0,"",IF(G49&lt;=2,"Muy Baja",IF(G49&lt;=24,"Baja",IF(G49&lt;=500,"Media",IF(G49&lt;=5000,"Alta","Muy Alta")))))</f>
        <v>Baja</v>
      </c>
      <c r="I49" s="389">
        <f>IF(H49="","",IF(H49="Muy Baja",0.2,IF(H49="Baja",0.4,IF(H49="Media",0.6,IF(H49="Alta",0.8,IF(H49="Muy Alta",1,))))))</f>
        <v>0.4</v>
      </c>
      <c r="J49" s="395" t="s">
        <v>195</v>
      </c>
      <c r="K49" s="196"/>
      <c r="L49" s="392" t="str">
        <f>IF(OR(K50='Tabla Impacto'!$C$11,K50='Tabla Impacto'!$D$11),"Leve",IF(OR(K50='Tabla Impacto'!$C$12,K50='Tabla Impacto'!$D$12),"Menor",IF(OR(K50='Tabla Impacto'!$C$13,K50='Tabla Impacto'!$D$13),"Moderado",IF(OR(K50='Tabla Impacto'!$C$14,K50='Tabla Impacto'!$D$14),"Mayor",IF(OR(K50='Tabla Impacto'!$C$15,K50='Tabla Impacto'!$D$15),"Catastrófico","")))))</f>
        <v>Moderado</v>
      </c>
      <c r="M49" s="389">
        <f>IF(L49="","",IF(L49="Leve",0.2,IF(L49="Menor",0.4,IF(L49="Moderado",0.6,IF(L49="Mayor",0.8,IF(L49="Catastrófico",1,))))))</f>
        <v>0.6</v>
      </c>
      <c r="N49" s="411"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409">
        <v>1</v>
      </c>
      <c r="P49" s="457" t="s">
        <v>373</v>
      </c>
      <c r="Q49" s="374" t="str">
        <f t="shared" ref="Q49:Q65" si="40">IF(OR(R49="Preventivo",R49="Detectivo"),"Probabilidad",IF(R49="Correctivo","Impacto",""))</f>
        <v>Probabilidad</v>
      </c>
      <c r="R49" s="371" t="s">
        <v>196</v>
      </c>
      <c r="S49" s="371" t="s">
        <v>185</v>
      </c>
      <c r="T49" s="377" t="str">
        <f>IF(AND(R49="Preventivo",S49="Automático"),"50%",IF(AND(R49="Preventivo",S49="Manual"),"40%",IF(AND(R49="Detectivo",S49="Automático"),"40%",IF(AND(R49="Detectivo",S49="Manual"),"30%",IF(AND(R49="Correctivo",S49="Automático"),"35%",IF(AND(R49="Correctivo",S49="Manual"),"25%",""))))))</f>
        <v>40%</v>
      </c>
      <c r="U49" s="371" t="s">
        <v>345</v>
      </c>
      <c r="V49" s="371" t="s">
        <v>187</v>
      </c>
      <c r="W49" s="371" t="s">
        <v>188</v>
      </c>
      <c r="X49" s="380">
        <v>0.24</v>
      </c>
      <c r="Y49" s="383" t="str">
        <f>IFERROR(IF(X49="","",IF(X49&lt;=0.2,"Muy Baja",IF(X49&lt;=0.4,"Baja",IF(X49&lt;=0.6,"Media",IF(X49&lt;=0.8,"Alta","Muy Alta"))))),"")</f>
        <v>Baja</v>
      </c>
      <c r="Z49" s="377">
        <f>+X49</f>
        <v>0.24</v>
      </c>
      <c r="AA49" s="383" t="str">
        <f>IFERROR(IF(AB49="","",IF(AB49&lt;=0.2,"Leve",IF(AB49&lt;=0.4,"Menor",IF(AB49&lt;=0.6,"Moderado",IF(AB49&lt;=0.8,"Mayor","Catastrófico"))))),"")</f>
        <v>Moderado</v>
      </c>
      <c r="AB49" s="377">
        <f>IFERROR(IF(Q49="Impacto",(M49-(+M49*T50)),IF(Q49="Probabilidad",M49,"")),"")</f>
        <v>0.6</v>
      </c>
      <c r="AC49" s="38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371" t="s">
        <v>189</v>
      </c>
      <c r="AE49" s="186" t="s">
        <v>374</v>
      </c>
      <c r="AF49" s="174" t="s">
        <v>233</v>
      </c>
      <c r="AG49" s="175">
        <v>45323</v>
      </c>
      <c r="AH49" s="175">
        <v>45642</v>
      </c>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74.25" customHeight="1" x14ac:dyDescent="0.3">
      <c r="A50" s="369"/>
      <c r="B50" s="366"/>
      <c r="C50" s="366"/>
      <c r="D50" s="366"/>
      <c r="E50" s="405"/>
      <c r="F50" s="366"/>
      <c r="G50" s="399"/>
      <c r="H50" s="393"/>
      <c r="I50" s="390"/>
      <c r="J50" s="396"/>
      <c r="K50" s="389" t="str">
        <f>IF(NOT(ISERROR(MATCH(J49,'Tabla Impacto'!$B$221:$B$223,0))),'Tabla Impacto'!$F$223&amp;"Por favor no seleccionar los criterios de impacto(Afectación Económica o presupuestal y Pérdida Reputacional)",J49)</f>
        <v xml:space="preserve">     El riesgo afecta la imagen de la entidad con algunos usuarios de relevancia frente al logro de los objetivos</v>
      </c>
      <c r="L50" s="393"/>
      <c r="M50" s="390"/>
      <c r="N50" s="412"/>
      <c r="O50" s="414"/>
      <c r="P50" s="458"/>
      <c r="Q50" s="376"/>
      <c r="R50" s="373"/>
      <c r="S50" s="373"/>
      <c r="T50" s="379"/>
      <c r="U50" s="373"/>
      <c r="V50" s="373"/>
      <c r="W50" s="373"/>
      <c r="X50" s="382"/>
      <c r="Y50" s="385"/>
      <c r="Z50" s="379"/>
      <c r="AA50" s="385"/>
      <c r="AB50" s="379"/>
      <c r="AC50" s="388"/>
      <c r="AD50" s="373"/>
      <c r="AE50" s="186" t="s">
        <v>375</v>
      </c>
      <c r="AF50" s="174" t="s">
        <v>233</v>
      </c>
      <c r="AG50" s="175">
        <v>45323</v>
      </c>
      <c r="AH50" s="175">
        <v>45642</v>
      </c>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75" customHeight="1" x14ac:dyDescent="0.3">
      <c r="A51" s="369"/>
      <c r="B51" s="366"/>
      <c r="C51" s="366"/>
      <c r="D51" s="366"/>
      <c r="E51" s="405"/>
      <c r="F51" s="366"/>
      <c r="G51" s="399"/>
      <c r="H51" s="393"/>
      <c r="I51" s="390"/>
      <c r="J51" s="396"/>
      <c r="K51" s="390">
        <f>IF(NOT(ISERROR(MATCH(J51,_xlfn.ANCHORARRAY(E64),0))),I66&amp;"Por favor no seleccionar los criterios de impacto",J51)</f>
        <v>0</v>
      </c>
      <c r="L51" s="393"/>
      <c r="M51" s="390"/>
      <c r="N51" s="412"/>
      <c r="O51" s="104">
        <v>2</v>
      </c>
      <c r="P51" s="178"/>
      <c r="Q51" s="162" t="str">
        <f t="shared" si="40"/>
        <v/>
      </c>
      <c r="R51" s="168"/>
      <c r="S51" s="168"/>
      <c r="T51" s="169" t="str">
        <f t="shared" ref="T51:T56" si="41">IF(AND(R51="Preventivo",S51="Automático"),"50%",IF(AND(R51="Preventivo",S51="Manual"),"40%",IF(AND(R51="Detectivo",S51="Automático"),"40%",IF(AND(R51="Detectivo",S51="Manual"),"30%",IF(AND(R51="Correctivo",S51="Automático"),"35%",IF(AND(R51="Correctivo",S51="Manual"),"25%",""))))))</f>
        <v/>
      </c>
      <c r="U51" s="168"/>
      <c r="V51" s="168"/>
      <c r="W51" s="168"/>
      <c r="X51" s="159" t="str">
        <f>IFERROR(IF(AND(Q49="Probabilidad",Q51="Probabilidad"),(Z49-(+Z49*T51)),IF(Q51="Probabilidad",(I49-(+I49*T51)),IF(Q51="Impacto",Z49,""))),"")</f>
        <v/>
      </c>
      <c r="Y51" s="170" t="str">
        <f t="shared" si="1"/>
        <v/>
      </c>
      <c r="Z51" s="171" t="str">
        <f t="shared" ref="Z51:Z55" si="42">+X51</f>
        <v/>
      </c>
      <c r="AA51" s="170" t="str">
        <f t="shared" si="3"/>
        <v/>
      </c>
      <c r="AB51" s="171" t="str">
        <f>IFERROR(IF(AND(Q49="Impacto",Q51="Impacto"),(AB49-(+AB49*T51)),IF(Q51="Impacto",(M49-(+M49*T51)),IF(Q51="Probabilidad",AB49,""))),"")</f>
        <v/>
      </c>
      <c r="AC51" s="172" t="str">
        <f t="shared" ref="AC51:AC52" si="43">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3"/>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customHeight="1" x14ac:dyDescent="0.3">
      <c r="A52" s="369"/>
      <c r="B52" s="366"/>
      <c r="C52" s="366"/>
      <c r="D52" s="366"/>
      <c r="E52" s="405"/>
      <c r="F52" s="366"/>
      <c r="G52" s="399"/>
      <c r="H52" s="393"/>
      <c r="I52" s="390"/>
      <c r="J52" s="396"/>
      <c r="K52" s="390">
        <f>IF(NOT(ISERROR(MATCH(J52,_xlfn.ANCHORARRAY(E65),0))),I67&amp;"Por favor no seleccionar los criterios de impacto",J52)</f>
        <v>0</v>
      </c>
      <c r="L52" s="393"/>
      <c r="M52" s="390"/>
      <c r="N52" s="412"/>
      <c r="O52" s="104">
        <v>3</v>
      </c>
      <c r="P52" s="178"/>
      <c r="Q52" s="162" t="str">
        <f t="shared" si="40"/>
        <v/>
      </c>
      <c r="R52" s="106"/>
      <c r="S52" s="106"/>
      <c r="T52" s="107" t="str">
        <f t="shared" si="41"/>
        <v/>
      </c>
      <c r="U52" s="106"/>
      <c r="V52" s="106"/>
      <c r="W52" s="106"/>
      <c r="X52" s="108" t="str">
        <f>IFERROR(IF(AND(Q51="Probabilidad",Q52="Probabilidad"),(Z51-(+Z51*T52)),IF(AND(Q51="Impacto",Q52="Probabilidad"),(Z49-(+Z49*T52)),IF(Q52="Impacto",Z51,""))),"")</f>
        <v/>
      </c>
      <c r="Y52" s="109" t="str">
        <f t="shared" si="1"/>
        <v/>
      </c>
      <c r="Z52" s="110" t="str">
        <f t="shared" si="42"/>
        <v/>
      </c>
      <c r="AA52" s="109" t="str">
        <f t="shared" si="3"/>
        <v/>
      </c>
      <c r="AB52" s="110" t="str">
        <f>IFERROR(IF(AND(Q51="Impacto",Q52="Impacto"),(AB51-(+AB51*T52)),IF(AND(Q51="Probabilidad",Q52="Impacto"),(AB49-(+AB49*T52)),IF(Q52="Probabilidad",AB51,""))),"")</f>
        <v/>
      </c>
      <c r="AC52" s="111" t="str">
        <f t="shared" si="43"/>
        <v/>
      </c>
      <c r="AD52" s="112"/>
      <c r="AE52" s="188"/>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customHeight="1" x14ac:dyDescent="0.3">
      <c r="A53" s="369"/>
      <c r="B53" s="366"/>
      <c r="C53" s="366"/>
      <c r="D53" s="366"/>
      <c r="E53" s="405"/>
      <c r="F53" s="366"/>
      <c r="G53" s="399"/>
      <c r="H53" s="393"/>
      <c r="I53" s="390"/>
      <c r="J53" s="396"/>
      <c r="K53" s="390">
        <f>IF(NOT(ISERROR(MATCH(J53,_xlfn.ANCHORARRAY(E66),0))),I68&amp;"Por favor no seleccionar los criterios de impacto",J53)</f>
        <v>0</v>
      </c>
      <c r="L53" s="393"/>
      <c r="M53" s="390"/>
      <c r="N53" s="412"/>
      <c r="O53" s="104">
        <v>4</v>
      </c>
      <c r="P53" s="177"/>
      <c r="Q53" s="162" t="str">
        <f t="shared" si="40"/>
        <v/>
      </c>
      <c r="R53" s="106"/>
      <c r="S53" s="106"/>
      <c r="T53" s="107" t="str">
        <f t="shared" si="41"/>
        <v/>
      </c>
      <c r="U53" s="106"/>
      <c r="V53" s="106"/>
      <c r="W53" s="106"/>
      <c r="X53" s="108" t="str">
        <f t="shared" ref="X53:X55" si="44">IFERROR(IF(AND(Q52="Probabilidad",Q53="Probabilidad"),(Z52-(+Z52*T53)),IF(AND(Q52="Impacto",Q53="Probabilidad"),(Z51-(+Z51*T53)),IF(Q53="Impacto",Z52,""))),"")</f>
        <v/>
      </c>
      <c r="Y53" s="109" t="str">
        <f t="shared" si="1"/>
        <v/>
      </c>
      <c r="Z53" s="110" t="str">
        <f t="shared" si="42"/>
        <v/>
      </c>
      <c r="AA53" s="109" t="str">
        <f t="shared" si="3"/>
        <v/>
      </c>
      <c r="AB53" s="110" t="str">
        <f t="shared" ref="AB53:AB55" si="45">IFERROR(IF(AND(Q52="Impacto",Q53="Impacto"),(AB52-(+AB52*T53)),IF(AND(Q52="Probabilidad",Q53="Impacto"),(AB51-(+AB51*T53)),IF(Q53="Probabilidad",AB52,""))),"")</f>
        <v/>
      </c>
      <c r="AC53" s="111"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2"/>
      <c r="AE53" s="188"/>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customHeight="1" x14ac:dyDescent="0.3">
      <c r="A54" s="369"/>
      <c r="B54" s="366"/>
      <c r="C54" s="366"/>
      <c r="D54" s="366"/>
      <c r="E54" s="405"/>
      <c r="F54" s="366"/>
      <c r="G54" s="399"/>
      <c r="H54" s="393"/>
      <c r="I54" s="390"/>
      <c r="J54" s="396"/>
      <c r="K54" s="390">
        <f>IF(NOT(ISERROR(MATCH(J54,_xlfn.ANCHORARRAY(E67),0))),I69&amp;"Por favor no seleccionar los criterios de impacto",J54)</f>
        <v>0</v>
      </c>
      <c r="L54" s="393"/>
      <c r="M54" s="390"/>
      <c r="N54" s="412"/>
      <c r="O54" s="104">
        <v>5</v>
      </c>
      <c r="P54" s="177"/>
      <c r="Q54" s="162" t="str">
        <f t="shared" si="40"/>
        <v/>
      </c>
      <c r="R54" s="106"/>
      <c r="S54" s="106"/>
      <c r="T54" s="107" t="str">
        <f t="shared" si="41"/>
        <v/>
      </c>
      <c r="U54" s="106"/>
      <c r="V54" s="106"/>
      <c r="W54" s="106"/>
      <c r="X54" s="108" t="str">
        <f t="shared" si="44"/>
        <v/>
      </c>
      <c r="Y54" s="109" t="str">
        <f t="shared" si="1"/>
        <v/>
      </c>
      <c r="Z54" s="110" t="str">
        <f t="shared" si="42"/>
        <v/>
      </c>
      <c r="AA54" s="109" t="str">
        <f t="shared" si="3"/>
        <v/>
      </c>
      <c r="AB54" s="110" t="str">
        <f t="shared" si="45"/>
        <v/>
      </c>
      <c r="AC54" s="111" t="str">
        <f t="shared" ref="AC54:AC55" si="4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2"/>
      <c r="AE54" s="188"/>
      <c r="AF54" s="114"/>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customHeight="1" x14ac:dyDescent="0.3">
      <c r="A55" s="370"/>
      <c r="B55" s="367"/>
      <c r="C55" s="367"/>
      <c r="D55" s="367"/>
      <c r="E55" s="406"/>
      <c r="F55" s="367"/>
      <c r="G55" s="400"/>
      <c r="H55" s="394"/>
      <c r="I55" s="391"/>
      <c r="J55" s="397"/>
      <c r="K55" s="391">
        <f>IF(NOT(ISERROR(MATCH(J55,_xlfn.ANCHORARRAY(E68),0))),I70&amp;"Por favor no seleccionar los criterios de impacto",J55)</f>
        <v>0</v>
      </c>
      <c r="L55" s="394"/>
      <c r="M55" s="391"/>
      <c r="N55" s="413"/>
      <c r="O55" s="104">
        <v>6</v>
      </c>
      <c r="P55" s="177"/>
      <c r="Q55" s="162" t="str">
        <f t="shared" si="40"/>
        <v/>
      </c>
      <c r="R55" s="106"/>
      <c r="S55" s="106"/>
      <c r="T55" s="107" t="str">
        <f t="shared" si="41"/>
        <v/>
      </c>
      <c r="U55" s="106"/>
      <c r="V55" s="106"/>
      <c r="W55" s="106"/>
      <c r="X55" s="108" t="str">
        <f t="shared" si="44"/>
        <v/>
      </c>
      <c r="Y55" s="109" t="str">
        <f t="shared" si="1"/>
        <v/>
      </c>
      <c r="Z55" s="110" t="str">
        <f t="shared" si="42"/>
        <v/>
      </c>
      <c r="AA55" s="109" t="str">
        <f t="shared" si="3"/>
        <v/>
      </c>
      <c r="AB55" s="110" t="str">
        <f t="shared" si="45"/>
        <v/>
      </c>
      <c r="AC55" s="111" t="str">
        <f t="shared" si="46"/>
        <v/>
      </c>
      <c r="AD55" s="112"/>
      <c r="AE55" s="188"/>
      <c r="AF55" s="114"/>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68.25" customHeight="1" x14ac:dyDescent="0.3">
      <c r="A56" s="368">
        <v>8</v>
      </c>
      <c r="B56" s="365" t="s">
        <v>192</v>
      </c>
      <c r="C56" s="365" t="s">
        <v>234</v>
      </c>
      <c r="D56" s="365" t="s">
        <v>235</v>
      </c>
      <c r="E56" s="401" t="s">
        <v>236</v>
      </c>
      <c r="F56" s="365" t="s">
        <v>181</v>
      </c>
      <c r="G56" s="398">
        <v>45</v>
      </c>
      <c r="H56" s="392" t="str">
        <f>IF(G56&lt;=0,"",IF(G56&lt;=2,"Muy Baja",IF(G56&lt;=24,"Baja",IF(G56&lt;=500,"Media",IF(G56&lt;=5000,"Alta","Muy Alta")))))</f>
        <v>Media</v>
      </c>
      <c r="I56" s="389">
        <f>IF(H56="","",IF(H56="Muy Baja",0.2,IF(H56="Baja",0.4,IF(H56="Media",0.6,IF(H56="Alta",0.8,IF(H56="Muy Alta",1,))))))</f>
        <v>0.6</v>
      </c>
      <c r="J56" s="395" t="s">
        <v>195</v>
      </c>
      <c r="K56" s="196"/>
      <c r="L56" s="392" t="str">
        <f>IF(OR(K58='Tabla Impacto'!$C$11,K58='Tabla Impacto'!$D$11),"Leve",IF(OR(K58='Tabla Impacto'!$C$12,K58='Tabla Impacto'!$D$12),"Menor",IF(OR(K58='Tabla Impacto'!$C$13,K58='Tabla Impacto'!$D$13),"Moderado",IF(OR(K58='Tabla Impacto'!$C$14,K58='Tabla Impacto'!$D$14),"Mayor",IF(OR(K58='Tabla Impacto'!$C$15,K58='Tabla Impacto'!$D$15),"Catastrófico","")))))</f>
        <v>Moderado</v>
      </c>
      <c r="M56" s="389">
        <f>IF(L56="","",IF(L56="Leve",0.2,IF(L56="Menor",0.4,IF(L56="Moderado",0.6,IF(L56="Mayor",0.8,IF(L56="Catastrófico",1,))))))</f>
        <v>0.6</v>
      </c>
      <c r="N56" s="411"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Moderado</v>
      </c>
      <c r="O56" s="409">
        <v>1</v>
      </c>
      <c r="P56" s="407" t="s">
        <v>237</v>
      </c>
      <c r="Q56" s="374" t="str">
        <f t="shared" si="40"/>
        <v>Probabilidad</v>
      </c>
      <c r="R56" s="371" t="s">
        <v>196</v>
      </c>
      <c r="S56" s="371" t="s">
        <v>185</v>
      </c>
      <c r="T56" s="377" t="str">
        <f t="shared" si="41"/>
        <v>40%</v>
      </c>
      <c r="U56" s="371" t="s">
        <v>186</v>
      </c>
      <c r="V56" s="371" t="s">
        <v>187</v>
      </c>
      <c r="W56" s="371" t="s">
        <v>188</v>
      </c>
      <c r="X56" s="380">
        <v>0.24</v>
      </c>
      <c r="Y56" s="383" t="s">
        <v>285</v>
      </c>
      <c r="Z56" s="377">
        <v>0.24</v>
      </c>
      <c r="AA56" s="383" t="s">
        <v>248</v>
      </c>
      <c r="AB56" s="377">
        <v>0.6</v>
      </c>
      <c r="AC56" s="386"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Moderado</v>
      </c>
      <c r="AD56" s="371" t="s">
        <v>189</v>
      </c>
      <c r="AE56" s="204" t="s">
        <v>370</v>
      </c>
      <c r="AF56" s="203" t="s">
        <v>238</v>
      </c>
      <c r="AG56" s="183">
        <v>45367</v>
      </c>
      <c r="AH56" s="183">
        <v>45642</v>
      </c>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48.75" customHeight="1" x14ac:dyDescent="0.3">
      <c r="A57" s="369"/>
      <c r="B57" s="366"/>
      <c r="C57" s="366"/>
      <c r="D57" s="366"/>
      <c r="E57" s="402"/>
      <c r="F57" s="366"/>
      <c r="G57" s="399"/>
      <c r="H57" s="393"/>
      <c r="I57" s="390"/>
      <c r="J57" s="396"/>
      <c r="K57" s="196"/>
      <c r="L57" s="393"/>
      <c r="M57" s="390"/>
      <c r="N57" s="412"/>
      <c r="O57" s="410"/>
      <c r="P57" s="408"/>
      <c r="Q57" s="375"/>
      <c r="R57" s="372"/>
      <c r="S57" s="372"/>
      <c r="T57" s="378"/>
      <c r="U57" s="372"/>
      <c r="V57" s="372"/>
      <c r="W57" s="372"/>
      <c r="X57" s="381"/>
      <c r="Y57" s="384"/>
      <c r="Z57" s="378"/>
      <c r="AA57" s="384"/>
      <c r="AB57" s="378"/>
      <c r="AC57" s="387"/>
      <c r="AD57" s="372"/>
      <c r="AE57" s="204" t="s">
        <v>239</v>
      </c>
      <c r="AF57" s="174" t="s">
        <v>238</v>
      </c>
      <c r="AG57" s="183">
        <v>45383</v>
      </c>
      <c r="AH57" s="183">
        <v>45642</v>
      </c>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67.5" customHeight="1" x14ac:dyDescent="0.3">
      <c r="A58" s="369"/>
      <c r="B58" s="366"/>
      <c r="C58" s="366"/>
      <c r="D58" s="366"/>
      <c r="E58" s="402"/>
      <c r="F58" s="366"/>
      <c r="G58" s="399"/>
      <c r="H58" s="393"/>
      <c r="I58" s="390"/>
      <c r="J58" s="396"/>
      <c r="K58" s="389" t="str">
        <f>IF(NOT(ISERROR(MATCH(J56,'Tabla Impacto'!$B$221:$B$223,0))),'Tabla Impacto'!$F$223&amp;"Por favor no seleccionar los criterios de impacto(Afectación Económica o presupuestal y Pérdida Reputacional)",J56)</f>
        <v xml:space="preserve">     El riesgo afecta la imagen de la entidad con algunos usuarios de relevancia frente al logro de los objetivos</v>
      </c>
      <c r="L58" s="393"/>
      <c r="M58" s="390"/>
      <c r="N58" s="412"/>
      <c r="O58" s="410"/>
      <c r="P58" s="408"/>
      <c r="Q58" s="376"/>
      <c r="R58" s="373"/>
      <c r="S58" s="373"/>
      <c r="T58" s="379"/>
      <c r="U58" s="373"/>
      <c r="V58" s="373"/>
      <c r="W58" s="373"/>
      <c r="X58" s="382"/>
      <c r="Y58" s="385"/>
      <c r="Z58" s="379"/>
      <c r="AA58" s="385"/>
      <c r="AB58" s="379"/>
      <c r="AC58" s="388"/>
      <c r="AD58" s="373"/>
      <c r="AE58" s="204" t="s">
        <v>376</v>
      </c>
      <c r="AF58" s="174" t="s">
        <v>238</v>
      </c>
      <c r="AG58" s="183">
        <v>45383</v>
      </c>
      <c r="AH58" s="183">
        <v>45642</v>
      </c>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75" customHeight="1" x14ac:dyDescent="0.3">
      <c r="A59" s="369"/>
      <c r="B59" s="366"/>
      <c r="C59" s="366"/>
      <c r="D59" s="366"/>
      <c r="E59" s="402"/>
      <c r="F59" s="366"/>
      <c r="G59" s="399"/>
      <c r="H59" s="393"/>
      <c r="I59" s="390"/>
      <c r="J59" s="396"/>
      <c r="K59" s="390">
        <f>IF(NOT(ISERROR(MATCH(J59,_xlfn.ANCHORARRAY(E70),0))),I72&amp;"Por favor no seleccionar los criterios de impacto",J59)</f>
        <v>0</v>
      </c>
      <c r="L59" s="393"/>
      <c r="M59" s="390"/>
      <c r="N59" s="412"/>
      <c r="O59" s="104">
        <v>2</v>
      </c>
      <c r="P59" s="177"/>
      <c r="Q59" s="177"/>
      <c r="R59" s="177"/>
      <c r="S59" s="177"/>
      <c r="T59" s="177"/>
      <c r="U59" s="177"/>
      <c r="V59" s="177"/>
      <c r="W59" s="177"/>
      <c r="X59" s="177"/>
      <c r="Y59" s="177"/>
      <c r="Z59" s="177"/>
      <c r="AA59" s="177"/>
      <c r="AB59" s="177"/>
      <c r="AC59" s="177"/>
      <c r="AD59" s="177"/>
      <c r="AE59" s="188"/>
      <c r="AF59" s="188"/>
      <c r="AG59" s="188"/>
      <c r="AH59" s="188"/>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75" customHeight="1" x14ac:dyDescent="0.3">
      <c r="A60" s="369"/>
      <c r="B60" s="366"/>
      <c r="C60" s="366"/>
      <c r="D60" s="366"/>
      <c r="E60" s="402"/>
      <c r="F60" s="366"/>
      <c r="G60" s="399"/>
      <c r="H60" s="393"/>
      <c r="I60" s="390"/>
      <c r="J60" s="396"/>
      <c r="K60" s="390">
        <f>IF(NOT(ISERROR(MATCH(J60,_xlfn.ANCHORARRAY(E71),0))),I73&amp;"Por favor no seleccionar los criterios de impacto",J60)</f>
        <v>0</v>
      </c>
      <c r="L60" s="393"/>
      <c r="M60" s="390"/>
      <c r="N60" s="412"/>
      <c r="O60" s="104">
        <v>3</v>
      </c>
      <c r="P60" s="206"/>
      <c r="Q60" s="207"/>
      <c r="R60" s="208"/>
      <c r="S60" s="208"/>
      <c r="T60" s="209"/>
      <c r="U60" s="208"/>
      <c r="V60" s="208"/>
      <c r="W60" s="208"/>
      <c r="X60" s="202"/>
      <c r="Y60" s="210"/>
      <c r="Z60" s="209"/>
      <c r="AA60" s="210"/>
      <c r="AB60" s="209"/>
      <c r="AC60" s="211"/>
      <c r="AD60" s="208"/>
      <c r="AE60" s="188"/>
      <c r="AF60" s="188"/>
      <c r="AG60" s="188"/>
      <c r="AH60" s="188"/>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customHeight="1" x14ac:dyDescent="0.3">
      <c r="A61" s="369"/>
      <c r="B61" s="366"/>
      <c r="C61" s="366"/>
      <c r="D61" s="366"/>
      <c r="E61" s="402"/>
      <c r="F61" s="366"/>
      <c r="G61" s="399"/>
      <c r="H61" s="393"/>
      <c r="I61" s="390"/>
      <c r="J61" s="396"/>
      <c r="K61" s="390">
        <f>IF(NOT(ISERROR(MATCH(J61,_xlfn.ANCHORARRAY(E72),0))),I74&amp;"Por favor no seleccionar los criterios de impacto",J61)</f>
        <v>0</v>
      </c>
      <c r="L61" s="393"/>
      <c r="M61" s="390"/>
      <c r="N61" s="412"/>
      <c r="O61" s="104">
        <v>4</v>
      </c>
      <c r="P61" s="177"/>
      <c r="Q61" s="162" t="str">
        <f t="shared" si="40"/>
        <v/>
      </c>
      <c r="R61" s="106"/>
      <c r="S61" s="106"/>
      <c r="T61" s="107" t="str">
        <f t="shared" ref="T61:T63" si="47">IF(AND(R61="Preventivo",S61="Automático"),"50%",IF(AND(R61="Preventivo",S61="Manual"),"40%",IF(AND(R61="Detectivo",S61="Automático"),"40%",IF(AND(R61="Detectivo",S61="Manual"),"30%",IF(AND(R61="Correctivo",S61="Automático"),"35%",IF(AND(R61="Correctivo",S61="Manual"),"25%",""))))))</f>
        <v/>
      </c>
      <c r="U61" s="106"/>
      <c r="V61" s="106"/>
      <c r="W61" s="106"/>
      <c r="X61" s="108" t="str">
        <f t="shared" ref="X61:X63" si="48">IFERROR(IF(AND(Q60="Probabilidad",Q61="Probabilidad"),(Z60-(+Z60*T61)),IF(AND(Q60="Impacto",Q61="Probabilidad"),(Z59-(+Z59*T61)),IF(Q61="Impacto",Z60,""))),"")</f>
        <v/>
      </c>
      <c r="Y61" s="109" t="str">
        <f t="shared" si="1"/>
        <v/>
      </c>
      <c r="Z61" s="171" t="str">
        <f t="shared" ref="Z61:Z63" si="49">+X61</f>
        <v/>
      </c>
      <c r="AA61" s="109" t="str">
        <f t="shared" si="3"/>
        <v/>
      </c>
      <c r="AB61" s="110" t="str">
        <f t="shared" ref="AB61:AB63" si="50">IFERROR(IF(AND(Q60="Impacto",Q61="Impacto"),(AB60-(+AB60*T61)),IF(AND(Q60="Probabilidad",Q61="Impacto"),(AB59-(+AB59*T61)),IF(Q61="Probabilidad",AB60,""))),"")</f>
        <v/>
      </c>
      <c r="AC61" s="11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2"/>
      <c r="AE61" s="188"/>
      <c r="AF61" s="114"/>
      <c r="AG61" s="205"/>
      <c r="AH61" s="205"/>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customHeight="1" x14ac:dyDescent="0.3">
      <c r="A62" s="369"/>
      <c r="B62" s="366"/>
      <c r="C62" s="366"/>
      <c r="D62" s="366"/>
      <c r="E62" s="402"/>
      <c r="F62" s="366"/>
      <c r="G62" s="399"/>
      <c r="H62" s="393"/>
      <c r="I62" s="390"/>
      <c r="J62" s="396"/>
      <c r="K62" s="390">
        <f>IF(NOT(ISERROR(MATCH(J62,_xlfn.ANCHORARRAY(E73),0))),I75&amp;"Por favor no seleccionar los criterios de impacto",J62)</f>
        <v>0</v>
      </c>
      <c r="L62" s="393"/>
      <c r="M62" s="390"/>
      <c r="N62" s="412"/>
      <c r="O62" s="104">
        <v>5</v>
      </c>
      <c r="P62" s="177"/>
      <c r="Q62" s="162" t="str">
        <f t="shared" si="40"/>
        <v/>
      </c>
      <c r="R62" s="106"/>
      <c r="S62" s="106"/>
      <c r="T62" s="107" t="str">
        <f t="shared" si="47"/>
        <v/>
      </c>
      <c r="U62" s="106"/>
      <c r="V62" s="106"/>
      <c r="W62" s="106"/>
      <c r="X62" s="108" t="str">
        <f t="shared" si="48"/>
        <v/>
      </c>
      <c r="Y62" s="109" t="str">
        <f t="shared" si="1"/>
        <v/>
      </c>
      <c r="Z62" s="171" t="str">
        <f t="shared" si="49"/>
        <v/>
      </c>
      <c r="AA62" s="109" t="str">
        <f t="shared" si="3"/>
        <v/>
      </c>
      <c r="AB62" s="110" t="str">
        <f t="shared" si="50"/>
        <v/>
      </c>
      <c r="AC62" s="111" t="str">
        <f t="shared" ref="AC62:AC63" si="51">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2"/>
      <c r="AE62" s="188"/>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customHeight="1" x14ac:dyDescent="0.3">
      <c r="A63" s="370"/>
      <c r="B63" s="367"/>
      <c r="C63" s="367"/>
      <c r="D63" s="367"/>
      <c r="E63" s="403"/>
      <c r="F63" s="367"/>
      <c r="G63" s="400"/>
      <c r="H63" s="394"/>
      <c r="I63" s="391"/>
      <c r="J63" s="397"/>
      <c r="K63" s="391">
        <f>IF(NOT(ISERROR(MATCH(J63,_xlfn.ANCHORARRAY(E74),0))),I108&amp;"Por favor no seleccionar los criterios de impacto",J63)</f>
        <v>0</v>
      </c>
      <c r="L63" s="394"/>
      <c r="M63" s="391"/>
      <c r="N63" s="413"/>
      <c r="O63" s="104">
        <v>6</v>
      </c>
      <c r="P63" s="177"/>
      <c r="Q63" s="162" t="str">
        <f t="shared" si="40"/>
        <v/>
      </c>
      <c r="R63" s="106"/>
      <c r="S63" s="106"/>
      <c r="T63" s="107" t="str">
        <f t="shared" si="47"/>
        <v/>
      </c>
      <c r="U63" s="106"/>
      <c r="V63" s="106"/>
      <c r="W63" s="106"/>
      <c r="X63" s="108" t="str">
        <f t="shared" si="48"/>
        <v/>
      </c>
      <c r="Y63" s="109" t="str">
        <f t="shared" si="1"/>
        <v/>
      </c>
      <c r="Z63" s="171" t="str">
        <f t="shared" si="49"/>
        <v/>
      </c>
      <c r="AA63" s="109" t="str">
        <f t="shared" si="3"/>
        <v/>
      </c>
      <c r="AB63" s="110" t="str">
        <f t="shared" si="50"/>
        <v/>
      </c>
      <c r="AC63" s="111" t="str">
        <f t="shared" si="51"/>
        <v/>
      </c>
      <c r="AD63" s="112"/>
      <c r="AE63" s="188"/>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21.5" customHeight="1" x14ac:dyDescent="0.3">
      <c r="A64" s="368">
        <v>9</v>
      </c>
      <c r="B64" s="365" t="s">
        <v>178</v>
      </c>
      <c r="C64" s="365" t="s">
        <v>240</v>
      </c>
      <c r="D64" s="365" t="s">
        <v>241</v>
      </c>
      <c r="E64" s="404" t="s">
        <v>242</v>
      </c>
      <c r="F64" s="365" t="s">
        <v>181</v>
      </c>
      <c r="G64" s="398">
        <v>360</v>
      </c>
      <c r="H64" s="392" t="str">
        <f>IF(G64&lt;=0,"",IF(G64&lt;=2,"Muy Baja",IF(G64&lt;=24,"Baja",IF(G64&lt;=500,"Media",IF(G64&lt;=5000,"Alta","Muy Alta")))))</f>
        <v>Media</v>
      </c>
      <c r="I64" s="389">
        <f>IF(H64="","",IF(H64="Muy Baja",0.2,IF(H64="Baja",0.4,IF(H64="Media",0.6,IF(H64="Alta",0.8,IF(H64="Muy Alta",1,))))))</f>
        <v>0.6</v>
      </c>
      <c r="J64" s="395" t="s">
        <v>195</v>
      </c>
      <c r="K64" s="389"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392" t="str">
        <f>IF(OR(K64='Tabla Impacto'!$C$11,K64='Tabla Impacto'!$D$11),"Leve",IF(OR(K64='Tabla Impacto'!$C$12,K64='Tabla Impacto'!$D$12),"Menor",IF(OR(K64='Tabla Impacto'!$C$13,K64='Tabla Impacto'!$D$13),"Moderado",IF(OR(K64='Tabla Impacto'!$C$14,K64='Tabla Impacto'!$D$14),"Mayor",IF(OR(K64='Tabla Impacto'!$C$15,K64='Tabla Impacto'!$D$15),"Catastrófico","")))))</f>
        <v>Moderado</v>
      </c>
      <c r="M64" s="389">
        <f>IF(L64="","",IF(L64="Leve",0.2,IF(L64="Menor",0.4,IF(L64="Moderado",0.6,IF(L64="Mayor",0.8,IF(L64="Catastrófico",1,))))))</f>
        <v>0.6</v>
      </c>
      <c r="N64" s="411"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04">
        <v>1</v>
      </c>
      <c r="P64" s="186" t="s">
        <v>243</v>
      </c>
      <c r="Q64" s="162" t="str">
        <f t="shared" si="40"/>
        <v>Probabilidad</v>
      </c>
      <c r="R64" s="168" t="s">
        <v>196</v>
      </c>
      <c r="S64" s="168" t="s">
        <v>185</v>
      </c>
      <c r="T64" s="169" t="str">
        <f>IF(AND(R64="Preventivo",S64="Automático"),"50%",IF(AND(R64="Preventivo",S64="Manual"),"40%",IF(AND(R64="Detectivo",S64="Automático"),"40%",IF(AND(R64="Detectivo",S64="Manual"),"30%",IF(AND(R64="Correctivo",S64="Automático"),"35%",IF(AND(R64="Correctivo",S64="Manual"),"25%",""))))))</f>
        <v>40%</v>
      </c>
      <c r="U64" s="168" t="s">
        <v>186</v>
      </c>
      <c r="V64" s="168" t="s">
        <v>187</v>
      </c>
      <c r="W64" s="168" t="s">
        <v>188</v>
      </c>
      <c r="X64" s="159">
        <f>IFERROR(IF(Q64="Probabilidad",(I64-(+I64*T64)),IF(Q64="Impacto",I64,"")),"")</f>
        <v>0.36</v>
      </c>
      <c r="Y64" s="170" t="str">
        <f>IFERROR(IF(X64="","",IF(X64&lt;=0.2,"Muy Baja",IF(X64&lt;=0.4,"Baja",IF(X64&lt;=0.6,"Media",IF(X64&lt;=0.8,"Alta","Muy Alta"))))),"")</f>
        <v>Baja</v>
      </c>
      <c r="Z64" s="171">
        <f>+X64</f>
        <v>0.36</v>
      </c>
      <c r="AA64" s="170" t="str">
        <f>IFERROR(IF(AB64="","",IF(AB64&lt;=0.2,"Leve",IF(AB64&lt;=0.4,"Menor",IF(AB64&lt;=0.6,"Moderado",IF(AB64&lt;=0.8,"Mayor","Catastrófico"))))),"")</f>
        <v>Moderado</v>
      </c>
      <c r="AB64" s="171">
        <f>IFERROR(IF(Q64="Impacto",(M64-(+M64*T64)),IF(Q64="Probabilidad",M64,"")),"")</f>
        <v>0.6</v>
      </c>
      <c r="AC64" s="17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73" t="s">
        <v>189</v>
      </c>
      <c r="AE64" s="186" t="s">
        <v>244</v>
      </c>
      <c r="AF64" s="187" t="s">
        <v>233</v>
      </c>
      <c r="AG64" s="189">
        <v>45373</v>
      </c>
      <c r="AH64" s="190">
        <v>45534</v>
      </c>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x14ac:dyDescent="0.3">
      <c r="A65" s="369"/>
      <c r="B65" s="366"/>
      <c r="C65" s="366"/>
      <c r="D65" s="366"/>
      <c r="E65" s="405"/>
      <c r="F65" s="366"/>
      <c r="G65" s="399"/>
      <c r="H65" s="393"/>
      <c r="I65" s="390"/>
      <c r="J65" s="396"/>
      <c r="K65" s="390">
        <f>IF(NOT(ISERROR(MATCH(J65,_xlfn.ANCHORARRAY(E108),0))),I110&amp;"Por favor no seleccionar los criterios de impacto",J65)</f>
        <v>0</v>
      </c>
      <c r="L65" s="393"/>
      <c r="M65" s="390"/>
      <c r="N65" s="412"/>
      <c r="O65" s="104">
        <v>2</v>
      </c>
      <c r="P65" s="186"/>
      <c r="Q65" s="162" t="str">
        <f t="shared" si="40"/>
        <v/>
      </c>
      <c r="R65" s="168"/>
      <c r="S65" s="168"/>
      <c r="T65" s="169" t="str">
        <f t="shared" ref="T65" si="52">IF(AND(R65="Preventivo",S65="Automático"),"50%",IF(AND(R65="Preventivo",S65="Manual"),"40%",IF(AND(R65="Detectivo",S65="Automático"),"40%",IF(AND(R65="Detectivo",S65="Manual"),"30%",IF(AND(R65="Correctivo",S65="Automático"),"35%",IF(AND(R65="Correctivo",S65="Manual"),"25%",""))))))</f>
        <v/>
      </c>
      <c r="U65" s="168"/>
      <c r="V65" s="168"/>
      <c r="W65" s="168"/>
      <c r="X65" s="159" t="str">
        <f>IFERROR(IF(AND(Q64="Probabilidad",Q65="Probabilidad"),(Z64-(+Z64*T65)),IF(Q65="Probabilidad",(I64-(+I64*T65)),IF(Q65="Impacto",Z64,""))),"")</f>
        <v/>
      </c>
      <c r="Y65" s="170" t="str">
        <f>IFERROR(IF(X65="","",IF(X65&lt;=0.2,"Muy Baja",IF(X65&lt;=0.4,"Baja",IF(X65&lt;=0.6,"Media",IF(X65&lt;=0.8,"Alta","Muy Alta"))))),"")</f>
        <v/>
      </c>
      <c r="Z65" s="171" t="str">
        <f>+X65</f>
        <v/>
      </c>
      <c r="AA65" s="170" t="str">
        <f t="shared" ref="AA65:AA69" si="53">IFERROR(IF(AB65="","",IF(AB65&lt;=0.2,"Leve",IF(AB65&lt;=0.4,"Menor",IF(AB65&lt;=0.6,"Moderado",IF(AB65&lt;=0.8,"Mayor","Catastrófico"))))),"")</f>
        <v/>
      </c>
      <c r="AB65" s="171" t="str">
        <f>IFERROR(IF(AND(Q64="Impacto",Q65="Impacto"),(AB64-(+AB64*T65)),IF(Q65="Impacto",(M64-(+M64*T65)),IF(Q65="Probabilidad",AB64,""))),"")</f>
        <v/>
      </c>
      <c r="AC65" s="172" t="str">
        <f t="shared" ref="AC65:AC70" si="54">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73"/>
      <c r="AE65" s="186"/>
      <c r="AF65" s="187"/>
      <c r="AG65" s="190"/>
      <c r="AH65" s="190"/>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x14ac:dyDescent="0.3">
      <c r="A66" s="369"/>
      <c r="B66" s="366"/>
      <c r="C66" s="366"/>
      <c r="D66" s="366"/>
      <c r="E66" s="405"/>
      <c r="F66" s="366"/>
      <c r="G66" s="399"/>
      <c r="H66" s="393"/>
      <c r="I66" s="390"/>
      <c r="J66" s="396"/>
      <c r="K66" s="390">
        <f>IF(NOT(ISERROR(MATCH(J66,_xlfn.ANCHORARRAY(E109),0))),I111&amp;"Por favor no seleccionar los criterios de impacto",J66)</f>
        <v>0</v>
      </c>
      <c r="L66" s="393"/>
      <c r="M66" s="390"/>
      <c r="N66" s="412"/>
      <c r="O66" s="104">
        <v>3</v>
      </c>
      <c r="P66" s="186"/>
      <c r="Q66" s="162"/>
      <c r="R66" s="168"/>
      <c r="S66" s="168"/>
      <c r="T66" s="169"/>
      <c r="U66" s="168"/>
      <c r="V66" s="168"/>
      <c r="W66" s="168"/>
      <c r="X66" s="108"/>
      <c r="Y66" s="170"/>
      <c r="Z66" s="171"/>
      <c r="AA66" s="170" t="str">
        <f t="shared" si="53"/>
        <v/>
      </c>
      <c r="AB66" s="171" t="str">
        <f t="shared" ref="AB66:AB69" si="55">IFERROR(IF(AND(Q65="Impacto",Q66="Impacto"),(AB65-(+AB65*T66)),IF(Q66="Impacto",(M65-(+M65*T66)),IF(Q66="Probabilidad",AB65,""))),"")</f>
        <v/>
      </c>
      <c r="AC66" s="172" t="str">
        <f t="shared" si="54"/>
        <v/>
      </c>
      <c r="AD66" s="173"/>
      <c r="AE66" s="186"/>
      <c r="AF66" s="167"/>
      <c r="AG66" s="167"/>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x14ac:dyDescent="0.3">
      <c r="A67" s="369"/>
      <c r="B67" s="366"/>
      <c r="C67" s="366"/>
      <c r="D67" s="366"/>
      <c r="E67" s="405"/>
      <c r="F67" s="366"/>
      <c r="G67" s="399"/>
      <c r="H67" s="393"/>
      <c r="I67" s="390"/>
      <c r="J67" s="396"/>
      <c r="K67" s="390">
        <f>IF(NOT(ISERROR(MATCH(J67,_xlfn.ANCHORARRAY(E110),0))),I112&amp;"Por favor no seleccionar los criterios de impacto",J67)</f>
        <v>0</v>
      </c>
      <c r="L67" s="393"/>
      <c r="M67" s="390"/>
      <c r="N67" s="412"/>
      <c r="O67" s="104">
        <v>4</v>
      </c>
      <c r="P67" s="186"/>
      <c r="Q67" s="105"/>
      <c r="R67" s="168"/>
      <c r="S67" s="168"/>
      <c r="T67" s="169"/>
      <c r="U67" s="168"/>
      <c r="V67" s="168"/>
      <c r="W67" s="168"/>
      <c r="X67" s="108"/>
      <c r="Y67" s="109"/>
      <c r="Z67" s="110"/>
      <c r="AA67" s="170" t="str">
        <f t="shared" si="53"/>
        <v/>
      </c>
      <c r="AB67" s="171" t="str">
        <f t="shared" si="55"/>
        <v/>
      </c>
      <c r="AC67" s="172" t="str">
        <f t="shared" si="54"/>
        <v/>
      </c>
      <c r="AD67" s="112"/>
      <c r="AE67" s="186"/>
      <c r="AF67" s="167"/>
      <c r="AG67" s="167"/>
      <c r="AH67" s="115"/>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customHeight="1" x14ac:dyDescent="0.3">
      <c r="A68" s="369"/>
      <c r="B68" s="366"/>
      <c r="C68" s="366"/>
      <c r="D68" s="366"/>
      <c r="E68" s="405"/>
      <c r="F68" s="366"/>
      <c r="G68" s="399"/>
      <c r="H68" s="393"/>
      <c r="I68" s="390"/>
      <c r="J68" s="396"/>
      <c r="K68" s="390">
        <f>IF(NOT(ISERROR(MATCH(J68,_xlfn.ANCHORARRAY(E111),0))),I113&amp;"Por favor no seleccionar los criterios de impacto",J68)</f>
        <v>0</v>
      </c>
      <c r="L68" s="393"/>
      <c r="M68" s="390"/>
      <c r="N68" s="412"/>
      <c r="O68" s="104">
        <v>5</v>
      </c>
      <c r="P68" s="177"/>
      <c r="Q68" s="105"/>
      <c r="R68" s="168"/>
      <c r="S68" s="168"/>
      <c r="T68" s="169"/>
      <c r="U68" s="168"/>
      <c r="V68" s="168"/>
      <c r="W68" s="168"/>
      <c r="X68" s="108"/>
      <c r="Y68" s="109"/>
      <c r="Z68" s="110"/>
      <c r="AA68" s="170" t="str">
        <f t="shared" si="53"/>
        <v/>
      </c>
      <c r="AB68" s="171" t="str">
        <f t="shared" si="55"/>
        <v/>
      </c>
      <c r="AC68" s="172" t="str">
        <f t="shared" si="54"/>
        <v/>
      </c>
      <c r="AD68" s="112"/>
      <c r="AE68" s="188"/>
      <c r="AF68" s="114"/>
      <c r="AG68" s="115"/>
      <c r="AH68" s="115"/>
      <c r="AI68" s="115"/>
      <c r="AJ68" s="113"/>
      <c r="AK68" s="114"/>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row>
    <row r="69" spans="1:69" ht="18" customHeight="1" x14ac:dyDescent="0.3">
      <c r="A69" s="370"/>
      <c r="B69" s="367"/>
      <c r="C69" s="367"/>
      <c r="D69" s="367"/>
      <c r="E69" s="406"/>
      <c r="F69" s="367"/>
      <c r="G69" s="400"/>
      <c r="H69" s="394"/>
      <c r="I69" s="391"/>
      <c r="J69" s="397"/>
      <c r="K69" s="391">
        <f>IF(NOT(ISERROR(MATCH(J69,_xlfn.ANCHORARRAY(E112),0))),I114&amp;"Por favor no seleccionar los criterios de impacto",J69)</f>
        <v>0</v>
      </c>
      <c r="L69" s="394"/>
      <c r="M69" s="391"/>
      <c r="N69" s="413"/>
      <c r="O69" s="104">
        <v>6</v>
      </c>
      <c r="P69" s="177"/>
      <c r="Q69" s="105"/>
      <c r="R69" s="168"/>
      <c r="S69" s="168"/>
      <c r="T69" s="169"/>
      <c r="U69" s="168"/>
      <c r="V69" s="168"/>
      <c r="W69" s="168"/>
      <c r="X69" s="108"/>
      <c r="Y69" s="109"/>
      <c r="Z69" s="110"/>
      <c r="AA69" s="170" t="str">
        <f t="shared" si="53"/>
        <v/>
      </c>
      <c r="AB69" s="171" t="str">
        <f t="shared" si="55"/>
        <v/>
      </c>
      <c r="AC69" s="172" t="str">
        <f t="shared" si="54"/>
        <v/>
      </c>
      <c r="AD69" s="112"/>
      <c r="AE69" s="188"/>
      <c r="AF69" s="114"/>
      <c r="AG69" s="115"/>
      <c r="AH69" s="115"/>
      <c r="AI69" s="115"/>
      <c r="AJ69" s="113"/>
      <c r="AK69" s="114"/>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row>
    <row r="70" spans="1:69" ht="77.25" customHeight="1" x14ac:dyDescent="0.3">
      <c r="A70" s="368">
        <v>10</v>
      </c>
      <c r="B70" s="365" t="s">
        <v>192</v>
      </c>
      <c r="C70" s="365" t="s">
        <v>245</v>
      </c>
      <c r="D70" s="365" t="s">
        <v>246</v>
      </c>
      <c r="E70" s="445" t="s">
        <v>247</v>
      </c>
      <c r="F70" s="365" t="s">
        <v>181</v>
      </c>
      <c r="G70" s="448">
        <v>150</v>
      </c>
      <c r="H70" s="392" t="str">
        <f>IF(G70&lt;=0,"",IF(G70&lt;=2,"Muy Baja",IF(G70&lt;=24,"Baja",IF(G70&lt;=500,"Media",IF(G70&lt;=5000,"Alta","Muy Alta")))))</f>
        <v>Media</v>
      </c>
      <c r="I70" s="389">
        <f>IF(H70="","",IF(H70="Muy Baja",0.2,IF(H70="Baja",0.4,IF(H70="Media",0.6,IF(H70="Alta",0.8,IF(H70="Muy Alta",1,))))))</f>
        <v>0.6</v>
      </c>
      <c r="J70" s="395" t="s">
        <v>195</v>
      </c>
      <c r="K70" s="389"/>
      <c r="L70" s="392" t="s">
        <v>248</v>
      </c>
      <c r="M70" s="389">
        <f>IF(L70="","",IF(L70="Leve",0.2,IF(L70="Menor",0.4,IF(L70="Moderado",0.6,IF(L70="Mayor",0.8,IF(L70="Catastrófico",1,))))))</f>
        <v>0.6</v>
      </c>
      <c r="N70" s="411"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Moderado</v>
      </c>
      <c r="O70" s="104">
        <v>1</v>
      </c>
      <c r="P70" s="219" t="s">
        <v>393</v>
      </c>
      <c r="Q70" s="162" t="str">
        <f t="shared" ref="Q70" si="56">IF(OR(R70="Preventivo",R70="Detectivo"),"Probabilidad",IF(R70="Correctivo","Impacto",""))</f>
        <v>Probabilidad</v>
      </c>
      <c r="R70" s="168" t="s">
        <v>196</v>
      </c>
      <c r="S70" s="168" t="s">
        <v>185</v>
      </c>
      <c r="T70" s="169" t="str">
        <f t="shared" ref="T70:T75" si="57">IF(AND(R70="Preventivo",S70="Automático"),"50%",IF(AND(R70="Preventivo",S70="Manual"),"40%",IF(AND(R70="Detectivo",S70="Automático"),"40%",IF(AND(R70="Detectivo",S70="Manual"),"30%",IF(AND(R70="Correctivo",S70="Automático"),"35%",IF(AND(R70="Correctivo",S70="Manual"),"25%",""))))))</f>
        <v>40%</v>
      </c>
      <c r="U70" s="168" t="s">
        <v>186</v>
      </c>
      <c r="V70" s="168" t="s">
        <v>187</v>
      </c>
      <c r="W70" s="168" t="s">
        <v>188</v>
      </c>
      <c r="X70" s="159">
        <f t="shared" ref="X70:X75" si="58">IFERROR(IF(Q70="Probabilidad",(I70-(+I70*T70)),IF(Q70="Impacto",I70,"")),"")</f>
        <v>0.36</v>
      </c>
      <c r="Y70" s="170" t="str">
        <f t="shared" ref="Y70:Y75" si="59">IFERROR(IF(X70="","",IF(X70&lt;=0.2,"Muy Baja",IF(X70&lt;=0.4,"Baja",IF(X70&lt;=0.6,"Media",IF(X70&lt;=0.8,"Alta","Muy Alta"))))),"")</f>
        <v>Baja</v>
      </c>
      <c r="Z70" s="171">
        <f t="shared" ref="Z70:Z75" si="60">+X70</f>
        <v>0.36</v>
      </c>
      <c r="AA70" s="170" t="s">
        <v>248</v>
      </c>
      <c r="AB70" s="171">
        <v>0.6</v>
      </c>
      <c r="AC70" s="172" t="str">
        <f t="shared" si="54"/>
        <v>Moderado</v>
      </c>
      <c r="AD70" s="173" t="s">
        <v>189</v>
      </c>
      <c r="AE70" s="219" t="s">
        <v>377</v>
      </c>
      <c r="AF70" s="222" t="s">
        <v>191</v>
      </c>
      <c r="AG70" s="224">
        <v>45443</v>
      </c>
      <c r="AH70" s="167">
        <v>45642</v>
      </c>
      <c r="AI70" s="115"/>
      <c r="AJ70" s="113"/>
      <c r="AK70" s="114"/>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row>
    <row r="71" spans="1:69" ht="18" customHeight="1" x14ac:dyDescent="0.3">
      <c r="A71" s="369"/>
      <c r="B71" s="366"/>
      <c r="C71" s="366"/>
      <c r="D71" s="366"/>
      <c r="E71" s="446"/>
      <c r="F71" s="366"/>
      <c r="G71" s="449"/>
      <c r="H71" s="393"/>
      <c r="I71" s="390"/>
      <c r="J71" s="396"/>
      <c r="K71" s="390"/>
      <c r="L71" s="393"/>
      <c r="M71" s="390"/>
      <c r="N71" s="412"/>
      <c r="O71" s="104"/>
      <c r="P71" s="177"/>
      <c r="Q71" s="105"/>
      <c r="R71" s="106"/>
      <c r="S71" s="106"/>
      <c r="T71" s="169" t="str">
        <f t="shared" si="57"/>
        <v/>
      </c>
      <c r="U71" s="106"/>
      <c r="V71" s="106"/>
      <c r="W71" s="106"/>
      <c r="X71" s="159" t="str">
        <f t="shared" si="58"/>
        <v/>
      </c>
      <c r="Y71" s="170" t="str">
        <f t="shared" si="59"/>
        <v/>
      </c>
      <c r="Z71" s="171" t="str">
        <f t="shared" si="60"/>
        <v/>
      </c>
      <c r="AA71" s="170" t="str">
        <f t="shared" ref="AA71:AA75" si="61">IFERROR(IF(AB71="","",IF(AB71&lt;=0.2,"Leve",IF(AB71&lt;=0.4,"Menor",IF(AB71&lt;=0.6,"Moderado",IF(AB71&lt;=0.8,"Mayor","Catastrófico"))))),"")</f>
        <v/>
      </c>
      <c r="AB71" s="171" t="str">
        <f t="shared" ref="AB71:AB75" si="62">IFERROR(IF(Q71="Impacto",(M71-(+M71*T71)),IF(Q71="Probabilidad",M71,"")),"")</f>
        <v/>
      </c>
      <c r="AC71" s="111"/>
      <c r="AD71" s="112"/>
      <c r="AE71" s="188"/>
      <c r="AF71" s="114"/>
      <c r="AG71" s="115"/>
      <c r="AH71" s="115"/>
      <c r="AI71" s="115"/>
      <c r="AJ71" s="113"/>
      <c r="AK71" s="114"/>
    </row>
    <row r="72" spans="1:69" ht="18" customHeight="1" x14ac:dyDescent="0.3">
      <c r="A72" s="369"/>
      <c r="B72" s="366"/>
      <c r="C72" s="366"/>
      <c r="D72" s="366"/>
      <c r="E72" s="446"/>
      <c r="F72" s="366"/>
      <c r="G72" s="449"/>
      <c r="H72" s="393"/>
      <c r="I72" s="390"/>
      <c r="J72" s="396"/>
      <c r="K72" s="390"/>
      <c r="L72" s="393"/>
      <c r="M72" s="390"/>
      <c r="N72" s="412"/>
      <c r="O72" s="104"/>
      <c r="P72" s="178"/>
      <c r="Q72" s="105"/>
      <c r="R72" s="106"/>
      <c r="S72" s="106"/>
      <c r="T72" s="169" t="str">
        <f t="shared" si="57"/>
        <v/>
      </c>
      <c r="U72" s="106"/>
      <c r="V72" s="106"/>
      <c r="W72" s="106"/>
      <c r="X72" s="159" t="str">
        <f t="shared" si="58"/>
        <v/>
      </c>
      <c r="Y72" s="170" t="str">
        <f t="shared" si="59"/>
        <v/>
      </c>
      <c r="Z72" s="171" t="str">
        <f t="shared" si="60"/>
        <v/>
      </c>
      <c r="AA72" s="170" t="str">
        <f t="shared" si="61"/>
        <v/>
      </c>
      <c r="AB72" s="171" t="str">
        <f t="shared" si="62"/>
        <v/>
      </c>
      <c r="AC72" s="111"/>
      <c r="AD72" s="112"/>
      <c r="AE72" s="188"/>
      <c r="AF72" s="114"/>
      <c r="AG72" s="115"/>
      <c r="AH72" s="115"/>
      <c r="AI72" s="115"/>
      <c r="AJ72" s="113"/>
      <c r="AK72" s="114"/>
    </row>
    <row r="73" spans="1:69" ht="18" customHeight="1" x14ac:dyDescent="0.3">
      <c r="A73" s="369"/>
      <c r="B73" s="366"/>
      <c r="C73" s="366"/>
      <c r="D73" s="366"/>
      <c r="E73" s="446"/>
      <c r="F73" s="366"/>
      <c r="G73" s="449"/>
      <c r="H73" s="393"/>
      <c r="I73" s="390"/>
      <c r="J73" s="396"/>
      <c r="K73" s="390"/>
      <c r="L73" s="393"/>
      <c r="M73" s="390"/>
      <c r="N73" s="412"/>
      <c r="O73" s="104"/>
      <c r="P73" s="177"/>
      <c r="Q73" s="105"/>
      <c r="R73" s="106"/>
      <c r="S73" s="106"/>
      <c r="T73" s="169" t="str">
        <f t="shared" si="57"/>
        <v/>
      </c>
      <c r="U73" s="106"/>
      <c r="V73" s="106"/>
      <c r="W73" s="106"/>
      <c r="X73" s="159" t="str">
        <f t="shared" si="58"/>
        <v/>
      </c>
      <c r="Y73" s="170" t="str">
        <f t="shared" si="59"/>
        <v/>
      </c>
      <c r="Z73" s="171" t="str">
        <f t="shared" si="60"/>
        <v/>
      </c>
      <c r="AA73" s="170" t="str">
        <f t="shared" si="61"/>
        <v/>
      </c>
      <c r="AB73" s="171" t="str">
        <f t="shared" si="62"/>
        <v/>
      </c>
      <c r="AC73" s="111"/>
      <c r="AD73" s="112"/>
      <c r="AE73" s="188"/>
      <c r="AF73" s="114"/>
      <c r="AG73" s="115"/>
      <c r="AH73" s="115"/>
      <c r="AI73" s="115"/>
      <c r="AJ73" s="113"/>
      <c r="AK73" s="114"/>
    </row>
    <row r="74" spans="1:69" ht="18" customHeight="1" x14ac:dyDescent="0.3">
      <c r="A74" s="369"/>
      <c r="B74" s="366"/>
      <c r="C74" s="366"/>
      <c r="D74" s="366"/>
      <c r="E74" s="446"/>
      <c r="F74" s="366"/>
      <c r="G74" s="449"/>
      <c r="H74" s="393"/>
      <c r="I74" s="390"/>
      <c r="J74" s="396"/>
      <c r="K74" s="390"/>
      <c r="L74" s="393"/>
      <c r="M74" s="390"/>
      <c r="N74" s="412"/>
      <c r="O74" s="104"/>
      <c r="P74" s="177"/>
      <c r="Q74" s="105"/>
      <c r="R74" s="106"/>
      <c r="S74" s="106"/>
      <c r="T74" s="169" t="str">
        <f t="shared" si="57"/>
        <v/>
      </c>
      <c r="U74" s="106"/>
      <c r="V74" s="106"/>
      <c r="W74" s="106"/>
      <c r="X74" s="159" t="str">
        <f t="shared" si="58"/>
        <v/>
      </c>
      <c r="Y74" s="170" t="str">
        <f t="shared" si="59"/>
        <v/>
      </c>
      <c r="Z74" s="171" t="str">
        <f t="shared" si="60"/>
        <v/>
      </c>
      <c r="AA74" s="170" t="str">
        <f t="shared" si="61"/>
        <v/>
      </c>
      <c r="AB74" s="171" t="str">
        <f t="shared" si="62"/>
        <v/>
      </c>
      <c r="AC74" s="111"/>
      <c r="AD74" s="112"/>
      <c r="AE74" s="188"/>
      <c r="AF74" s="114"/>
      <c r="AG74" s="115"/>
      <c r="AH74" s="115"/>
      <c r="AI74" s="115"/>
      <c r="AJ74" s="113"/>
      <c r="AK74" s="114"/>
    </row>
    <row r="75" spans="1:69" ht="18" customHeight="1" x14ac:dyDescent="0.3">
      <c r="A75" s="370"/>
      <c r="B75" s="367"/>
      <c r="C75" s="367"/>
      <c r="D75" s="367"/>
      <c r="E75" s="447"/>
      <c r="F75" s="367"/>
      <c r="G75" s="450"/>
      <c r="H75" s="394"/>
      <c r="I75" s="391"/>
      <c r="J75" s="397"/>
      <c r="K75" s="391"/>
      <c r="L75" s="394"/>
      <c r="M75" s="391"/>
      <c r="N75" s="413"/>
      <c r="O75" s="104"/>
      <c r="P75" s="177"/>
      <c r="Q75" s="105"/>
      <c r="R75" s="106"/>
      <c r="S75" s="106"/>
      <c r="T75" s="169" t="str">
        <f t="shared" si="57"/>
        <v/>
      </c>
      <c r="U75" s="106"/>
      <c r="V75" s="106"/>
      <c r="W75" s="106"/>
      <c r="X75" s="159" t="str">
        <f t="shared" si="58"/>
        <v/>
      </c>
      <c r="Y75" s="170" t="str">
        <f t="shared" si="59"/>
        <v/>
      </c>
      <c r="Z75" s="171" t="str">
        <f t="shared" si="60"/>
        <v/>
      </c>
      <c r="AA75" s="170" t="str">
        <f t="shared" si="61"/>
        <v/>
      </c>
      <c r="AB75" s="171" t="str">
        <f t="shared" si="62"/>
        <v/>
      </c>
      <c r="AC75" s="111"/>
      <c r="AD75" s="112"/>
      <c r="AE75" s="188"/>
      <c r="AF75" s="114"/>
      <c r="AG75" s="115"/>
      <c r="AH75" s="115"/>
      <c r="AI75" s="115"/>
      <c r="AJ75" s="113"/>
      <c r="AK75" s="114"/>
    </row>
    <row r="76" spans="1:69" ht="66.75" customHeight="1" x14ac:dyDescent="0.3">
      <c r="A76" s="368">
        <v>11</v>
      </c>
      <c r="B76" s="365" t="s">
        <v>192</v>
      </c>
      <c r="C76" s="365" t="s">
        <v>250</v>
      </c>
      <c r="D76" s="365" t="s">
        <v>251</v>
      </c>
      <c r="E76" s="445" t="s">
        <v>252</v>
      </c>
      <c r="F76" s="365" t="s">
        <v>181</v>
      </c>
      <c r="G76" s="448">
        <v>150</v>
      </c>
      <c r="H76" s="392" t="str">
        <f>IF(G76&lt;=0,"",IF(G76&lt;=2,"Muy Baja",IF(G76&lt;=24,"Baja",IF(G76&lt;=500,"Media",IF(G76&lt;=5000,"Alta","Muy Alta")))))</f>
        <v>Media</v>
      </c>
      <c r="I76" s="389">
        <f>IF(H76="","",IF(H76="Muy Baja",0.2,IF(H76="Baja",0.4,IF(H76="Media",0.6,IF(H76="Alta",0.8,IF(H76="Muy Alta",1,))))))</f>
        <v>0.6</v>
      </c>
      <c r="J76" s="395" t="s">
        <v>195</v>
      </c>
      <c r="K76" s="215"/>
      <c r="L76" s="392" t="str">
        <f>IF(OR(K77='Tabla Impacto'!$C$11,K77='Tabla Impacto'!$D$11),"Leve",IF(OR(K77='Tabla Impacto'!$C$12,K77='Tabla Impacto'!$D$12),"Menor",IF(OR(K77='Tabla Impacto'!$C$13,K77='Tabla Impacto'!$D$13),"Moderado",IF(OR(K77='Tabla Impacto'!$C$14,K77='Tabla Impacto'!$D$14),"Mayor",IF(OR(K77='Tabla Impacto'!$C$15,K77='Tabla Impacto'!$D$15),"Catastrófico","")))))</f>
        <v>Moderado</v>
      </c>
      <c r="M76" s="389">
        <f>IF(L76="","",IF(L76="Leve",0.2,IF(L76="Menor",0.4,IF(L76="Moderado",0.6,IF(L76="Mayor",0.8,IF(L76="Catastrófico",1,))))))</f>
        <v>0.6</v>
      </c>
      <c r="N76" s="411" t="str">
        <f>IF(OR(AND(H76="Muy Baja",L76="Leve"),AND(H76="Muy Baja",L76="Menor"),AND(H76="Baja",L76="Leve")),"Bajo",IF(OR(AND(H76="Muy baja",L76="Moderado"),AND(H76="Baja",L76="Menor"),AND(H76="Baja",L76="Moderado"),AND(H76="Media",L76="Leve"),AND(H76="Media",L76="Menor"),AND(H76="Media",L76="Moderado"),AND(H76="Alta",L76="Leve"),AND(H76="Alta",L76="Menor")),"Moderado",IF(OR(AND(H76="Muy Baja",L76="Mayor"),AND(H76="Baja",L76="Mayor"),AND(H76="Media",L76="Mayor"),AND(H76="Alta",L76="Moderado"),AND(H76="Alta",L76="Mayor"),AND(H76="Muy Alta",L76="Leve"),AND(H76="Muy Alta",L76="Menor"),AND(H76="Muy Alta",L76="Moderado"),AND(H76="Muy Alta",L76="Mayor")),"Alto",IF(OR(AND(H76="Muy Baja",L76="Catastrófico"),AND(H76="Baja",L76="Catastrófico"),AND(H76="Media",L76="Catastrófico"),AND(H76="Alta",L76="Catastrófico"),AND(H76="Muy Alta",L76="Catastrófico")),"Extremo",""))))</f>
        <v>Moderado</v>
      </c>
      <c r="O76" s="409">
        <v>1</v>
      </c>
      <c r="P76" s="485" t="s">
        <v>394</v>
      </c>
      <c r="Q76" s="374" t="str">
        <f>IF(OR(R76="Preventivo",R76="Detectivo"),"Probabilidad",IF(R76="Correctivo","Impacto",""))</f>
        <v>Probabilidad</v>
      </c>
      <c r="R76" s="371" t="s">
        <v>196</v>
      </c>
      <c r="S76" s="371" t="s">
        <v>185</v>
      </c>
      <c r="T76" s="377" t="str">
        <f>IF(AND(R76="Preventivo",S76="Automático"),"50%",IF(AND(R76="Preventivo",S76="Manual"),"40%",IF(AND(R76="Detectivo",S76="Automático"),"40%",IF(AND(R76="Detectivo",S76="Manual"),"30%",IF(AND(R76="Correctivo",S76="Automático"),"35%",IF(AND(R76="Correctivo",S76="Manual"),"25%",""))))))</f>
        <v>40%</v>
      </c>
      <c r="U76" s="371" t="s">
        <v>186</v>
      </c>
      <c r="V76" s="371" t="s">
        <v>187</v>
      </c>
      <c r="W76" s="371" t="s">
        <v>188</v>
      </c>
      <c r="X76" s="380">
        <f>IFERROR(IF(Q76="Probabilidad",(I76-(+I76*T76)),IF(Q76="Impacto",I76,"")),"")</f>
        <v>0.36</v>
      </c>
      <c r="Y76" s="383" t="str">
        <f>IFERROR(IF(X76="","",IF(X76&lt;=0.2,"Muy Baja",IF(X76&lt;=0.4,"Baja",IF(X76&lt;=0.6,"Media",IF(X76&lt;=0.8,"Alta","Muy Alta"))))),"")</f>
        <v>Baja</v>
      </c>
      <c r="Z76" s="377">
        <f>+X76</f>
        <v>0.36</v>
      </c>
      <c r="AA76" s="383" t="str">
        <f>IFERROR(IF(AB76="","",IF(AB76&lt;=0.2,"Leve",IF(AB76&lt;=0.4,"Menor",IF(AB76&lt;=0.6,"Moderado",IF(AB76&lt;=0.8,"Mayor","Catastrófico"))))),"")</f>
        <v>Moderado</v>
      </c>
      <c r="AB76" s="377">
        <f>IFERROR(IF(Q76="Impacto",(M76-(+M76*T76)),IF(Q76="Probabilidad",M76,"")),"")</f>
        <v>0.6</v>
      </c>
      <c r="AC76" s="386" t="str">
        <f>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Moderado</v>
      </c>
      <c r="AD76" s="371" t="s">
        <v>189</v>
      </c>
      <c r="AE76" s="221" t="s">
        <v>378</v>
      </c>
      <c r="AF76" s="222" t="s">
        <v>381</v>
      </c>
      <c r="AG76" s="224">
        <v>45443</v>
      </c>
      <c r="AH76" s="167">
        <v>45642</v>
      </c>
      <c r="AI76" s="115"/>
      <c r="AJ76" s="113"/>
      <c r="AK76" s="114"/>
    </row>
    <row r="77" spans="1:69" ht="78" customHeight="1" x14ac:dyDescent="0.3">
      <c r="A77" s="369"/>
      <c r="B77" s="366"/>
      <c r="C77" s="366"/>
      <c r="D77" s="366"/>
      <c r="E77" s="446"/>
      <c r="F77" s="366"/>
      <c r="G77" s="449"/>
      <c r="H77" s="393"/>
      <c r="I77" s="390"/>
      <c r="J77" s="396"/>
      <c r="K77" s="389" t="str">
        <f>IF(NOT(ISERROR(MATCH(J76,'Tabla Impacto'!$B$221:$B$223,0))),'Tabla Impacto'!$F$223&amp;"Por favor no seleccionar los criterios de impacto(Afectación Económica o presupuestal y Pérdida Reputacional)",J76)</f>
        <v xml:space="preserve">     El riesgo afecta la imagen de la entidad con algunos usuarios de relevancia frente al logro de los objetivos</v>
      </c>
      <c r="L77" s="393"/>
      <c r="M77" s="390"/>
      <c r="N77" s="412"/>
      <c r="O77" s="414"/>
      <c r="P77" s="486"/>
      <c r="Q77" s="376"/>
      <c r="R77" s="373"/>
      <c r="S77" s="373"/>
      <c r="T77" s="379"/>
      <c r="U77" s="373"/>
      <c r="V77" s="373"/>
      <c r="W77" s="373"/>
      <c r="X77" s="382"/>
      <c r="Y77" s="385"/>
      <c r="Z77" s="379"/>
      <c r="AA77" s="385"/>
      <c r="AB77" s="379"/>
      <c r="AC77" s="388"/>
      <c r="AD77" s="373"/>
      <c r="AE77" s="221" t="s">
        <v>379</v>
      </c>
      <c r="AF77" s="222" t="s">
        <v>382</v>
      </c>
      <c r="AG77" s="224">
        <v>45443</v>
      </c>
      <c r="AH77" s="167">
        <v>45642</v>
      </c>
      <c r="AI77" s="115"/>
      <c r="AJ77" s="113"/>
      <c r="AK77" s="114"/>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row>
    <row r="78" spans="1:69" ht="18" customHeight="1" x14ac:dyDescent="0.3">
      <c r="A78" s="369"/>
      <c r="B78" s="366"/>
      <c r="C78" s="366"/>
      <c r="D78" s="366"/>
      <c r="E78" s="446"/>
      <c r="F78" s="366"/>
      <c r="G78" s="449"/>
      <c r="H78" s="393"/>
      <c r="I78" s="390"/>
      <c r="J78" s="396"/>
      <c r="K78" s="390">
        <f>IF(NOT(ISERROR(MATCH(J78,_xlfn.ANCHORARRAY(E120),0))),I122&amp;"Por favor no seleccionar los criterios de impacto",J78)</f>
        <v>0</v>
      </c>
      <c r="L78" s="393"/>
      <c r="M78" s="390"/>
      <c r="N78" s="412"/>
      <c r="O78" s="104">
        <v>2</v>
      </c>
      <c r="P78" s="177"/>
      <c r="Q78" s="105" t="str">
        <f>IF(OR(R78="Preventivo",R78="Detectivo"),"Probabilidad",IF(R78="Correctivo","Impacto",""))</f>
        <v/>
      </c>
      <c r="R78" s="106"/>
      <c r="S78" s="106"/>
      <c r="T78" s="107" t="str">
        <f t="shared" ref="T78:T83" si="63">IF(AND(R78="Preventivo",S78="Automático"),"50%",IF(AND(R78="Preventivo",S78="Manual"),"40%",IF(AND(R78="Detectivo",S78="Automático"),"40%",IF(AND(R78="Detectivo",S78="Manual"),"30%",IF(AND(R78="Correctivo",S78="Automático"),"35%",IF(AND(R78="Correctivo",S78="Manual"),"25%",""))))))</f>
        <v/>
      </c>
      <c r="U78" s="106"/>
      <c r="V78" s="106"/>
      <c r="W78" s="106"/>
      <c r="X78" s="108" t="str">
        <f>IFERROR(IF(AND(Q76="Probabilidad",Q78="Probabilidad"),(Z76-(+Z76*T78)),IF(Q78="Probabilidad",(I76-(+I76*T78)),IF(Q78="Impacto",Z76,""))),"")</f>
        <v/>
      </c>
      <c r="Y78" s="109" t="str">
        <f t="shared" ref="Y78:Y82" si="64">IFERROR(IF(X78="","",IF(X78&lt;=0.2,"Muy Baja",IF(X78&lt;=0.4,"Baja",IF(X78&lt;=0.6,"Media",IF(X78&lt;=0.8,"Alta","Muy Alta"))))),"")</f>
        <v/>
      </c>
      <c r="Z78" s="110" t="str">
        <f t="shared" ref="Z78:Z82" si="65">+X78</f>
        <v/>
      </c>
      <c r="AA78" s="109" t="str">
        <f t="shared" ref="AA78:AA82" si="66">IFERROR(IF(AB78="","",IF(AB78&lt;=0.2,"Leve",IF(AB78&lt;=0.4,"Menor",IF(AB78&lt;=0.6,"Moderado",IF(AB78&lt;=0.8,"Mayor","Catastrófico"))))),"")</f>
        <v/>
      </c>
      <c r="AB78" s="110" t="str">
        <f>IFERROR(IF(AND(Q76="Impacto",Q78="Impacto"),(AB76-(+AB76*T78)),IF(Q78="Impacto",(M76-(+M76*T78)),IF(Q78="Probabilidad",AB76,""))),"")</f>
        <v/>
      </c>
      <c r="AC78" s="111" t="str">
        <f t="shared" ref="AC78:AC79" si="67">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12"/>
      <c r="AE78" s="188"/>
      <c r="AF78" s="114"/>
      <c r="AG78" s="115"/>
      <c r="AH78" s="115"/>
      <c r="AI78" s="115"/>
      <c r="AJ78" s="113"/>
      <c r="AK78" s="114"/>
    </row>
    <row r="79" spans="1:69" ht="18" customHeight="1" x14ac:dyDescent="0.3">
      <c r="A79" s="369"/>
      <c r="B79" s="366"/>
      <c r="C79" s="366"/>
      <c r="D79" s="366"/>
      <c r="E79" s="446"/>
      <c r="F79" s="366"/>
      <c r="G79" s="449"/>
      <c r="H79" s="393"/>
      <c r="I79" s="390"/>
      <c r="J79" s="396"/>
      <c r="K79" s="390">
        <f>IF(NOT(ISERROR(MATCH(J79,_xlfn.ANCHORARRAY(E121),0))),I123&amp;"Por favor no seleccionar los criterios de impacto",J79)</f>
        <v>0</v>
      </c>
      <c r="L79" s="393"/>
      <c r="M79" s="390"/>
      <c r="N79" s="412"/>
      <c r="O79" s="104">
        <v>3</v>
      </c>
      <c r="P79" s="178"/>
      <c r="Q79" s="105" t="str">
        <f>IF(OR(R79="Preventivo",R79="Detectivo"),"Probabilidad",IF(R79="Correctivo","Impacto",""))</f>
        <v/>
      </c>
      <c r="R79" s="106"/>
      <c r="S79" s="106"/>
      <c r="T79" s="107" t="str">
        <f t="shared" si="63"/>
        <v/>
      </c>
      <c r="U79" s="106"/>
      <c r="V79" s="106"/>
      <c r="W79" s="106"/>
      <c r="X79" s="108" t="str">
        <f>IFERROR(IF(AND(Q78="Probabilidad",Q79="Probabilidad"),(Z78-(+Z78*T79)),IF(AND(Q78="Impacto",Q79="Probabilidad"),(Z76-(+Z76*T79)),IF(Q79="Impacto",Z78,""))),"")</f>
        <v/>
      </c>
      <c r="Y79" s="109" t="str">
        <f t="shared" si="64"/>
        <v/>
      </c>
      <c r="Z79" s="110" t="str">
        <f t="shared" si="65"/>
        <v/>
      </c>
      <c r="AA79" s="109" t="str">
        <f t="shared" si="66"/>
        <v/>
      </c>
      <c r="AB79" s="110" t="str">
        <f>IFERROR(IF(AND(Q78="Impacto",Q79="Impacto"),(AB78-(+AB78*T79)),IF(AND(Q78="Probabilidad",Q79="Impacto"),(AB76-(+AB76*T79)),IF(Q79="Probabilidad",AB78,""))),"")</f>
        <v/>
      </c>
      <c r="AC79" s="111" t="str">
        <f t="shared" si="67"/>
        <v/>
      </c>
      <c r="AD79" s="112"/>
      <c r="AE79" s="188"/>
      <c r="AF79" s="114"/>
      <c r="AG79" s="115"/>
      <c r="AH79" s="115"/>
      <c r="AI79" s="115"/>
      <c r="AJ79" s="113"/>
      <c r="AK79" s="114"/>
    </row>
    <row r="80" spans="1:69" ht="18" customHeight="1" x14ac:dyDescent="0.3">
      <c r="A80" s="369"/>
      <c r="B80" s="366"/>
      <c r="C80" s="366"/>
      <c r="D80" s="366"/>
      <c r="E80" s="446"/>
      <c r="F80" s="366"/>
      <c r="G80" s="449"/>
      <c r="H80" s="393"/>
      <c r="I80" s="390"/>
      <c r="J80" s="396"/>
      <c r="K80" s="390">
        <f>IF(NOT(ISERROR(MATCH(J80,_xlfn.ANCHORARRAY(E122),0))),I124&amp;"Por favor no seleccionar los criterios de impacto",J80)</f>
        <v>0</v>
      </c>
      <c r="L80" s="393"/>
      <c r="M80" s="390"/>
      <c r="N80" s="412"/>
      <c r="O80" s="104">
        <v>4</v>
      </c>
      <c r="P80" s="177"/>
      <c r="Q80" s="105" t="str">
        <f t="shared" ref="Q80:Q83" si="68">IF(OR(R80="Preventivo",R80="Detectivo"),"Probabilidad",IF(R80="Correctivo","Impacto",""))</f>
        <v/>
      </c>
      <c r="R80" s="106"/>
      <c r="S80" s="106"/>
      <c r="T80" s="107" t="str">
        <f t="shared" si="63"/>
        <v/>
      </c>
      <c r="U80" s="106"/>
      <c r="V80" s="106"/>
      <c r="W80" s="106"/>
      <c r="X80" s="108" t="str">
        <f t="shared" ref="X80:X81" si="69">IFERROR(IF(AND(Q79="Probabilidad",Q80="Probabilidad"),(Z79-(+Z79*T80)),IF(AND(Q79="Impacto",Q80="Probabilidad"),(Z78-(+Z78*T80)),IF(Q80="Impacto",Z79,""))),"")</f>
        <v/>
      </c>
      <c r="Y80" s="109" t="str">
        <f t="shared" si="64"/>
        <v/>
      </c>
      <c r="Z80" s="110" t="str">
        <f t="shared" si="65"/>
        <v/>
      </c>
      <c r="AA80" s="109" t="str">
        <f t="shared" si="66"/>
        <v/>
      </c>
      <c r="AB80" s="110" t="str">
        <f t="shared" ref="AB80:AB81" si="70">IFERROR(IF(AND(Q79="Impacto",Q80="Impacto"),(AB79-(+AB79*T80)),IF(AND(Q79="Probabilidad",Q80="Impacto"),(AB78-(+AB78*T80)),IF(Q80="Probabilidad",AB79,""))),"")</f>
        <v/>
      </c>
      <c r="AC80" s="111" t="str">
        <f>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12"/>
      <c r="AE80" s="188"/>
      <c r="AF80" s="114"/>
      <c r="AG80" s="115"/>
      <c r="AH80" s="115"/>
      <c r="AI80" s="115"/>
      <c r="AJ80" s="113"/>
      <c r="AK80" s="114"/>
    </row>
    <row r="81" spans="1:69" ht="18" customHeight="1" x14ac:dyDescent="0.3">
      <c r="A81" s="369"/>
      <c r="B81" s="366"/>
      <c r="C81" s="366"/>
      <c r="D81" s="366"/>
      <c r="E81" s="446"/>
      <c r="F81" s="366"/>
      <c r="G81" s="449"/>
      <c r="H81" s="393"/>
      <c r="I81" s="390"/>
      <c r="J81" s="396"/>
      <c r="K81" s="390">
        <f>IF(NOT(ISERROR(MATCH(J81,_xlfn.ANCHORARRAY(E123),0))),I125&amp;"Por favor no seleccionar los criterios de impacto",J81)</f>
        <v>0</v>
      </c>
      <c r="L81" s="393"/>
      <c r="M81" s="390"/>
      <c r="N81" s="412"/>
      <c r="O81" s="104">
        <v>5</v>
      </c>
      <c r="P81" s="177"/>
      <c r="Q81" s="105" t="str">
        <f t="shared" si="68"/>
        <v/>
      </c>
      <c r="R81" s="106"/>
      <c r="S81" s="106"/>
      <c r="T81" s="107" t="str">
        <f t="shared" si="63"/>
        <v/>
      </c>
      <c r="U81" s="106"/>
      <c r="V81" s="106"/>
      <c r="W81" s="106"/>
      <c r="X81" s="108" t="str">
        <f t="shared" si="69"/>
        <v/>
      </c>
      <c r="Y81" s="109" t="str">
        <f t="shared" si="64"/>
        <v/>
      </c>
      <c r="Z81" s="110" t="str">
        <f t="shared" si="65"/>
        <v/>
      </c>
      <c r="AA81" s="109" t="str">
        <f t="shared" si="66"/>
        <v/>
      </c>
      <c r="AB81" s="110" t="str">
        <f t="shared" si="70"/>
        <v/>
      </c>
      <c r="AC81" s="111" t="str">
        <f t="shared" ref="AC81:AC82" si="71">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12"/>
      <c r="AE81" s="188"/>
      <c r="AF81" s="114"/>
      <c r="AG81" s="115"/>
      <c r="AH81" s="115"/>
      <c r="AI81" s="115"/>
      <c r="AJ81" s="113"/>
      <c r="AK81" s="114"/>
    </row>
    <row r="82" spans="1:69" ht="18" customHeight="1" x14ac:dyDescent="0.3">
      <c r="A82" s="370"/>
      <c r="B82" s="367"/>
      <c r="C82" s="367"/>
      <c r="D82" s="367"/>
      <c r="E82" s="447"/>
      <c r="F82" s="367"/>
      <c r="G82" s="450"/>
      <c r="H82" s="394"/>
      <c r="I82" s="391"/>
      <c r="J82" s="397"/>
      <c r="K82" s="391">
        <f>IF(NOT(ISERROR(MATCH(J82,_xlfn.ANCHORARRAY(E124),0))),I126&amp;"Por favor no seleccionar los criterios de impacto",J82)</f>
        <v>0</v>
      </c>
      <c r="L82" s="394"/>
      <c r="M82" s="391"/>
      <c r="N82" s="413"/>
      <c r="O82" s="104">
        <v>6</v>
      </c>
      <c r="P82" s="177"/>
      <c r="Q82" s="105" t="str">
        <f t="shared" si="68"/>
        <v/>
      </c>
      <c r="R82" s="106"/>
      <c r="S82" s="106"/>
      <c r="T82" s="107" t="str">
        <f t="shared" si="63"/>
        <v/>
      </c>
      <c r="U82" s="106"/>
      <c r="V82" s="106"/>
      <c r="W82" s="106"/>
      <c r="X82" s="108" t="str">
        <f>IFERROR(IF(AND(Q81="Probabilidad",Q82="Probabilidad"),(Z81-(+Z81*T82)),IF(AND(Q81="Impacto",Q82="Probabilidad"),(Z80-(+Z80*T82)),IF(Q82="Impacto",Z81,""))),"")</f>
        <v/>
      </c>
      <c r="Y82" s="109" t="str">
        <f t="shared" si="64"/>
        <v/>
      </c>
      <c r="Z82" s="110" t="str">
        <f t="shared" si="65"/>
        <v/>
      </c>
      <c r="AA82" s="109" t="str">
        <f t="shared" si="66"/>
        <v/>
      </c>
      <c r="AB82" s="110" t="str">
        <f>IFERROR(IF(AND(Q81="Impacto",Q82="Impacto"),(AB81-(+AB81*T82)),IF(AND(Q81="Probabilidad",Q82="Impacto"),(AB80-(+AB80*T82)),IF(Q82="Probabilidad",AB81,""))),"")</f>
        <v/>
      </c>
      <c r="AC82" s="111" t="str">
        <f t="shared" si="71"/>
        <v/>
      </c>
      <c r="AD82" s="112"/>
      <c r="AE82" s="188"/>
      <c r="AF82" s="114"/>
      <c r="AG82" s="115"/>
      <c r="AH82" s="115"/>
      <c r="AI82" s="115"/>
      <c r="AJ82" s="113"/>
      <c r="AK82" s="114"/>
    </row>
    <row r="83" spans="1:69" ht="72.75" customHeight="1" x14ac:dyDescent="0.3">
      <c r="A83" s="368">
        <v>12</v>
      </c>
      <c r="B83" s="365" t="s">
        <v>192</v>
      </c>
      <c r="C83" s="365" t="s">
        <v>253</v>
      </c>
      <c r="D83" s="365" t="s">
        <v>254</v>
      </c>
      <c r="E83" s="404" t="s">
        <v>255</v>
      </c>
      <c r="F83" s="365" t="s">
        <v>181</v>
      </c>
      <c r="G83" s="448">
        <v>150</v>
      </c>
      <c r="H83" s="392" t="str">
        <f>IF(G83&lt;=0,"",IF(G83&lt;=2,"Muy Baja",IF(G83&lt;=24,"Baja",IF(G83&lt;=500,"Media",IF(G83&lt;=5000,"Alta","Muy Alta")))))</f>
        <v>Media</v>
      </c>
      <c r="I83" s="389">
        <f>IF(H83="","",IF(H83="Muy Baja",0.2,IF(H83="Baja",0.4,IF(H83="Media",0.6,IF(H83="Alta",0.8,IF(H83="Muy Alta",1,))))))</f>
        <v>0.6</v>
      </c>
      <c r="J83" s="395" t="s">
        <v>195</v>
      </c>
      <c r="K83" s="389" t="str">
        <f>IF(NOT(ISERROR(MATCH(J83,'Tabla Impacto'!$B$221:$B$223,0))),'Tabla Impacto'!$F$223&amp;"Por favor no seleccionar los criterios de impacto(Afectación Económica o presupuestal y Pérdida Reputacional)",J83)</f>
        <v xml:space="preserve">     El riesgo afecta la imagen de la entidad con algunos usuarios de relevancia frente al logro de los objetivos</v>
      </c>
      <c r="L83" s="392" t="str">
        <f>IF(OR(K83='Tabla Impacto'!$C$11,K83='Tabla Impacto'!$D$11),"Leve",IF(OR(K83='Tabla Impacto'!$C$12,K83='Tabla Impacto'!$D$12),"Menor",IF(OR(K83='Tabla Impacto'!$C$13,K83='Tabla Impacto'!$D$13),"Moderado",IF(OR(K83='Tabla Impacto'!$C$14,K83='Tabla Impacto'!$D$14),"Mayor",IF(OR(K83='Tabla Impacto'!$C$15,K83='Tabla Impacto'!$D$15),"Catastrófico","")))))</f>
        <v>Moderado</v>
      </c>
      <c r="M83" s="389">
        <f>IF(L83="","",IF(L83="Leve",0.2,IF(L83="Menor",0.4,IF(L83="Moderado",0.6,IF(L83="Mayor",0.8,IF(L83="Catastrófico",1,))))))</f>
        <v>0.6</v>
      </c>
      <c r="N83" s="411" t="str">
        <f>IF(OR(AND(H83="Muy Baja",L83="Leve"),AND(H83="Muy Baja",L83="Menor"),AND(H83="Baja",L83="Leve")),"Bajo",IF(OR(AND(H83="Muy baja",L83="Moderado"),AND(H83="Baja",L83="Menor"),AND(H83="Baja",L83="Moderado"),AND(H83="Media",L83="Leve"),AND(H83="Media",L83="Menor"),AND(H83="Media",L83="Moderado"),AND(H83="Alta",L83="Leve"),AND(H83="Alta",L83="Menor")),"Moderado",IF(OR(AND(H83="Muy Baja",L83="Mayor"),AND(H83="Baja",L83="Mayor"),AND(H83="Media",L83="Mayor"),AND(H83="Alta",L83="Moderado"),AND(H83="Alta",L83="Mayor"),AND(H83="Muy Alta",L83="Leve"),AND(H83="Muy Alta",L83="Menor"),AND(H83="Muy Alta",L83="Moderado"),AND(H83="Muy Alta",L83="Mayor")),"Alto",IF(OR(AND(H83="Muy Baja",L83="Catastrófico"),AND(H83="Baja",L83="Catastrófico"),AND(H83="Media",L83="Catastrófico"),AND(H83="Alta",L83="Catastrófico"),AND(H83="Muy Alta",L83="Catastrófico")),"Extremo",""))))</f>
        <v>Moderado</v>
      </c>
      <c r="O83" s="104">
        <v>1</v>
      </c>
      <c r="P83" s="177" t="s">
        <v>256</v>
      </c>
      <c r="Q83" s="162" t="str">
        <f t="shared" si="68"/>
        <v>Probabilidad</v>
      </c>
      <c r="R83" s="168" t="s">
        <v>196</v>
      </c>
      <c r="S83" s="168" t="s">
        <v>185</v>
      </c>
      <c r="T83" s="169" t="str">
        <f t="shared" si="63"/>
        <v>40%</v>
      </c>
      <c r="U83" s="168" t="s">
        <v>186</v>
      </c>
      <c r="V83" s="168" t="s">
        <v>187</v>
      </c>
      <c r="W83" s="168" t="s">
        <v>188</v>
      </c>
      <c r="X83" s="159">
        <f>IFERROR(IF(Q83="Probabilidad",(I83-(+I83*T83)),IF(Q83="Impacto",I83,"")),"")</f>
        <v>0.36</v>
      </c>
      <c r="Y83" s="170" t="str">
        <f>IFERROR(IF(X83="","",IF(X83&lt;=0.2,"Muy Baja",IF(X83&lt;=0.4,"Baja",IF(X83&lt;=0.6,"Media",IF(X83&lt;=0.8,"Alta","Muy Alta"))))),"")</f>
        <v>Baja</v>
      </c>
      <c r="Z83" s="171">
        <f>+X83</f>
        <v>0.36</v>
      </c>
      <c r="AA83" s="170" t="str">
        <f>IFERROR(IF(AB83="","",IF(AB83&lt;=0.2,"Leve",IF(AB83&lt;=0.4,"Menor",IF(AB83&lt;=0.6,"Moderado",IF(AB83&lt;=0.8,"Mayor","Catastrófico"))))),"")</f>
        <v>Moderado</v>
      </c>
      <c r="AB83" s="171">
        <f>IFERROR(IF(Q83="Impacto",(M83-(+M83*T83)),IF(Q83="Probabilidad",M83,"")),"")</f>
        <v>0.6</v>
      </c>
      <c r="AC83" s="172" t="str">
        <f>IFERROR(IF(OR(AND(Y83="Muy Baja",AA83="Leve"),AND(Y83="Muy Baja",AA83="Menor"),AND(Y83="Baja",AA83="Leve")),"Bajo",IF(OR(AND(Y83="Muy baja",AA83="Moderado"),AND(Y83="Baja",AA83="Menor"),AND(Y83="Baja",AA83="Moderado"),AND(Y83="Media",AA83="Leve"),AND(Y83="Media",AA83="Menor"),AND(Y83="Media",AA83="Moderado"),AND(Y83="Alta",AA83="Leve"),AND(Y83="Alta",AA83="Menor")),"Moderado",IF(OR(AND(Y83="Muy Baja",AA83="Mayor"),AND(Y83="Baja",AA83="Mayor"),AND(Y83="Media",AA83="Mayor"),AND(Y83="Alta",AA83="Moderado"),AND(Y83="Alta",AA83="Mayor"),AND(Y83="Muy Alta",AA83="Leve"),AND(Y83="Muy Alta",AA83="Menor"),AND(Y83="Muy Alta",AA83="Moderado"),AND(Y83="Muy Alta",AA83="Mayor")),"Alto",IF(OR(AND(Y83="Muy Baja",AA83="Catastrófico"),AND(Y83="Baja",AA83="Catastrófico"),AND(Y83="Media",AA83="Catastrófico"),AND(Y83="Alta",AA83="Catastrófico"),AND(Y83="Muy Alta",AA83="Catastrófico")),"Extremo","")))),"")</f>
        <v>Moderado</v>
      </c>
      <c r="AD83" s="173" t="s">
        <v>189</v>
      </c>
      <c r="AE83" s="186" t="s">
        <v>257</v>
      </c>
      <c r="AF83" s="174" t="s">
        <v>249</v>
      </c>
      <c r="AG83" s="167">
        <v>45323</v>
      </c>
      <c r="AH83" s="167">
        <v>45642</v>
      </c>
      <c r="AI83" s="115"/>
      <c r="AJ83" s="113"/>
      <c r="AK83" s="114"/>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row>
    <row r="84" spans="1:69" ht="18" customHeight="1" x14ac:dyDescent="0.3">
      <c r="A84" s="369"/>
      <c r="B84" s="366"/>
      <c r="C84" s="366"/>
      <c r="D84" s="366"/>
      <c r="E84" s="405"/>
      <c r="F84" s="366"/>
      <c r="G84" s="449"/>
      <c r="H84" s="393"/>
      <c r="I84" s="390"/>
      <c r="J84" s="396"/>
      <c r="K84" s="390">
        <f>IF(NOT(ISERROR(MATCH(J84,_xlfn.ANCHORARRAY(E126),0))),I128&amp;"Por favor no seleccionar los criterios de impacto",J84)</f>
        <v>0</v>
      </c>
      <c r="L84" s="393"/>
      <c r="M84" s="390"/>
      <c r="N84" s="412"/>
      <c r="O84" s="104">
        <v>2</v>
      </c>
      <c r="P84" s="177"/>
      <c r="Q84" s="105" t="str">
        <f>IF(OR(R84="Preventivo",R84="Detectivo"),"Probabilidad",IF(R84="Correctivo","Impacto",""))</f>
        <v/>
      </c>
      <c r="R84" s="106"/>
      <c r="S84" s="106"/>
      <c r="T84" s="107" t="str">
        <f t="shared" ref="T84:T95" si="72">IF(AND(R84="Preventivo",S84="Automático"),"50%",IF(AND(R84="Preventivo",S84="Manual"),"40%",IF(AND(R84="Detectivo",S84="Automático"),"40%",IF(AND(R84="Detectivo",S84="Manual"),"30%",IF(AND(R84="Correctivo",S84="Automático"),"35%",IF(AND(R84="Correctivo",S84="Manual"),"25%",""))))))</f>
        <v/>
      </c>
      <c r="U84" s="106"/>
      <c r="V84" s="106"/>
      <c r="W84" s="106"/>
      <c r="X84" s="108" t="str">
        <f>IFERROR(IF(AND(Q83="Probabilidad",Q84="Probabilidad"),(Z83-(+Z83*T84)),IF(Q84="Probabilidad",(I83-(+I83*T84)),IF(Q84="Impacto",Z83,""))),"")</f>
        <v/>
      </c>
      <c r="Y84" s="109" t="str">
        <f t="shared" ref="Y84:Y88" si="73">IFERROR(IF(X84="","",IF(X84&lt;=0.2,"Muy Baja",IF(X84&lt;=0.4,"Baja",IF(X84&lt;=0.6,"Media",IF(X84&lt;=0.8,"Alta","Muy Alta"))))),"")</f>
        <v/>
      </c>
      <c r="Z84" s="110" t="str">
        <f t="shared" ref="Z84:Z88" si="74">+X84</f>
        <v/>
      </c>
      <c r="AA84" s="109" t="str">
        <f t="shared" ref="AA84:AA88" si="75">IFERROR(IF(AB84="","",IF(AB84&lt;=0.2,"Leve",IF(AB84&lt;=0.4,"Menor",IF(AB84&lt;=0.6,"Moderado",IF(AB84&lt;=0.8,"Mayor","Catastrófico"))))),"")</f>
        <v/>
      </c>
      <c r="AB84" s="110" t="str">
        <f>IFERROR(IF(AND(Q83="Impacto",Q84="Impacto"),(AB83-(+AB83*T84)),IF(Q84="Impacto",(M83-(+M83*T84)),IF(Q84="Probabilidad",AB83,""))),"")</f>
        <v/>
      </c>
      <c r="AC84" s="111" t="str">
        <f t="shared" ref="AC84:AC85" si="76">IFERROR(IF(OR(AND(Y84="Muy Baja",AA84="Leve"),AND(Y84="Muy Baja",AA84="Menor"),AND(Y84="Baja",AA84="Leve")),"Bajo",IF(OR(AND(Y84="Muy baja",AA84="Moderado"),AND(Y84="Baja",AA84="Menor"),AND(Y84="Baja",AA84="Moderado"),AND(Y84="Media",AA84="Leve"),AND(Y84="Media",AA84="Menor"),AND(Y84="Media",AA84="Moderado"),AND(Y84="Alta",AA84="Leve"),AND(Y84="Alta",AA84="Menor")),"Moderado",IF(OR(AND(Y84="Muy Baja",AA84="Mayor"),AND(Y84="Baja",AA84="Mayor"),AND(Y84="Media",AA84="Mayor"),AND(Y84="Alta",AA84="Moderado"),AND(Y84="Alta",AA84="Mayor"),AND(Y84="Muy Alta",AA84="Leve"),AND(Y84="Muy Alta",AA84="Menor"),AND(Y84="Muy Alta",AA84="Moderado"),AND(Y84="Muy Alta",AA84="Mayor")),"Alto",IF(OR(AND(Y84="Muy Baja",AA84="Catastrófico"),AND(Y84="Baja",AA84="Catastrófico"),AND(Y84="Media",AA84="Catastrófico"),AND(Y84="Alta",AA84="Catastrófico"),AND(Y84="Muy Alta",AA84="Catastrófico")),"Extremo","")))),"")</f>
        <v/>
      </c>
      <c r="AD84" s="112"/>
      <c r="AE84" s="188"/>
      <c r="AF84" s="114"/>
      <c r="AG84" s="115"/>
      <c r="AH84" s="115"/>
      <c r="AI84" s="115"/>
      <c r="AJ84" s="113"/>
      <c r="AK84" s="114"/>
    </row>
    <row r="85" spans="1:69" ht="18" customHeight="1" x14ac:dyDescent="0.3">
      <c r="A85" s="369"/>
      <c r="B85" s="366"/>
      <c r="C85" s="366"/>
      <c r="D85" s="366"/>
      <c r="E85" s="405"/>
      <c r="F85" s="366"/>
      <c r="G85" s="449"/>
      <c r="H85" s="393"/>
      <c r="I85" s="390"/>
      <c r="J85" s="396"/>
      <c r="K85" s="390">
        <f>IF(NOT(ISERROR(MATCH(J85,_xlfn.ANCHORARRAY(E127),0))),I129&amp;"Por favor no seleccionar los criterios de impacto",J85)</f>
        <v>0</v>
      </c>
      <c r="L85" s="393"/>
      <c r="M85" s="390"/>
      <c r="N85" s="412"/>
      <c r="O85" s="104">
        <v>3</v>
      </c>
      <c r="P85" s="178"/>
      <c r="Q85" s="105" t="str">
        <f>IF(OR(R85="Preventivo",R85="Detectivo"),"Probabilidad",IF(R85="Correctivo","Impacto",""))</f>
        <v/>
      </c>
      <c r="R85" s="106"/>
      <c r="S85" s="106"/>
      <c r="T85" s="107" t="str">
        <f t="shared" si="72"/>
        <v/>
      </c>
      <c r="U85" s="106"/>
      <c r="V85" s="106"/>
      <c r="W85" s="106"/>
      <c r="X85" s="108" t="str">
        <f>IFERROR(IF(AND(Q84="Probabilidad",Q85="Probabilidad"),(Z84-(+Z84*T85)),IF(AND(Q84="Impacto",Q85="Probabilidad"),(Z83-(+Z83*T85)),IF(Q85="Impacto",Z84,""))),"")</f>
        <v/>
      </c>
      <c r="Y85" s="109" t="str">
        <f t="shared" si="73"/>
        <v/>
      </c>
      <c r="Z85" s="110" t="str">
        <f t="shared" si="74"/>
        <v/>
      </c>
      <c r="AA85" s="109" t="str">
        <f t="shared" si="75"/>
        <v/>
      </c>
      <c r="AB85" s="110" t="str">
        <f>IFERROR(IF(AND(Q84="Impacto",Q85="Impacto"),(AB84-(+AB84*T85)),IF(AND(Q84="Probabilidad",Q85="Impacto"),(AB83-(+AB83*T85)),IF(Q85="Probabilidad",AB84,""))),"")</f>
        <v/>
      </c>
      <c r="AC85" s="111" t="str">
        <f t="shared" si="76"/>
        <v/>
      </c>
      <c r="AD85" s="112"/>
      <c r="AE85" s="188"/>
      <c r="AF85" s="114"/>
      <c r="AG85" s="115"/>
      <c r="AH85" s="115"/>
      <c r="AI85" s="115"/>
      <c r="AJ85" s="113"/>
      <c r="AK85" s="114"/>
    </row>
    <row r="86" spans="1:69" ht="18" customHeight="1" x14ac:dyDescent="0.3">
      <c r="A86" s="369"/>
      <c r="B86" s="366"/>
      <c r="C86" s="366"/>
      <c r="D86" s="366"/>
      <c r="E86" s="405"/>
      <c r="F86" s="366"/>
      <c r="G86" s="449"/>
      <c r="H86" s="393"/>
      <c r="I86" s="390"/>
      <c r="J86" s="396"/>
      <c r="K86" s="390">
        <f>IF(NOT(ISERROR(MATCH(J86,_xlfn.ANCHORARRAY(E128),0))),I130&amp;"Por favor no seleccionar los criterios de impacto",J86)</f>
        <v>0</v>
      </c>
      <c r="L86" s="393"/>
      <c r="M86" s="390"/>
      <c r="N86" s="412"/>
      <c r="O86" s="104">
        <v>4</v>
      </c>
      <c r="P86" s="177"/>
      <c r="Q86" s="105" t="str">
        <f t="shared" ref="Q86:Q89" si="77">IF(OR(R86="Preventivo",R86="Detectivo"),"Probabilidad",IF(R86="Correctivo","Impacto",""))</f>
        <v/>
      </c>
      <c r="R86" s="106"/>
      <c r="S86" s="106"/>
      <c r="T86" s="107" t="str">
        <f t="shared" si="72"/>
        <v/>
      </c>
      <c r="U86" s="106"/>
      <c r="V86" s="106"/>
      <c r="W86" s="106"/>
      <c r="X86" s="108" t="str">
        <f t="shared" ref="X86:X87" si="78">IFERROR(IF(AND(Q85="Probabilidad",Q86="Probabilidad"),(Z85-(+Z85*T86)),IF(AND(Q85="Impacto",Q86="Probabilidad"),(Z84-(+Z84*T86)),IF(Q86="Impacto",Z85,""))),"")</f>
        <v/>
      </c>
      <c r="Y86" s="109" t="str">
        <f t="shared" si="73"/>
        <v/>
      </c>
      <c r="Z86" s="110" t="str">
        <f t="shared" si="74"/>
        <v/>
      </c>
      <c r="AA86" s="109" t="str">
        <f t="shared" si="75"/>
        <v/>
      </c>
      <c r="AB86" s="110" t="str">
        <f t="shared" ref="AB86:AB87" si="79">IFERROR(IF(AND(Q85="Impacto",Q86="Impacto"),(AB85-(+AB85*T86)),IF(AND(Q85="Probabilidad",Q86="Impacto"),(AB84-(+AB84*T86)),IF(Q86="Probabilidad",AB85,""))),"")</f>
        <v/>
      </c>
      <c r="AC86" s="111" t="str">
        <f>IFERROR(IF(OR(AND(Y86="Muy Baja",AA86="Leve"),AND(Y86="Muy Baja",AA86="Menor"),AND(Y86="Baja",AA86="Leve")),"Bajo",IF(OR(AND(Y86="Muy baja",AA86="Moderado"),AND(Y86="Baja",AA86="Menor"),AND(Y86="Baja",AA86="Moderado"),AND(Y86="Media",AA86="Leve"),AND(Y86="Media",AA86="Menor"),AND(Y86="Media",AA86="Moderado"),AND(Y86="Alta",AA86="Leve"),AND(Y86="Alta",AA86="Menor")),"Moderado",IF(OR(AND(Y86="Muy Baja",AA86="Mayor"),AND(Y86="Baja",AA86="Mayor"),AND(Y86="Media",AA86="Mayor"),AND(Y86="Alta",AA86="Moderado"),AND(Y86="Alta",AA86="Mayor"),AND(Y86="Muy Alta",AA86="Leve"),AND(Y86="Muy Alta",AA86="Menor"),AND(Y86="Muy Alta",AA86="Moderado"),AND(Y86="Muy Alta",AA86="Mayor")),"Alto",IF(OR(AND(Y86="Muy Baja",AA86="Catastrófico"),AND(Y86="Baja",AA86="Catastrófico"),AND(Y86="Media",AA86="Catastrófico"),AND(Y86="Alta",AA86="Catastrófico"),AND(Y86="Muy Alta",AA86="Catastrófico")),"Extremo","")))),"")</f>
        <v/>
      </c>
      <c r="AD86" s="112"/>
      <c r="AE86" s="188"/>
      <c r="AF86" s="114"/>
      <c r="AG86" s="115"/>
      <c r="AH86" s="115"/>
      <c r="AI86" s="115"/>
      <c r="AJ86" s="113"/>
      <c r="AK86" s="114"/>
    </row>
    <row r="87" spans="1:69" ht="18" customHeight="1" x14ac:dyDescent="0.3">
      <c r="A87" s="369"/>
      <c r="B87" s="366"/>
      <c r="C87" s="366"/>
      <c r="D87" s="366"/>
      <c r="E87" s="405"/>
      <c r="F87" s="366"/>
      <c r="G87" s="449"/>
      <c r="H87" s="393"/>
      <c r="I87" s="390"/>
      <c r="J87" s="396"/>
      <c r="K87" s="390">
        <f>IF(NOT(ISERROR(MATCH(J87,_xlfn.ANCHORARRAY(E129),0))),I131&amp;"Por favor no seleccionar los criterios de impacto",J87)</f>
        <v>0</v>
      </c>
      <c r="L87" s="393"/>
      <c r="M87" s="390"/>
      <c r="N87" s="412"/>
      <c r="O87" s="104">
        <v>5</v>
      </c>
      <c r="P87" s="177"/>
      <c r="Q87" s="105" t="str">
        <f t="shared" si="77"/>
        <v/>
      </c>
      <c r="R87" s="106"/>
      <c r="S87" s="106"/>
      <c r="T87" s="107" t="str">
        <f t="shared" si="72"/>
        <v/>
      </c>
      <c r="U87" s="106"/>
      <c r="V87" s="106"/>
      <c r="W87" s="106"/>
      <c r="X87" s="108" t="str">
        <f t="shared" si="78"/>
        <v/>
      </c>
      <c r="Y87" s="109" t="str">
        <f t="shared" si="73"/>
        <v/>
      </c>
      <c r="Z87" s="110" t="str">
        <f t="shared" si="74"/>
        <v/>
      </c>
      <c r="AA87" s="109" t="str">
        <f t="shared" si="75"/>
        <v/>
      </c>
      <c r="AB87" s="110" t="str">
        <f t="shared" si="79"/>
        <v/>
      </c>
      <c r="AC87" s="111" t="str">
        <f t="shared" ref="AC87:AC88" si="80">IFERROR(IF(OR(AND(Y87="Muy Baja",AA87="Leve"),AND(Y87="Muy Baja",AA87="Menor"),AND(Y87="Baja",AA87="Leve")),"Bajo",IF(OR(AND(Y87="Muy baja",AA87="Moderado"),AND(Y87="Baja",AA87="Menor"),AND(Y87="Baja",AA87="Moderado"),AND(Y87="Media",AA87="Leve"),AND(Y87="Media",AA87="Menor"),AND(Y87="Media",AA87="Moderado"),AND(Y87="Alta",AA87="Leve"),AND(Y87="Alta",AA87="Menor")),"Moderado",IF(OR(AND(Y87="Muy Baja",AA87="Mayor"),AND(Y87="Baja",AA87="Mayor"),AND(Y87="Media",AA87="Mayor"),AND(Y87="Alta",AA87="Moderado"),AND(Y87="Alta",AA87="Mayor"),AND(Y87="Muy Alta",AA87="Leve"),AND(Y87="Muy Alta",AA87="Menor"),AND(Y87="Muy Alta",AA87="Moderado"),AND(Y87="Muy Alta",AA87="Mayor")),"Alto",IF(OR(AND(Y87="Muy Baja",AA87="Catastrófico"),AND(Y87="Baja",AA87="Catastrófico"),AND(Y87="Media",AA87="Catastrófico"),AND(Y87="Alta",AA87="Catastrófico"),AND(Y87="Muy Alta",AA87="Catastrófico")),"Extremo","")))),"")</f>
        <v/>
      </c>
      <c r="AD87" s="112"/>
      <c r="AE87" s="188"/>
      <c r="AF87" s="114"/>
      <c r="AG87" s="115"/>
      <c r="AH87" s="115"/>
      <c r="AI87" s="115"/>
      <c r="AJ87" s="113"/>
      <c r="AK87" s="114"/>
    </row>
    <row r="88" spans="1:69" ht="18" customHeight="1" x14ac:dyDescent="0.3">
      <c r="A88" s="370"/>
      <c r="B88" s="367"/>
      <c r="C88" s="367"/>
      <c r="D88" s="367"/>
      <c r="E88" s="406"/>
      <c r="F88" s="367"/>
      <c r="G88" s="450"/>
      <c r="H88" s="394"/>
      <c r="I88" s="391"/>
      <c r="J88" s="397"/>
      <c r="K88" s="391">
        <f>IF(NOT(ISERROR(MATCH(J88,_xlfn.ANCHORARRAY(E130),0))),I132&amp;"Por favor no seleccionar los criterios de impacto",J88)</f>
        <v>0</v>
      </c>
      <c r="L88" s="394"/>
      <c r="M88" s="391"/>
      <c r="N88" s="413"/>
      <c r="O88" s="104">
        <v>6</v>
      </c>
      <c r="P88" s="177"/>
      <c r="Q88" s="105" t="str">
        <f t="shared" si="77"/>
        <v/>
      </c>
      <c r="R88" s="106"/>
      <c r="S88" s="106"/>
      <c r="T88" s="107" t="str">
        <f t="shared" si="72"/>
        <v/>
      </c>
      <c r="U88" s="106"/>
      <c r="V88" s="106"/>
      <c r="W88" s="106"/>
      <c r="X88" s="108" t="str">
        <f>IFERROR(IF(AND(Q87="Probabilidad",Q88="Probabilidad"),(Z87-(+Z87*T88)),IF(AND(Q87="Impacto",Q88="Probabilidad"),(Z86-(+Z86*T88)),IF(Q88="Impacto",Z87,""))),"")</f>
        <v/>
      </c>
      <c r="Y88" s="109" t="str">
        <f t="shared" si="73"/>
        <v/>
      </c>
      <c r="Z88" s="110" t="str">
        <f t="shared" si="74"/>
        <v/>
      </c>
      <c r="AA88" s="109" t="str">
        <f t="shared" si="75"/>
        <v/>
      </c>
      <c r="AB88" s="110" t="str">
        <f>IFERROR(IF(AND(Q87="Impacto",Q88="Impacto"),(AB87-(+AB87*T88)),IF(AND(Q87="Probabilidad",Q88="Impacto"),(AB86-(+AB86*T88)),IF(Q88="Probabilidad",AB87,""))),"")</f>
        <v/>
      </c>
      <c r="AC88" s="111" t="str">
        <f t="shared" si="80"/>
        <v/>
      </c>
      <c r="AD88" s="112"/>
      <c r="AE88" s="188"/>
      <c r="AF88" s="114"/>
      <c r="AG88" s="115"/>
      <c r="AH88" s="115"/>
      <c r="AI88" s="115"/>
      <c r="AJ88" s="113"/>
      <c r="AK88" s="114"/>
    </row>
    <row r="89" spans="1:69" ht="78.75" customHeight="1" x14ac:dyDescent="0.3">
      <c r="A89" s="368">
        <v>13</v>
      </c>
      <c r="B89" s="365" t="s">
        <v>192</v>
      </c>
      <c r="C89" s="395" t="s">
        <v>258</v>
      </c>
      <c r="D89" s="395" t="s">
        <v>259</v>
      </c>
      <c r="E89" s="482" t="s">
        <v>260</v>
      </c>
      <c r="F89" s="365" t="s">
        <v>181</v>
      </c>
      <c r="G89" s="448">
        <v>12</v>
      </c>
      <c r="H89" s="392" t="str">
        <f>IF(G89&lt;=0,"",IF(G89&lt;=2,"Muy Baja",IF(G89&lt;=24,"Baja",IF(G89&lt;=500,"Media",IF(G89&lt;=5000,"Alta","Muy Alta")))))</f>
        <v>Baja</v>
      </c>
      <c r="I89" s="389">
        <f>IF(H89="","",IF(H89="Muy Baja",0.2,IF(H89="Baja",0.4,IF(H89="Media",0.6,IF(H89="Alta",0.8,IF(H89="Muy Alta",1,))))))</f>
        <v>0.4</v>
      </c>
      <c r="J89" s="395" t="s">
        <v>182</v>
      </c>
      <c r="K89" s="389" t="str">
        <f>IF(NOT(ISERROR(MATCH(J89,'Tabla Impacto'!$B$221:$B$223,0))),'Tabla Impacto'!$F$223&amp;"Por favor no seleccionar los criterios de impacto(Afectación Económica o presupuestal y Pérdida Reputacional)",J89)</f>
        <v xml:space="preserve">     El riesgo afecta la imagen de de la entidad con efecto publicitario sostenido a nivel de sector administrativo, nivel departamental o municipal</v>
      </c>
      <c r="L89" s="392" t="str">
        <f>IF(OR(K89='Tabla Impacto'!$C$11,K89='Tabla Impacto'!$D$11),"Leve",IF(OR(K89='Tabla Impacto'!$C$12,K89='Tabla Impacto'!$D$12),"Menor",IF(OR(K89='Tabla Impacto'!$C$13,K89='Tabla Impacto'!$D$13),"Moderado",IF(OR(K89='Tabla Impacto'!$C$14,K89='Tabla Impacto'!$D$14),"Mayor",IF(OR(K89='Tabla Impacto'!$C$15,K89='Tabla Impacto'!$D$15),"Catastrófico","")))))</f>
        <v>Mayor</v>
      </c>
      <c r="M89" s="389">
        <f>IF(L89="","",IF(L89="Leve",0.2,IF(L89="Menor",0.4,IF(L89="Moderado",0.6,IF(L89="Mayor",0.8,IF(L89="Catastrófico",1,))))))</f>
        <v>0.8</v>
      </c>
      <c r="N89" s="411" t="str">
        <f>IF(OR(AND(H89="Muy Baja",L89="Leve"),AND(H89="Muy Baja",L89="Menor"),AND(H89="Baja",L89="Leve")),"Bajo",IF(OR(AND(H89="Muy baja",L89="Moderado"),AND(H89="Baja",L89="Menor"),AND(H89="Baja",L89="Moderado"),AND(H89="Media",L89="Leve"),AND(H89="Media",L89="Menor"),AND(H89="Media",L89="Moderado"),AND(H89="Alta",L89="Leve"),AND(H89="Alta",L89="Menor")),"Moderado",IF(OR(AND(H89="Muy Baja",L89="Mayor"),AND(H89="Baja",L89="Mayor"),AND(H89="Media",L89="Mayor"),AND(H89="Alta",L89="Moderado"),AND(H89="Alta",L89="Mayor"),AND(H89="Muy Alta",L89="Leve"),AND(H89="Muy Alta",L89="Menor"),AND(H89="Muy Alta",L89="Moderado"),AND(H89="Muy Alta",L89="Mayor")),"Alto",IF(OR(AND(H89="Muy Baja",L89="Catastrófico"),AND(H89="Baja",L89="Catastrófico"),AND(H89="Media",L89="Catastrófico"),AND(H89="Alta",L89="Catastrófico"),AND(H89="Muy Alta",L89="Catastrófico")),"Extremo",""))))</f>
        <v>Alto</v>
      </c>
      <c r="O89" s="5">
        <v>1</v>
      </c>
      <c r="P89" s="212" t="s">
        <v>261</v>
      </c>
      <c r="Q89" s="162" t="str">
        <f t="shared" si="77"/>
        <v>Probabilidad</v>
      </c>
      <c r="R89" s="168" t="s">
        <v>196</v>
      </c>
      <c r="S89" s="168" t="s">
        <v>185</v>
      </c>
      <c r="T89" s="169" t="str">
        <f t="shared" si="72"/>
        <v>40%</v>
      </c>
      <c r="U89" s="168" t="s">
        <v>186</v>
      </c>
      <c r="V89" s="168" t="s">
        <v>187</v>
      </c>
      <c r="W89" s="168" t="s">
        <v>188</v>
      </c>
      <c r="X89" s="159">
        <f>IFERROR(IF(Q89="Probabilidad",(I89-(+I89*T89)),IF(Q89="Impacto",I89,"")),"")</f>
        <v>0.24</v>
      </c>
      <c r="Y89" s="170" t="str">
        <f>IFERROR(IF(X89="","",IF(X89&lt;=0.2,"Muy Baja",IF(X89&lt;=0.4,"Baja",IF(X89&lt;=0.6,"Media",IF(X89&lt;=0.8,"Alta","Muy Alta"))))),"")</f>
        <v>Baja</v>
      </c>
      <c r="Z89" s="171">
        <f>+X89</f>
        <v>0.24</v>
      </c>
      <c r="AA89" s="170" t="str">
        <f>IFERROR(IF(AB89="","",IF(AB89&lt;=0.2,"Leve",IF(AB89&lt;=0.4,"Menor",IF(AB89&lt;=0.6,"Moderado",IF(AB89&lt;=0.8,"Mayor","Catastrófico"))))),"")</f>
        <v>Mayor</v>
      </c>
      <c r="AB89" s="171">
        <f>IFERROR(IF(Q89="Impacto",(M89-(+M89*T89)),IF(Q89="Probabilidad",M89,"")),"")</f>
        <v>0.8</v>
      </c>
      <c r="AC89" s="172" t="str">
        <f>IFERROR(IF(OR(AND(Y89="Muy Baja",AA89="Leve"),AND(Y89="Muy Baja",AA89="Menor"),AND(Y89="Baja",AA89="Leve")),"Bajo",IF(OR(AND(Y89="Muy baja",AA89="Moderado"),AND(Y89="Baja",AA89="Menor"),AND(Y89="Baja",AA89="Moderado"),AND(Y89="Media",AA89="Leve"),AND(Y89="Media",AA89="Menor"),AND(Y89="Media",AA89="Moderado"),AND(Y89="Alta",AA89="Leve"),AND(Y89="Alta",AA89="Menor")),"Moderado",IF(OR(AND(Y89="Muy Baja",AA89="Mayor"),AND(Y89="Baja",AA89="Mayor"),AND(Y89="Media",AA89="Mayor"),AND(Y89="Alta",AA89="Moderado"),AND(Y89="Alta",AA89="Mayor"),AND(Y89="Muy Alta",AA89="Leve"),AND(Y89="Muy Alta",AA89="Menor"),AND(Y89="Muy Alta",AA89="Moderado"),AND(Y89="Muy Alta",AA89="Mayor")),"Alto",IF(OR(AND(Y89="Muy Baja",AA89="Catastrófico"),AND(Y89="Baja",AA89="Catastrófico"),AND(Y89="Media",AA89="Catastrófico"),AND(Y89="Alta",AA89="Catastrófico"),AND(Y89="Muy Alta",AA89="Catastrófico")),"Extremo","")))),"")</f>
        <v>Alto</v>
      </c>
      <c r="AD89" s="173" t="s">
        <v>189</v>
      </c>
      <c r="AE89" s="186" t="s">
        <v>371</v>
      </c>
      <c r="AF89" s="174" t="s">
        <v>262</v>
      </c>
      <c r="AG89" s="195">
        <v>45444</v>
      </c>
      <c r="AH89" s="167">
        <v>45642</v>
      </c>
      <c r="AI89" s="115"/>
      <c r="AJ89" s="113"/>
      <c r="AK89" s="114"/>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row>
    <row r="90" spans="1:69" ht="18" customHeight="1" x14ac:dyDescent="0.3">
      <c r="A90" s="369"/>
      <c r="B90" s="366"/>
      <c r="C90" s="396"/>
      <c r="D90" s="396"/>
      <c r="E90" s="483"/>
      <c r="F90" s="366"/>
      <c r="G90" s="449"/>
      <c r="H90" s="393"/>
      <c r="I90" s="390"/>
      <c r="J90" s="396"/>
      <c r="K90" s="390"/>
      <c r="L90" s="393"/>
      <c r="M90" s="390"/>
      <c r="N90" s="412"/>
      <c r="O90" s="104">
        <v>2</v>
      </c>
      <c r="P90" s="177"/>
      <c r="Q90" s="105" t="str">
        <f>IF(OR(R90="Preventivo",R90="Detectivo"),"Probabilidad",IF(R90="Correctivo","Impacto",""))</f>
        <v/>
      </c>
      <c r="R90" s="106"/>
      <c r="S90" s="106"/>
      <c r="T90" s="169" t="str">
        <f t="shared" si="72"/>
        <v/>
      </c>
      <c r="U90" s="106"/>
      <c r="V90" s="106"/>
      <c r="W90" s="106"/>
      <c r="X90" s="159" t="str">
        <f t="shared" ref="X90:X95" si="81">IFERROR(IF(Q90="Probabilidad",(I90-(+I90*T90)),IF(Q90="Impacto",I90,"")),"")</f>
        <v/>
      </c>
      <c r="Y90" s="109" t="str">
        <f t="shared" ref="Y90:Y95" si="82">IFERROR(IF(X90="","",IF(X90&lt;=0.2,"Muy Baja",IF(X90&lt;=0.4,"Baja",IF(X90&lt;=0.6,"Media",IF(X90&lt;=0.8,"Alta","Muy Alta"))))),"")</f>
        <v/>
      </c>
      <c r="Z90" s="110" t="str">
        <f t="shared" ref="Z90:Z95" si="83">+X90</f>
        <v/>
      </c>
      <c r="AA90" s="109" t="str">
        <f t="shared" ref="AA90:AA95" si="84">IFERROR(IF(AB90="","",IF(AB90&lt;=0.2,"Leve",IF(AB90&lt;=0.4,"Menor",IF(AB90&lt;=0.6,"Moderado",IF(AB90&lt;=0.8,"Mayor","Catastrófico"))))),"")</f>
        <v/>
      </c>
      <c r="AB90" s="110" t="str">
        <f>IFERROR(IF(AND(Q89="Impacto",Q90="Impacto"),(AB89-(+AB89*T90)),IF(Q90="Impacto",(M89-(+M89*T90)),IF(Q90="Probabilidad",AB89,""))),"")</f>
        <v/>
      </c>
      <c r="AC90" s="111" t="str">
        <f t="shared" ref="AC90:AC91" si="85">IFERROR(IF(OR(AND(Y90="Muy Baja",AA90="Leve"),AND(Y90="Muy Baja",AA90="Menor"),AND(Y90="Baja",AA90="Leve")),"Bajo",IF(OR(AND(Y90="Muy baja",AA90="Moderado"),AND(Y90="Baja",AA90="Menor"),AND(Y90="Baja",AA90="Moderado"),AND(Y90="Media",AA90="Leve"),AND(Y90="Media",AA90="Menor"),AND(Y90="Media",AA90="Moderado"),AND(Y90="Alta",AA90="Leve"),AND(Y90="Alta",AA90="Menor")),"Moderado",IF(OR(AND(Y90="Muy Baja",AA90="Mayor"),AND(Y90="Baja",AA90="Mayor"),AND(Y90="Media",AA90="Mayor"),AND(Y90="Alta",AA90="Moderado"),AND(Y90="Alta",AA90="Mayor"),AND(Y90="Muy Alta",AA90="Leve"),AND(Y90="Muy Alta",AA90="Menor"),AND(Y90="Muy Alta",AA90="Moderado"),AND(Y90="Muy Alta",AA90="Mayor")),"Alto",IF(OR(AND(Y90="Muy Baja",AA90="Catastrófico"),AND(Y90="Baja",AA90="Catastrófico"),AND(Y90="Media",AA90="Catastrófico"),AND(Y90="Alta",AA90="Catastrófico"),AND(Y90="Muy Alta",AA90="Catastrófico")),"Extremo","")))),"")</f>
        <v/>
      </c>
      <c r="AD90" s="112"/>
      <c r="AE90" s="188"/>
      <c r="AF90" s="114"/>
      <c r="AG90" s="115"/>
      <c r="AH90" s="115"/>
      <c r="AI90" s="115"/>
      <c r="AJ90" s="113"/>
      <c r="AK90" s="114"/>
    </row>
    <row r="91" spans="1:69" ht="18" customHeight="1" x14ac:dyDescent="0.3">
      <c r="A91" s="369"/>
      <c r="B91" s="366"/>
      <c r="C91" s="396"/>
      <c r="D91" s="396"/>
      <c r="E91" s="483"/>
      <c r="F91" s="366"/>
      <c r="G91" s="449"/>
      <c r="H91" s="393"/>
      <c r="I91" s="390"/>
      <c r="J91" s="396"/>
      <c r="K91" s="390"/>
      <c r="L91" s="393"/>
      <c r="M91" s="390"/>
      <c r="N91" s="412"/>
      <c r="O91" s="104">
        <v>3</v>
      </c>
      <c r="P91" s="178"/>
      <c r="Q91" s="105" t="str">
        <f>IF(OR(R91="Preventivo",R91="Detectivo"),"Probabilidad",IF(R91="Correctivo","Impacto",""))</f>
        <v/>
      </c>
      <c r="R91" s="106"/>
      <c r="S91" s="106"/>
      <c r="T91" s="169" t="str">
        <f t="shared" si="72"/>
        <v/>
      </c>
      <c r="U91" s="106"/>
      <c r="V91" s="106"/>
      <c r="W91" s="106"/>
      <c r="X91" s="159" t="str">
        <f t="shared" si="81"/>
        <v/>
      </c>
      <c r="Y91" s="109" t="str">
        <f t="shared" si="82"/>
        <v/>
      </c>
      <c r="Z91" s="110" t="str">
        <f t="shared" si="83"/>
        <v/>
      </c>
      <c r="AA91" s="109" t="str">
        <f t="shared" si="84"/>
        <v/>
      </c>
      <c r="AB91" s="110" t="str">
        <f>IFERROR(IF(AND(Q90="Impacto",Q91="Impacto"),(AB90-(+AB90*T91)),IF(AND(Q90="Probabilidad",Q91="Impacto"),(AB89-(+AB89*T91)),IF(Q91="Probabilidad",AB90,""))),"")</f>
        <v/>
      </c>
      <c r="AC91" s="111" t="str">
        <f t="shared" si="85"/>
        <v/>
      </c>
      <c r="AD91" s="112"/>
      <c r="AE91" s="188"/>
      <c r="AF91" s="114"/>
      <c r="AG91" s="115"/>
      <c r="AH91" s="115"/>
      <c r="AI91" s="115"/>
      <c r="AJ91" s="113"/>
      <c r="AK91" s="114"/>
    </row>
    <row r="92" spans="1:69" ht="18" customHeight="1" x14ac:dyDescent="0.3">
      <c r="A92" s="369"/>
      <c r="B92" s="366"/>
      <c r="C92" s="396"/>
      <c r="D92" s="396"/>
      <c r="E92" s="483"/>
      <c r="F92" s="366"/>
      <c r="G92" s="449"/>
      <c r="H92" s="393"/>
      <c r="I92" s="390"/>
      <c r="J92" s="396"/>
      <c r="K92" s="390"/>
      <c r="L92" s="393"/>
      <c r="M92" s="390"/>
      <c r="N92" s="412"/>
      <c r="O92" s="104">
        <v>4</v>
      </c>
      <c r="P92" s="177"/>
      <c r="Q92" s="105" t="str">
        <f t="shared" ref="Q92:Q96" si="86">IF(OR(R92="Preventivo",R92="Detectivo"),"Probabilidad",IF(R92="Correctivo","Impacto",""))</f>
        <v/>
      </c>
      <c r="R92" s="106"/>
      <c r="S92" s="106"/>
      <c r="T92" s="169" t="str">
        <f t="shared" si="72"/>
        <v/>
      </c>
      <c r="U92" s="106"/>
      <c r="V92" s="106"/>
      <c r="W92" s="106"/>
      <c r="X92" s="159" t="str">
        <f t="shared" si="81"/>
        <v/>
      </c>
      <c r="Y92" s="109" t="str">
        <f t="shared" si="82"/>
        <v/>
      </c>
      <c r="Z92" s="110" t="str">
        <f t="shared" si="83"/>
        <v/>
      </c>
      <c r="AA92" s="109" t="str">
        <f t="shared" si="84"/>
        <v/>
      </c>
      <c r="AB92" s="110" t="str">
        <f t="shared" ref="AB92:AB93" si="87">IFERROR(IF(AND(Q91="Impacto",Q92="Impacto"),(AB91-(+AB91*T92)),IF(AND(Q91="Probabilidad",Q92="Impacto"),(AB90-(+AB90*T92)),IF(Q92="Probabilidad",AB91,""))),"")</f>
        <v/>
      </c>
      <c r="AC92" s="111" t="str">
        <f>IFERROR(IF(OR(AND(Y92="Muy Baja",AA92="Leve"),AND(Y92="Muy Baja",AA92="Menor"),AND(Y92="Baja",AA92="Leve")),"Bajo",IF(OR(AND(Y92="Muy baja",AA92="Moderado"),AND(Y92="Baja",AA92="Menor"),AND(Y92="Baja",AA92="Moderado"),AND(Y92="Media",AA92="Leve"),AND(Y92="Media",AA92="Menor"),AND(Y92="Media",AA92="Moderado"),AND(Y92="Alta",AA92="Leve"),AND(Y92="Alta",AA92="Menor")),"Moderado",IF(OR(AND(Y92="Muy Baja",AA92="Mayor"),AND(Y92="Baja",AA92="Mayor"),AND(Y92="Media",AA92="Mayor"),AND(Y92="Alta",AA92="Moderado"),AND(Y92="Alta",AA92="Mayor"),AND(Y92="Muy Alta",AA92="Leve"),AND(Y92="Muy Alta",AA92="Menor"),AND(Y92="Muy Alta",AA92="Moderado"),AND(Y92="Muy Alta",AA92="Mayor")),"Alto",IF(OR(AND(Y92="Muy Baja",AA92="Catastrófico"),AND(Y92="Baja",AA92="Catastrófico"),AND(Y92="Media",AA92="Catastrófico"),AND(Y92="Alta",AA92="Catastrófico"),AND(Y92="Muy Alta",AA92="Catastrófico")),"Extremo","")))),"")</f>
        <v/>
      </c>
      <c r="AD92" s="112"/>
      <c r="AE92" s="188"/>
      <c r="AF92" s="114"/>
      <c r="AG92" s="115"/>
      <c r="AH92" s="115"/>
      <c r="AI92" s="115"/>
      <c r="AJ92" s="113"/>
      <c r="AK92" s="114"/>
    </row>
    <row r="93" spans="1:69" ht="18" customHeight="1" x14ac:dyDescent="0.3">
      <c r="A93" s="369"/>
      <c r="B93" s="366"/>
      <c r="C93" s="396"/>
      <c r="D93" s="396"/>
      <c r="E93" s="483"/>
      <c r="F93" s="366"/>
      <c r="G93" s="449"/>
      <c r="H93" s="393"/>
      <c r="I93" s="390"/>
      <c r="J93" s="396"/>
      <c r="K93" s="390"/>
      <c r="L93" s="393"/>
      <c r="M93" s="390"/>
      <c r="N93" s="412"/>
      <c r="O93" s="104">
        <v>5</v>
      </c>
      <c r="P93" s="177"/>
      <c r="Q93" s="105" t="str">
        <f t="shared" si="86"/>
        <v/>
      </c>
      <c r="R93" s="106"/>
      <c r="S93" s="106"/>
      <c r="T93" s="169" t="str">
        <f t="shared" si="72"/>
        <v/>
      </c>
      <c r="U93" s="106"/>
      <c r="V93" s="106"/>
      <c r="W93" s="106"/>
      <c r="X93" s="159" t="str">
        <f t="shared" si="81"/>
        <v/>
      </c>
      <c r="Y93" s="109" t="str">
        <f t="shared" si="82"/>
        <v/>
      </c>
      <c r="Z93" s="110" t="str">
        <f t="shared" si="83"/>
        <v/>
      </c>
      <c r="AA93" s="109" t="str">
        <f t="shared" si="84"/>
        <v/>
      </c>
      <c r="AB93" s="110" t="str">
        <f t="shared" si="87"/>
        <v/>
      </c>
      <c r="AC93" s="111" t="str">
        <f t="shared" ref="AC93:AC95" si="88">IFERROR(IF(OR(AND(Y93="Muy Baja",AA93="Leve"),AND(Y93="Muy Baja",AA93="Menor"),AND(Y93="Baja",AA93="Leve")),"Bajo",IF(OR(AND(Y93="Muy baja",AA93="Moderado"),AND(Y93="Baja",AA93="Menor"),AND(Y93="Baja",AA93="Moderado"),AND(Y93="Media",AA93="Leve"),AND(Y93="Media",AA93="Menor"),AND(Y93="Media",AA93="Moderado"),AND(Y93="Alta",AA93="Leve"),AND(Y93="Alta",AA93="Menor")),"Moderado",IF(OR(AND(Y93="Muy Baja",AA93="Mayor"),AND(Y93="Baja",AA93="Mayor"),AND(Y93="Media",AA93="Mayor"),AND(Y93="Alta",AA93="Moderado"),AND(Y93="Alta",AA93="Mayor"),AND(Y93="Muy Alta",AA93="Leve"),AND(Y93="Muy Alta",AA93="Menor"),AND(Y93="Muy Alta",AA93="Moderado"),AND(Y93="Muy Alta",AA93="Mayor")),"Alto",IF(OR(AND(Y93="Muy Baja",AA93="Catastrófico"),AND(Y93="Baja",AA93="Catastrófico"),AND(Y93="Media",AA93="Catastrófico"),AND(Y93="Alta",AA93="Catastrófico"),AND(Y93="Muy Alta",AA93="Catastrófico")),"Extremo","")))),"")</f>
        <v/>
      </c>
      <c r="AD93" s="112"/>
      <c r="AE93" s="188"/>
      <c r="AF93" s="114"/>
      <c r="AG93" s="115"/>
      <c r="AH93" s="115"/>
      <c r="AI93" s="115"/>
      <c r="AJ93" s="113"/>
      <c r="AK93" s="114"/>
    </row>
    <row r="94" spans="1:69" ht="18" customHeight="1" x14ac:dyDescent="0.3">
      <c r="A94" s="369"/>
      <c r="B94" s="366"/>
      <c r="C94" s="396"/>
      <c r="D94" s="396"/>
      <c r="E94" s="483"/>
      <c r="F94" s="366"/>
      <c r="G94" s="449"/>
      <c r="H94" s="393"/>
      <c r="I94" s="390"/>
      <c r="J94" s="396"/>
      <c r="K94" s="390"/>
      <c r="L94" s="393"/>
      <c r="M94" s="390"/>
      <c r="N94" s="412"/>
      <c r="O94" s="104"/>
      <c r="P94" s="177"/>
      <c r="Q94" s="105"/>
      <c r="R94" s="106"/>
      <c r="S94" s="106"/>
      <c r="T94" s="169" t="str">
        <f t="shared" si="72"/>
        <v/>
      </c>
      <c r="U94" s="106"/>
      <c r="V94" s="106"/>
      <c r="W94" s="106"/>
      <c r="X94" s="159" t="str">
        <f t="shared" si="81"/>
        <v/>
      </c>
      <c r="Y94" s="109"/>
      <c r="Z94" s="110"/>
      <c r="AA94" s="109"/>
      <c r="AB94" s="110"/>
      <c r="AC94" s="111"/>
      <c r="AD94" s="112"/>
      <c r="AE94" s="188"/>
      <c r="AF94" s="114"/>
      <c r="AG94" s="115"/>
      <c r="AH94" s="115"/>
      <c r="AI94" s="115"/>
      <c r="AJ94" s="113"/>
      <c r="AK94" s="114"/>
    </row>
    <row r="95" spans="1:69" ht="18" customHeight="1" x14ac:dyDescent="0.3">
      <c r="A95" s="370"/>
      <c r="B95" s="367"/>
      <c r="C95" s="397"/>
      <c r="D95" s="397"/>
      <c r="E95" s="484"/>
      <c r="F95" s="367"/>
      <c r="G95" s="450"/>
      <c r="H95" s="394"/>
      <c r="I95" s="391"/>
      <c r="J95" s="397"/>
      <c r="K95" s="391"/>
      <c r="L95" s="394"/>
      <c r="M95" s="391"/>
      <c r="N95" s="413"/>
      <c r="O95" s="104">
        <v>6</v>
      </c>
      <c r="P95" s="177"/>
      <c r="Q95" s="105" t="str">
        <f t="shared" si="86"/>
        <v/>
      </c>
      <c r="R95" s="106"/>
      <c r="S95" s="106"/>
      <c r="T95" s="169" t="str">
        <f t="shared" si="72"/>
        <v/>
      </c>
      <c r="U95" s="106"/>
      <c r="V95" s="106"/>
      <c r="W95" s="106"/>
      <c r="X95" s="159" t="str">
        <f t="shared" si="81"/>
        <v/>
      </c>
      <c r="Y95" s="109" t="str">
        <f t="shared" si="82"/>
        <v/>
      </c>
      <c r="Z95" s="110" t="str">
        <f t="shared" si="83"/>
        <v/>
      </c>
      <c r="AA95" s="109" t="str">
        <f t="shared" si="84"/>
        <v/>
      </c>
      <c r="AB95" s="110" t="str">
        <f>IFERROR(IF(AND(Q93="Impacto",Q95="Impacto"),(AB93-(+AB93*T95)),IF(AND(Q93="Probabilidad",Q95="Impacto"),(AB92-(+AB92*T95)),IF(Q95="Probabilidad",AB93,""))),"")</f>
        <v/>
      </c>
      <c r="AC95" s="111" t="str">
        <f t="shared" si="88"/>
        <v/>
      </c>
      <c r="AD95" s="112"/>
      <c r="AE95" s="188"/>
      <c r="AF95" s="114"/>
      <c r="AG95" s="115"/>
      <c r="AH95" s="115"/>
      <c r="AI95" s="115"/>
      <c r="AJ95" s="113"/>
      <c r="AK95" s="114"/>
    </row>
    <row r="96" spans="1:69" ht="78.75" customHeight="1" x14ac:dyDescent="0.3">
      <c r="A96" s="368">
        <v>14</v>
      </c>
      <c r="B96" s="365" t="s">
        <v>192</v>
      </c>
      <c r="C96" s="395" t="s">
        <v>258</v>
      </c>
      <c r="D96" s="395" t="s">
        <v>383</v>
      </c>
      <c r="E96" s="445" t="s">
        <v>384</v>
      </c>
      <c r="F96" s="365" t="s">
        <v>181</v>
      </c>
      <c r="G96" s="448">
        <v>3</v>
      </c>
      <c r="H96" s="392" t="str">
        <f>IF(G96&lt;=0,"",IF(G96&lt;=2,"Muy Baja",IF(G96&lt;=24,"Baja",IF(G96&lt;=500,"Media",IF(G96&lt;=5000,"Alta","Muy Alta")))))</f>
        <v>Baja</v>
      </c>
      <c r="I96" s="389">
        <f>IF(H96="","",IF(H96="Muy Baja",0.2,IF(H96="Baja",0.4,IF(H96="Media",0.6,IF(H96="Alta",0.8,IF(H96="Muy Alta",1,))))))</f>
        <v>0.4</v>
      </c>
      <c r="J96" s="395" t="s">
        <v>320</v>
      </c>
      <c r="K96" s="389" t="str">
        <f>IF(NOT(ISERROR(MATCH(J96,'Tabla Impacto'!$B$221:$B$223,0))),'Tabla Impacto'!$F$223&amp;"Por favor no seleccionar los criterios de impacto(Afectación Económica o presupuestal y Pérdida Reputacional)",J96)</f>
        <v xml:space="preserve">     Entre 50 y 100 SMLMV </v>
      </c>
      <c r="L96" s="392" t="str">
        <f>IF(OR(K96='Tabla Impacto'!$C$11,K96='Tabla Impacto'!$D$11),"Leve",IF(OR(K96='Tabla Impacto'!$C$12,K96='Tabla Impacto'!$D$12),"Menor",IF(OR(K96='Tabla Impacto'!$C$13,K96='Tabla Impacto'!$D$13),"Moderado",IF(OR(K96='Tabla Impacto'!$C$14,K96='Tabla Impacto'!$D$14),"Mayor",IF(OR(K96='Tabla Impacto'!$C$15,K96='Tabla Impacto'!$D$15),"Catastrófico","")))))</f>
        <v>Moderado</v>
      </c>
      <c r="M96" s="389">
        <f>IF(L96="","",IF(L96="Leve",0.2,IF(L96="Menor",0.4,IF(L96="Moderado",0.6,IF(L96="Mayor",0.8,IF(L96="Catastrófico",1,))))))</f>
        <v>0.6</v>
      </c>
      <c r="N96" s="411" t="str">
        <f>IF(OR(AND(H96="Muy Baja",L96="Leve"),AND(H96="Muy Baja",L96="Menor"),AND(H96="Baja",L96="Leve")),"Bajo",IF(OR(AND(H96="Muy baja",L96="Moderado"),AND(H96="Baja",L96="Menor"),AND(H96="Baja",L96="Moderado"),AND(H96="Media",L96="Leve"),AND(H96="Media",L96="Menor"),AND(H96="Media",L96="Moderado"),AND(H96="Alta",L96="Leve"),AND(H96="Alta",L96="Menor")),"Moderado",IF(OR(AND(H96="Muy Baja",L96="Mayor"),AND(H96="Baja",L96="Mayor"),AND(H96="Media",L96="Mayor"),AND(H96="Alta",L96="Moderado"),AND(H96="Alta",L96="Mayor"),AND(H96="Muy Alta",L96="Leve"),AND(H96="Muy Alta",L96="Menor"),AND(H96="Muy Alta",L96="Moderado"),AND(H96="Muy Alta",L96="Mayor")),"Alto",IF(OR(AND(H96="Muy Baja",L96="Catastrófico"),AND(H96="Baja",L96="Catastrófico"),AND(H96="Media",L96="Catastrófico"),AND(H96="Alta",L96="Catastrófico"),AND(H96="Muy Alta",L96="Catastrófico")),"Extremo",""))))</f>
        <v>Moderado</v>
      </c>
      <c r="O96" s="5">
        <v>1</v>
      </c>
      <c r="P96" s="218" t="s">
        <v>385</v>
      </c>
      <c r="Q96" s="162" t="str">
        <f t="shared" si="86"/>
        <v>Probabilidad</v>
      </c>
      <c r="R96" s="168" t="s">
        <v>196</v>
      </c>
      <c r="S96" s="168" t="s">
        <v>185</v>
      </c>
      <c r="T96" s="169" t="str">
        <f t="shared" ref="T96:T101" si="89">IF(AND(R96="Preventivo",S96="Automático"),"50%",IF(AND(R96="Preventivo",S96="Manual"),"40%",IF(AND(R96="Detectivo",S96="Automático"),"40%",IF(AND(R96="Detectivo",S96="Manual"),"30%",IF(AND(R96="Correctivo",S96="Automático"),"35%",IF(AND(R96="Correctivo",S96="Manual"),"25%",""))))))</f>
        <v>40%</v>
      </c>
      <c r="U96" s="168" t="s">
        <v>186</v>
      </c>
      <c r="V96" s="168" t="s">
        <v>187</v>
      </c>
      <c r="W96" s="168" t="s">
        <v>188</v>
      </c>
      <c r="X96" s="159">
        <f>IFERROR(IF(Q96="Probabilidad",(I96-(+I96*T96)),IF(Q96="Impacto",I96,"")),"")</f>
        <v>0.24</v>
      </c>
      <c r="Y96" s="170" t="str">
        <f>IFERROR(IF(X96="","",IF(X96&lt;=0.2,"Muy Baja",IF(X96&lt;=0.4,"Baja",IF(X96&lt;=0.6,"Media",IF(X96&lt;=0.8,"Alta","Muy Alta"))))),"")</f>
        <v>Baja</v>
      </c>
      <c r="Z96" s="216">
        <f>+X96</f>
        <v>0.24</v>
      </c>
      <c r="AA96" s="170" t="str">
        <f>IFERROR(IF(AB96="","",IF(AB96&lt;=0.2,"Leve",IF(AB96&lt;=0.4,"Menor",IF(AB96&lt;=0.6,"Moderado",IF(AB96&lt;=0.8,"Mayor","Catastrófico"))))),"")</f>
        <v>Moderado</v>
      </c>
      <c r="AB96" s="216">
        <f>IFERROR(IF(Q96="Impacto",(M96-(+M96*T96)),IF(Q96="Probabilidad",M96,"")),"")</f>
        <v>0.6</v>
      </c>
      <c r="AC96" s="172" t="str">
        <f>IFERROR(IF(OR(AND(Y96="Muy Baja",AA96="Leve"),AND(Y96="Muy Baja",AA96="Menor"),AND(Y96="Baja",AA96="Leve")),"Bajo",IF(OR(AND(Y96="Muy baja",AA96="Moderado"),AND(Y96="Baja",AA96="Menor"),AND(Y96="Baja",AA96="Moderado"),AND(Y96="Media",AA96="Leve"),AND(Y96="Media",AA96="Menor"),AND(Y96="Media",AA96="Moderado"),AND(Y96="Alta",AA96="Leve"),AND(Y96="Alta",AA96="Menor")),"Moderado",IF(OR(AND(Y96="Muy Baja",AA96="Mayor"),AND(Y96="Baja",AA96="Mayor"),AND(Y96="Media",AA96="Mayor"),AND(Y96="Alta",AA96="Moderado"),AND(Y96="Alta",AA96="Mayor"),AND(Y96="Muy Alta",AA96="Leve"),AND(Y96="Muy Alta",AA96="Menor"),AND(Y96="Muy Alta",AA96="Moderado"),AND(Y96="Muy Alta",AA96="Mayor")),"Alto",IF(OR(AND(Y96="Muy Baja",AA96="Catastrófico"),AND(Y96="Baja",AA96="Catastrófico"),AND(Y96="Media",AA96="Catastrófico"),AND(Y96="Alta",AA96="Catastrófico"),AND(Y96="Muy Alta",AA96="Catastrófico")),"Extremo","")))),"")</f>
        <v>Moderado</v>
      </c>
      <c r="AD96" s="217" t="s">
        <v>189</v>
      </c>
      <c r="AE96" s="221" t="s">
        <v>386</v>
      </c>
      <c r="AF96" s="222" t="s">
        <v>387</v>
      </c>
      <c r="AG96" s="223">
        <v>45443</v>
      </c>
      <c r="AH96" s="224">
        <v>45642</v>
      </c>
      <c r="AI96" s="115"/>
      <c r="AJ96" s="113"/>
      <c r="AK96" s="114"/>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row>
    <row r="97" spans="1:69" ht="18" customHeight="1" x14ac:dyDescent="0.3">
      <c r="A97" s="369"/>
      <c r="B97" s="366"/>
      <c r="C97" s="396"/>
      <c r="D97" s="396"/>
      <c r="E97" s="446"/>
      <c r="F97" s="366"/>
      <c r="G97" s="449"/>
      <c r="H97" s="393"/>
      <c r="I97" s="390"/>
      <c r="J97" s="396"/>
      <c r="K97" s="390"/>
      <c r="L97" s="393"/>
      <c r="M97" s="390"/>
      <c r="N97" s="412"/>
      <c r="O97" s="104">
        <v>2</v>
      </c>
      <c r="P97" s="177"/>
      <c r="Q97" s="105" t="str">
        <f>IF(OR(R97="Preventivo",R97="Detectivo"),"Probabilidad",IF(R97="Correctivo","Impacto",""))</f>
        <v/>
      </c>
      <c r="R97" s="106"/>
      <c r="S97" s="106"/>
      <c r="T97" s="169" t="str">
        <f t="shared" si="89"/>
        <v/>
      </c>
      <c r="U97" s="106"/>
      <c r="V97" s="106"/>
      <c r="W97" s="106"/>
      <c r="X97" s="159" t="str">
        <f t="shared" ref="X97:X101" si="90">IFERROR(IF(Q97="Probabilidad",(I97-(+I97*T97)),IF(Q97="Impacto",I97,"")),"")</f>
        <v/>
      </c>
      <c r="Y97" s="109" t="str">
        <f t="shared" ref="Y97:Y100" si="91">IFERROR(IF(X97="","",IF(X97&lt;=0.2,"Muy Baja",IF(X97&lt;=0.4,"Baja",IF(X97&lt;=0.6,"Media",IF(X97&lt;=0.8,"Alta","Muy Alta"))))),"")</f>
        <v/>
      </c>
      <c r="Z97" s="110" t="str">
        <f t="shared" ref="Z97:Z100" si="92">+X97</f>
        <v/>
      </c>
      <c r="AA97" s="109" t="str">
        <f t="shared" ref="AA97:AA100" si="93">IFERROR(IF(AB97="","",IF(AB97&lt;=0.2,"Leve",IF(AB97&lt;=0.4,"Menor",IF(AB97&lt;=0.6,"Moderado",IF(AB97&lt;=0.8,"Mayor","Catastrófico"))))),"")</f>
        <v/>
      </c>
      <c r="AB97" s="110" t="str">
        <f>IFERROR(IF(AND(Q96="Impacto",Q97="Impacto"),(AB96-(+AB96*T97)),IF(Q97="Impacto",(M96-(+M96*T97)),IF(Q97="Probabilidad",AB96,""))),"")</f>
        <v/>
      </c>
      <c r="AC97" s="111" t="str">
        <f t="shared" ref="AC97:AC98" si="94">IFERROR(IF(OR(AND(Y97="Muy Baja",AA97="Leve"),AND(Y97="Muy Baja",AA97="Menor"),AND(Y97="Baja",AA97="Leve")),"Bajo",IF(OR(AND(Y97="Muy baja",AA97="Moderado"),AND(Y97="Baja",AA97="Menor"),AND(Y97="Baja",AA97="Moderado"),AND(Y97="Media",AA97="Leve"),AND(Y97="Media",AA97="Menor"),AND(Y97="Media",AA97="Moderado"),AND(Y97="Alta",AA97="Leve"),AND(Y97="Alta",AA97="Menor")),"Moderado",IF(OR(AND(Y97="Muy Baja",AA97="Mayor"),AND(Y97="Baja",AA97="Mayor"),AND(Y97="Media",AA97="Mayor"),AND(Y97="Alta",AA97="Moderado"),AND(Y97="Alta",AA97="Mayor"),AND(Y97="Muy Alta",AA97="Leve"),AND(Y97="Muy Alta",AA97="Menor"),AND(Y97="Muy Alta",AA97="Moderado"),AND(Y97="Muy Alta",AA97="Mayor")),"Alto",IF(OR(AND(Y97="Muy Baja",AA97="Catastrófico"),AND(Y97="Baja",AA97="Catastrófico"),AND(Y97="Media",AA97="Catastrófico"),AND(Y97="Alta",AA97="Catastrófico"),AND(Y97="Muy Alta",AA97="Catastrófico")),"Extremo","")))),"")</f>
        <v/>
      </c>
      <c r="AD97" s="112"/>
      <c r="AE97" s="188"/>
      <c r="AF97" s="114"/>
      <c r="AG97" s="115"/>
      <c r="AH97" s="115"/>
      <c r="AI97" s="115"/>
      <c r="AJ97" s="113"/>
      <c r="AK97" s="114"/>
    </row>
    <row r="98" spans="1:69" ht="18" customHeight="1" x14ac:dyDescent="0.3">
      <c r="A98" s="369"/>
      <c r="B98" s="366"/>
      <c r="C98" s="396"/>
      <c r="D98" s="396"/>
      <c r="E98" s="446"/>
      <c r="F98" s="366"/>
      <c r="G98" s="449"/>
      <c r="H98" s="393"/>
      <c r="I98" s="390"/>
      <c r="J98" s="396"/>
      <c r="K98" s="390"/>
      <c r="L98" s="393"/>
      <c r="M98" s="390"/>
      <c r="N98" s="412"/>
      <c r="O98" s="104">
        <v>3</v>
      </c>
      <c r="P98" s="178"/>
      <c r="Q98" s="105" t="str">
        <f>IF(OR(R98="Preventivo",R98="Detectivo"),"Probabilidad",IF(R98="Correctivo","Impacto",""))</f>
        <v/>
      </c>
      <c r="R98" s="106"/>
      <c r="S98" s="106"/>
      <c r="T98" s="169" t="str">
        <f t="shared" si="89"/>
        <v/>
      </c>
      <c r="U98" s="106"/>
      <c r="V98" s="106"/>
      <c r="W98" s="106"/>
      <c r="X98" s="159" t="str">
        <f t="shared" si="90"/>
        <v/>
      </c>
      <c r="Y98" s="109" t="str">
        <f t="shared" si="91"/>
        <v/>
      </c>
      <c r="Z98" s="110" t="str">
        <f t="shared" si="92"/>
        <v/>
      </c>
      <c r="AA98" s="109" t="str">
        <f t="shared" si="93"/>
        <v/>
      </c>
      <c r="AB98" s="110" t="str">
        <f>IFERROR(IF(AND(Q97="Impacto",Q98="Impacto"),(AB97-(+AB97*T98)),IF(AND(Q97="Probabilidad",Q98="Impacto"),(AB96-(+AB96*T98)),IF(Q98="Probabilidad",AB97,""))),"")</f>
        <v/>
      </c>
      <c r="AC98" s="111" t="str">
        <f t="shared" si="94"/>
        <v/>
      </c>
      <c r="AD98" s="112"/>
      <c r="AE98" s="188"/>
      <c r="AF98" s="114"/>
      <c r="AG98" s="115"/>
      <c r="AH98" s="115"/>
      <c r="AI98" s="115"/>
      <c r="AJ98" s="113"/>
      <c r="AK98" s="114"/>
    </row>
    <row r="99" spans="1:69" ht="18" customHeight="1" x14ac:dyDescent="0.3">
      <c r="A99" s="369"/>
      <c r="B99" s="366"/>
      <c r="C99" s="396"/>
      <c r="D99" s="396"/>
      <c r="E99" s="446"/>
      <c r="F99" s="366"/>
      <c r="G99" s="449"/>
      <c r="H99" s="393"/>
      <c r="I99" s="390"/>
      <c r="J99" s="396"/>
      <c r="K99" s="390"/>
      <c r="L99" s="393"/>
      <c r="M99" s="390"/>
      <c r="N99" s="412"/>
      <c r="O99" s="104">
        <v>4</v>
      </c>
      <c r="P99" s="177"/>
      <c r="Q99" s="105" t="str">
        <f t="shared" ref="Q99:Q100" si="95">IF(OR(R99="Preventivo",R99="Detectivo"),"Probabilidad",IF(R99="Correctivo","Impacto",""))</f>
        <v/>
      </c>
      <c r="R99" s="106"/>
      <c r="S99" s="106"/>
      <c r="T99" s="169" t="str">
        <f t="shared" si="89"/>
        <v/>
      </c>
      <c r="U99" s="106"/>
      <c r="V99" s="106"/>
      <c r="W99" s="106"/>
      <c r="X99" s="159" t="str">
        <f t="shared" si="90"/>
        <v/>
      </c>
      <c r="Y99" s="109" t="str">
        <f t="shared" si="91"/>
        <v/>
      </c>
      <c r="Z99" s="110" t="str">
        <f t="shared" si="92"/>
        <v/>
      </c>
      <c r="AA99" s="109" t="str">
        <f t="shared" si="93"/>
        <v/>
      </c>
      <c r="AB99" s="110" t="str">
        <f t="shared" ref="AB99:AB100" si="96">IFERROR(IF(AND(Q98="Impacto",Q99="Impacto"),(AB98-(+AB98*T99)),IF(AND(Q98="Probabilidad",Q99="Impacto"),(AB97-(+AB97*T99)),IF(Q99="Probabilidad",AB98,""))),"")</f>
        <v/>
      </c>
      <c r="AC99" s="111" t="str">
        <f>IFERROR(IF(OR(AND(Y99="Muy Baja",AA99="Leve"),AND(Y99="Muy Baja",AA99="Menor"),AND(Y99="Baja",AA99="Leve")),"Bajo",IF(OR(AND(Y99="Muy baja",AA99="Moderado"),AND(Y99="Baja",AA99="Menor"),AND(Y99="Baja",AA99="Moderado"),AND(Y99="Media",AA99="Leve"),AND(Y99="Media",AA99="Menor"),AND(Y99="Media",AA99="Moderado"),AND(Y99="Alta",AA99="Leve"),AND(Y99="Alta",AA99="Menor")),"Moderado",IF(OR(AND(Y99="Muy Baja",AA99="Mayor"),AND(Y99="Baja",AA99="Mayor"),AND(Y99="Media",AA99="Mayor"),AND(Y99="Alta",AA99="Moderado"),AND(Y99="Alta",AA99="Mayor"),AND(Y99="Muy Alta",AA99="Leve"),AND(Y99="Muy Alta",AA99="Menor"),AND(Y99="Muy Alta",AA99="Moderado"),AND(Y99="Muy Alta",AA99="Mayor")),"Alto",IF(OR(AND(Y99="Muy Baja",AA99="Catastrófico"),AND(Y99="Baja",AA99="Catastrófico"),AND(Y99="Media",AA99="Catastrófico"),AND(Y99="Alta",AA99="Catastrófico"),AND(Y99="Muy Alta",AA99="Catastrófico")),"Extremo","")))),"")</f>
        <v/>
      </c>
      <c r="AD99" s="112"/>
      <c r="AE99" s="188"/>
      <c r="AF99" s="114"/>
      <c r="AG99" s="115"/>
      <c r="AH99" s="115"/>
      <c r="AI99" s="115"/>
      <c r="AJ99" s="113"/>
      <c r="AK99" s="114"/>
    </row>
    <row r="100" spans="1:69" ht="18" customHeight="1" x14ac:dyDescent="0.3">
      <c r="A100" s="369"/>
      <c r="B100" s="366"/>
      <c r="C100" s="396"/>
      <c r="D100" s="396"/>
      <c r="E100" s="446"/>
      <c r="F100" s="366"/>
      <c r="G100" s="449"/>
      <c r="H100" s="393"/>
      <c r="I100" s="390"/>
      <c r="J100" s="396"/>
      <c r="K100" s="390"/>
      <c r="L100" s="393"/>
      <c r="M100" s="390"/>
      <c r="N100" s="412"/>
      <c r="O100" s="104">
        <v>5</v>
      </c>
      <c r="P100" s="177"/>
      <c r="Q100" s="105" t="str">
        <f t="shared" si="95"/>
        <v/>
      </c>
      <c r="R100" s="106"/>
      <c r="S100" s="106"/>
      <c r="T100" s="169" t="str">
        <f t="shared" si="89"/>
        <v/>
      </c>
      <c r="U100" s="106"/>
      <c r="V100" s="106"/>
      <c r="W100" s="106"/>
      <c r="X100" s="159" t="str">
        <f t="shared" si="90"/>
        <v/>
      </c>
      <c r="Y100" s="109" t="str">
        <f t="shared" si="91"/>
        <v/>
      </c>
      <c r="Z100" s="110" t="str">
        <f t="shared" si="92"/>
        <v/>
      </c>
      <c r="AA100" s="109" t="str">
        <f t="shared" si="93"/>
        <v/>
      </c>
      <c r="AB100" s="110" t="str">
        <f t="shared" si="96"/>
        <v/>
      </c>
      <c r="AC100" s="111" t="str">
        <f t="shared" ref="AC100" si="97">IFERROR(IF(OR(AND(Y100="Muy Baja",AA100="Leve"),AND(Y100="Muy Baja",AA100="Menor"),AND(Y100="Baja",AA100="Leve")),"Bajo",IF(OR(AND(Y100="Muy baja",AA100="Moderado"),AND(Y100="Baja",AA100="Menor"),AND(Y100="Baja",AA100="Moderado"),AND(Y100="Media",AA100="Leve"),AND(Y100="Media",AA100="Menor"),AND(Y100="Media",AA100="Moderado"),AND(Y100="Alta",AA100="Leve"),AND(Y100="Alta",AA100="Menor")),"Moderado",IF(OR(AND(Y100="Muy Baja",AA100="Mayor"),AND(Y100="Baja",AA100="Mayor"),AND(Y100="Media",AA100="Mayor"),AND(Y100="Alta",AA100="Moderado"),AND(Y100="Alta",AA100="Mayor"),AND(Y100="Muy Alta",AA100="Leve"),AND(Y100="Muy Alta",AA100="Menor"),AND(Y100="Muy Alta",AA100="Moderado"),AND(Y100="Muy Alta",AA100="Mayor")),"Alto",IF(OR(AND(Y100="Muy Baja",AA100="Catastrófico"),AND(Y100="Baja",AA100="Catastrófico"),AND(Y100="Media",AA100="Catastrófico"),AND(Y100="Alta",AA100="Catastrófico"),AND(Y100="Muy Alta",AA100="Catastrófico")),"Extremo","")))),"")</f>
        <v/>
      </c>
      <c r="AD100" s="112"/>
      <c r="AE100" s="188"/>
      <c r="AF100" s="114"/>
      <c r="AG100" s="115"/>
      <c r="AH100" s="115"/>
      <c r="AI100" s="115"/>
      <c r="AJ100" s="113"/>
      <c r="AK100" s="114"/>
    </row>
    <row r="101" spans="1:69" ht="18" customHeight="1" x14ac:dyDescent="0.3">
      <c r="A101" s="370"/>
      <c r="B101" s="367"/>
      <c r="C101" s="397"/>
      <c r="D101" s="397"/>
      <c r="E101" s="447"/>
      <c r="F101" s="367"/>
      <c r="G101" s="450"/>
      <c r="H101" s="394"/>
      <c r="I101" s="391"/>
      <c r="J101" s="397"/>
      <c r="K101" s="391"/>
      <c r="L101" s="394"/>
      <c r="M101" s="391"/>
      <c r="N101" s="413"/>
      <c r="O101" s="104">
        <v>6</v>
      </c>
      <c r="P101" s="177"/>
      <c r="Q101" s="105" t="str">
        <f t="shared" ref="Q101:Q102" si="98">IF(OR(R101="Preventivo",R101="Detectivo"),"Probabilidad",IF(R101="Correctivo","Impacto",""))</f>
        <v/>
      </c>
      <c r="R101" s="106"/>
      <c r="S101" s="106"/>
      <c r="T101" s="169" t="str">
        <f t="shared" si="89"/>
        <v/>
      </c>
      <c r="U101" s="106"/>
      <c r="V101" s="106"/>
      <c r="W101" s="106"/>
      <c r="X101" s="159" t="str">
        <f t="shared" si="90"/>
        <v/>
      </c>
      <c r="Y101" s="109" t="str">
        <f t="shared" ref="Y101" si="99">IFERROR(IF(X101="","",IF(X101&lt;=0.2,"Muy Baja",IF(X101&lt;=0.4,"Baja",IF(X101&lt;=0.6,"Media",IF(X101&lt;=0.8,"Alta","Muy Alta"))))),"")</f>
        <v/>
      </c>
      <c r="Z101" s="110" t="str">
        <f t="shared" ref="Z101" si="100">+X101</f>
        <v/>
      </c>
      <c r="AA101" s="109" t="str">
        <f t="shared" ref="AA101" si="101">IFERROR(IF(AB101="","",IF(AB101&lt;=0.2,"Leve",IF(AB101&lt;=0.4,"Menor",IF(AB101&lt;=0.6,"Moderado",IF(AB101&lt;=0.8,"Mayor","Catastrófico"))))),"")</f>
        <v/>
      </c>
      <c r="AB101" s="110" t="str">
        <f>IFERROR(IF(AND(Q100="Impacto",Q101="Impacto"),(AB100-(+AB100*T101)),IF(AND(Q100="Probabilidad",Q101="Impacto"),(AB99-(+AB99*T101)),IF(Q101="Probabilidad",AB100,""))),"")</f>
        <v/>
      </c>
      <c r="AC101" s="111" t="str">
        <f t="shared" ref="AC101" si="102">IFERROR(IF(OR(AND(Y101="Muy Baja",AA101="Leve"),AND(Y101="Muy Baja",AA101="Menor"),AND(Y101="Baja",AA101="Leve")),"Bajo",IF(OR(AND(Y101="Muy baja",AA101="Moderado"),AND(Y101="Baja",AA101="Menor"),AND(Y101="Baja",AA101="Moderado"),AND(Y101="Media",AA101="Leve"),AND(Y101="Media",AA101="Menor"),AND(Y101="Media",AA101="Moderado"),AND(Y101="Alta",AA101="Leve"),AND(Y101="Alta",AA101="Menor")),"Moderado",IF(OR(AND(Y101="Muy Baja",AA101="Mayor"),AND(Y101="Baja",AA101="Mayor"),AND(Y101="Media",AA101="Mayor"),AND(Y101="Alta",AA101="Moderado"),AND(Y101="Alta",AA101="Mayor"),AND(Y101="Muy Alta",AA101="Leve"),AND(Y101="Muy Alta",AA101="Menor"),AND(Y101="Muy Alta",AA101="Moderado"),AND(Y101="Muy Alta",AA101="Mayor")),"Alto",IF(OR(AND(Y101="Muy Baja",AA101="Catastrófico"),AND(Y101="Baja",AA101="Catastrófico"),AND(Y101="Media",AA101="Catastrófico"),AND(Y101="Alta",AA101="Catastrófico"),AND(Y101="Muy Alta",AA101="Catastrófico")),"Extremo","")))),"")</f>
        <v/>
      </c>
      <c r="AD101" s="112"/>
      <c r="AE101" s="188"/>
      <c r="AF101" s="114"/>
      <c r="AG101" s="115"/>
      <c r="AH101" s="115"/>
      <c r="AI101" s="115"/>
      <c r="AJ101" s="113"/>
      <c r="AK101" s="114"/>
    </row>
    <row r="102" spans="1:69" ht="78.75" customHeight="1" x14ac:dyDescent="0.3">
      <c r="A102" s="368">
        <v>15</v>
      </c>
      <c r="B102" s="365" t="s">
        <v>178</v>
      </c>
      <c r="C102" s="395" t="s">
        <v>390</v>
      </c>
      <c r="D102" s="395" t="s">
        <v>388</v>
      </c>
      <c r="E102" s="445" t="s">
        <v>389</v>
      </c>
      <c r="F102" s="365" t="s">
        <v>181</v>
      </c>
      <c r="G102" s="448">
        <v>4</v>
      </c>
      <c r="H102" s="392" t="str">
        <f>IF(G102&lt;=0,"",IF(G102&lt;=2,"Muy Baja",IF(G102&lt;=24,"Baja",IF(G102&lt;=500,"Media",IF(G102&lt;=5000,"Alta","Muy Alta")))))</f>
        <v>Baja</v>
      </c>
      <c r="I102" s="389">
        <f>IF(H102="","",IF(H102="Muy Baja",0.2,IF(H102="Baja",0.4,IF(H102="Media",0.6,IF(H102="Alta",0.8,IF(H102="Muy Alta",1,))))))</f>
        <v>0.4</v>
      </c>
      <c r="J102" s="395" t="s">
        <v>195</v>
      </c>
      <c r="K102" s="389" t="str">
        <f>IF(NOT(ISERROR(MATCH(J102,'Tabla Impacto'!$B$221:$B$223,0))),'Tabla Impacto'!$F$223&amp;"Por favor no seleccionar los criterios de impacto(Afectación Económica o presupuestal y Pérdida Reputacional)",J102)</f>
        <v xml:space="preserve">     El riesgo afecta la imagen de la entidad con algunos usuarios de relevancia frente al logro de los objetivos</v>
      </c>
      <c r="L102" s="392" t="str">
        <f>IF(OR(K102='Tabla Impacto'!$C$11,K102='Tabla Impacto'!$D$11),"Leve",IF(OR(K102='Tabla Impacto'!$C$12,K102='Tabla Impacto'!$D$12),"Menor",IF(OR(K102='Tabla Impacto'!$C$13,K102='Tabla Impacto'!$D$13),"Moderado",IF(OR(K102='Tabla Impacto'!$C$14,K102='Tabla Impacto'!$D$14),"Mayor",IF(OR(K102='Tabla Impacto'!$C$15,K102='Tabla Impacto'!$D$15),"Catastrófico","")))))</f>
        <v>Moderado</v>
      </c>
      <c r="M102" s="389">
        <f>IF(L102="","",IF(L102="Leve",0.2,IF(L102="Menor",0.4,IF(L102="Moderado",0.6,IF(L102="Mayor",0.8,IF(L102="Catastrófico",1,))))))</f>
        <v>0.6</v>
      </c>
      <c r="N102" s="411" t="str">
        <f>IF(OR(AND(H102="Muy Baja",L102="Leve"),AND(H102="Muy Baja",L102="Menor"),AND(H102="Baja",L102="Leve")),"Bajo",IF(OR(AND(H102="Muy baja",L102="Moderado"),AND(H102="Baja",L102="Menor"),AND(H102="Baja",L102="Moderado"),AND(H102="Media",L102="Leve"),AND(H102="Media",L102="Menor"),AND(H102="Media",L102="Moderado"),AND(H102="Alta",L102="Leve"),AND(H102="Alta",L102="Menor")),"Moderado",IF(OR(AND(H102="Muy Baja",L102="Mayor"),AND(H102="Baja",L102="Mayor"),AND(H102="Media",L102="Mayor"),AND(H102="Alta",L102="Moderado"),AND(H102="Alta",L102="Mayor"),AND(H102="Muy Alta",L102="Leve"),AND(H102="Muy Alta",L102="Menor"),AND(H102="Muy Alta",L102="Moderado"),AND(H102="Muy Alta",L102="Mayor")),"Alto",IF(OR(AND(H102="Muy Baja",L102="Catastrófico"),AND(H102="Baja",L102="Catastrófico"),AND(H102="Media",L102="Catastrófico"),AND(H102="Alta",L102="Catastrófico"),AND(H102="Muy Alta",L102="Catastrófico")),"Extremo",""))))</f>
        <v>Moderado</v>
      </c>
      <c r="O102" s="5">
        <v>1</v>
      </c>
      <c r="P102" s="220" t="s">
        <v>391</v>
      </c>
      <c r="Q102" s="162" t="str">
        <f t="shared" si="98"/>
        <v>Probabilidad</v>
      </c>
      <c r="R102" s="168" t="s">
        <v>196</v>
      </c>
      <c r="S102" s="168" t="s">
        <v>185</v>
      </c>
      <c r="T102" s="169" t="str">
        <f t="shared" ref="T102:T107" si="103">IF(AND(R102="Preventivo",S102="Automático"),"50%",IF(AND(R102="Preventivo",S102="Manual"),"40%",IF(AND(R102="Detectivo",S102="Automático"),"40%",IF(AND(R102="Detectivo",S102="Manual"),"30%",IF(AND(R102="Correctivo",S102="Automático"),"35%",IF(AND(R102="Correctivo",S102="Manual"),"25%",""))))))</f>
        <v>40%</v>
      </c>
      <c r="U102" s="168" t="s">
        <v>186</v>
      </c>
      <c r="V102" s="168" t="s">
        <v>187</v>
      </c>
      <c r="W102" s="168" t="s">
        <v>188</v>
      </c>
      <c r="X102" s="159">
        <f>IFERROR(IF(Q102="Probabilidad",(I102-(+I102*T102)),IF(Q102="Impacto",I102,"")),"")</f>
        <v>0.24</v>
      </c>
      <c r="Y102" s="170" t="str">
        <f>IFERROR(IF(X102="","",IF(X102&lt;=0.2,"Muy Baja",IF(X102&lt;=0.4,"Baja",IF(X102&lt;=0.6,"Media",IF(X102&lt;=0.8,"Alta","Muy Alta"))))),"")</f>
        <v>Baja</v>
      </c>
      <c r="Z102" s="216">
        <f>+X102</f>
        <v>0.24</v>
      </c>
      <c r="AA102" s="170" t="str">
        <f>IFERROR(IF(AB102="","",IF(AB102&lt;=0.2,"Leve",IF(AB102&lt;=0.4,"Menor",IF(AB102&lt;=0.6,"Moderado",IF(AB102&lt;=0.8,"Mayor","Catastrófico"))))),"")</f>
        <v>Moderado</v>
      </c>
      <c r="AB102" s="216">
        <f>IFERROR(IF(Q102="Impacto",(M102-(+M102*T102)),IF(Q102="Probabilidad",M102,"")),"")</f>
        <v>0.6</v>
      </c>
      <c r="AC102" s="172" t="str">
        <f>IFERROR(IF(OR(AND(Y102="Muy Baja",AA102="Leve"),AND(Y102="Muy Baja",AA102="Menor"),AND(Y102="Baja",AA102="Leve")),"Bajo",IF(OR(AND(Y102="Muy baja",AA102="Moderado"),AND(Y102="Baja",AA102="Menor"),AND(Y102="Baja",AA102="Moderado"),AND(Y102="Media",AA102="Leve"),AND(Y102="Media",AA102="Menor"),AND(Y102="Media",AA102="Moderado"),AND(Y102="Alta",AA102="Leve"),AND(Y102="Alta",AA102="Menor")),"Moderado",IF(OR(AND(Y102="Muy Baja",AA102="Mayor"),AND(Y102="Baja",AA102="Mayor"),AND(Y102="Media",AA102="Mayor"),AND(Y102="Alta",AA102="Moderado"),AND(Y102="Alta",AA102="Mayor"),AND(Y102="Muy Alta",AA102="Leve"),AND(Y102="Muy Alta",AA102="Menor"),AND(Y102="Muy Alta",AA102="Moderado"),AND(Y102="Muy Alta",AA102="Mayor")),"Alto",IF(OR(AND(Y102="Muy Baja",AA102="Catastrófico"),AND(Y102="Baja",AA102="Catastrófico"),AND(Y102="Media",AA102="Catastrófico"),AND(Y102="Alta",AA102="Catastrófico"),AND(Y102="Muy Alta",AA102="Catastrófico")),"Extremo","")))),"")</f>
        <v>Moderado</v>
      </c>
      <c r="AD102" s="217" t="s">
        <v>189</v>
      </c>
      <c r="AE102" s="221" t="s">
        <v>392</v>
      </c>
      <c r="AF102" s="222" t="s">
        <v>380</v>
      </c>
      <c r="AG102" s="223">
        <v>45443</v>
      </c>
      <c r="AH102" s="224">
        <v>45642</v>
      </c>
      <c r="AI102" s="115"/>
      <c r="AJ102" s="113"/>
      <c r="AK102" s="114"/>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row>
    <row r="103" spans="1:69" ht="18" customHeight="1" x14ac:dyDescent="0.3">
      <c r="A103" s="369"/>
      <c r="B103" s="366"/>
      <c r="C103" s="396"/>
      <c r="D103" s="396"/>
      <c r="E103" s="446"/>
      <c r="F103" s="366"/>
      <c r="G103" s="449"/>
      <c r="H103" s="393"/>
      <c r="I103" s="390"/>
      <c r="J103" s="396"/>
      <c r="K103" s="390"/>
      <c r="L103" s="393"/>
      <c r="M103" s="390"/>
      <c r="N103" s="412"/>
      <c r="O103" s="104">
        <v>2</v>
      </c>
      <c r="P103" s="177"/>
      <c r="Q103" s="105" t="str">
        <f>IF(OR(R103="Preventivo",R103="Detectivo"),"Probabilidad",IF(R103="Correctivo","Impacto",""))</f>
        <v/>
      </c>
      <c r="R103" s="106"/>
      <c r="S103" s="106"/>
      <c r="T103" s="169" t="str">
        <f t="shared" si="103"/>
        <v/>
      </c>
      <c r="U103" s="106"/>
      <c r="V103" s="106"/>
      <c r="W103" s="106"/>
      <c r="X103" s="159" t="str">
        <f t="shared" ref="X103:X107" si="104">IFERROR(IF(Q103="Probabilidad",(I103-(+I103*T103)),IF(Q103="Impacto",I103,"")),"")</f>
        <v/>
      </c>
      <c r="Y103" s="109" t="str">
        <f t="shared" ref="Y103:Y106" si="105">IFERROR(IF(X103="","",IF(X103&lt;=0.2,"Muy Baja",IF(X103&lt;=0.4,"Baja",IF(X103&lt;=0.6,"Media",IF(X103&lt;=0.8,"Alta","Muy Alta"))))),"")</f>
        <v/>
      </c>
      <c r="Z103" s="110" t="str">
        <f t="shared" ref="Z103:Z106" si="106">+X103</f>
        <v/>
      </c>
      <c r="AA103" s="109" t="str">
        <f t="shared" ref="AA103:AA106" si="107">IFERROR(IF(AB103="","",IF(AB103&lt;=0.2,"Leve",IF(AB103&lt;=0.4,"Menor",IF(AB103&lt;=0.6,"Moderado",IF(AB103&lt;=0.8,"Mayor","Catastrófico"))))),"")</f>
        <v/>
      </c>
      <c r="AB103" s="110" t="str">
        <f>IFERROR(IF(AND(Q102="Impacto",Q103="Impacto"),(AB102-(+AB102*T103)),IF(Q103="Impacto",(M102-(+M102*T103)),IF(Q103="Probabilidad",AB102,""))),"")</f>
        <v/>
      </c>
      <c r="AC103" s="111" t="str">
        <f t="shared" ref="AC103:AC104" si="108">IFERROR(IF(OR(AND(Y103="Muy Baja",AA103="Leve"),AND(Y103="Muy Baja",AA103="Menor"),AND(Y103="Baja",AA103="Leve")),"Bajo",IF(OR(AND(Y103="Muy baja",AA103="Moderado"),AND(Y103="Baja",AA103="Menor"),AND(Y103="Baja",AA103="Moderado"),AND(Y103="Media",AA103="Leve"),AND(Y103="Media",AA103="Menor"),AND(Y103="Media",AA103="Moderado"),AND(Y103="Alta",AA103="Leve"),AND(Y103="Alta",AA103="Menor")),"Moderado",IF(OR(AND(Y103="Muy Baja",AA103="Mayor"),AND(Y103="Baja",AA103="Mayor"),AND(Y103="Media",AA103="Mayor"),AND(Y103="Alta",AA103="Moderado"),AND(Y103="Alta",AA103="Mayor"),AND(Y103="Muy Alta",AA103="Leve"),AND(Y103="Muy Alta",AA103="Menor"),AND(Y103="Muy Alta",AA103="Moderado"),AND(Y103="Muy Alta",AA103="Mayor")),"Alto",IF(OR(AND(Y103="Muy Baja",AA103="Catastrófico"),AND(Y103="Baja",AA103="Catastrófico"),AND(Y103="Media",AA103="Catastrófico"),AND(Y103="Alta",AA103="Catastrófico"),AND(Y103="Muy Alta",AA103="Catastrófico")),"Extremo","")))),"")</f>
        <v/>
      </c>
      <c r="AD103" s="112"/>
      <c r="AE103" s="188"/>
      <c r="AF103" s="114"/>
      <c r="AG103" s="115"/>
      <c r="AH103" s="115"/>
      <c r="AI103" s="115"/>
      <c r="AJ103" s="113"/>
      <c r="AK103" s="114"/>
    </row>
    <row r="104" spans="1:69" ht="18" customHeight="1" x14ac:dyDescent="0.3">
      <c r="A104" s="369"/>
      <c r="B104" s="366"/>
      <c r="C104" s="396"/>
      <c r="D104" s="396"/>
      <c r="E104" s="446"/>
      <c r="F104" s="366"/>
      <c r="G104" s="449"/>
      <c r="H104" s="393"/>
      <c r="I104" s="390"/>
      <c r="J104" s="396"/>
      <c r="K104" s="390"/>
      <c r="L104" s="393"/>
      <c r="M104" s="390"/>
      <c r="N104" s="412"/>
      <c r="O104" s="104">
        <v>3</v>
      </c>
      <c r="P104" s="178"/>
      <c r="Q104" s="105" t="str">
        <f>IF(OR(R104="Preventivo",R104="Detectivo"),"Probabilidad",IF(R104="Correctivo","Impacto",""))</f>
        <v/>
      </c>
      <c r="R104" s="106"/>
      <c r="S104" s="106"/>
      <c r="T104" s="169" t="str">
        <f t="shared" si="103"/>
        <v/>
      </c>
      <c r="U104" s="106"/>
      <c r="V104" s="106"/>
      <c r="W104" s="106"/>
      <c r="X104" s="159" t="str">
        <f t="shared" si="104"/>
        <v/>
      </c>
      <c r="Y104" s="109" t="str">
        <f t="shared" si="105"/>
        <v/>
      </c>
      <c r="Z104" s="110" t="str">
        <f t="shared" si="106"/>
        <v/>
      </c>
      <c r="AA104" s="109" t="str">
        <f t="shared" si="107"/>
        <v/>
      </c>
      <c r="AB104" s="110" t="str">
        <f>IFERROR(IF(AND(Q103="Impacto",Q104="Impacto"),(AB103-(+AB103*T104)),IF(AND(Q103="Probabilidad",Q104="Impacto"),(AB102-(+AB102*T104)),IF(Q104="Probabilidad",AB103,""))),"")</f>
        <v/>
      </c>
      <c r="AC104" s="111" t="str">
        <f t="shared" si="108"/>
        <v/>
      </c>
      <c r="AD104" s="112"/>
      <c r="AE104" s="188"/>
      <c r="AF104" s="114"/>
      <c r="AG104" s="115"/>
      <c r="AH104" s="115"/>
      <c r="AI104" s="115"/>
      <c r="AJ104" s="113"/>
      <c r="AK104" s="114"/>
    </row>
    <row r="105" spans="1:69" ht="18" customHeight="1" x14ac:dyDescent="0.3">
      <c r="A105" s="369"/>
      <c r="B105" s="366"/>
      <c r="C105" s="396"/>
      <c r="D105" s="396"/>
      <c r="E105" s="446"/>
      <c r="F105" s="366"/>
      <c r="G105" s="449"/>
      <c r="H105" s="393"/>
      <c r="I105" s="390"/>
      <c r="J105" s="396"/>
      <c r="K105" s="390"/>
      <c r="L105" s="393"/>
      <c r="M105" s="390"/>
      <c r="N105" s="412"/>
      <c r="O105" s="104">
        <v>4</v>
      </c>
      <c r="P105" s="177"/>
      <c r="Q105" s="105" t="str">
        <f t="shared" ref="Q105:Q106" si="109">IF(OR(R105="Preventivo",R105="Detectivo"),"Probabilidad",IF(R105="Correctivo","Impacto",""))</f>
        <v/>
      </c>
      <c r="R105" s="106"/>
      <c r="S105" s="106"/>
      <c r="T105" s="169" t="str">
        <f t="shared" si="103"/>
        <v/>
      </c>
      <c r="U105" s="106"/>
      <c r="V105" s="106"/>
      <c r="W105" s="106"/>
      <c r="X105" s="159" t="str">
        <f t="shared" si="104"/>
        <v/>
      </c>
      <c r="Y105" s="109" t="str">
        <f t="shared" si="105"/>
        <v/>
      </c>
      <c r="Z105" s="110" t="str">
        <f t="shared" si="106"/>
        <v/>
      </c>
      <c r="AA105" s="109" t="str">
        <f t="shared" si="107"/>
        <v/>
      </c>
      <c r="AB105" s="110" t="str">
        <f t="shared" ref="AB105:AB106" si="110">IFERROR(IF(AND(Q104="Impacto",Q105="Impacto"),(AB104-(+AB104*T105)),IF(AND(Q104="Probabilidad",Q105="Impacto"),(AB103-(+AB103*T105)),IF(Q105="Probabilidad",AB104,""))),"")</f>
        <v/>
      </c>
      <c r="AC105" s="111" t="str">
        <f>IFERROR(IF(OR(AND(Y105="Muy Baja",AA105="Leve"),AND(Y105="Muy Baja",AA105="Menor"),AND(Y105="Baja",AA105="Leve")),"Bajo",IF(OR(AND(Y105="Muy baja",AA105="Moderado"),AND(Y105="Baja",AA105="Menor"),AND(Y105="Baja",AA105="Moderado"),AND(Y105="Media",AA105="Leve"),AND(Y105="Media",AA105="Menor"),AND(Y105="Media",AA105="Moderado"),AND(Y105="Alta",AA105="Leve"),AND(Y105="Alta",AA105="Menor")),"Moderado",IF(OR(AND(Y105="Muy Baja",AA105="Mayor"),AND(Y105="Baja",AA105="Mayor"),AND(Y105="Media",AA105="Mayor"),AND(Y105="Alta",AA105="Moderado"),AND(Y105="Alta",AA105="Mayor"),AND(Y105="Muy Alta",AA105="Leve"),AND(Y105="Muy Alta",AA105="Menor"),AND(Y105="Muy Alta",AA105="Moderado"),AND(Y105="Muy Alta",AA105="Mayor")),"Alto",IF(OR(AND(Y105="Muy Baja",AA105="Catastrófico"),AND(Y105="Baja",AA105="Catastrófico"),AND(Y105="Media",AA105="Catastrófico"),AND(Y105="Alta",AA105="Catastrófico"),AND(Y105="Muy Alta",AA105="Catastrófico")),"Extremo","")))),"")</f>
        <v/>
      </c>
      <c r="AD105" s="112"/>
      <c r="AE105" s="188"/>
      <c r="AF105" s="114"/>
      <c r="AG105" s="115"/>
      <c r="AH105" s="115"/>
      <c r="AI105" s="115"/>
      <c r="AJ105" s="113"/>
      <c r="AK105" s="114"/>
    </row>
    <row r="106" spans="1:69" ht="18" customHeight="1" x14ac:dyDescent="0.3">
      <c r="A106" s="369"/>
      <c r="B106" s="366"/>
      <c r="C106" s="396"/>
      <c r="D106" s="396"/>
      <c r="E106" s="446"/>
      <c r="F106" s="366"/>
      <c r="G106" s="449"/>
      <c r="H106" s="393"/>
      <c r="I106" s="390"/>
      <c r="J106" s="396"/>
      <c r="K106" s="390"/>
      <c r="L106" s="393"/>
      <c r="M106" s="390"/>
      <c r="N106" s="412"/>
      <c r="O106" s="104">
        <v>5</v>
      </c>
      <c r="P106" s="177"/>
      <c r="Q106" s="105" t="str">
        <f t="shared" si="109"/>
        <v/>
      </c>
      <c r="R106" s="106"/>
      <c r="S106" s="106"/>
      <c r="T106" s="169" t="str">
        <f t="shared" si="103"/>
        <v/>
      </c>
      <c r="U106" s="106"/>
      <c r="V106" s="106"/>
      <c r="W106" s="106"/>
      <c r="X106" s="159" t="str">
        <f t="shared" si="104"/>
        <v/>
      </c>
      <c r="Y106" s="109" t="str">
        <f t="shared" si="105"/>
        <v/>
      </c>
      <c r="Z106" s="110" t="str">
        <f t="shared" si="106"/>
        <v/>
      </c>
      <c r="AA106" s="109" t="str">
        <f t="shared" si="107"/>
        <v/>
      </c>
      <c r="AB106" s="110" t="str">
        <f t="shared" si="110"/>
        <v/>
      </c>
      <c r="AC106" s="111" t="str">
        <f t="shared" ref="AC106" si="111">IFERROR(IF(OR(AND(Y106="Muy Baja",AA106="Leve"),AND(Y106="Muy Baja",AA106="Menor"),AND(Y106="Baja",AA106="Leve")),"Bajo",IF(OR(AND(Y106="Muy baja",AA106="Moderado"),AND(Y106="Baja",AA106="Menor"),AND(Y106="Baja",AA106="Moderado"),AND(Y106="Media",AA106="Leve"),AND(Y106="Media",AA106="Menor"),AND(Y106="Media",AA106="Moderado"),AND(Y106="Alta",AA106="Leve"),AND(Y106="Alta",AA106="Menor")),"Moderado",IF(OR(AND(Y106="Muy Baja",AA106="Mayor"),AND(Y106="Baja",AA106="Mayor"),AND(Y106="Media",AA106="Mayor"),AND(Y106="Alta",AA106="Moderado"),AND(Y106="Alta",AA106="Mayor"),AND(Y106="Muy Alta",AA106="Leve"),AND(Y106="Muy Alta",AA106="Menor"),AND(Y106="Muy Alta",AA106="Moderado"),AND(Y106="Muy Alta",AA106="Mayor")),"Alto",IF(OR(AND(Y106="Muy Baja",AA106="Catastrófico"),AND(Y106="Baja",AA106="Catastrófico"),AND(Y106="Media",AA106="Catastrófico"),AND(Y106="Alta",AA106="Catastrófico"),AND(Y106="Muy Alta",AA106="Catastrófico")),"Extremo","")))),"")</f>
        <v/>
      </c>
      <c r="AD106" s="112"/>
      <c r="AE106" s="188"/>
      <c r="AF106" s="114"/>
      <c r="AG106" s="115"/>
      <c r="AH106" s="115"/>
      <c r="AI106" s="115"/>
      <c r="AJ106" s="113"/>
      <c r="AK106" s="114"/>
    </row>
    <row r="107" spans="1:69" ht="18" customHeight="1" x14ac:dyDescent="0.3">
      <c r="A107" s="370"/>
      <c r="B107" s="367"/>
      <c r="C107" s="397"/>
      <c r="D107" s="397"/>
      <c r="E107" s="447"/>
      <c r="F107" s="367"/>
      <c r="G107" s="450"/>
      <c r="H107" s="394"/>
      <c r="I107" s="391"/>
      <c r="J107" s="397"/>
      <c r="K107" s="391"/>
      <c r="L107" s="394"/>
      <c r="M107" s="391"/>
      <c r="N107" s="413"/>
      <c r="O107" s="104">
        <v>6</v>
      </c>
      <c r="P107" s="177"/>
      <c r="Q107" s="105" t="str">
        <f t="shared" ref="Q107" si="112">IF(OR(R107="Preventivo",R107="Detectivo"),"Probabilidad",IF(R107="Correctivo","Impacto",""))</f>
        <v/>
      </c>
      <c r="R107" s="106"/>
      <c r="S107" s="106"/>
      <c r="T107" s="169" t="str">
        <f t="shared" si="103"/>
        <v/>
      </c>
      <c r="U107" s="106"/>
      <c r="V107" s="106"/>
      <c r="W107" s="106"/>
      <c r="X107" s="159" t="str">
        <f t="shared" si="104"/>
        <v/>
      </c>
      <c r="Y107" s="109" t="str">
        <f t="shared" ref="Y107" si="113">IFERROR(IF(X107="","",IF(X107&lt;=0.2,"Muy Baja",IF(X107&lt;=0.4,"Baja",IF(X107&lt;=0.6,"Media",IF(X107&lt;=0.8,"Alta","Muy Alta"))))),"")</f>
        <v/>
      </c>
      <c r="Z107" s="110" t="str">
        <f t="shared" ref="Z107" si="114">+X107</f>
        <v/>
      </c>
      <c r="AA107" s="109" t="str">
        <f t="shared" ref="AA107" si="115">IFERROR(IF(AB107="","",IF(AB107&lt;=0.2,"Leve",IF(AB107&lt;=0.4,"Menor",IF(AB107&lt;=0.6,"Moderado",IF(AB107&lt;=0.8,"Mayor","Catastrófico"))))),"")</f>
        <v/>
      </c>
      <c r="AB107" s="110" t="str">
        <f>IFERROR(IF(AND(Q106="Impacto",Q107="Impacto"),(AB106-(+AB106*T107)),IF(AND(Q106="Probabilidad",Q107="Impacto"),(AB105-(+AB105*T107)),IF(Q107="Probabilidad",AB106,""))),"")</f>
        <v/>
      </c>
      <c r="AC107" s="111" t="str">
        <f t="shared" ref="AC107" si="116">IFERROR(IF(OR(AND(Y107="Muy Baja",AA107="Leve"),AND(Y107="Muy Baja",AA107="Menor"),AND(Y107="Baja",AA107="Leve")),"Bajo",IF(OR(AND(Y107="Muy baja",AA107="Moderado"),AND(Y107="Baja",AA107="Menor"),AND(Y107="Baja",AA107="Moderado"),AND(Y107="Media",AA107="Leve"),AND(Y107="Media",AA107="Menor"),AND(Y107="Media",AA107="Moderado"),AND(Y107="Alta",AA107="Leve"),AND(Y107="Alta",AA107="Menor")),"Moderado",IF(OR(AND(Y107="Muy Baja",AA107="Mayor"),AND(Y107="Baja",AA107="Mayor"),AND(Y107="Media",AA107="Mayor"),AND(Y107="Alta",AA107="Moderado"),AND(Y107="Alta",AA107="Mayor"),AND(Y107="Muy Alta",AA107="Leve"),AND(Y107="Muy Alta",AA107="Menor"),AND(Y107="Muy Alta",AA107="Moderado"),AND(Y107="Muy Alta",AA107="Mayor")),"Alto",IF(OR(AND(Y107="Muy Baja",AA107="Catastrófico"),AND(Y107="Baja",AA107="Catastrófico"),AND(Y107="Media",AA107="Catastrófico"),AND(Y107="Alta",AA107="Catastrófico"),AND(Y107="Muy Alta",AA107="Catastrófico")),"Extremo","")))),"")</f>
        <v/>
      </c>
      <c r="AD107" s="112"/>
      <c r="AE107" s="188"/>
      <c r="AF107" s="114"/>
      <c r="AG107" s="115"/>
      <c r="AH107" s="115"/>
      <c r="AI107" s="115"/>
      <c r="AJ107" s="113"/>
      <c r="AK107" s="114"/>
    </row>
    <row r="108" spans="1:69" ht="34.5" customHeight="1" x14ac:dyDescent="0.3">
      <c r="A108" s="5"/>
      <c r="B108" s="454" t="s">
        <v>263</v>
      </c>
      <c r="C108" s="455"/>
      <c r="D108" s="455"/>
      <c r="E108" s="455"/>
      <c r="F108" s="455"/>
      <c r="G108" s="455"/>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6"/>
    </row>
    <row r="110" spans="1:69" x14ac:dyDescent="0.3">
      <c r="A110" s="1"/>
      <c r="B110" s="23" t="s">
        <v>264</v>
      </c>
      <c r="C110" s="1"/>
      <c r="D110" s="1"/>
      <c r="F110" s="1"/>
    </row>
  </sheetData>
  <dataConsolidate/>
  <mergeCells count="325">
    <mergeCell ref="J102:J107"/>
    <mergeCell ref="K102:K107"/>
    <mergeCell ref="L102:L107"/>
    <mergeCell ref="M102:M107"/>
    <mergeCell ref="N102:N107"/>
    <mergeCell ref="A102:A107"/>
    <mergeCell ref="B102:B107"/>
    <mergeCell ref="C102:C107"/>
    <mergeCell ref="D102:D107"/>
    <mergeCell ref="E102:E107"/>
    <mergeCell ref="F102:F107"/>
    <mergeCell ref="G102:G107"/>
    <mergeCell ref="H102:H107"/>
    <mergeCell ref="I102:I107"/>
    <mergeCell ref="W76:W77"/>
    <mergeCell ref="X76:X77"/>
    <mergeCell ref="Y76:Y77"/>
    <mergeCell ref="Z76:Z77"/>
    <mergeCell ref="AA76:AA77"/>
    <mergeCell ref="AB76:AB77"/>
    <mergeCell ref="AC76:AC77"/>
    <mergeCell ref="AD76:AD77"/>
    <mergeCell ref="A96:A101"/>
    <mergeCell ref="B96:B101"/>
    <mergeCell ref="C96:C101"/>
    <mergeCell ref="D96:D101"/>
    <mergeCell ref="E96:E101"/>
    <mergeCell ref="F96:F101"/>
    <mergeCell ref="G96:G101"/>
    <mergeCell ref="H96:H101"/>
    <mergeCell ref="I96:I101"/>
    <mergeCell ref="J96:J101"/>
    <mergeCell ref="K96:K101"/>
    <mergeCell ref="L96:L101"/>
    <mergeCell ref="M96:M101"/>
    <mergeCell ref="N96:N101"/>
    <mergeCell ref="N76:N82"/>
    <mergeCell ref="O76:O77"/>
    <mergeCell ref="R76:R77"/>
    <mergeCell ref="S76:S77"/>
    <mergeCell ref="T76:T77"/>
    <mergeCell ref="U76:U77"/>
    <mergeCell ref="V76:V77"/>
    <mergeCell ref="A76:A82"/>
    <mergeCell ref="B76:B82"/>
    <mergeCell ref="C76:C82"/>
    <mergeCell ref="D76:D82"/>
    <mergeCell ref="E76:E82"/>
    <mergeCell ref="F76:F82"/>
    <mergeCell ref="G76:G82"/>
    <mergeCell ref="H76:H82"/>
    <mergeCell ref="I76:I82"/>
    <mergeCell ref="C83:C88"/>
    <mergeCell ref="D83:D88"/>
    <mergeCell ref="A89:A95"/>
    <mergeCell ref="B89:B95"/>
    <mergeCell ref="C89:C95"/>
    <mergeCell ref="D89:D95"/>
    <mergeCell ref="E89:E95"/>
    <mergeCell ref="P76:P77"/>
    <mergeCell ref="Q76:Q77"/>
    <mergeCell ref="A12:A17"/>
    <mergeCell ref="N83:N88"/>
    <mergeCell ref="E83:E88"/>
    <mergeCell ref="F83:F88"/>
    <mergeCell ref="G83:G88"/>
    <mergeCell ref="H83:H88"/>
    <mergeCell ref="I83:I88"/>
    <mergeCell ref="J83:J88"/>
    <mergeCell ref="K83:K88"/>
    <mergeCell ref="L83:L88"/>
    <mergeCell ref="M83:M88"/>
    <mergeCell ref="K77:K82"/>
    <mergeCell ref="I24:I29"/>
    <mergeCell ref="A30:A35"/>
    <mergeCell ref="B30:B35"/>
    <mergeCell ref="C30:C35"/>
    <mergeCell ref="L18:L23"/>
    <mergeCell ref="M18:M23"/>
    <mergeCell ref="J24:J29"/>
    <mergeCell ref="K24:K29"/>
    <mergeCell ref="L24:L29"/>
    <mergeCell ref="D18:D23"/>
    <mergeCell ref="A83:A88"/>
    <mergeCell ref="B83:B88"/>
    <mergeCell ref="D30:D35"/>
    <mergeCell ref="E30:E35"/>
    <mergeCell ref="F30:F35"/>
    <mergeCell ref="G30:G35"/>
    <mergeCell ref="H30:H35"/>
    <mergeCell ref="I30:I35"/>
    <mergeCell ref="A24:A29"/>
    <mergeCell ref="B24:B29"/>
    <mergeCell ref="C24:C29"/>
    <mergeCell ref="D24:D29"/>
    <mergeCell ref="E24:E29"/>
    <mergeCell ref="F24:F29"/>
    <mergeCell ref="G24:G29"/>
    <mergeCell ref="H24:H29"/>
    <mergeCell ref="Z10:Z11"/>
    <mergeCell ref="G10:G11"/>
    <mergeCell ref="H10:H11"/>
    <mergeCell ref="I10:I11"/>
    <mergeCell ref="L10:L11"/>
    <mergeCell ref="M10:M11"/>
    <mergeCell ref="AE10:AE11"/>
    <mergeCell ref="AK10:AK11"/>
    <mergeCell ref="AJ10:AJ11"/>
    <mergeCell ref="AI10:AI11"/>
    <mergeCell ref="AG10:AG11"/>
    <mergeCell ref="AF10:AF11"/>
    <mergeCell ref="AD10:AD11"/>
    <mergeCell ref="O10:O11"/>
    <mergeCell ref="AC10:AC11"/>
    <mergeCell ref="AB10:AB11"/>
    <mergeCell ref="X10:X11"/>
    <mergeCell ref="P10:P11"/>
    <mergeCell ref="AA10:AA11"/>
    <mergeCell ref="Q10:Q11"/>
    <mergeCell ref="R10:W10"/>
    <mergeCell ref="J18:J23"/>
    <mergeCell ref="A18:A23"/>
    <mergeCell ref="B18:B23"/>
    <mergeCell ref="C18:C23"/>
    <mergeCell ref="Y10:Y11"/>
    <mergeCell ref="L12:L17"/>
    <mergeCell ref="M12:M17"/>
    <mergeCell ref="N12:N17"/>
    <mergeCell ref="N18:N23"/>
    <mergeCell ref="C12:C17"/>
    <mergeCell ref="D12:D17"/>
    <mergeCell ref="E12:E17"/>
    <mergeCell ref="F12:F17"/>
    <mergeCell ref="G12:G17"/>
    <mergeCell ref="H12:H17"/>
    <mergeCell ref="I12:I17"/>
    <mergeCell ref="J12:J17"/>
    <mergeCell ref="K12:K17"/>
    <mergeCell ref="E18:E23"/>
    <mergeCell ref="F18:F23"/>
    <mergeCell ref="G18:G23"/>
    <mergeCell ref="H18:H23"/>
    <mergeCell ref="I18:I23"/>
    <mergeCell ref="B12:B17"/>
    <mergeCell ref="A6:B6"/>
    <mergeCell ref="A7:B7"/>
    <mergeCell ref="A8:B8"/>
    <mergeCell ref="A10:A11"/>
    <mergeCell ref="F10:F11"/>
    <mergeCell ref="E10:E11"/>
    <mergeCell ref="D10:D11"/>
    <mergeCell ref="C10:C11"/>
    <mergeCell ref="C7:N7"/>
    <mergeCell ref="C8:N8"/>
    <mergeCell ref="B10:B11"/>
    <mergeCell ref="N10:N11"/>
    <mergeCell ref="J10:J11"/>
    <mergeCell ref="K10:K11"/>
    <mergeCell ref="K42:K48"/>
    <mergeCell ref="F42:F48"/>
    <mergeCell ref="E42:E48"/>
    <mergeCell ref="D42:D48"/>
    <mergeCell ref="A36:A41"/>
    <mergeCell ref="B36:B41"/>
    <mergeCell ref="C36:C41"/>
    <mergeCell ref="D36:D41"/>
    <mergeCell ref="E36:E41"/>
    <mergeCell ref="F36:F41"/>
    <mergeCell ref="C42:C48"/>
    <mergeCell ref="B42:B48"/>
    <mergeCell ref="A42:A48"/>
    <mergeCell ref="B108:AK108"/>
    <mergeCell ref="M64:M69"/>
    <mergeCell ref="N64:N69"/>
    <mergeCell ref="J64:J69"/>
    <mergeCell ref="K64:K69"/>
    <mergeCell ref="L64:L69"/>
    <mergeCell ref="K58:K63"/>
    <mergeCell ref="K50:K55"/>
    <mergeCell ref="P49:P50"/>
    <mergeCell ref="I89:I95"/>
    <mergeCell ref="J89:J95"/>
    <mergeCell ref="K89:K95"/>
    <mergeCell ref="L89:L95"/>
    <mergeCell ref="M89:M95"/>
    <mergeCell ref="N89:N95"/>
    <mergeCell ref="F89:F95"/>
    <mergeCell ref="G89:G95"/>
    <mergeCell ref="H89:H95"/>
    <mergeCell ref="J76:J82"/>
    <mergeCell ref="L76:L82"/>
    <mergeCell ref="M76:M82"/>
    <mergeCell ref="J56:J63"/>
    <mergeCell ref="I56:I63"/>
    <mergeCell ref="Y49:Y50"/>
    <mergeCell ref="A1:D4"/>
    <mergeCell ref="A70:A75"/>
    <mergeCell ref="B70:B75"/>
    <mergeCell ref="C70:C75"/>
    <mergeCell ref="D70:D75"/>
    <mergeCell ref="E70:E75"/>
    <mergeCell ref="F70:F75"/>
    <mergeCell ref="G70:G75"/>
    <mergeCell ref="H70:H75"/>
    <mergeCell ref="C6:N6"/>
    <mergeCell ref="A9:G9"/>
    <mergeCell ref="H9:N9"/>
    <mergeCell ref="I36:I41"/>
    <mergeCell ref="J36:J41"/>
    <mergeCell ref="K36:K41"/>
    <mergeCell ref="L36:L41"/>
    <mergeCell ref="M36:M41"/>
    <mergeCell ref="N36:N41"/>
    <mergeCell ref="G36:G41"/>
    <mergeCell ref="H36:H41"/>
    <mergeCell ref="J42:J48"/>
    <mergeCell ref="I42:I48"/>
    <mergeCell ref="H42:H48"/>
    <mergeCell ref="G42:G48"/>
    <mergeCell ref="AJ1:AK1"/>
    <mergeCell ref="AJ2:AK2"/>
    <mergeCell ref="AJ3:AK3"/>
    <mergeCell ref="AJ4:AK4"/>
    <mergeCell ref="E1:AI4"/>
    <mergeCell ref="J70:J75"/>
    <mergeCell ref="K70:K75"/>
    <mergeCell ref="L70:L75"/>
    <mergeCell ref="M70:M75"/>
    <mergeCell ref="N70:N75"/>
    <mergeCell ref="I70:I75"/>
    <mergeCell ref="AH10:AH11"/>
    <mergeCell ref="O6:Q6"/>
    <mergeCell ref="O9:W9"/>
    <mergeCell ref="X9:AD9"/>
    <mergeCell ref="AE9:AK9"/>
    <mergeCell ref="M24:M29"/>
    <mergeCell ref="N24:N29"/>
    <mergeCell ref="J30:J35"/>
    <mergeCell ref="K30:K35"/>
    <mergeCell ref="L30:L35"/>
    <mergeCell ref="M30:M35"/>
    <mergeCell ref="N30:N35"/>
    <mergeCell ref="K18:K23"/>
    <mergeCell ref="A64:A69"/>
    <mergeCell ref="B64:B69"/>
    <mergeCell ref="C64:C69"/>
    <mergeCell ref="D64:D69"/>
    <mergeCell ref="E64:E69"/>
    <mergeCell ref="F64:F69"/>
    <mergeCell ref="G64:G69"/>
    <mergeCell ref="H64:H69"/>
    <mergeCell ref="I64:I69"/>
    <mergeCell ref="Y42:Y43"/>
    <mergeCell ref="Z42:Z43"/>
    <mergeCell ref="AA42:AA43"/>
    <mergeCell ref="AB42:AB43"/>
    <mergeCell ref="AC42:AC43"/>
    <mergeCell ref="AD42:AD43"/>
    <mergeCell ref="N42:N48"/>
    <mergeCell ref="M42:M48"/>
    <mergeCell ref="L42:L48"/>
    <mergeCell ref="O42:O43"/>
    <mergeCell ref="P42:P43"/>
    <mergeCell ref="R42:R43"/>
    <mergeCell ref="S42:S43"/>
    <mergeCell ref="Q42:Q43"/>
    <mergeCell ref="T42:T43"/>
    <mergeCell ref="U42:U43"/>
    <mergeCell ref="V42:V43"/>
    <mergeCell ref="W42:W43"/>
    <mergeCell ref="X42:X43"/>
    <mergeCell ref="Z49:Z50"/>
    <mergeCell ref="AA49:AA50"/>
    <mergeCell ref="AB49:AB50"/>
    <mergeCell ref="AC49:AC50"/>
    <mergeCell ref="AD49:AD50"/>
    <mergeCell ref="P56:P58"/>
    <mergeCell ref="O56:O58"/>
    <mergeCell ref="N56:N63"/>
    <mergeCell ref="O49:O50"/>
    <mergeCell ref="X49:X50"/>
    <mergeCell ref="Q49:Q50"/>
    <mergeCell ref="R49:R50"/>
    <mergeCell ref="S49:S50"/>
    <mergeCell ref="T49:T50"/>
    <mergeCell ref="U49:U50"/>
    <mergeCell ref="V49:V50"/>
    <mergeCell ref="W49:W50"/>
    <mergeCell ref="N49:N55"/>
    <mergeCell ref="G56:G63"/>
    <mergeCell ref="F56:F63"/>
    <mergeCell ref="E56:E63"/>
    <mergeCell ref="D56:D63"/>
    <mergeCell ref="C56:C63"/>
    <mergeCell ref="I49:I55"/>
    <mergeCell ref="H49:H55"/>
    <mergeCell ref="G49:G55"/>
    <mergeCell ref="F49:F55"/>
    <mergeCell ref="E49:E55"/>
    <mergeCell ref="D49:D55"/>
    <mergeCell ref="C49:C55"/>
    <mergeCell ref="B49:B55"/>
    <mergeCell ref="A49:A55"/>
    <mergeCell ref="B56:B63"/>
    <mergeCell ref="A56:A63"/>
    <mergeCell ref="AD56:AD58"/>
    <mergeCell ref="Q56:Q58"/>
    <mergeCell ref="R56:R58"/>
    <mergeCell ref="S56:S58"/>
    <mergeCell ref="T56:T58"/>
    <mergeCell ref="U56:U58"/>
    <mergeCell ref="V56:V58"/>
    <mergeCell ref="W56:W58"/>
    <mergeCell ref="X56:X58"/>
    <mergeCell ref="Y56:Y58"/>
    <mergeCell ref="Z56:Z58"/>
    <mergeCell ref="AA56:AA58"/>
    <mergeCell ref="AB56:AB58"/>
    <mergeCell ref="AC56:AC58"/>
    <mergeCell ref="M56:M63"/>
    <mergeCell ref="L56:L63"/>
    <mergeCell ref="M49:M55"/>
    <mergeCell ref="L49:L55"/>
    <mergeCell ref="J49:J55"/>
    <mergeCell ref="H56:H63"/>
  </mergeCells>
  <conditionalFormatting sqref="H12 H18 Y12:Y42 Y49 Y51:Y56 Y76 Y78:Y107">
    <cfRule type="cellIs" dxfId="172" priority="715" operator="equal">
      <formula>"Muy Alta"</formula>
    </cfRule>
    <cfRule type="cellIs" dxfId="171" priority="716" operator="equal">
      <formula>"Alta"</formula>
    </cfRule>
    <cfRule type="cellIs" dxfId="170" priority="717" operator="equal">
      <formula>"Media"</formula>
    </cfRule>
    <cfRule type="cellIs" dxfId="169" priority="718" operator="equal">
      <formula>"Baja"</formula>
    </cfRule>
    <cfRule type="cellIs" dxfId="168" priority="719" operator="equal">
      <formula>"Muy Baja"</formula>
    </cfRule>
  </conditionalFormatting>
  <conditionalFormatting sqref="H24">
    <cfRule type="cellIs" dxfId="167" priority="617" operator="equal">
      <formula>"Muy Alta"</formula>
    </cfRule>
    <cfRule type="cellIs" dxfId="166" priority="618" operator="equal">
      <formula>"Alta"</formula>
    </cfRule>
    <cfRule type="cellIs" dxfId="165" priority="619" operator="equal">
      <formula>"Media"</formula>
    </cfRule>
    <cfRule type="cellIs" dxfId="164" priority="620" operator="equal">
      <formula>"Baja"</formula>
    </cfRule>
    <cfRule type="cellIs" dxfId="163" priority="621" operator="equal">
      <formula>"Muy Baja"</formula>
    </cfRule>
  </conditionalFormatting>
  <conditionalFormatting sqref="H30 H36">
    <cfRule type="cellIs" dxfId="162" priority="589" operator="equal">
      <formula>"Muy Alta"</formula>
    </cfRule>
    <cfRule type="cellIs" dxfId="161" priority="590" operator="equal">
      <formula>"Alta"</formula>
    </cfRule>
    <cfRule type="cellIs" dxfId="160" priority="591" operator="equal">
      <formula>"Media"</formula>
    </cfRule>
    <cfRule type="cellIs" dxfId="159" priority="592" operator="equal">
      <formula>"Baja"</formula>
    </cfRule>
    <cfRule type="cellIs" dxfId="158" priority="593" operator="equal">
      <formula>"Muy Baja"</formula>
    </cfRule>
  </conditionalFormatting>
  <conditionalFormatting sqref="H42">
    <cfRule type="cellIs" dxfId="157" priority="533" operator="equal">
      <formula>"Muy Alta"</formula>
    </cfRule>
    <cfRule type="cellIs" dxfId="156" priority="534" operator="equal">
      <formula>"Alta"</formula>
    </cfRule>
    <cfRule type="cellIs" dxfId="155" priority="535" operator="equal">
      <formula>"Media"</formula>
    </cfRule>
    <cfRule type="cellIs" dxfId="154" priority="536" operator="equal">
      <formula>"Baja"</formula>
    </cfRule>
    <cfRule type="cellIs" dxfId="153" priority="537" operator="equal">
      <formula>"Muy Baja"</formula>
    </cfRule>
  </conditionalFormatting>
  <conditionalFormatting sqref="H49">
    <cfRule type="cellIs" dxfId="152" priority="505" operator="equal">
      <formula>"Muy Alta"</formula>
    </cfRule>
    <cfRule type="cellIs" dxfId="151" priority="506" operator="equal">
      <formula>"Alta"</formula>
    </cfRule>
    <cfRule type="cellIs" dxfId="150" priority="507" operator="equal">
      <formula>"Media"</formula>
    </cfRule>
    <cfRule type="cellIs" dxfId="149" priority="508" operator="equal">
      <formula>"Baja"</formula>
    </cfRule>
    <cfRule type="cellIs" dxfId="148" priority="509" operator="equal">
      <formula>"Muy Baja"</formula>
    </cfRule>
  </conditionalFormatting>
  <conditionalFormatting sqref="H56">
    <cfRule type="cellIs" dxfId="147" priority="477" operator="equal">
      <formula>"Muy Alta"</formula>
    </cfRule>
    <cfRule type="cellIs" dxfId="146" priority="478" operator="equal">
      <formula>"Alta"</formula>
    </cfRule>
    <cfRule type="cellIs" dxfId="145" priority="479" operator="equal">
      <formula>"Media"</formula>
    </cfRule>
    <cfRule type="cellIs" dxfId="144" priority="480" operator="equal">
      <formula>"Baja"</formula>
    </cfRule>
    <cfRule type="cellIs" dxfId="143" priority="481" operator="equal">
      <formula>"Muy Baja"</formula>
    </cfRule>
  </conditionalFormatting>
  <conditionalFormatting sqref="H64 H70">
    <cfRule type="cellIs" dxfId="142" priority="449" operator="equal">
      <formula>"Muy Alta"</formula>
    </cfRule>
    <cfRule type="cellIs" dxfId="141" priority="450" operator="equal">
      <formula>"Alta"</formula>
    </cfRule>
    <cfRule type="cellIs" dxfId="140" priority="451" operator="equal">
      <formula>"Media"</formula>
    </cfRule>
    <cfRule type="cellIs" dxfId="139" priority="452" operator="equal">
      <formula>"Baja"</formula>
    </cfRule>
    <cfRule type="cellIs" dxfId="138" priority="453" operator="equal">
      <formula>"Muy Baja"</formula>
    </cfRule>
  </conditionalFormatting>
  <conditionalFormatting sqref="H76">
    <cfRule type="cellIs" dxfId="137" priority="199" operator="equal">
      <formula>"Muy Alta"</formula>
    </cfRule>
    <cfRule type="cellIs" dxfId="136" priority="200" operator="equal">
      <formula>"Alta"</formula>
    </cfRule>
    <cfRule type="cellIs" dxfId="135" priority="201" operator="equal">
      <formula>"Media"</formula>
    </cfRule>
    <cfRule type="cellIs" dxfId="134" priority="202" operator="equal">
      <formula>"Baja"</formula>
    </cfRule>
    <cfRule type="cellIs" dxfId="133" priority="203" operator="equal">
      <formula>"Muy Baja"</formula>
    </cfRule>
  </conditionalFormatting>
  <conditionalFormatting sqref="H83">
    <cfRule type="cellIs" dxfId="132" priority="170" operator="equal">
      <formula>"Muy Alta"</formula>
    </cfRule>
    <cfRule type="cellIs" dxfId="131" priority="171" operator="equal">
      <formula>"Alta"</formula>
    </cfRule>
    <cfRule type="cellIs" dxfId="130" priority="172" operator="equal">
      <formula>"Media"</formula>
    </cfRule>
    <cfRule type="cellIs" dxfId="129" priority="173" operator="equal">
      <formula>"Baja"</formula>
    </cfRule>
    <cfRule type="cellIs" dxfId="128" priority="174" operator="equal">
      <formula>"Muy Baja"</formula>
    </cfRule>
  </conditionalFormatting>
  <conditionalFormatting sqref="H89">
    <cfRule type="cellIs" dxfId="127" priority="141" operator="equal">
      <formula>"Muy Alta"</formula>
    </cfRule>
    <cfRule type="cellIs" dxfId="126" priority="142" operator="equal">
      <formula>"Alta"</formula>
    </cfRule>
    <cfRule type="cellIs" dxfId="125" priority="143" operator="equal">
      <formula>"Media"</formula>
    </cfRule>
    <cfRule type="cellIs" dxfId="124" priority="144" operator="equal">
      <formula>"Baja"</formula>
    </cfRule>
    <cfRule type="cellIs" dxfId="123" priority="145" operator="equal">
      <formula>"Muy Baja"</formula>
    </cfRule>
  </conditionalFormatting>
  <conditionalFormatting sqref="K18:K42">
    <cfRule type="containsText" dxfId="122" priority="397" operator="containsText" text="❌">
      <formula>NOT(ISERROR(SEARCH("❌",K18)))</formula>
    </cfRule>
  </conditionalFormatting>
  <conditionalFormatting sqref="K50:K89">
    <cfRule type="containsText" dxfId="121" priority="122" operator="containsText" text="❌">
      <formula>NOT(ISERROR(SEARCH("❌",K50)))</formula>
    </cfRule>
  </conditionalFormatting>
  <conditionalFormatting sqref="L18 L24 L30 L36 L42 L49 L56 L64 L70 AA12:AA42 AA49 AA51:AA56 AA76 AA78:AA107">
    <cfRule type="cellIs" dxfId="120" priority="710" operator="equal">
      <formula>"Catastrófico"</formula>
    </cfRule>
    <cfRule type="cellIs" dxfId="119" priority="711" operator="equal">
      <formula>"Mayor"</formula>
    </cfRule>
    <cfRule type="cellIs" dxfId="118" priority="712" operator="equal">
      <formula>"Moderado"</formula>
    </cfRule>
    <cfRule type="cellIs" dxfId="117" priority="713" operator="equal">
      <formula>"Menor"</formula>
    </cfRule>
    <cfRule type="cellIs" dxfId="116" priority="714" operator="equal">
      <formula>"Leve"</formula>
    </cfRule>
  </conditionalFormatting>
  <conditionalFormatting sqref="L76">
    <cfRule type="cellIs" dxfId="115" priority="204" operator="equal">
      <formula>"Catastrófico"</formula>
    </cfRule>
    <cfRule type="cellIs" dxfId="114" priority="205" operator="equal">
      <formula>"Mayor"</formula>
    </cfRule>
    <cfRule type="cellIs" dxfId="113" priority="206" operator="equal">
      <formula>"Moderado"</formula>
    </cfRule>
    <cfRule type="cellIs" dxfId="112" priority="207" operator="equal">
      <formula>"Menor"</formula>
    </cfRule>
    <cfRule type="cellIs" dxfId="111" priority="208" operator="equal">
      <formula>"Leve"</formula>
    </cfRule>
  </conditionalFormatting>
  <conditionalFormatting sqref="L83">
    <cfRule type="cellIs" dxfId="110" priority="175" operator="equal">
      <formula>"Catastrófico"</formula>
    </cfRule>
    <cfRule type="cellIs" dxfId="109" priority="176" operator="equal">
      <formula>"Mayor"</formula>
    </cfRule>
    <cfRule type="cellIs" dxfId="108" priority="177" operator="equal">
      <formula>"Moderado"</formula>
    </cfRule>
    <cfRule type="cellIs" dxfId="107" priority="178" operator="equal">
      <formula>"Menor"</formula>
    </cfRule>
    <cfRule type="cellIs" dxfId="106" priority="179" operator="equal">
      <formula>"Leve"</formula>
    </cfRule>
  </conditionalFormatting>
  <conditionalFormatting sqref="L89">
    <cfRule type="cellIs" dxfId="105" priority="146" operator="equal">
      <formula>"Catastrófico"</formula>
    </cfRule>
    <cfRule type="cellIs" dxfId="104" priority="147" operator="equal">
      <formula>"Mayor"</formula>
    </cfRule>
    <cfRule type="cellIs" dxfId="103" priority="148" operator="equal">
      <formula>"Moderado"</formula>
    </cfRule>
    <cfRule type="cellIs" dxfId="102" priority="149" operator="equal">
      <formula>"Menor"</formula>
    </cfRule>
    <cfRule type="cellIs" dxfId="101" priority="150" operator="equal">
      <formula>"Leve"</formula>
    </cfRule>
  </conditionalFormatting>
  <conditionalFormatting sqref="N12 AC12:AC42 AC49 AC51:AC56 AC76 AC78:AC107">
    <cfRule type="cellIs" dxfId="100" priority="706" operator="equal">
      <formula>"Extremo"</formula>
    </cfRule>
    <cfRule type="cellIs" dxfId="99" priority="707" operator="equal">
      <formula>"Alto"</formula>
    </cfRule>
    <cfRule type="cellIs" dxfId="98" priority="708" operator="equal">
      <formula>"Moderado"</formula>
    </cfRule>
    <cfRule type="cellIs" dxfId="97" priority="709" operator="equal">
      <formula>"Bajo"</formula>
    </cfRule>
  </conditionalFormatting>
  <conditionalFormatting sqref="N18">
    <cfRule type="cellIs" dxfId="96" priority="636" operator="equal">
      <formula>"Extremo"</formula>
    </cfRule>
    <cfRule type="cellIs" dxfId="95" priority="637" operator="equal">
      <formula>"Alto"</formula>
    </cfRule>
    <cfRule type="cellIs" dxfId="94" priority="638" operator="equal">
      <formula>"Moderado"</formula>
    </cfRule>
    <cfRule type="cellIs" dxfId="93" priority="639" operator="equal">
      <formula>"Bajo"</formula>
    </cfRule>
  </conditionalFormatting>
  <conditionalFormatting sqref="N24">
    <cfRule type="cellIs" dxfId="92" priority="608" operator="equal">
      <formula>"Extremo"</formula>
    </cfRule>
    <cfRule type="cellIs" dxfId="91" priority="609" operator="equal">
      <formula>"Alto"</formula>
    </cfRule>
    <cfRule type="cellIs" dxfId="90" priority="610" operator="equal">
      <formula>"Moderado"</formula>
    </cfRule>
    <cfRule type="cellIs" dxfId="89" priority="611" operator="equal">
      <formula>"Bajo"</formula>
    </cfRule>
  </conditionalFormatting>
  <conditionalFormatting sqref="N30">
    <cfRule type="cellIs" dxfId="88" priority="580" operator="equal">
      <formula>"Extremo"</formula>
    </cfRule>
    <cfRule type="cellIs" dxfId="87" priority="581" operator="equal">
      <formula>"Alto"</formula>
    </cfRule>
    <cfRule type="cellIs" dxfId="86" priority="582" operator="equal">
      <formula>"Moderado"</formula>
    </cfRule>
    <cfRule type="cellIs" dxfId="85" priority="583" operator="equal">
      <formula>"Bajo"</formula>
    </cfRule>
  </conditionalFormatting>
  <conditionalFormatting sqref="N36">
    <cfRule type="cellIs" dxfId="84" priority="552" operator="equal">
      <formula>"Extremo"</formula>
    </cfRule>
    <cfRule type="cellIs" dxfId="83" priority="553" operator="equal">
      <formula>"Alto"</formula>
    </cfRule>
    <cfRule type="cellIs" dxfId="82" priority="554" operator="equal">
      <formula>"Moderado"</formula>
    </cfRule>
    <cfRule type="cellIs" dxfId="81" priority="555" operator="equal">
      <formula>"Bajo"</formula>
    </cfRule>
  </conditionalFormatting>
  <conditionalFormatting sqref="N42">
    <cfRule type="cellIs" dxfId="80" priority="524" operator="equal">
      <formula>"Extremo"</formula>
    </cfRule>
    <cfRule type="cellIs" dxfId="79" priority="525" operator="equal">
      <formula>"Alto"</formula>
    </cfRule>
    <cfRule type="cellIs" dxfId="78" priority="526" operator="equal">
      <formula>"Moderado"</formula>
    </cfRule>
    <cfRule type="cellIs" dxfId="77" priority="527" operator="equal">
      <formula>"Bajo"</formula>
    </cfRule>
  </conditionalFormatting>
  <conditionalFormatting sqref="N49">
    <cfRule type="cellIs" dxfId="76" priority="496" operator="equal">
      <formula>"Extremo"</formula>
    </cfRule>
    <cfRule type="cellIs" dxfId="75" priority="497" operator="equal">
      <formula>"Alto"</formula>
    </cfRule>
    <cfRule type="cellIs" dxfId="74" priority="498" operator="equal">
      <formula>"Moderado"</formula>
    </cfRule>
    <cfRule type="cellIs" dxfId="73" priority="499" operator="equal">
      <formula>"Bajo"</formula>
    </cfRule>
  </conditionalFormatting>
  <conditionalFormatting sqref="N56">
    <cfRule type="cellIs" dxfId="72" priority="468" operator="equal">
      <formula>"Extremo"</formula>
    </cfRule>
    <cfRule type="cellIs" dxfId="71" priority="469" operator="equal">
      <formula>"Alto"</formula>
    </cfRule>
    <cfRule type="cellIs" dxfId="70" priority="470" operator="equal">
      <formula>"Moderado"</formula>
    </cfRule>
    <cfRule type="cellIs" dxfId="69" priority="471" operator="equal">
      <formula>"Bajo"</formula>
    </cfRule>
  </conditionalFormatting>
  <conditionalFormatting sqref="N64 N70">
    <cfRule type="cellIs" dxfId="68" priority="440" operator="equal">
      <formula>"Extremo"</formula>
    </cfRule>
    <cfRule type="cellIs" dxfId="67" priority="441" operator="equal">
      <formula>"Alto"</formula>
    </cfRule>
    <cfRule type="cellIs" dxfId="66" priority="442" operator="equal">
      <formula>"Moderado"</formula>
    </cfRule>
    <cfRule type="cellIs" dxfId="65" priority="443" operator="equal">
      <formula>"Bajo"</formula>
    </cfRule>
  </conditionalFormatting>
  <conditionalFormatting sqref="N76">
    <cfRule type="cellIs" dxfId="64" priority="195" operator="equal">
      <formula>"Extremo"</formula>
    </cfRule>
    <cfRule type="cellIs" dxfId="63" priority="196" operator="equal">
      <formula>"Alto"</formula>
    </cfRule>
    <cfRule type="cellIs" dxfId="62" priority="197" operator="equal">
      <formula>"Moderado"</formula>
    </cfRule>
    <cfRule type="cellIs" dxfId="61" priority="198" operator="equal">
      <formula>"Bajo"</formula>
    </cfRule>
  </conditionalFormatting>
  <conditionalFormatting sqref="N83">
    <cfRule type="cellIs" dxfId="60" priority="166" operator="equal">
      <formula>"Extremo"</formula>
    </cfRule>
    <cfRule type="cellIs" dxfId="59" priority="167" operator="equal">
      <formula>"Alto"</formula>
    </cfRule>
    <cfRule type="cellIs" dxfId="58" priority="168" operator="equal">
      <formula>"Moderado"</formula>
    </cfRule>
    <cfRule type="cellIs" dxfId="57" priority="169" operator="equal">
      <formula>"Bajo"</formula>
    </cfRule>
  </conditionalFormatting>
  <conditionalFormatting sqref="N89">
    <cfRule type="cellIs" dxfId="56" priority="137" operator="equal">
      <formula>"Extremo"</formula>
    </cfRule>
    <cfRule type="cellIs" dxfId="55" priority="138" operator="equal">
      <formula>"Alto"</formula>
    </cfRule>
    <cfRule type="cellIs" dxfId="54" priority="139" operator="equal">
      <formula>"Moderado"</formula>
    </cfRule>
    <cfRule type="cellIs" dxfId="53" priority="140" operator="equal">
      <formula>"Bajo"</formula>
    </cfRule>
  </conditionalFormatting>
  <conditionalFormatting sqref="Y44:Y48 Y61:Y75">
    <cfRule type="cellIs" dxfId="52" priority="132" operator="equal">
      <formula>"Muy Alta"</formula>
    </cfRule>
    <cfRule type="cellIs" dxfId="51" priority="133" operator="equal">
      <formula>"Alta"</formula>
    </cfRule>
    <cfRule type="cellIs" dxfId="50" priority="134" operator="equal">
      <formula>"Media"</formula>
    </cfRule>
    <cfRule type="cellIs" dxfId="49" priority="135" operator="equal">
      <formula>"Baja"</formula>
    </cfRule>
    <cfRule type="cellIs" dxfId="48" priority="136" operator="equal">
      <formula>"Muy Baja"</formula>
    </cfRule>
  </conditionalFormatting>
  <conditionalFormatting sqref="AA44:AA48 AA61:AA75">
    <cfRule type="cellIs" dxfId="47" priority="127" operator="equal">
      <formula>"Catastrófico"</formula>
    </cfRule>
    <cfRule type="cellIs" dxfId="46" priority="128" operator="equal">
      <formula>"Mayor"</formula>
    </cfRule>
    <cfRule type="cellIs" dxfId="45" priority="129" operator="equal">
      <formula>"Moderado"</formula>
    </cfRule>
    <cfRule type="cellIs" dxfId="44" priority="130" operator="equal">
      <formula>"Menor"</formula>
    </cfRule>
    <cfRule type="cellIs" dxfId="43" priority="131" operator="equal">
      <formula>"Leve"</formula>
    </cfRule>
  </conditionalFormatting>
  <conditionalFormatting sqref="AC44:AC48 AC61:AC75">
    <cfRule type="cellIs" dxfId="42" priority="123" operator="equal">
      <formula>"Extremo"</formula>
    </cfRule>
    <cfRule type="cellIs" dxfId="41" priority="124" operator="equal">
      <formula>"Alto"</formula>
    </cfRule>
    <cfRule type="cellIs" dxfId="40" priority="125" operator="equal">
      <formula>"Moderado"</formula>
    </cfRule>
    <cfRule type="cellIs" dxfId="39" priority="126" operator="equal">
      <formula>"Bajo"</formula>
    </cfRule>
  </conditionalFormatting>
  <conditionalFormatting sqref="L12">
    <cfRule type="cellIs" dxfId="38" priority="59" operator="equal">
      <formula>"Catastrófico"</formula>
    </cfRule>
    <cfRule type="cellIs" dxfId="37" priority="60" operator="equal">
      <formula>"Mayor"</formula>
    </cfRule>
    <cfRule type="cellIs" dxfId="36" priority="61" operator="equal">
      <formula>"Moderado"</formula>
    </cfRule>
    <cfRule type="cellIs" dxfId="35" priority="62" operator="equal">
      <formula>"Menor"</formula>
    </cfRule>
    <cfRule type="cellIs" dxfId="34" priority="63" operator="equal">
      <formula>"Leve"</formula>
    </cfRule>
  </conditionalFormatting>
  <conditionalFormatting sqref="H96">
    <cfRule type="cellIs" dxfId="33" priority="35" operator="equal">
      <formula>"Muy Alta"</formula>
    </cfRule>
    <cfRule type="cellIs" dxfId="32" priority="36" operator="equal">
      <formula>"Alta"</formula>
    </cfRule>
    <cfRule type="cellIs" dxfId="31" priority="37" operator="equal">
      <formula>"Media"</formula>
    </cfRule>
    <cfRule type="cellIs" dxfId="30" priority="38" operator="equal">
      <formula>"Baja"</formula>
    </cfRule>
    <cfRule type="cellIs" dxfId="29" priority="39" operator="equal">
      <formula>"Muy Baja"</formula>
    </cfRule>
  </conditionalFormatting>
  <conditionalFormatting sqref="K96">
    <cfRule type="containsText" dxfId="28" priority="30" operator="containsText" text="❌">
      <formula>NOT(ISERROR(SEARCH("❌",K96)))</formula>
    </cfRule>
  </conditionalFormatting>
  <conditionalFormatting sqref="L96">
    <cfRule type="cellIs" dxfId="27" priority="40" operator="equal">
      <formula>"Catastrófico"</formula>
    </cfRule>
    <cfRule type="cellIs" dxfId="26" priority="41" operator="equal">
      <formula>"Mayor"</formula>
    </cfRule>
    <cfRule type="cellIs" dxfId="25" priority="42" operator="equal">
      <formula>"Moderado"</formula>
    </cfRule>
    <cfRule type="cellIs" dxfId="24" priority="43" operator="equal">
      <formula>"Menor"</formula>
    </cfRule>
    <cfRule type="cellIs" dxfId="23" priority="44" operator="equal">
      <formula>"Leve"</formula>
    </cfRule>
  </conditionalFormatting>
  <conditionalFormatting sqref="N96">
    <cfRule type="cellIs" dxfId="22" priority="31" operator="equal">
      <formula>"Extremo"</formula>
    </cfRule>
    <cfRule type="cellIs" dxfId="21" priority="32" operator="equal">
      <formula>"Alto"</formula>
    </cfRule>
    <cfRule type="cellIs" dxfId="20" priority="33" operator="equal">
      <formula>"Moderado"</formula>
    </cfRule>
    <cfRule type="cellIs" dxfId="19" priority="34" operator="equal">
      <formula>"Bajo"</formula>
    </cfRule>
  </conditionalFormatting>
  <conditionalFormatting sqref="H102">
    <cfRule type="cellIs" dxfId="18" priority="6" operator="equal">
      <formula>"Muy Alta"</formula>
    </cfRule>
    <cfRule type="cellIs" dxfId="17" priority="7" operator="equal">
      <formula>"Alta"</formula>
    </cfRule>
    <cfRule type="cellIs" dxfId="16" priority="8" operator="equal">
      <formula>"Media"</formula>
    </cfRule>
    <cfRule type="cellIs" dxfId="15" priority="9" operator="equal">
      <formula>"Baja"</formula>
    </cfRule>
    <cfRule type="cellIs" dxfId="14" priority="10" operator="equal">
      <formula>"Muy Baja"</formula>
    </cfRule>
  </conditionalFormatting>
  <conditionalFormatting sqref="K102">
    <cfRule type="containsText" dxfId="13" priority="1" operator="containsText" text="❌">
      <formula>NOT(ISERROR(SEARCH("❌",K102)))</formula>
    </cfRule>
  </conditionalFormatting>
  <conditionalFormatting sqref="L102">
    <cfRule type="cellIs" dxfId="12" priority="11" operator="equal">
      <formula>"Catastrófico"</formula>
    </cfRule>
    <cfRule type="cellIs" dxfId="11" priority="12" operator="equal">
      <formula>"Mayor"</formula>
    </cfRule>
    <cfRule type="cellIs" dxfId="10" priority="13" operator="equal">
      <formula>"Moderado"</formula>
    </cfRule>
    <cfRule type="cellIs" dxfId="9" priority="14" operator="equal">
      <formula>"Menor"</formula>
    </cfRule>
    <cfRule type="cellIs" dxfId="8" priority="15" operator="equal">
      <formula>"Leve"</formula>
    </cfRule>
  </conditionalFormatting>
  <conditionalFormatting sqref="N102">
    <cfRule type="cellIs" dxfId="7" priority="2" operator="equal">
      <formula>"Extremo"</formula>
    </cfRule>
    <cfRule type="cellIs" dxfId="6" priority="3" operator="equal">
      <formula>"Alto"</formula>
    </cfRule>
    <cfRule type="cellIs" dxfId="5" priority="4" operator="equal">
      <formula>"Moderado"</formula>
    </cfRule>
    <cfRule type="cellIs" dxfId="4" priority="5"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039F934D-D7AF-4FC4-8783-FFC558435664}">
          <x14:formula1>
            <xm:f>'Opciones Tratamiento'!$B$9:$B$10</xm:f>
          </x14:formula1>
          <xm:sqref>AK15:AK16 AK18:AK19 AK21:AK22 AK24:AK25 AK27:AK28 AK30:AK31 AK33:AK34 AK36:AK37 AK39:AK40 AK43:AK44 AK46:AK47 AK50:AK51 AK53:AK54 AK58:AK59 AK61:AK62 AK64:AK65 AK67:AK68 AK70:AK71 AK73:AK74 AK77:AK78 AK80:AK81 AK83:AK84 AK86:AK87 AK89:AK90 AK92:AK94 AK13 AK96:AK97 AK99:AK100 AK102:AK103 AK105:AK106</xm:sqref>
        </x14:dataValidation>
        <x14:dataValidation type="list" allowBlank="1" showInputMessage="1" showErrorMessage="1" xr:uid="{DD2AA951-5AE6-4057-84E0-00C59BFDF58F}">
          <x14:formula1>
            <xm:f>'Tabla Valoración controles'!$D$4:$D$6</xm:f>
          </x14:formula1>
          <xm:sqref>R51:R56 R12:R42 R44:R49 R61:R76 R78:R107</xm:sqref>
        </x14:dataValidation>
        <x14:dataValidation type="list" allowBlank="1" showInputMessage="1" showErrorMessage="1" xr:uid="{F259F868-5207-4359-85B1-F0668E488ED6}">
          <x14:formula1>
            <xm:f>'Tabla Valoración controles'!$D$7:$D$8</xm:f>
          </x14:formula1>
          <xm:sqref>S51:S56 S12:S42 S44:S49 S61:S76 S78:S107</xm:sqref>
        </x14:dataValidation>
        <x14:dataValidation type="list" allowBlank="1" showInputMessage="1" showErrorMessage="1" xr:uid="{B5AB3F61-E15B-43E6-AA00-0508B2E93721}">
          <x14:formula1>
            <xm:f>'Tabla Valoración controles'!$D$9:$D$10</xm:f>
          </x14:formula1>
          <xm:sqref>U51:U56 U12:U42 U44:U49 U61:U76 U78:U107</xm:sqref>
        </x14:dataValidation>
        <x14:dataValidation type="list" allowBlank="1" showInputMessage="1" showErrorMessage="1" xr:uid="{2716302E-CD5E-4568-B5AA-1ED1EC31E8C0}">
          <x14:formula1>
            <xm:f>'Tabla Valoración controles'!$D$11:$D$12</xm:f>
          </x14:formula1>
          <xm:sqref>V51:V56 V12:V42 V44:V49 V61:V76 V78:V107</xm:sqref>
        </x14:dataValidation>
        <x14:dataValidation type="list" allowBlank="1" showInputMessage="1" showErrorMessage="1" xr:uid="{9C16D214-EABD-409A-889D-9F547D8FE6B1}">
          <x14:formula1>
            <xm:f>'Tabla Valoración controles'!$D$13:$D$14</xm:f>
          </x14:formula1>
          <xm:sqref>W51:W56 W12:W42 W44:W49 W61:W76 W78:W107</xm:sqref>
        </x14:dataValidation>
        <x14:dataValidation type="list" allowBlank="1" showInputMessage="1" showErrorMessage="1" xr:uid="{8A5B46B1-97E4-451F-8195-0B4FEA5AC03F}">
          <x14:formula1>
            <xm:f>'Opciones Tratamiento'!$B$13:$B$19</xm:f>
          </x14:formula1>
          <xm:sqref>F18:F42 F12 F56 F49 F64:F76 F83:F107</xm:sqref>
        </x14:dataValidation>
        <x14:dataValidation type="list" allowBlank="1" showInputMessage="1" showErrorMessage="1" xr:uid="{3E7EDAF1-7100-4251-8DD7-F38DDDA4F473}">
          <x14:formula1>
            <xm:f>'Opciones Tratamiento'!$E$2:$E$4</xm:f>
          </x14:formula1>
          <xm:sqref>B18:B42 B12 B56 B49 B64:B76 B83:B107</xm:sqref>
        </x14:dataValidation>
        <x14:dataValidation type="list" allowBlank="1" showInputMessage="1" showErrorMessage="1" xr:uid="{AD91E3CA-FE8E-4527-9AB0-726F4728B127}">
          <x14:formula1>
            <xm:f>'Opciones Tratamiento'!$B$2:$B$5</xm:f>
          </x14:formula1>
          <xm:sqref>AD51:AD56 AD12:AD42 AD44:AD49 AD61:AD76 AD78:AD107</xm:sqref>
        </x14:dataValidation>
        <x14:dataValidation type="list" allowBlank="1" showInputMessage="1" showErrorMessage="1" xr:uid="{59B5940D-D0A5-4B17-83A5-DFFE18CD816E}">
          <x14:formula1>
            <xm:f>'Tabla Impacto'!$F$210:$F$221</xm:f>
          </x14:formula1>
          <xm:sqref>J18:J42 J12:K12 J56 J49 J64:J76 J83:J107</xm:sqref>
        </x14:dataValidation>
        <x14:dataValidation type="custom" allowBlank="1" showInputMessage="1" showErrorMessage="1" error="Recuerde que las acciones se generan bajo la medida de mitigar el riesgo" xr:uid="{772376EC-0CCC-4405-A9A0-C1069E61A96E}">
          <x14:formula1>
            <xm:f>IF(OR(AD12='Opciones Tratamiento'!$B$2,AD12='Opciones Tratamiento'!$B$3,AD12='Opciones Tratamiento'!$B$4),ISBLANK(AD12),ISTEXT(AD12))</xm:f>
          </x14:formula1>
          <xm:sqref>AE65:AE69 AE71:AE76 AE32:AE50 AE61:AE63 AE52:AE58 AE12 AE79:AE82 AE84:AE107 AE14:AE17 AE20:AE29</xm:sqref>
        </x14:dataValidation>
        <x14:dataValidation type="custom" allowBlank="1" showInputMessage="1" showErrorMessage="1" error="Recuerde que las acciones se generan bajo la medida de mitigar el riesgo" xr:uid="{8229A98C-F0A7-477E-ABB0-2F58756A0237}">
          <x14:formula1>
            <xm:f>IF(OR(AD12='Opciones Tratamiento'!$B$2,AD12='Opciones Tratamiento'!$B$3,AD12='Opciones Tratamiento'!$B$4),ISBLANK(AD12),ISTEXT(AD12))</xm:f>
          </x14:formula1>
          <xm:sqref>AG64:AG65 AF12 AF84:AF88 AF71:AF76 AF103:AF107 AF61:AF69 AF52:AF58 AF79:AF82 AF90:AF95 AF97:AF101 AF14:AF17 AF20:AF50</xm:sqref>
        </x14:dataValidation>
        <x14:dataValidation type="custom" allowBlank="1" showInputMessage="1" showErrorMessage="1" error="Recuerde que las acciones se generan bajo la medida de mitigar el riesgo" xr:uid="{A6EA3041-B1AA-4ED1-AAEC-D1F5CA6CB2E2}">
          <x14:formula1>
            <xm:f>IF(OR(AD12='Opciones Tratamiento'!$B$2,AD12='Opciones Tratamiento'!$B$3,AD12='Opciones Tratamiento'!$B$4),ISBLANK(AD12),ISTEXT(AD12))</xm:f>
          </x14:formula1>
          <xm:sqref>AH64:AH65 AG66:AH69 AG12:AH12 AG71:AH75 AG32:AH50 AG61:AH63 AG52:AH58 AG79:AH82 AG84:AH107 AG14:AH17 AG20:AH29</xm:sqref>
        </x14:dataValidation>
        <x14:dataValidation type="custom" allowBlank="1" showInputMessage="1" showErrorMessage="1" error="Recuerde que las acciones se generan bajo la medida de mitigar el riesgo" xr:uid="{C180E8B7-0668-4CB9-ACB4-15E05A66323C}">
          <x14:formula1>
            <xm:f>IF(OR(AD48='Opciones Tratamiento'!$B$2,AD48='Opciones Tratamiento'!$B$3,AD48='Opciones Tratamiento'!$B$4),ISBLANK(AD48),ISTEXT(AD48))</xm:f>
          </x14:formula1>
          <xm:sqref>AI50:AI57</xm:sqref>
        </x14:dataValidation>
        <x14:dataValidation type="custom" allowBlank="1" showInputMessage="1" showErrorMessage="1" error="Recuerde que las acciones se generan bajo la medida de mitigar el riesgo" xr:uid="{D706763F-5EB6-415E-8CF4-05AD423EE90D}">
          <x14:formula1>
            <xm:f>IF(OR(AD48='Opciones Tratamiento'!$B$2,AD48='Opciones Tratamiento'!$B$3,AD48='Opciones Tratamiento'!$B$4),ISBLANK(AD48),ISTEXT(AD48))</xm:f>
          </x14:formula1>
          <xm:sqref>AJ50:AJ57</xm:sqref>
        </x14:dataValidation>
        <x14:dataValidation type="custom" allowBlank="1" showInputMessage="1" showErrorMessage="1" error="Recuerde que las acciones se generan bajo la medida de mitigar el riesgo" xr:uid="{A59CA5A9-B26A-438C-931A-A6D8689D7EAF}">
          <x14:formula1>
            <xm:f>IF(OR(#REF!='Opciones Tratamiento'!$B$2,#REF!='Opciones Tratamiento'!$B$3,#REF!='Opciones Tratamiento'!$B$4),ISBLANK(#REF!),ISTEXT(#REF!))</xm:f>
          </x14:formula1>
          <xm:sqref>AI13:AI49</xm:sqref>
        </x14:dataValidation>
        <x14:dataValidation type="custom" allowBlank="1" showInputMessage="1" showErrorMessage="1" error="Recuerde que las acciones se generan bajo la medida de mitigar el riesgo" xr:uid="{05B368B0-B847-45DD-8892-EEF04E4DE354}">
          <x14:formula1>
            <xm:f>IF(OR(#REF!='Opciones Tratamiento'!$B$2,#REF!='Opciones Tratamiento'!$B$3,#REF!='Opciones Tratamiento'!$B$4),ISBLANK(#REF!),ISTEXT(#REF!))</xm:f>
          </x14:formula1>
          <xm:sqref>AJ13:AJ49</xm:sqref>
        </x14:dataValidation>
        <x14:dataValidation type="custom" allowBlank="1" showInputMessage="1" showErrorMessage="1" error="Recuerde que las acciones se generan bajo la medida de mitigar el riesgo" xr:uid="{BB07BCF0-3F4E-41F5-9269-0612C6AACB5F}">
          <x14:formula1>
            <xm:f>IF(OR(AD54='Opciones Tratamiento'!$B$2,AD54='Opciones Tratamiento'!$B$3,AD54='Opciones Tratamiento'!$B$4),ISBLANK(AD54),ISTEXT(AD54))</xm:f>
          </x14:formula1>
          <xm:sqref>AI58:AI76 AI101:AI107</xm:sqref>
        </x14:dataValidation>
        <x14:dataValidation type="custom" allowBlank="1" showInputMessage="1" showErrorMessage="1" error="Recuerde que las acciones se generan bajo la medida de mitigar el riesgo" xr:uid="{99E28968-B2A7-42AC-8767-D6782491BEE9}">
          <x14:formula1>
            <xm:f>IF(OR(AD54='Opciones Tratamiento'!$B$2,AD54='Opciones Tratamiento'!$B$3,AD54='Opciones Tratamiento'!$B$4),ISBLANK(AD54),ISTEXT(AD54))</xm:f>
          </x14:formula1>
          <xm:sqref>AJ58:AJ76 AJ101:AJ107</xm:sqref>
        </x14:dataValidation>
        <x14:dataValidation type="custom" allowBlank="1" showInputMessage="1" showErrorMessage="1" error="Recuerde que las acciones se generan bajo la medida de mitigar el riesgo" xr:uid="{BF802454-DAF7-484E-8B79-460AB7F763FE}">
          <x14:formula1>
            <xm:f>IF(OR(AD19='Opciones Tratamiento'!$B$2,AD19='Opciones Tratamiento'!$B$3,AD19='Opciones Tratamiento'!$B$4),ISBLANK(AD19),ISTEXT(AD19))</xm:f>
          </x14:formula1>
          <xm:sqref>AE77 AE18</xm:sqref>
        </x14:dataValidation>
        <x14:dataValidation type="custom" allowBlank="1" showInputMessage="1" showErrorMessage="1" error="Recuerde que las acciones se generan bajo la medida de mitigar el riesgo" xr:uid="{30B402DE-BD35-496A-8886-2D561C88A18E}">
          <x14:formula1>
            <xm:f>IF(OR(AD72='Opciones Tratamiento'!$B$2,AD72='Opciones Tratamiento'!$B$3,AD72='Opciones Tratamiento'!$B$4),ISBLANK(AD72),ISTEXT(AD72))</xm:f>
          </x14:formula1>
          <xm:sqref>AI77:AI100</xm:sqref>
        </x14:dataValidation>
        <x14:dataValidation type="custom" allowBlank="1" showInputMessage="1" showErrorMessage="1" error="Recuerde que las acciones se generan bajo la medida de mitigar el riesgo" xr:uid="{0AE7C0D1-22A7-4D54-9981-1D41DD617D7A}">
          <x14:formula1>
            <xm:f>IF(OR(AD72='Opciones Tratamiento'!$B$2,AD72='Opciones Tratamiento'!$B$3,AD72='Opciones Tratamiento'!$B$4),ISBLANK(AD72),ISTEXT(AD72))</xm:f>
          </x14:formula1>
          <xm:sqref>AJ77:AJ100</xm:sqref>
        </x14:dataValidation>
        <x14:dataValidation type="custom" allowBlank="1" showInputMessage="1" showErrorMessage="1" error="Recuerde que las acciones se generan bajo la medida de mitigar el riesgo" xr:uid="{E935BEB8-D12F-44C3-AE7B-F70ABC3BB99A}">
          <x14:formula1>
            <xm:f>IF(OR(AD19='Opciones Tratamiento'!$B$2,AD19='Opciones Tratamiento'!$B$3,AD19='Opciones Tratamiento'!$B$4),ISBLANK(AD19),ISTEXT(AD19))</xm:f>
          </x14:formula1>
          <xm:sqref>AF18</xm:sqref>
        </x14:dataValidation>
        <x14:dataValidation type="custom" allowBlank="1" showInputMessage="1" showErrorMessage="1" error="Recuerde que las acciones se generan bajo la medida de mitigar el riesgo" xr:uid="{50D8DBA8-6DCB-440F-93B4-7213B39B0741}">
          <x14:formula1>
            <xm:f>IF(OR(AD19='Opciones Tratamiento'!$B$2,AD19='Opciones Tratamiento'!$B$3,AD19='Opciones Tratamiento'!$B$4),ISBLANK(AD19),ISTEXT(AD19))</xm:f>
          </x14:formula1>
          <xm:sqref>AG18:AH18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7" zoomScale="40" zoomScaleNormal="40" workbookViewId="0">
      <selection activeCell="AV49" sqref="AV49"/>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572" t="s">
        <v>265</v>
      </c>
      <c r="C2" s="572"/>
      <c r="D2" s="572"/>
      <c r="E2" s="572"/>
      <c r="F2" s="572"/>
      <c r="G2" s="572"/>
      <c r="H2" s="572"/>
      <c r="I2" s="572"/>
      <c r="J2" s="540" t="s">
        <v>23</v>
      </c>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572"/>
      <c r="C3" s="572"/>
      <c r="D3" s="572"/>
      <c r="E3" s="572"/>
      <c r="F3" s="572"/>
      <c r="G3" s="572"/>
      <c r="H3" s="572"/>
      <c r="I3" s="572"/>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572"/>
      <c r="C4" s="572"/>
      <c r="D4" s="572"/>
      <c r="E4" s="572"/>
      <c r="F4" s="572"/>
      <c r="G4" s="572"/>
      <c r="H4" s="572"/>
      <c r="I4" s="572"/>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87" t="s">
        <v>266</v>
      </c>
      <c r="C6" s="487"/>
      <c r="D6" s="488"/>
      <c r="E6" s="525" t="s">
        <v>267</v>
      </c>
      <c r="F6" s="526"/>
      <c r="G6" s="526"/>
      <c r="H6" s="526"/>
      <c r="I6" s="527"/>
      <c r="J6" s="536" t="str">
        <f>IF(AND('Mapa de Riesgos'!$H$12="Muy Alta",'Mapa de Riesgos'!$L$12="Leve"),CONCATENATE("R",'Mapa de Riesgos'!$A$12),"")</f>
        <v/>
      </c>
      <c r="K6" s="537"/>
      <c r="L6" s="537" t="str">
        <f>IF(AND('Mapa de Riesgos'!$H$18="Muy Alta",'Mapa de Riesgos'!$L$18="Leve"),CONCATENATE("R",'Mapa de Riesgos'!$A$18),"")</f>
        <v/>
      </c>
      <c r="M6" s="537"/>
      <c r="N6" s="537" t="str">
        <f>IF(AND('Mapa de Riesgos'!$H$24="Muy Alta",'Mapa de Riesgos'!$L$24="Leve"),CONCATENATE("R",'Mapa de Riesgos'!$A$24),"")</f>
        <v/>
      </c>
      <c r="O6" s="539"/>
      <c r="P6" s="536" t="str">
        <f>IF(AND('Mapa de Riesgos'!$H$12="Muy Alta",'Mapa de Riesgos'!$L$12="Menor"),CONCATENATE("R",'Mapa de Riesgos'!$A$12),"")</f>
        <v/>
      </c>
      <c r="Q6" s="537"/>
      <c r="R6" s="537" t="str">
        <f>IF(AND('Mapa de Riesgos'!$H$18="Muy Alta",'Mapa de Riesgos'!$L$18="Menor"),CONCATENATE("R",'Mapa de Riesgos'!$A$18),"")</f>
        <v/>
      </c>
      <c r="S6" s="537"/>
      <c r="T6" s="537" t="str">
        <f>IF(AND('Mapa de Riesgos'!$H$24="Muy Alta",'Mapa de Riesgos'!$L$24="Menor"),CONCATENATE("R",'Mapa de Riesgos'!$A$24),"")</f>
        <v/>
      </c>
      <c r="U6" s="539"/>
      <c r="V6" s="536" t="str">
        <f>IF(AND('Mapa de Riesgos'!$H$12="Muy Alta",'Mapa de Riesgos'!$L$12="Moderado"),CONCATENATE("R",'Mapa de Riesgos'!$A$12),"")</f>
        <v/>
      </c>
      <c r="W6" s="537"/>
      <c r="X6" s="537" t="str">
        <f>IF(AND('Mapa de Riesgos'!$H$18="Muy Alta",'Mapa de Riesgos'!$L$18="Moderado"),CONCATENATE("R",'Mapa de Riesgos'!$A$18),"")</f>
        <v/>
      </c>
      <c r="Y6" s="537"/>
      <c r="Z6" s="537" t="str">
        <f>IF(AND('Mapa de Riesgos'!$H$24="Muy Alta",'Mapa de Riesgos'!$L$24="Moderado"),CONCATENATE("R",'Mapa de Riesgos'!$A$24),"")</f>
        <v/>
      </c>
      <c r="AA6" s="539"/>
      <c r="AB6" s="536" t="str">
        <f>IF(AND('Mapa de Riesgos'!$H$12="Muy Alta",'Mapa de Riesgos'!$L$12="Mayor"),CONCATENATE("R",'Mapa de Riesgos'!$A$12),"")</f>
        <v/>
      </c>
      <c r="AC6" s="537"/>
      <c r="AD6" s="537" t="str">
        <f>IF(AND('Mapa de Riesgos'!$H$18="Muy Alta",'Mapa de Riesgos'!$L$18="Mayor"),CONCATENATE("R",'Mapa de Riesgos'!$A$18),"")</f>
        <v/>
      </c>
      <c r="AE6" s="537"/>
      <c r="AF6" s="537" t="str">
        <f>IF(AND('Mapa de Riesgos'!$H$24="Muy Alta",'Mapa de Riesgos'!$L$24="Mayor"),CONCATENATE("R",'Mapa de Riesgos'!$A$24),"")</f>
        <v/>
      </c>
      <c r="AG6" s="539"/>
      <c r="AH6" s="551" t="str">
        <f>IF(AND('Mapa de Riesgos'!$H$12="Muy Alta",'Mapa de Riesgos'!$L$12="Catastrófico"),CONCATENATE("R",'Mapa de Riesgos'!$A$12),"")</f>
        <v/>
      </c>
      <c r="AI6" s="552"/>
      <c r="AJ6" s="552" t="str">
        <f>IF(AND('Mapa de Riesgos'!$H$18="Muy Alta",'Mapa de Riesgos'!$L$18="Catastrófico"),CONCATENATE("R",'Mapa de Riesgos'!$A$18),"")</f>
        <v/>
      </c>
      <c r="AK6" s="552"/>
      <c r="AL6" s="552" t="str">
        <f>IF(AND('Mapa de Riesgos'!$H$24="Muy Alta",'Mapa de Riesgos'!$L$24="Catastrófico"),CONCATENATE("R",'Mapa de Riesgos'!$A$24),"")</f>
        <v/>
      </c>
      <c r="AM6" s="553"/>
      <c r="AO6" s="489" t="s">
        <v>268</v>
      </c>
      <c r="AP6" s="490"/>
      <c r="AQ6" s="490"/>
      <c r="AR6" s="490"/>
      <c r="AS6" s="490"/>
      <c r="AT6" s="49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87"/>
      <c r="C7" s="487"/>
      <c r="D7" s="488"/>
      <c r="E7" s="528"/>
      <c r="F7" s="529"/>
      <c r="G7" s="529"/>
      <c r="H7" s="529"/>
      <c r="I7" s="530"/>
      <c r="J7" s="538"/>
      <c r="K7" s="534"/>
      <c r="L7" s="534"/>
      <c r="M7" s="534"/>
      <c r="N7" s="534"/>
      <c r="O7" s="535"/>
      <c r="P7" s="538"/>
      <c r="Q7" s="534"/>
      <c r="R7" s="534"/>
      <c r="S7" s="534"/>
      <c r="T7" s="534"/>
      <c r="U7" s="535"/>
      <c r="V7" s="538"/>
      <c r="W7" s="534"/>
      <c r="X7" s="534"/>
      <c r="Y7" s="534"/>
      <c r="Z7" s="534"/>
      <c r="AA7" s="535"/>
      <c r="AB7" s="538"/>
      <c r="AC7" s="534"/>
      <c r="AD7" s="534"/>
      <c r="AE7" s="534"/>
      <c r="AF7" s="534"/>
      <c r="AG7" s="535"/>
      <c r="AH7" s="545"/>
      <c r="AI7" s="546"/>
      <c r="AJ7" s="546"/>
      <c r="AK7" s="546"/>
      <c r="AL7" s="546"/>
      <c r="AM7" s="547"/>
      <c r="AN7" s="81"/>
      <c r="AO7" s="492"/>
      <c r="AP7" s="493"/>
      <c r="AQ7" s="493"/>
      <c r="AR7" s="493"/>
      <c r="AS7" s="493"/>
      <c r="AT7" s="49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87"/>
      <c r="C8" s="487"/>
      <c r="D8" s="488"/>
      <c r="E8" s="528"/>
      <c r="F8" s="529"/>
      <c r="G8" s="529"/>
      <c r="H8" s="529"/>
      <c r="I8" s="530"/>
      <c r="J8" s="538" t="str">
        <f>IF(AND('Mapa de Riesgos'!$H$30="Muy Alta",'Mapa de Riesgos'!$L$30="Leve"),CONCATENATE("R",'Mapa de Riesgos'!$A$30),"")</f>
        <v/>
      </c>
      <c r="K8" s="534"/>
      <c r="L8" s="534" t="str">
        <f>IF(AND('Mapa de Riesgos'!$H$36="Muy Alta",'Mapa de Riesgos'!$L$36="Leve"),CONCATENATE("R",'Mapa de Riesgos'!$A$36),"")</f>
        <v/>
      </c>
      <c r="M8" s="534"/>
      <c r="N8" s="534" t="str">
        <f>IF(AND('Mapa de Riesgos'!$H$42="Muy Alta",'Mapa de Riesgos'!$L$42="Leve"),CONCATENATE("R",'Mapa de Riesgos'!$A$42),"")</f>
        <v/>
      </c>
      <c r="O8" s="535"/>
      <c r="P8" s="538" t="str">
        <f>IF(AND('Mapa de Riesgos'!$H$30="Muy Alta",'Mapa de Riesgos'!$L$30="Menor"),CONCATENATE("R",'Mapa de Riesgos'!$A$30),"")</f>
        <v/>
      </c>
      <c r="Q8" s="534"/>
      <c r="R8" s="534" t="str">
        <f>IF(AND('Mapa de Riesgos'!$H$36="Muy Alta",'Mapa de Riesgos'!$L$36="Menor"),CONCATENATE("R",'Mapa de Riesgos'!$A$36),"")</f>
        <v/>
      </c>
      <c r="S8" s="534"/>
      <c r="T8" s="534" t="str">
        <f>IF(AND('Mapa de Riesgos'!$H$42="Muy Alta",'Mapa de Riesgos'!$L$42="Menor"),CONCATENATE("R",'Mapa de Riesgos'!$A$42),"")</f>
        <v/>
      </c>
      <c r="U8" s="535"/>
      <c r="V8" s="538" t="str">
        <f>IF(AND('Mapa de Riesgos'!$H$30="Muy Alta",'Mapa de Riesgos'!$L$30="Moderado"),CONCATENATE("R",'Mapa de Riesgos'!$A$30),"")</f>
        <v/>
      </c>
      <c r="W8" s="534"/>
      <c r="X8" s="534" t="str">
        <f>IF(AND('Mapa de Riesgos'!$H$36="Muy Alta",'Mapa de Riesgos'!$L$36="Moderado"),CONCATENATE("R",'Mapa de Riesgos'!$A$36),"")</f>
        <v/>
      </c>
      <c r="Y8" s="534"/>
      <c r="Z8" s="534" t="str">
        <f>IF(AND('Mapa de Riesgos'!$H$42="Muy Alta",'Mapa de Riesgos'!$L$42="Moderado"),CONCATENATE("R",'Mapa de Riesgos'!$A$42),"")</f>
        <v/>
      </c>
      <c r="AA8" s="535"/>
      <c r="AB8" s="538" t="str">
        <f>IF(AND('Mapa de Riesgos'!$H$30="Muy Alta",'Mapa de Riesgos'!$L$30="Mayor"),CONCATENATE("R",'Mapa de Riesgos'!$A$30),"")</f>
        <v/>
      </c>
      <c r="AC8" s="534"/>
      <c r="AD8" s="534" t="str">
        <f>IF(AND('Mapa de Riesgos'!$H$36="Muy Alta",'Mapa de Riesgos'!$L$36="Mayor"),CONCATENATE("R",'Mapa de Riesgos'!$A$36),"")</f>
        <v/>
      </c>
      <c r="AE8" s="534"/>
      <c r="AF8" s="534" t="str">
        <f>IF(AND('Mapa de Riesgos'!$H$42="Muy Alta",'Mapa de Riesgos'!$L$42="Mayor"),CONCATENATE("R",'Mapa de Riesgos'!$A$42),"")</f>
        <v/>
      </c>
      <c r="AG8" s="535"/>
      <c r="AH8" s="545" t="str">
        <f>IF(AND('Mapa de Riesgos'!$H$30="Muy Alta",'Mapa de Riesgos'!$L$30="Catastrófico"),CONCATENATE("R",'Mapa de Riesgos'!$A$30),"")</f>
        <v/>
      </c>
      <c r="AI8" s="546"/>
      <c r="AJ8" s="546" t="str">
        <f>IF(AND('Mapa de Riesgos'!$H$36="Muy Alta",'Mapa de Riesgos'!$L$36="Catastrófico"),CONCATENATE("R",'Mapa de Riesgos'!$A$36),"")</f>
        <v/>
      </c>
      <c r="AK8" s="546"/>
      <c r="AL8" s="546" t="str">
        <f>IF(AND('Mapa de Riesgos'!$H$42="Muy Alta",'Mapa de Riesgos'!$L$42="Catastrófico"),CONCATENATE("R",'Mapa de Riesgos'!$A$42),"")</f>
        <v/>
      </c>
      <c r="AM8" s="547"/>
      <c r="AN8" s="81"/>
      <c r="AO8" s="492"/>
      <c r="AP8" s="493"/>
      <c r="AQ8" s="493"/>
      <c r="AR8" s="493"/>
      <c r="AS8" s="493"/>
      <c r="AT8" s="49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87"/>
      <c r="C9" s="487"/>
      <c r="D9" s="488"/>
      <c r="E9" s="528"/>
      <c r="F9" s="529"/>
      <c r="G9" s="529"/>
      <c r="H9" s="529"/>
      <c r="I9" s="530"/>
      <c r="J9" s="538"/>
      <c r="K9" s="534"/>
      <c r="L9" s="534"/>
      <c r="M9" s="534"/>
      <c r="N9" s="534"/>
      <c r="O9" s="535"/>
      <c r="P9" s="538"/>
      <c r="Q9" s="534"/>
      <c r="R9" s="534"/>
      <c r="S9" s="534"/>
      <c r="T9" s="534"/>
      <c r="U9" s="535"/>
      <c r="V9" s="538"/>
      <c r="W9" s="534"/>
      <c r="X9" s="534"/>
      <c r="Y9" s="534"/>
      <c r="Z9" s="534"/>
      <c r="AA9" s="535"/>
      <c r="AB9" s="538"/>
      <c r="AC9" s="534"/>
      <c r="AD9" s="534"/>
      <c r="AE9" s="534"/>
      <c r="AF9" s="534"/>
      <c r="AG9" s="535"/>
      <c r="AH9" s="545"/>
      <c r="AI9" s="546"/>
      <c r="AJ9" s="546"/>
      <c r="AK9" s="546"/>
      <c r="AL9" s="546"/>
      <c r="AM9" s="547"/>
      <c r="AN9" s="81"/>
      <c r="AO9" s="492"/>
      <c r="AP9" s="493"/>
      <c r="AQ9" s="493"/>
      <c r="AR9" s="493"/>
      <c r="AS9" s="493"/>
      <c r="AT9" s="49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87"/>
      <c r="C10" s="487"/>
      <c r="D10" s="488"/>
      <c r="E10" s="528"/>
      <c r="F10" s="529"/>
      <c r="G10" s="529"/>
      <c r="H10" s="529"/>
      <c r="I10" s="530"/>
      <c r="J10" s="538" t="str">
        <f>IF(AND('Mapa de Riesgos'!$H$49="Muy Alta",'Mapa de Riesgos'!$L$49="Leve"),CONCATENATE("R",'Mapa de Riesgos'!$A$49),"")</f>
        <v/>
      </c>
      <c r="K10" s="534"/>
      <c r="L10" s="534" t="str">
        <f>IF(AND('Mapa de Riesgos'!$H$56="Muy Alta",'Mapa de Riesgos'!$L$56="Leve"),CONCATENATE("R",'Mapa de Riesgos'!$A$56),"")</f>
        <v/>
      </c>
      <c r="M10" s="534"/>
      <c r="N10" s="534" t="str">
        <f>IF(AND('Mapa de Riesgos'!$H$64="Muy Alta",'Mapa de Riesgos'!$L$64="Leve"),CONCATENATE("R",'Mapa de Riesgos'!$A$64),"")</f>
        <v/>
      </c>
      <c r="O10" s="535"/>
      <c r="P10" s="538" t="str">
        <f>IF(AND('Mapa de Riesgos'!$H$49="Muy Alta",'Mapa de Riesgos'!$L$49="Menor"),CONCATENATE("R",'Mapa de Riesgos'!$A$49),"")</f>
        <v/>
      </c>
      <c r="Q10" s="534"/>
      <c r="R10" s="534" t="str">
        <f>IF(AND('Mapa de Riesgos'!$H$56="Muy Alta",'Mapa de Riesgos'!$L$56="Menor"),CONCATENATE("R",'Mapa de Riesgos'!$A$56),"")</f>
        <v/>
      </c>
      <c r="S10" s="534"/>
      <c r="T10" s="534" t="str">
        <f>IF(AND('Mapa de Riesgos'!$H$64="Muy Alta",'Mapa de Riesgos'!$L$64="Menor"),CONCATENATE("R",'Mapa de Riesgos'!$A$64),"")</f>
        <v/>
      </c>
      <c r="U10" s="535"/>
      <c r="V10" s="538" t="str">
        <f>IF(AND('Mapa de Riesgos'!$H$49="Muy Alta",'Mapa de Riesgos'!$L$49="Moderado"),CONCATENATE("R",'Mapa de Riesgos'!$A$49),"")</f>
        <v/>
      </c>
      <c r="W10" s="534"/>
      <c r="X10" s="534" t="str">
        <f>IF(AND('Mapa de Riesgos'!$H$56="Muy Alta",'Mapa de Riesgos'!$L$56="Moderado"),CONCATENATE("R",'Mapa de Riesgos'!$A$56),"")</f>
        <v/>
      </c>
      <c r="Y10" s="534"/>
      <c r="Z10" s="534" t="str">
        <f>IF(AND('Mapa de Riesgos'!$H$64="Muy Alta",'Mapa de Riesgos'!$L$64="Moderado"),CONCATENATE("R",'Mapa de Riesgos'!$A$64),"")</f>
        <v/>
      </c>
      <c r="AA10" s="535"/>
      <c r="AB10" s="538" t="str">
        <f>IF(AND('Mapa de Riesgos'!$H$49="Muy Alta",'Mapa de Riesgos'!$L$49="Mayor"),CONCATENATE("R",'Mapa de Riesgos'!$A$49),"")</f>
        <v/>
      </c>
      <c r="AC10" s="534"/>
      <c r="AD10" s="534" t="str">
        <f>IF(AND('Mapa de Riesgos'!$H$56="Muy Alta",'Mapa de Riesgos'!$L$56="Mayor"),CONCATENATE("R",'Mapa de Riesgos'!$A$56),"")</f>
        <v/>
      </c>
      <c r="AE10" s="534"/>
      <c r="AF10" s="534" t="str">
        <f>IF(AND('Mapa de Riesgos'!$H$64="Muy Alta",'Mapa de Riesgos'!$L$64="Mayor"),CONCATENATE("R",'Mapa de Riesgos'!$A$64),"")</f>
        <v/>
      </c>
      <c r="AG10" s="535"/>
      <c r="AH10" s="545" t="str">
        <f>IF(AND('Mapa de Riesgos'!$H$49="Muy Alta",'Mapa de Riesgos'!$L$49="Catastrófico"),CONCATENATE("R",'Mapa de Riesgos'!$A$49),"")</f>
        <v/>
      </c>
      <c r="AI10" s="546"/>
      <c r="AJ10" s="546" t="str">
        <f>IF(AND('Mapa de Riesgos'!$H$56="Muy Alta",'Mapa de Riesgos'!$L$56="Catastrófico"),CONCATENATE("R",'Mapa de Riesgos'!$A$56),"")</f>
        <v/>
      </c>
      <c r="AK10" s="546"/>
      <c r="AL10" s="546" t="str">
        <f>IF(AND('Mapa de Riesgos'!$H$64="Muy Alta",'Mapa de Riesgos'!$L$64="Catastrófico"),CONCATENATE("R",'Mapa de Riesgos'!$A$64),"")</f>
        <v/>
      </c>
      <c r="AM10" s="547"/>
      <c r="AN10" s="81"/>
      <c r="AO10" s="492"/>
      <c r="AP10" s="493"/>
      <c r="AQ10" s="493"/>
      <c r="AR10" s="493"/>
      <c r="AS10" s="493"/>
      <c r="AT10" s="49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87"/>
      <c r="C11" s="487"/>
      <c r="D11" s="488"/>
      <c r="E11" s="528"/>
      <c r="F11" s="529"/>
      <c r="G11" s="529"/>
      <c r="H11" s="529"/>
      <c r="I11" s="530"/>
      <c r="J11" s="538"/>
      <c r="K11" s="534"/>
      <c r="L11" s="534"/>
      <c r="M11" s="534"/>
      <c r="N11" s="534"/>
      <c r="O11" s="535"/>
      <c r="P11" s="538"/>
      <c r="Q11" s="534"/>
      <c r="R11" s="534"/>
      <c r="S11" s="534"/>
      <c r="T11" s="534"/>
      <c r="U11" s="535"/>
      <c r="V11" s="538"/>
      <c r="W11" s="534"/>
      <c r="X11" s="534"/>
      <c r="Y11" s="534"/>
      <c r="Z11" s="534"/>
      <c r="AA11" s="535"/>
      <c r="AB11" s="538"/>
      <c r="AC11" s="534"/>
      <c r="AD11" s="534"/>
      <c r="AE11" s="534"/>
      <c r="AF11" s="534"/>
      <c r="AG11" s="535"/>
      <c r="AH11" s="545"/>
      <c r="AI11" s="546"/>
      <c r="AJ11" s="546"/>
      <c r="AK11" s="546"/>
      <c r="AL11" s="546"/>
      <c r="AM11" s="547"/>
      <c r="AN11" s="81"/>
      <c r="AO11" s="492"/>
      <c r="AP11" s="493"/>
      <c r="AQ11" s="493"/>
      <c r="AR11" s="493"/>
      <c r="AS11" s="493"/>
      <c r="AT11" s="49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87"/>
      <c r="C12" s="487"/>
      <c r="D12" s="488"/>
      <c r="E12" s="528"/>
      <c r="F12" s="529"/>
      <c r="G12" s="529"/>
      <c r="H12" s="529"/>
      <c r="I12" s="530"/>
      <c r="J12" s="538" t="str">
        <f>IF(AND('Mapa de Riesgos'!$H$70="Muy Alta",'Mapa de Riesgos'!$L$70="Leve"),CONCATENATE("R",'Mapa de Riesgos'!$A$70),"")</f>
        <v/>
      </c>
      <c r="K12" s="534"/>
      <c r="L12" s="534" t="str">
        <f>IF(AND('Mapa de Riesgos'!$H$108="Muy Alta",'Mapa de Riesgos'!$L$108="Leve"),CONCATENATE("R",'Mapa de Riesgos'!$A$108),"")</f>
        <v/>
      </c>
      <c r="M12" s="534"/>
      <c r="N12" s="534" t="str">
        <f>IF(AND('Mapa de Riesgos'!$H$114="Muy Alta",'Mapa de Riesgos'!$L$114="Leve"),CONCATENATE("R",'Mapa de Riesgos'!$A$114),"")</f>
        <v/>
      </c>
      <c r="O12" s="535"/>
      <c r="P12" s="538" t="str">
        <f>IF(AND('Mapa de Riesgos'!$H$70="Muy Alta",'Mapa de Riesgos'!$L$70="Menor"),CONCATENATE("R",'Mapa de Riesgos'!$A$70),"")</f>
        <v/>
      </c>
      <c r="Q12" s="534"/>
      <c r="R12" s="534" t="str">
        <f>IF(AND('Mapa de Riesgos'!$H$108="Muy Alta",'Mapa de Riesgos'!$L$108="Menor"),CONCATENATE("R",'Mapa de Riesgos'!$A$108),"")</f>
        <v/>
      </c>
      <c r="S12" s="534"/>
      <c r="T12" s="534" t="str">
        <f>IF(AND('Mapa de Riesgos'!$H$114="Muy Alta",'Mapa de Riesgos'!$L$114="Menor"),CONCATENATE("R",'Mapa de Riesgos'!$A$114),"")</f>
        <v/>
      </c>
      <c r="U12" s="535"/>
      <c r="V12" s="538" t="str">
        <f>IF(AND('Mapa de Riesgos'!$H$70="Muy Alta",'Mapa de Riesgos'!$L$70="Moderado"),CONCATENATE("R",'Mapa de Riesgos'!$A$70),"")</f>
        <v/>
      </c>
      <c r="W12" s="534"/>
      <c r="X12" s="534" t="str">
        <f>IF(AND('Mapa de Riesgos'!$H$108="Muy Alta",'Mapa de Riesgos'!$L$108="Moderado"),CONCATENATE("R",'Mapa de Riesgos'!$A$108),"")</f>
        <v/>
      </c>
      <c r="Y12" s="534"/>
      <c r="Z12" s="534" t="str">
        <f>IF(AND('Mapa de Riesgos'!$H$114="Muy Alta",'Mapa de Riesgos'!$L$114="Moderado"),CONCATENATE("R",'Mapa de Riesgos'!$A$114),"")</f>
        <v/>
      </c>
      <c r="AA12" s="535"/>
      <c r="AB12" s="538" t="str">
        <f>IF(AND('Mapa de Riesgos'!$H$70="Muy Alta",'Mapa de Riesgos'!$L$70="Mayor"),CONCATENATE("R",'Mapa de Riesgos'!$A$70),"")</f>
        <v/>
      </c>
      <c r="AC12" s="534"/>
      <c r="AD12" s="534" t="str">
        <f>IF(AND('Mapa de Riesgos'!$H$108="Muy Alta",'Mapa de Riesgos'!$L$108="Mayor"),CONCATENATE("R",'Mapa de Riesgos'!$A$108),"")</f>
        <v/>
      </c>
      <c r="AE12" s="534"/>
      <c r="AF12" s="534" t="str">
        <f>IF(AND('Mapa de Riesgos'!$H$114="Muy Alta",'Mapa de Riesgos'!$L$114="Mayor"),CONCATENATE("R",'Mapa de Riesgos'!$A$114),"")</f>
        <v/>
      </c>
      <c r="AG12" s="535"/>
      <c r="AH12" s="545" t="str">
        <f>IF(AND('Mapa de Riesgos'!$H$70="Muy Alta",'Mapa de Riesgos'!$L$70="Catastrófico"),CONCATENATE("R",'Mapa de Riesgos'!$A$70),"")</f>
        <v/>
      </c>
      <c r="AI12" s="546"/>
      <c r="AJ12" s="546" t="str">
        <f>IF(AND('Mapa de Riesgos'!$H$108="Muy Alta",'Mapa de Riesgos'!$L$108="Catastrófico"),CONCATENATE("R",'Mapa de Riesgos'!$A$108),"")</f>
        <v/>
      </c>
      <c r="AK12" s="546"/>
      <c r="AL12" s="546" t="str">
        <f>IF(AND('Mapa de Riesgos'!$H$114="Muy Alta",'Mapa de Riesgos'!$L$114="Catastrófico"),CONCATENATE("R",'Mapa de Riesgos'!$A$114),"")</f>
        <v/>
      </c>
      <c r="AM12" s="547"/>
      <c r="AN12" s="81"/>
      <c r="AO12" s="492"/>
      <c r="AP12" s="493"/>
      <c r="AQ12" s="493"/>
      <c r="AR12" s="493"/>
      <c r="AS12" s="493"/>
      <c r="AT12" s="49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87"/>
      <c r="C13" s="487"/>
      <c r="D13" s="488"/>
      <c r="E13" s="531"/>
      <c r="F13" s="532"/>
      <c r="G13" s="532"/>
      <c r="H13" s="532"/>
      <c r="I13" s="533"/>
      <c r="J13" s="538"/>
      <c r="K13" s="534"/>
      <c r="L13" s="534"/>
      <c r="M13" s="534"/>
      <c r="N13" s="534"/>
      <c r="O13" s="535"/>
      <c r="P13" s="538"/>
      <c r="Q13" s="534"/>
      <c r="R13" s="534"/>
      <c r="S13" s="534"/>
      <c r="T13" s="534"/>
      <c r="U13" s="535"/>
      <c r="V13" s="538"/>
      <c r="W13" s="534"/>
      <c r="X13" s="534"/>
      <c r="Y13" s="534"/>
      <c r="Z13" s="534"/>
      <c r="AA13" s="535"/>
      <c r="AB13" s="538"/>
      <c r="AC13" s="534"/>
      <c r="AD13" s="534"/>
      <c r="AE13" s="534"/>
      <c r="AF13" s="534"/>
      <c r="AG13" s="535"/>
      <c r="AH13" s="548"/>
      <c r="AI13" s="549"/>
      <c r="AJ13" s="549"/>
      <c r="AK13" s="549"/>
      <c r="AL13" s="549"/>
      <c r="AM13" s="550"/>
      <c r="AN13" s="81"/>
      <c r="AO13" s="495"/>
      <c r="AP13" s="496"/>
      <c r="AQ13" s="496"/>
      <c r="AR13" s="496"/>
      <c r="AS13" s="496"/>
      <c r="AT13" s="497"/>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87"/>
      <c r="C14" s="487"/>
      <c r="D14" s="488"/>
      <c r="E14" s="525" t="s">
        <v>269</v>
      </c>
      <c r="F14" s="526"/>
      <c r="G14" s="526"/>
      <c r="H14" s="526"/>
      <c r="I14" s="526"/>
      <c r="J14" s="560" t="str">
        <f>IF(AND('Mapa de Riesgos'!$H$12="Alta",'Mapa de Riesgos'!$L$12="Leve"),CONCATENATE("R",'Mapa de Riesgos'!$A$12),"")</f>
        <v/>
      </c>
      <c r="K14" s="561"/>
      <c r="L14" s="561" t="str">
        <f>IF(AND('Mapa de Riesgos'!$H$18="Alta",'Mapa de Riesgos'!$L$18="Leve"),CONCATENATE("R",'Mapa de Riesgos'!$A$18),"")</f>
        <v/>
      </c>
      <c r="M14" s="561"/>
      <c r="N14" s="561" t="str">
        <f>IF(AND('Mapa de Riesgos'!$H$24="Alta",'Mapa de Riesgos'!$L$24="Leve"),CONCATENATE("R",'Mapa de Riesgos'!$A$24),"")</f>
        <v/>
      </c>
      <c r="O14" s="562"/>
      <c r="P14" s="560" t="str">
        <f>IF(AND('Mapa de Riesgos'!$H$12="Alta",'Mapa de Riesgos'!$L$12="Menor"),CONCATENATE("R",'Mapa de Riesgos'!$A$12),"")</f>
        <v/>
      </c>
      <c r="Q14" s="561"/>
      <c r="R14" s="561" t="str">
        <f>IF(AND('Mapa de Riesgos'!$H$18="Alta",'Mapa de Riesgos'!$L$18="Menor"),CONCATENATE("R",'Mapa de Riesgos'!$A$18),"")</f>
        <v/>
      </c>
      <c r="S14" s="561"/>
      <c r="T14" s="561" t="str">
        <f>IF(AND('Mapa de Riesgos'!$H$24="Alta",'Mapa de Riesgos'!$L$24="Menor"),CONCATENATE("R",'Mapa de Riesgos'!$A$24),"")</f>
        <v/>
      </c>
      <c r="U14" s="562"/>
      <c r="V14" s="536" t="str">
        <f>IF(AND('Mapa de Riesgos'!$H$12="Alta",'Mapa de Riesgos'!$L$12="Moderado"),CONCATENATE("R",'Mapa de Riesgos'!$A$12),"")</f>
        <v/>
      </c>
      <c r="W14" s="537"/>
      <c r="X14" s="537" t="str">
        <f>IF(AND('Mapa de Riesgos'!$H$18="Alta",'Mapa de Riesgos'!$L$18="Moderado"),CONCATENATE("R",'Mapa de Riesgos'!$A$18),"")</f>
        <v/>
      </c>
      <c r="Y14" s="537"/>
      <c r="Z14" s="537" t="str">
        <f>IF(AND('Mapa de Riesgos'!$H$24="Alta",'Mapa de Riesgos'!$L$24="Moderado"),CONCATENATE("R",'Mapa de Riesgos'!$A$24),"")</f>
        <v/>
      </c>
      <c r="AA14" s="539"/>
      <c r="AB14" s="536" t="str">
        <f>IF(AND('Mapa de Riesgos'!$H$12="Alta",'Mapa de Riesgos'!$L$12="Mayor"),CONCATENATE("R",'Mapa de Riesgos'!$A$12),"")</f>
        <v/>
      </c>
      <c r="AC14" s="537"/>
      <c r="AD14" s="537" t="str">
        <f>IF(AND('Mapa de Riesgos'!$H$18="Alta",'Mapa de Riesgos'!$L$18="Mayor"),CONCATENATE("R",'Mapa de Riesgos'!$A$18),"")</f>
        <v/>
      </c>
      <c r="AE14" s="537"/>
      <c r="AF14" s="537" t="str">
        <f>IF(AND('Mapa de Riesgos'!$H$24="Alta",'Mapa de Riesgos'!$L$24="Mayor"),CONCATENATE("R",'Mapa de Riesgos'!$A$24),"")</f>
        <v/>
      </c>
      <c r="AG14" s="539"/>
      <c r="AH14" s="551" t="str">
        <f>IF(AND('Mapa de Riesgos'!$H$12="Alta",'Mapa de Riesgos'!$L$12="Catastrófico"),CONCATENATE("R",'Mapa de Riesgos'!$A$12),"")</f>
        <v/>
      </c>
      <c r="AI14" s="552"/>
      <c r="AJ14" s="552" t="str">
        <f>IF(AND('Mapa de Riesgos'!$H$18="Alta",'Mapa de Riesgos'!$L$18="Catastrófico"),CONCATENATE("R",'Mapa de Riesgos'!$A$18),"")</f>
        <v/>
      </c>
      <c r="AK14" s="552"/>
      <c r="AL14" s="552" t="str">
        <f>IF(AND('Mapa de Riesgos'!$H$24="Alta",'Mapa de Riesgos'!$L$24="Catastrófico"),CONCATENATE("R",'Mapa de Riesgos'!$A$24),"")</f>
        <v/>
      </c>
      <c r="AM14" s="553"/>
      <c r="AN14" s="81"/>
      <c r="AO14" s="498" t="s">
        <v>270</v>
      </c>
      <c r="AP14" s="499"/>
      <c r="AQ14" s="499"/>
      <c r="AR14" s="499"/>
      <c r="AS14" s="499"/>
      <c r="AT14" s="500"/>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87"/>
      <c r="C15" s="487"/>
      <c r="D15" s="488"/>
      <c r="E15" s="528"/>
      <c r="F15" s="529"/>
      <c r="G15" s="529"/>
      <c r="H15" s="529"/>
      <c r="I15" s="529"/>
      <c r="J15" s="554"/>
      <c r="K15" s="555"/>
      <c r="L15" s="555"/>
      <c r="M15" s="555"/>
      <c r="N15" s="555"/>
      <c r="O15" s="556"/>
      <c r="P15" s="554"/>
      <c r="Q15" s="555"/>
      <c r="R15" s="555"/>
      <c r="S15" s="555"/>
      <c r="T15" s="555"/>
      <c r="U15" s="556"/>
      <c r="V15" s="538"/>
      <c r="W15" s="534"/>
      <c r="X15" s="534"/>
      <c r="Y15" s="534"/>
      <c r="Z15" s="534"/>
      <c r="AA15" s="535"/>
      <c r="AB15" s="538"/>
      <c r="AC15" s="534"/>
      <c r="AD15" s="534"/>
      <c r="AE15" s="534"/>
      <c r="AF15" s="534"/>
      <c r="AG15" s="535"/>
      <c r="AH15" s="545"/>
      <c r="AI15" s="546"/>
      <c r="AJ15" s="546"/>
      <c r="AK15" s="546"/>
      <c r="AL15" s="546"/>
      <c r="AM15" s="547"/>
      <c r="AN15" s="81"/>
      <c r="AO15" s="501"/>
      <c r="AP15" s="502"/>
      <c r="AQ15" s="502"/>
      <c r="AR15" s="502"/>
      <c r="AS15" s="502"/>
      <c r="AT15" s="503"/>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87"/>
      <c r="C16" s="487"/>
      <c r="D16" s="488"/>
      <c r="E16" s="528"/>
      <c r="F16" s="529"/>
      <c r="G16" s="529"/>
      <c r="H16" s="529"/>
      <c r="I16" s="529"/>
      <c r="J16" s="554" t="str">
        <f>IF(AND('Mapa de Riesgos'!$H$30="Alta",'Mapa de Riesgos'!$L$30="Leve"),CONCATENATE("R",'Mapa de Riesgos'!$A$30),"")</f>
        <v/>
      </c>
      <c r="K16" s="555"/>
      <c r="L16" s="555" t="str">
        <f>IF(AND('Mapa de Riesgos'!$H$36="Alta",'Mapa de Riesgos'!$L$36="Leve"),CONCATENATE("R",'Mapa de Riesgos'!$A$36),"")</f>
        <v/>
      </c>
      <c r="M16" s="555"/>
      <c r="N16" s="555" t="str">
        <f>IF(AND('Mapa de Riesgos'!$H$42="Alta",'Mapa de Riesgos'!$L$42="Leve"),CONCATENATE("R",'Mapa de Riesgos'!$A$42),"")</f>
        <v/>
      </c>
      <c r="O16" s="556"/>
      <c r="P16" s="554" t="str">
        <f>IF(AND('Mapa de Riesgos'!$H$30="Alta",'Mapa de Riesgos'!$L$30="Menor"),CONCATENATE("R",'Mapa de Riesgos'!$A$30),"")</f>
        <v/>
      </c>
      <c r="Q16" s="555"/>
      <c r="R16" s="555" t="str">
        <f>IF(AND('Mapa de Riesgos'!$H$36="Alta",'Mapa de Riesgos'!$L$36="Menor"),CONCATENATE("R",'Mapa de Riesgos'!$A$36),"")</f>
        <v/>
      </c>
      <c r="S16" s="555"/>
      <c r="T16" s="555" t="str">
        <f>IF(AND('Mapa de Riesgos'!$H$42="Alta",'Mapa de Riesgos'!$L$42="Menor"),CONCATENATE("R",'Mapa de Riesgos'!$A$42),"")</f>
        <v/>
      </c>
      <c r="U16" s="556"/>
      <c r="V16" s="538" t="str">
        <f>IF(AND('Mapa de Riesgos'!$H$30="Alta",'Mapa de Riesgos'!$L$30="Moderado"),CONCATENATE("R",'Mapa de Riesgos'!$A$30),"")</f>
        <v/>
      </c>
      <c r="W16" s="534"/>
      <c r="X16" s="534" t="str">
        <f>IF(AND('Mapa de Riesgos'!$H$36="Alta",'Mapa de Riesgos'!$L$36="Moderado"),CONCATENATE("R",'Mapa de Riesgos'!$A$36),"")</f>
        <v>R5</v>
      </c>
      <c r="Y16" s="534"/>
      <c r="Z16" s="534" t="str">
        <f>IF(AND('Mapa de Riesgos'!$H$42="Alta",'Mapa de Riesgos'!$L$42="Moderado"),CONCATENATE("R",'Mapa de Riesgos'!$A$42),"")</f>
        <v/>
      </c>
      <c r="AA16" s="535"/>
      <c r="AB16" s="538" t="str">
        <f>IF(AND('Mapa de Riesgos'!$H$30="Alta",'Mapa de Riesgos'!$L$30="Mayor"),CONCATENATE("R",'Mapa de Riesgos'!$A$30),"")</f>
        <v/>
      </c>
      <c r="AC16" s="534"/>
      <c r="AD16" s="534" t="str">
        <f>IF(AND('Mapa de Riesgos'!$H$36="Alta",'Mapa de Riesgos'!$L$36="Mayor"),CONCATENATE("R",'Mapa de Riesgos'!$A$36),"")</f>
        <v/>
      </c>
      <c r="AE16" s="534"/>
      <c r="AF16" s="534" t="str">
        <f>IF(AND('Mapa de Riesgos'!$H$42="Alta",'Mapa de Riesgos'!$L$42="Mayor"),CONCATENATE("R",'Mapa de Riesgos'!$A$42),"")</f>
        <v/>
      </c>
      <c r="AG16" s="535"/>
      <c r="AH16" s="545" t="str">
        <f>IF(AND('Mapa de Riesgos'!$H$30="Alta",'Mapa de Riesgos'!$L$30="Catastrófico"),CONCATENATE("R",'Mapa de Riesgos'!$A$30),"")</f>
        <v/>
      </c>
      <c r="AI16" s="546"/>
      <c r="AJ16" s="546" t="str">
        <f>IF(AND('Mapa de Riesgos'!$H$36="Alta",'Mapa de Riesgos'!$L$36="Catastrófico"),CONCATENATE("R",'Mapa de Riesgos'!$A$36),"")</f>
        <v/>
      </c>
      <c r="AK16" s="546"/>
      <c r="AL16" s="546" t="str">
        <f>IF(AND('Mapa de Riesgos'!$H$42="Alta",'Mapa de Riesgos'!$L$42="Catastrófico"),CONCATENATE("R",'Mapa de Riesgos'!$A$42),"")</f>
        <v/>
      </c>
      <c r="AM16" s="547"/>
      <c r="AN16" s="81"/>
      <c r="AO16" s="501"/>
      <c r="AP16" s="502"/>
      <c r="AQ16" s="502"/>
      <c r="AR16" s="502"/>
      <c r="AS16" s="502"/>
      <c r="AT16" s="503"/>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87"/>
      <c r="C17" s="487"/>
      <c r="D17" s="488"/>
      <c r="E17" s="528"/>
      <c r="F17" s="529"/>
      <c r="G17" s="529"/>
      <c r="H17" s="529"/>
      <c r="I17" s="529"/>
      <c r="J17" s="554"/>
      <c r="K17" s="555"/>
      <c r="L17" s="555"/>
      <c r="M17" s="555"/>
      <c r="N17" s="555"/>
      <c r="O17" s="556"/>
      <c r="P17" s="554"/>
      <c r="Q17" s="555"/>
      <c r="R17" s="555"/>
      <c r="S17" s="555"/>
      <c r="T17" s="555"/>
      <c r="U17" s="556"/>
      <c r="V17" s="538"/>
      <c r="W17" s="534"/>
      <c r="X17" s="534"/>
      <c r="Y17" s="534"/>
      <c r="Z17" s="534"/>
      <c r="AA17" s="535"/>
      <c r="AB17" s="538"/>
      <c r="AC17" s="534"/>
      <c r="AD17" s="534"/>
      <c r="AE17" s="534"/>
      <c r="AF17" s="534"/>
      <c r="AG17" s="535"/>
      <c r="AH17" s="545"/>
      <c r="AI17" s="546"/>
      <c r="AJ17" s="546"/>
      <c r="AK17" s="546"/>
      <c r="AL17" s="546"/>
      <c r="AM17" s="547"/>
      <c r="AN17" s="81"/>
      <c r="AO17" s="501"/>
      <c r="AP17" s="502"/>
      <c r="AQ17" s="502"/>
      <c r="AR17" s="502"/>
      <c r="AS17" s="502"/>
      <c r="AT17" s="503"/>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87"/>
      <c r="C18" s="487"/>
      <c r="D18" s="488"/>
      <c r="E18" s="528"/>
      <c r="F18" s="529"/>
      <c r="G18" s="529"/>
      <c r="H18" s="529"/>
      <c r="I18" s="529"/>
      <c r="J18" s="554" t="str">
        <f>IF(AND('Mapa de Riesgos'!$H$49="Alta",'Mapa de Riesgos'!$L$49="Leve"),CONCATENATE("R",'Mapa de Riesgos'!$A$49),"")</f>
        <v/>
      </c>
      <c r="K18" s="555"/>
      <c r="L18" s="555" t="str">
        <f>IF(AND('Mapa de Riesgos'!$H$56="Alta",'Mapa de Riesgos'!$L$56="Leve"),CONCATENATE("R",'Mapa de Riesgos'!$A$56),"")</f>
        <v/>
      </c>
      <c r="M18" s="555"/>
      <c r="N18" s="555" t="str">
        <f>IF(AND('Mapa de Riesgos'!$H$64="Alta",'Mapa de Riesgos'!$L$64="Leve"),CONCATENATE("R",'Mapa de Riesgos'!$A$64),"")</f>
        <v/>
      </c>
      <c r="O18" s="556"/>
      <c r="P18" s="554" t="str">
        <f>IF(AND('Mapa de Riesgos'!$H$49="Alta",'Mapa de Riesgos'!$L$49="Menor"),CONCATENATE("R",'Mapa de Riesgos'!$A$49),"")</f>
        <v/>
      </c>
      <c r="Q18" s="555"/>
      <c r="R18" s="555" t="str">
        <f>IF(AND('Mapa de Riesgos'!$H$56="Alta",'Mapa de Riesgos'!$L$56="Menor"),CONCATENATE("R",'Mapa de Riesgos'!$A$56),"")</f>
        <v/>
      </c>
      <c r="S18" s="555"/>
      <c r="T18" s="555" t="str">
        <f>IF(AND('Mapa de Riesgos'!$H$64="Alta",'Mapa de Riesgos'!$L$64="Menor"),CONCATENATE("R",'Mapa de Riesgos'!$A$64),"")</f>
        <v/>
      </c>
      <c r="U18" s="556"/>
      <c r="V18" s="538" t="str">
        <f>IF(AND('Mapa de Riesgos'!$H$49="Alta",'Mapa de Riesgos'!$L$49="Moderado"),CONCATENATE("R",'Mapa de Riesgos'!$A$49),"")</f>
        <v/>
      </c>
      <c r="W18" s="534"/>
      <c r="X18" s="534" t="str">
        <f>IF(AND('Mapa de Riesgos'!$H$56="Alta",'Mapa de Riesgos'!$L$56="Moderado"),CONCATENATE("R",'Mapa de Riesgos'!$A$56),"")</f>
        <v/>
      </c>
      <c r="Y18" s="534"/>
      <c r="Z18" s="534" t="str">
        <f>IF(AND('Mapa de Riesgos'!$H$64="Alta",'Mapa de Riesgos'!$L$64="Moderado"),CONCATENATE("R",'Mapa de Riesgos'!$A$64),"")</f>
        <v/>
      </c>
      <c r="AA18" s="535"/>
      <c r="AB18" s="538" t="str">
        <f>IF(AND('Mapa de Riesgos'!$H$49="Alta",'Mapa de Riesgos'!$L$49="Mayor"),CONCATENATE("R",'Mapa de Riesgos'!$A$49),"")</f>
        <v/>
      </c>
      <c r="AC18" s="534"/>
      <c r="AD18" s="534" t="str">
        <f>IF(AND('Mapa de Riesgos'!$H$56="Alta",'Mapa de Riesgos'!$L$56="Mayor"),CONCATENATE("R",'Mapa de Riesgos'!$A$56),"")</f>
        <v/>
      </c>
      <c r="AE18" s="534"/>
      <c r="AF18" s="534" t="str">
        <f>IF(AND('Mapa de Riesgos'!$H$64="Alta",'Mapa de Riesgos'!$L$64="Mayor"),CONCATENATE("R",'Mapa de Riesgos'!$A$64),"")</f>
        <v/>
      </c>
      <c r="AG18" s="535"/>
      <c r="AH18" s="545" t="str">
        <f>IF(AND('Mapa de Riesgos'!$H$49="Alta",'Mapa de Riesgos'!$L$49="Catastrófico"),CONCATENATE("R",'Mapa de Riesgos'!$A$49),"")</f>
        <v/>
      </c>
      <c r="AI18" s="546"/>
      <c r="AJ18" s="546" t="str">
        <f>IF(AND('Mapa de Riesgos'!$H$56="Alta",'Mapa de Riesgos'!$L$56="Catastrófico"),CONCATENATE("R",'Mapa de Riesgos'!$A$56),"")</f>
        <v/>
      </c>
      <c r="AK18" s="546"/>
      <c r="AL18" s="546" t="str">
        <f>IF(AND('Mapa de Riesgos'!$H$64="Alta",'Mapa de Riesgos'!$L$64="Catastrófico"),CONCATENATE("R",'Mapa de Riesgos'!$A$64),"")</f>
        <v/>
      </c>
      <c r="AM18" s="547"/>
      <c r="AN18" s="81"/>
      <c r="AO18" s="501"/>
      <c r="AP18" s="502"/>
      <c r="AQ18" s="502"/>
      <c r="AR18" s="502"/>
      <c r="AS18" s="502"/>
      <c r="AT18" s="503"/>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87"/>
      <c r="C19" s="487"/>
      <c r="D19" s="488"/>
      <c r="E19" s="528"/>
      <c r="F19" s="529"/>
      <c r="G19" s="529"/>
      <c r="H19" s="529"/>
      <c r="I19" s="529"/>
      <c r="J19" s="554"/>
      <c r="K19" s="555"/>
      <c r="L19" s="555"/>
      <c r="M19" s="555"/>
      <c r="N19" s="555"/>
      <c r="O19" s="556"/>
      <c r="P19" s="554"/>
      <c r="Q19" s="555"/>
      <c r="R19" s="555"/>
      <c r="S19" s="555"/>
      <c r="T19" s="555"/>
      <c r="U19" s="556"/>
      <c r="V19" s="538"/>
      <c r="W19" s="534"/>
      <c r="X19" s="534"/>
      <c r="Y19" s="534"/>
      <c r="Z19" s="534"/>
      <c r="AA19" s="535"/>
      <c r="AB19" s="538"/>
      <c r="AC19" s="534"/>
      <c r="AD19" s="534"/>
      <c r="AE19" s="534"/>
      <c r="AF19" s="534"/>
      <c r="AG19" s="535"/>
      <c r="AH19" s="545"/>
      <c r="AI19" s="546"/>
      <c r="AJ19" s="546"/>
      <c r="AK19" s="546"/>
      <c r="AL19" s="546"/>
      <c r="AM19" s="547"/>
      <c r="AN19" s="81"/>
      <c r="AO19" s="501"/>
      <c r="AP19" s="502"/>
      <c r="AQ19" s="502"/>
      <c r="AR19" s="502"/>
      <c r="AS19" s="502"/>
      <c r="AT19" s="503"/>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87"/>
      <c r="C20" s="487"/>
      <c r="D20" s="488"/>
      <c r="E20" s="528"/>
      <c r="F20" s="529"/>
      <c r="G20" s="529"/>
      <c r="H20" s="529"/>
      <c r="I20" s="529"/>
      <c r="J20" s="554" t="str">
        <f>IF(AND('Mapa de Riesgos'!$H$70="Alta",'Mapa de Riesgos'!$L$70="Leve"),CONCATENATE("R",'Mapa de Riesgos'!$A$70),"")</f>
        <v/>
      </c>
      <c r="K20" s="555"/>
      <c r="L20" s="555" t="str">
        <f>IF(AND('Mapa de Riesgos'!$H$108="Alta",'Mapa de Riesgos'!$L$108="Leve"),CONCATENATE("R",'Mapa de Riesgos'!$A$108),"")</f>
        <v/>
      </c>
      <c r="M20" s="555"/>
      <c r="N20" s="555" t="str">
        <f>IF(AND('Mapa de Riesgos'!$H$114="Alta",'Mapa de Riesgos'!$L$114="Leve"),CONCATENATE("R",'Mapa de Riesgos'!$A$114),"")</f>
        <v/>
      </c>
      <c r="O20" s="556"/>
      <c r="P20" s="554" t="str">
        <f>IF(AND('Mapa de Riesgos'!$H$70="Alta",'Mapa de Riesgos'!$L$70="Menor"),CONCATENATE("R",'Mapa de Riesgos'!$A$70),"")</f>
        <v/>
      </c>
      <c r="Q20" s="555"/>
      <c r="R20" s="555" t="str">
        <f>IF(AND('Mapa de Riesgos'!$H$108="Alta",'Mapa de Riesgos'!$L$108="Menor"),CONCATENATE("R",'Mapa de Riesgos'!$A$108),"")</f>
        <v/>
      </c>
      <c r="S20" s="555"/>
      <c r="T20" s="555" t="str">
        <f>IF(AND('Mapa de Riesgos'!$H$114="Alta",'Mapa de Riesgos'!$L$114="Menor"),CONCATENATE("R",'Mapa de Riesgos'!$A$114),"")</f>
        <v/>
      </c>
      <c r="U20" s="556"/>
      <c r="V20" s="538" t="str">
        <f>IF(AND('Mapa de Riesgos'!$H$70="Alta",'Mapa de Riesgos'!$L$70="Moderado"),CONCATENATE("R",'Mapa de Riesgos'!$A$70),"")</f>
        <v/>
      </c>
      <c r="W20" s="534"/>
      <c r="X20" s="534" t="str">
        <f>IF(AND('Mapa de Riesgos'!$H$108="Alta",'Mapa de Riesgos'!$L$108="Moderado"),CONCATENATE("R",'Mapa de Riesgos'!$A$108),"")</f>
        <v/>
      </c>
      <c r="Y20" s="534"/>
      <c r="Z20" s="534" t="str">
        <f>IF(AND('Mapa de Riesgos'!$H$114="Alta",'Mapa de Riesgos'!$L$114="Moderado"),CONCATENATE("R",'Mapa de Riesgos'!$A$114),"")</f>
        <v/>
      </c>
      <c r="AA20" s="535"/>
      <c r="AB20" s="538" t="str">
        <f>IF(AND('Mapa de Riesgos'!$H$70="Alta",'Mapa de Riesgos'!$L$70="Mayor"),CONCATENATE("R",'Mapa de Riesgos'!$A$70),"")</f>
        <v/>
      </c>
      <c r="AC20" s="534"/>
      <c r="AD20" s="534" t="str">
        <f>IF(AND('Mapa de Riesgos'!$H$108="Alta",'Mapa de Riesgos'!$L$108="Mayor"),CONCATENATE("R",'Mapa de Riesgos'!$A$108),"")</f>
        <v/>
      </c>
      <c r="AE20" s="534"/>
      <c r="AF20" s="534" t="str">
        <f>IF(AND('Mapa de Riesgos'!$H$114="Alta",'Mapa de Riesgos'!$L$114="Mayor"),CONCATENATE("R",'Mapa de Riesgos'!$A$114),"")</f>
        <v/>
      </c>
      <c r="AG20" s="535"/>
      <c r="AH20" s="545" t="str">
        <f>IF(AND('Mapa de Riesgos'!$H$70="Alta",'Mapa de Riesgos'!$L$70="Catastrófico"),CONCATENATE("R",'Mapa de Riesgos'!$A$70),"")</f>
        <v/>
      </c>
      <c r="AI20" s="546"/>
      <c r="AJ20" s="546" t="str">
        <f>IF(AND('Mapa de Riesgos'!$H$108="Alta",'Mapa de Riesgos'!$L$108="Catastrófico"),CONCATENATE("R",'Mapa de Riesgos'!$A$108),"")</f>
        <v/>
      </c>
      <c r="AK20" s="546"/>
      <c r="AL20" s="546" t="str">
        <f>IF(AND('Mapa de Riesgos'!$H$114="Alta",'Mapa de Riesgos'!$L$114="Catastrófico"),CONCATENATE("R",'Mapa de Riesgos'!$A$114),"")</f>
        <v/>
      </c>
      <c r="AM20" s="547"/>
      <c r="AN20" s="81"/>
      <c r="AO20" s="501"/>
      <c r="AP20" s="502"/>
      <c r="AQ20" s="502"/>
      <c r="AR20" s="502"/>
      <c r="AS20" s="502"/>
      <c r="AT20" s="503"/>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87"/>
      <c r="C21" s="487"/>
      <c r="D21" s="488"/>
      <c r="E21" s="531"/>
      <c r="F21" s="532"/>
      <c r="G21" s="532"/>
      <c r="H21" s="532"/>
      <c r="I21" s="532"/>
      <c r="J21" s="557"/>
      <c r="K21" s="558"/>
      <c r="L21" s="558"/>
      <c r="M21" s="558"/>
      <c r="N21" s="558"/>
      <c r="O21" s="559"/>
      <c r="P21" s="557"/>
      <c r="Q21" s="558"/>
      <c r="R21" s="558"/>
      <c r="S21" s="558"/>
      <c r="T21" s="558"/>
      <c r="U21" s="559"/>
      <c r="V21" s="542"/>
      <c r="W21" s="543"/>
      <c r="X21" s="543"/>
      <c r="Y21" s="543"/>
      <c r="Z21" s="543"/>
      <c r="AA21" s="544"/>
      <c r="AB21" s="542"/>
      <c r="AC21" s="543"/>
      <c r="AD21" s="543"/>
      <c r="AE21" s="543"/>
      <c r="AF21" s="543"/>
      <c r="AG21" s="544"/>
      <c r="AH21" s="548"/>
      <c r="AI21" s="549"/>
      <c r="AJ21" s="549"/>
      <c r="AK21" s="549"/>
      <c r="AL21" s="549"/>
      <c r="AM21" s="550"/>
      <c r="AN21" s="81"/>
      <c r="AO21" s="504"/>
      <c r="AP21" s="505"/>
      <c r="AQ21" s="505"/>
      <c r="AR21" s="505"/>
      <c r="AS21" s="505"/>
      <c r="AT21" s="506"/>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87"/>
      <c r="C22" s="487"/>
      <c r="D22" s="488"/>
      <c r="E22" s="525" t="s">
        <v>271</v>
      </c>
      <c r="F22" s="526"/>
      <c r="G22" s="526"/>
      <c r="H22" s="526"/>
      <c r="I22" s="527"/>
      <c r="J22" s="560" t="str">
        <f>IF(AND('Mapa de Riesgos'!$H$12="Media",'Mapa de Riesgos'!$L$12="Leve"),CONCATENATE("R",'Mapa de Riesgos'!$A$12),"")</f>
        <v/>
      </c>
      <c r="K22" s="561"/>
      <c r="L22" s="561" t="str">
        <f>IF(AND('Mapa de Riesgos'!$H$18="Media",'Mapa de Riesgos'!$L$18="Leve"),CONCATENATE("R",'Mapa de Riesgos'!$A$18),"")</f>
        <v/>
      </c>
      <c r="M22" s="561"/>
      <c r="N22" s="561" t="str">
        <f>IF(AND('Mapa de Riesgos'!$H$24="Media",'Mapa de Riesgos'!$L$24="Leve"),CONCATENATE("R",'Mapa de Riesgos'!$A$24),"")</f>
        <v/>
      </c>
      <c r="O22" s="562"/>
      <c r="P22" s="560" t="str">
        <f>IF(AND('Mapa de Riesgos'!$H$12="Media",'Mapa de Riesgos'!$L$12="Menor"),CONCATENATE("R",'Mapa de Riesgos'!$A$12),"")</f>
        <v/>
      </c>
      <c r="Q22" s="561"/>
      <c r="R22" s="561" t="str">
        <f>IF(AND('Mapa de Riesgos'!$H$18="Media",'Mapa de Riesgos'!$L$18="Menor"),CONCATENATE("R",'Mapa de Riesgos'!$A$18),"")</f>
        <v/>
      </c>
      <c r="S22" s="561"/>
      <c r="T22" s="561" t="str">
        <f>IF(AND('Mapa de Riesgos'!$H$24="Media",'Mapa de Riesgos'!$L$24="Menor"),CONCATENATE("R",'Mapa de Riesgos'!$A$24),"")</f>
        <v>R3</v>
      </c>
      <c r="U22" s="562"/>
      <c r="V22" s="560" t="str">
        <f>IF(AND('Mapa de Riesgos'!$H$12="Media",'Mapa de Riesgos'!$L$12="Moderado"),CONCATENATE("R",'Mapa de Riesgos'!$A$12),"")</f>
        <v/>
      </c>
      <c r="W22" s="561"/>
      <c r="X22" s="561" t="str">
        <f>IF(AND('Mapa de Riesgos'!$H$18="Media",'Mapa de Riesgos'!$L$18="Moderado"),CONCATENATE("R",'Mapa de Riesgos'!$A$18),"")</f>
        <v>R2</v>
      </c>
      <c r="Y22" s="561"/>
      <c r="Z22" s="561" t="str">
        <f>IF(AND('Mapa de Riesgos'!$H$24="Media",'Mapa de Riesgos'!$L$24="Moderado"),CONCATENATE("R",'Mapa de Riesgos'!$A$24),"")</f>
        <v/>
      </c>
      <c r="AA22" s="562"/>
      <c r="AB22" s="536" t="str">
        <f>IF(AND('Mapa de Riesgos'!$H$12="Media",'Mapa de Riesgos'!$L$12="Mayor"),CONCATENATE("R",'Mapa de Riesgos'!$A$12),"")</f>
        <v>R1</v>
      </c>
      <c r="AC22" s="537"/>
      <c r="AD22" s="537" t="str">
        <f>IF(AND('Mapa de Riesgos'!$H$18="Media",'Mapa de Riesgos'!$L$18="Mayor"),CONCATENATE("R",'Mapa de Riesgos'!$A$18),"")</f>
        <v/>
      </c>
      <c r="AE22" s="537"/>
      <c r="AF22" s="537" t="str">
        <f>IF(AND('Mapa de Riesgos'!$H$24="Media",'Mapa de Riesgos'!$L$24="Mayor"),CONCATENATE("R",'Mapa de Riesgos'!$A$24),"")</f>
        <v/>
      </c>
      <c r="AG22" s="539"/>
      <c r="AH22" s="551" t="str">
        <f>IF(AND('Mapa de Riesgos'!$H$12="Media",'Mapa de Riesgos'!$L$12="Catastrófico"),CONCATENATE("R",'Mapa de Riesgos'!$A$12),"")</f>
        <v/>
      </c>
      <c r="AI22" s="552"/>
      <c r="AJ22" s="552" t="str">
        <f>IF(AND('Mapa de Riesgos'!$H$18="Media",'Mapa de Riesgos'!$L$18="Catastrófico"),CONCATENATE("R",'Mapa de Riesgos'!$A$18),"")</f>
        <v/>
      </c>
      <c r="AK22" s="552"/>
      <c r="AL22" s="552" t="str">
        <f>IF(AND('Mapa de Riesgos'!$H$24="Media",'Mapa de Riesgos'!$L$24="Catastrófico"),CONCATENATE("R",'Mapa de Riesgos'!$A$24),"")</f>
        <v/>
      </c>
      <c r="AM22" s="553"/>
      <c r="AN22" s="81"/>
      <c r="AO22" s="507" t="s">
        <v>248</v>
      </c>
      <c r="AP22" s="508"/>
      <c r="AQ22" s="508"/>
      <c r="AR22" s="508"/>
      <c r="AS22" s="508"/>
      <c r="AT22" s="509"/>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87"/>
      <c r="C23" s="487"/>
      <c r="D23" s="488"/>
      <c r="E23" s="528"/>
      <c r="F23" s="529"/>
      <c r="G23" s="529"/>
      <c r="H23" s="529"/>
      <c r="I23" s="530"/>
      <c r="J23" s="554"/>
      <c r="K23" s="555"/>
      <c r="L23" s="555"/>
      <c r="M23" s="555"/>
      <c r="N23" s="555"/>
      <c r="O23" s="556"/>
      <c r="P23" s="554"/>
      <c r="Q23" s="555"/>
      <c r="R23" s="555"/>
      <c r="S23" s="555"/>
      <c r="T23" s="555"/>
      <c r="U23" s="556"/>
      <c r="V23" s="554"/>
      <c r="W23" s="555"/>
      <c r="X23" s="555"/>
      <c r="Y23" s="555"/>
      <c r="Z23" s="555"/>
      <c r="AA23" s="556"/>
      <c r="AB23" s="538"/>
      <c r="AC23" s="534"/>
      <c r="AD23" s="534"/>
      <c r="AE23" s="534"/>
      <c r="AF23" s="534"/>
      <c r="AG23" s="535"/>
      <c r="AH23" s="545"/>
      <c r="AI23" s="546"/>
      <c r="AJ23" s="546"/>
      <c r="AK23" s="546"/>
      <c r="AL23" s="546"/>
      <c r="AM23" s="547"/>
      <c r="AN23" s="81"/>
      <c r="AO23" s="510"/>
      <c r="AP23" s="511"/>
      <c r="AQ23" s="511"/>
      <c r="AR23" s="511"/>
      <c r="AS23" s="511"/>
      <c r="AT23" s="512"/>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87"/>
      <c r="C24" s="487"/>
      <c r="D24" s="488"/>
      <c r="E24" s="528"/>
      <c r="F24" s="529"/>
      <c r="G24" s="529"/>
      <c r="H24" s="529"/>
      <c r="I24" s="530"/>
      <c r="J24" s="554" t="str">
        <f>IF(AND('Mapa de Riesgos'!$H$30="Media",'Mapa de Riesgos'!$L$30="Leve"),CONCATENATE("R",'Mapa de Riesgos'!$A$30),"")</f>
        <v/>
      </c>
      <c r="K24" s="555"/>
      <c r="L24" s="555" t="str">
        <f>IF(AND('Mapa de Riesgos'!$H$36="Media",'Mapa de Riesgos'!$L$36="Leve"),CONCATENATE("R",'Mapa de Riesgos'!$A$36),"")</f>
        <v/>
      </c>
      <c r="M24" s="555"/>
      <c r="N24" s="555" t="str">
        <f>IF(AND('Mapa de Riesgos'!$H$42="Media",'Mapa de Riesgos'!$L$42="Leve"),CONCATENATE("R",'Mapa de Riesgos'!$A$42),"")</f>
        <v/>
      </c>
      <c r="O24" s="556"/>
      <c r="P24" s="554" t="str">
        <f>IF(AND('Mapa de Riesgos'!$H$30="Media",'Mapa de Riesgos'!$L$30="Menor"),CONCATENATE("R",'Mapa de Riesgos'!$A$30),"")</f>
        <v/>
      </c>
      <c r="Q24" s="555"/>
      <c r="R24" s="555" t="str">
        <f>IF(AND('Mapa de Riesgos'!$H$36="Media",'Mapa de Riesgos'!$L$36="Menor"),CONCATENATE("R",'Mapa de Riesgos'!$A$36),"")</f>
        <v/>
      </c>
      <c r="S24" s="555"/>
      <c r="T24" s="555" t="str">
        <f>IF(AND('Mapa de Riesgos'!$H$42="Media",'Mapa de Riesgos'!$L$42="Menor"),CONCATENATE("R",'Mapa de Riesgos'!$A$42),"")</f>
        <v/>
      </c>
      <c r="U24" s="556"/>
      <c r="V24" s="554" t="str">
        <f>IF(AND('Mapa de Riesgos'!$H$30="Media",'Mapa de Riesgos'!$L$30="Moderado"),CONCATENATE("R",'Mapa de Riesgos'!$A$30),"")</f>
        <v>R4</v>
      </c>
      <c r="W24" s="555"/>
      <c r="X24" s="555" t="str">
        <f>IF(AND('Mapa de Riesgos'!$H$36="Media",'Mapa de Riesgos'!$L$36="Moderado"),CONCATENATE("R",'Mapa de Riesgos'!$A$36),"")</f>
        <v/>
      </c>
      <c r="Y24" s="555"/>
      <c r="Z24" s="555" t="str">
        <f>IF(AND('Mapa de Riesgos'!$H$42="Media",'Mapa de Riesgos'!$L$42="Moderado"),CONCATENATE("R",'Mapa de Riesgos'!$A$42),"")</f>
        <v/>
      </c>
      <c r="AA24" s="556"/>
      <c r="AB24" s="538" t="str">
        <f>IF(AND('Mapa de Riesgos'!$H$30="Media",'Mapa de Riesgos'!$L$30="Mayor"),CONCATENATE("R",'Mapa de Riesgos'!$A$30),"")</f>
        <v/>
      </c>
      <c r="AC24" s="534"/>
      <c r="AD24" s="534" t="str">
        <f>IF(AND('Mapa de Riesgos'!$H$36="Media",'Mapa de Riesgos'!$L$36="Mayor"),CONCATENATE("R",'Mapa de Riesgos'!$A$36),"")</f>
        <v/>
      </c>
      <c r="AE24" s="534"/>
      <c r="AF24" s="534" t="str">
        <f>IF(AND('Mapa de Riesgos'!$H$42="Media",'Mapa de Riesgos'!$L$42="Mayor"),CONCATENATE("R",'Mapa de Riesgos'!$A$42),"")</f>
        <v/>
      </c>
      <c r="AG24" s="535"/>
      <c r="AH24" s="545" t="str">
        <f>IF(AND('Mapa de Riesgos'!$H$30="Media",'Mapa de Riesgos'!$L$30="Catastrófico"),CONCATENATE("R",'Mapa de Riesgos'!$A$30),"")</f>
        <v/>
      </c>
      <c r="AI24" s="546"/>
      <c r="AJ24" s="546" t="str">
        <f>IF(AND('Mapa de Riesgos'!$H$36="Media",'Mapa de Riesgos'!$L$36="Catastrófico"),CONCATENATE("R",'Mapa de Riesgos'!$A$36),"")</f>
        <v/>
      </c>
      <c r="AK24" s="546"/>
      <c r="AL24" s="546" t="str">
        <f>IF(AND('Mapa de Riesgos'!$H$42="Media",'Mapa de Riesgos'!$L$42="Catastrófico"),CONCATENATE("R",'Mapa de Riesgos'!$A$42),"")</f>
        <v/>
      </c>
      <c r="AM24" s="547"/>
      <c r="AN24" s="81"/>
      <c r="AO24" s="510"/>
      <c r="AP24" s="511"/>
      <c r="AQ24" s="511"/>
      <c r="AR24" s="511"/>
      <c r="AS24" s="511"/>
      <c r="AT24" s="512"/>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87"/>
      <c r="C25" s="487"/>
      <c r="D25" s="488"/>
      <c r="E25" s="528"/>
      <c r="F25" s="529"/>
      <c r="G25" s="529"/>
      <c r="H25" s="529"/>
      <c r="I25" s="530"/>
      <c r="J25" s="554"/>
      <c r="K25" s="555"/>
      <c r="L25" s="555"/>
      <c r="M25" s="555"/>
      <c r="N25" s="555"/>
      <c r="O25" s="556"/>
      <c r="P25" s="554"/>
      <c r="Q25" s="555"/>
      <c r="R25" s="555"/>
      <c r="S25" s="555"/>
      <c r="T25" s="555"/>
      <c r="U25" s="556"/>
      <c r="V25" s="554"/>
      <c r="W25" s="555"/>
      <c r="X25" s="555"/>
      <c r="Y25" s="555"/>
      <c r="Z25" s="555"/>
      <c r="AA25" s="556"/>
      <c r="AB25" s="538"/>
      <c r="AC25" s="534"/>
      <c r="AD25" s="534"/>
      <c r="AE25" s="534"/>
      <c r="AF25" s="534"/>
      <c r="AG25" s="535"/>
      <c r="AH25" s="545"/>
      <c r="AI25" s="546"/>
      <c r="AJ25" s="546"/>
      <c r="AK25" s="546"/>
      <c r="AL25" s="546"/>
      <c r="AM25" s="547"/>
      <c r="AN25" s="81"/>
      <c r="AO25" s="510"/>
      <c r="AP25" s="511"/>
      <c r="AQ25" s="511"/>
      <c r="AR25" s="511"/>
      <c r="AS25" s="511"/>
      <c r="AT25" s="512"/>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87"/>
      <c r="C26" s="487"/>
      <c r="D26" s="488"/>
      <c r="E26" s="528"/>
      <c r="F26" s="529"/>
      <c r="G26" s="529"/>
      <c r="H26" s="529"/>
      <c r="I26" s="530"/>
      <c r="J26" s="554" t="str">
        <f>IF(AND('Mapa de Riesgos'!$H$49="Media",'Mapa de Riesgos'!$L$49="Leve"),CONCATENATE("R",'Mapa de Riesgos'!$A$49),"")</f>
        <v/>
      </c>
      <c r="K26" s="555"/>
      <c r="L26" s="555" t="str">
        <f>IF(AND('Mapa de Riesgos'!$H$56="Media",'Mapa de Riesgos'!$L$56="Leve"),CONCATENATE("R",'Mapa de Riesgos'!$A$56),"")</f>
        <v/>
      </c>
      <c r="M26" s="555"/>
      <c r="N26" s="555" t="str">
        <f>IF(AND('Mapa de Riesgos'!$H$64="Media",'Mapa de Riesgos'!$L$64="Leve"),CONCATENATE("R",'Mapa de Riesgos'!$A$64),"")</f>
        <v/>
      </c>
      <c r="O26" s="556"/>
      <c r="P26" s="554" t="str">
        <f>IF(AND('Mapa de Riesgos'!$H$49="Media",'Mapa de Riesgos'!$L$49="Menor"),CONCATENATE("R",'Mapa de Riesgos'!$A$49),"")</f>
        <v/>
      </c>
      <c r="Q26" s="555"/>
      <c r="R26" s="555" t="str">
        <f>IF(AND('Mapa de Riesgos'!$H$56="Media",'Mapa de Riesgos'!$L$56="Menor"),CONCATENATE("R",'Mapa de Riesgos'!$A$56),"")</f>
        <v/>
      </c>
      <c r="S26" s="555"/>
      <c r="T26" s="555" t="str">
        <f>IF(AND('Mapa de Riesgos'!$H$64="Media",'Mapa de Riesgos'!$L$64="Menor"),CONCATENATE("R",'Mapa de Riesgos'!$A$64),"")</f>
        <v/>
      </c>
      <c r="U26" s="556"/>
      <c r="V26" s="554" t="str">
        <f>IF(AND('Mapa de Riesgos'!$H$49="Media",'Mapa de Riesgos'!$L$49="Moderado"),CONCATENATE("R",'Mapa de Riesgos'!$A$49),"")</f>
        <v/>
      </c>
      <c r="W26" s="555"/>
      <c r="X26" s="555" t="str">
        <f>IF(AND('Mapa de Riesgos'!$H$56="Media",'Mapa de Riesgos'!$L$56="Moderado"),CONCATENATE("R",'Mapa de Riesgos'!$A$56),"")</f>
        <v>R8</v>
      </c>
      <c r="Y26" s="555"/>
      <c r="Z26" s="555" t="str">
        <f>IF(AND('Mapa de Riesgos'!$H$64="Media",'Mapa de Riesgos'!$L$64="Moderado"),CONCATENATE("R",'Mapa de Riesgos'!$A$64),"")</f>
        <v>R9</v>
      </c>
      <c r="AA26" s="556"/>
      <c r="AB26" s="538" t="str">
        <f>IF(AND('Mapa de Riesgos'!$H$49="Media",'Mapa de Riesgos'!$L$49="Mayor"),CONCATENATE("R",'Mapa de Riesgos'!$A$49),"")</f>
        <v/>
      </c>
      <c r="AC26" s="534"/>
      <c r="AD26" s="534" t="str">
        <f>IF(AND('Mapa de Riesgos'!$H$56="Media",'Mapa de Riesgos'!$L$56="Mayor"),CONCATENATE("R",'Mapa de Riesgos'!$A$56),"")</f>
        <v/>
      </c>
      <c r="AE26" s="534"/>
      <c r="AF26" s="534" t="str">
        <f>IF(AND('Mapa de Riesgos'!$H$64="Media",'Mapa de Riesgos'!$L$64="Mayor"),CONCATENATE("R",'Mapa de Riesgos'!$A$64),"")</f>
        <v/>
      </c>
      <c r="AG26" s="535"/>
      <c r="AH26" s="545" t="str">
        <f>IF(AND('Mapa de Riesgos'!$H$49="Media",'Mapa de Riesgos'!$L$49="Catastrófico"),CONCATENATE("R",'Mapa de Riesgos'!$A$49),"")</f>
        <v/>
      </c>
      <c r="AI26" s="546"/>
      <c r="AJ26" s="546" t="str">
        <f>IF(AND('Mapa de Riesgos'!$H$56="Media",'Mapa de Riesgos'!$L$56="Catastrófico"),CONCATENATE("R",'Mapa de Riesgos'!$A$56),"")</f>
        <v/>
      </c>
      <c r="AK26" s="546"/>
      <c r="AL26" s="546" t="str">
        <f>IF(AND('Mapa de Riesgos'!$H$64="Media",'Mapa de Riesgos'!$L$64="Catastrófico"),CONCATENATE("R",'Mapa de Riesgos'!$A$64),"")</f>
        <v/>
      </c>
      <c r="AM26" s="547"/>
      <c r="AN26" s="81"/>
      <c r="AO26" s="510"/>
      <c r="AP26" s="511"/>
      <c r="AQ26" s="511"/>
      <c r="AR26" s="511"/>
      <c r="AS26" s="511"/>
      <c r="AT26" s="512"/>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87"/>
      <c r="C27" s="487"/>
      <c r="D27" s="488"/>
      <c r="E27" s="528"/>
      <c r="F27" s="529"/>
      <c r="G27" s="529"/>
      <c r="H27" s="529"/>
      <c r="I27" s="530"/>
      <c r="J27" s="554"/>
      <c r="K27" s="555"/>
      <c r="L27" s="555"/>
      <c r="M27" s="555"/>
      <c r="N27" s="555"/>
      <c r="O27" s="556"/>
      <c r="P27" s="554"/>
      <c r="Q27" s="555"/>
      <c r="R27" s="555"/>
      <c r="S27" s="555"/>
      <c r="T27" s="555"/>
      <c r="U27" s="556"/>
      <c r="V27" s="554"/>
      <c r="W27" s="555"/>
      <c r="X27" s="555"/>
      <c r="Y27" s="555"/>
      <c r="Z27" s="555"/>
      <c r="AA27" s="556"/>
      <c r="AB27" s="538"/>
      <c r="AC27" s="534"/>
      <c r="AD27" s="534"/>
      <c r="AE27" s="534"/>
      <c r="AF27" s="534"/>
      <c r="AG27" s="535"/>
      <c r="AH27" s="545"/>
      <c r="AI27" s="546"/>
      <c r="AJ27" s="546"/>
      <c r="AK27" s="546"/>
      <c r="AL27" s="546"/>
      <c r="AM27" s="547"/>
      <c r="AN27" s="81"/>
      <c r="AO27" s="510"/>
      <c r="AP27" s="511"/>
      <c r="AQ27" s="511"/>
      <c r="AR27" s="511"/>
      <c r="AS27" s="511"/>
      <c r="AT27" s="512"/>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87"/>
      <c r="C28" s="487"/>
      <c r="D28" s="488"/>
      <c r="E28" s="528"/>
      <c r="F28" s="529"/>
      <c r="G28" s="529"/>
      <c r="H28" s="529"/>
      <c r="I28" s="530"/>
      <c r="J28" s="554" t="str">
        <f>IF(AND('Mapa de Riesgos'!$H$70="Media",'Mapa de Riesgos'!$L$70="Leve"),CONCATENATE("R",'Mapa de Riesgos'!$A$70),"")</f>
        <v/>
      </c>
      <c r="K28" s="555"/>
      <c r="L28" s="555" t="str">
        <f>IF(AND('Mapa de Riesgos'!$H$108="Media",'Mapa de Riesgos'!$L$108="Leve"),CONCATENATE("R",'Mapa de Riesgos'!$A$108),"")</f>
        <v/>
      </c>
      <c r="M28" s="555"/>
      <c r="N28" s="555" t="str">
        <f>IF(AND('Mapa de Riesgos'!$H$114="Media",'Mapa de Riesgos'!$L$114="Leve"),CONCATENATE("R",'Mapa de Riesgos'!$A$114),"")</f>
        <v/>
      </c>
      <c r="O28" s="556"/>
      <c r="P28" s="554" t="str">
        <f>IF(AND('Mapa de Riesgos'!$H$70="Media",'Mapa de Riesgos'!$L$70="Menor"),CONCATENATE("R",'Mapa de Riesgos'!$A$70),"")</f>
        <v/>
      </c>
      <c r="Q28" s="555"/>
      <c r="R28" s="555" t="str">
        <f>IF(AND('Mapa de Riesgos'!$H$108="Media",'Mapa de Riesgos'!$L$108="Menor"),CONCATENATE("R",'Mapa de Riesgos'!$A$108),"")</f>
        <v/>
      </c>
      <c r="S28" s="555"/>
      <c r="T28" s="555" t="str">
        <f>IF(AND('Mapa de Riesgos'!$H$114="Media",'Mapa de Riesgos'!$L$114="Menor"),CONCATENATE("R",'Mapa de Riesgos'!$A$114),"")</f>
        <v/>
      </c>
      <c r="U28" s="556"/>
      <c r="V28" s="554" t="str">
        <f>IF(AND('Mapa de Riesgos'!$H$70="Media",'Mapa de Riesgos'!$L$70="Moderado"),CONCATENATE("R",'Mapa de Riesgos'!$A$70),"")</f>
        <v>R10</v>
      </c>
      <c r="W28" s="555"/>
      <c r="X28" s="555" t="str">
        <f>IF(AND('Mapa de Riesgos'!$H$108="Media",'Mapa de Riesgos'!$L$108="Moderado"),CONCATENATE("R",'Mapa de Riesgos'!$A$108),"")</f>
        <v/>
      </c>
      <c r="Y28" s="555"/>
      <c r="Z28" s="555" t="str">
        <f>IF(AND('Mapa de Riesgos'!$H$114="Media",'Mapa de Riesgos'!$L$114="Moderado"),CONCATENATE("R",'Mapa de Riesgos'!$A$114),"")</f>
        <v/>
      </c>
      <c r="AA28" s="556"/>
      <c r="AB28" s="538" t="str">
        <f>IF(AND('Mapa de Riesgos'!$H$70="Media",'Mapa de Riesgos'!$L$70="Mayor"),CONCATENATE("R",'Mapa de Riesgos'!$A$70),"")</f>
        <v/>
      </c>
      <c r="AC28" s="534"/>
      <c r="AD28" s="534" t="str">
        <f>IF(AND('Mapa de Riesgos'!$H$108="Media",'Mapa de Riesgos'!$L$108="Mayor"),CONCATENATE("R",'Mapa de Riesgos'!$A$108),"")</f>
        <v/>
      </c>
      <c r="AE28" s="534"/>
      <c r="AF28" s="534" t="str">
        <f>IF(AND('Mapa de Riesgos'!$H$114="Media",'Mapa de Riesgos'!$L$114="Mayor"),CONCATENATE("R",'Mapa de Riesgos'!$A$114),"")</f>
        <v/>
      </c>
      <c r="AG28" s="535"/>
      <c r="AH28" s="545" t="str">
        <f>IF(AND('Mapa de Riesgos'!$H$70="Media",'Mapa de Riesgos'!$L$70="Catastrófico"),CONCATENATE("R",'Mapa de Riesgos'!$A$70),"")</f>
        <v/>
      </c>
      <c r="AI28" s="546"/>
      <c r="AJ28" s="546" t="str">
        <f>IF(AND('Mapa de Riesgos'!$H$108="Media",'Mapa de Riesgos'!$L$108="Catastrófico"),CONCATENATE("R",'Mapa de Riesgos'!$A$108),"")</f>
        <v/>
      </c>
      <c r="AK28" s="546"/>
      <c r="AL28" s="546" t="str">
        <f>IF(AND('Mapa de Riesgos'!$H$114="Media",'Mapa de Riesgos'!$L$114="Catastrófico"),CONCATENATE("R",'Mapa de Riesgos'!$A$114),"")</f>
        <v/>
      </c>
      <c r="AM28" s="547"/>
      <c r="AN28" s="81"/>
      <c r="AO28" s="510"/>
      <c r="AP28" s="511"/>
      <c r="AQ28" s="511"/>
      <c r="AR28" s="511"/>
      <c r="AS28" s="511"/>
      <c r="AT28" s="512"/>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87"/>
      <c r="C29" s="487"/>
      <c r="D29" s="488"/>
      <c r="E29" s="531"/>
      <c r="F29" s="532"/>
      <c r="G29" s="532"/>
      <c r="H29" s="532"/>
      <c r="I29" s="533"/>
      <c r="J29" s="554"/>
      <c r="K29" s="555"/>
      <c r="L29" s="555"/>
      <c r="M29" s="555"/>
      <c r="N29" s="555"/>
      <c r="O29" s="556"/>
      <c r="P29" s="557"/>
      <c r="Q29" s="558"/>
      <c r="R29" s="558"/>
      <c r="S29" s="558"/>
      <c r="T29" s="558"/>
      <c r="U29" s="559"/>
      <c r="V29" s="557"/>
      <c r="W29" s="558"/>
      <c r="X29" s="558"/>
      <c r="Y29" s="558"/>
      <c r="Z29" s="558"/>
      <c r="AA29" s="559"/>
      <c r="AB29" s="542"/>
      <c r="AC29" s="543"/>
      <c r="AD29" s="543"/>
      <c r="AE29" s="543"/>
      <c r="AF29" s="543"/>
      <c r="AG29" s="544"/>
      <c r="AH29" s="548"/>
      <c r="AI29" s="549"/>
      <c r="AJ29" s="549"/>
      <c r="AK29" s="549"/>
      <c r="AL29" s="549"/>
      <c r="AM29" s="550"/>
      <c r="AN29" s="81"/>
      <c r="AO29" s="513"/>
      <c r="AP29" s="514"/>
      <c r="AQ29" s="514"/>
      <c r="AR29" s="514"/>
      <c r="AS29" s="514"/>
      <c r="AT29" s="515"/>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87"/>
      <c r="C30" s="487"/>
      <c r="D30" s="488"/>
      <c r="E30" s="525" t="s">
        <v>272</v>
      </c>
      <c r="F30" s="526"/>
      <c r="G30" s="526"/>
      <c r="H30" s="526"/>
      <c r="I30" s="526"/>
      <c r="J30" s="569" t="str">
        <f>IF(AND('Mapa de Riesgos'!$H$12="Baja",'Mapa de Riesgos'!$L$12="Leve"),CONCATENATE("R",'Mapa de Riesgos'!$A$12),"")</f>
        <v/>
      </c>
      <c r="K30" s="570"/>
      <c r="L30" s="570" t="str">
        <f>IF(AND('Mapa de Riesgos'!$H$18="Baja",'Mapa de Riesgos'!$L$18="Leve"),CONCATENATE("R",'Mapa de Riesgos'!$A$18),"")</f>
        <v/>
      </c>
      <c r="M30" s="570"/>
      <c r="N30" s="570" t="str">
        <f>IF(AND('Mapa de Riesgos'!$H$24="Baja",'Mapa de Riesgos'!$L$24="Leve"),CONCATENATE("R",'Mapa de Riesgos'!$A$24),"")</f>
        <v/>
      </c>
      <c r="O30" s="571"/>
      <c r="P30" s="561" t="str">
        <f>IF(AND('Mapa de Riesgos'!$H$12="Baja",'Mapa de Riesgos'!$L$12="Menor"),CONCATENATE("R",'Mapa de Riesgos'!$A$12),"")</f>
        <v/>
      </c>
      <c r="Q30" s="561"/>
      <c r="R30" s="561" t="str">
        <f>IF(AND('Mapa de Riesgos'!$H$18="Baja",'Mapa de Riesgos'!$L$18="Menor"),CONCATENATE("R",'Mapa de Riesgos'!$A$18),"")</f>
        <v/>
      </c>
      <c r="S30" s="561"/>
      <c r="T30" s="561" t="str">
        <f>IF(AND('Mapa de Riesgos'!$H$24="Baja",'Mapa de Riesgos'!$L$24="Menor"),CONCATENATE("R",'Mapa de Riesgos'!$A$24),"")</f>
        <v/>
      </c>
      <c r="U30" s="562"/>
      <c r="V30" s="560" t="str">
        <f>IF(AND('Mapa de Riesgos'!$H$12="Baja",'Mapa de Riesgos'!$L$12="Moderado"),CONCATENATE("R",'Mapa de Riesgos'!$A$12),"")</f>
        <v/>
      </c>
      <c r="W30" s="561"/>
      <c r="X30" s="561" t="str">
        <f>IF(AND('Mapa de Riesgos'!$H$18="Baja",'Mapa de Riesgos'!$L$18="Moderado"),CONCATENATE("R",'Mapa de Riesgos'!$A$18),"")</f>
        <v/>
      </c>
      <c r="Y30" s="561"/>
      <c r="Z30" s="561" t="str">
        <f>IF(AND('Mapa de Riesgos'!$H$24="Baja",'Mapa de Riesgos'!$L$24="Moderado"),CONCATENATE("R",'Mapa de Riesgos'!$A$24),"")</f>
        <v/>
      </c>
      <c r="AA30" s="562"/>
      <c r="AB30" s="536" t="str">
        <f>IF(AND('Mapa de Riesgos'!$H$12="Baja",'Mapa de Riesgos'!$L$12="Mayor"),CONCATENATE("R",'Mapa de Riesgos'!$A$12),"")</f>
        <v/>
      </c>
      <c r="AC30" s="537"/>
      <c r="AD30" s="537" t="str">
        <f>IF(AND('Mapa de Riesgos'!$H$18="Baja",'Mapa de Riesgos'!$L$18="Mayor"),CONCATENATE("R",'Mapa de Riesgos'!$A$18),"")</f>
        <v/>
      </c>
      <c r="AE30" s="537"/>
      <c r="AF30" s="537" t="str">
        <f>IF(AND('Mapa de Riesgos'!$H$24="Baja",'Mapa de Riesgos'!$L$24="Mayor"),CONCATENATE("R",'Mapa de Riesgos'!$A$24),"")</f>
        <v/>
      </c>
      <c r="AG30" s="539"/>
      <c r="AH30" s="551" t="str">
        <f>IF(AND('Mapa de Riesgos'!$H$12="Baja",'Mapa de Riesgos'!$L$12="Catastrófico"),CONCATENATE("R",'Mapa de Riesgos'!$A$12),"")</f>
        <v/>
      </c>
      <c r="AI30" s="552"/>
      <c r="AJ30" s="552" t="str">
        <f>IF(AND('Mapa de Riesgos'!$H$18="Baja",'Mapa de Riesgos'!$L$18="Catastrófico"),CONCATENATE("R",'Mapa de Riesgos'!$A$18),"")</f>
        <v/>
      </c>
      <c r="AK30" s="552"/>
      <c r="AL30" s="552" t="str">
        <f>IF(AND('Mapa de Riesgos'!$H$24="Baja",'Mapa de Riesgos'!$L$24="Catastrófico"),CONCATENATE("R",'Mapa de Riesgos'!$A$24),"")</f>
        <v/>
      </c>
      <c r="AM30" s="553"/>
      <c r="AN30" s="81"/>
      <c r="AO30" s="516" t="s">
        <v>273</v>
      </c>
      <c r="AP30" s="517"/>
      <c r="AQ30" s="517"/>
      <c r="AR30" s="517"/>
      <c r="AS30" s="517"/>
      <c r="AT30" s="518"/>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87"/>
      <c r="C31" s="487"/>
      <c r="D31" s="488"/>
      <c r="E31" s="528"/>
      <c r="F31" s="529"/>
      <c r="G31" s="529"/>
      <c r="H31" s="529"/>
      <c r="I31" s="529"/>
      <c r="J31" s="565"/>
      <c r="K31" s="563"/>
      <c r="L31" s="563"/>
      <c r="M31" s="563"/>
      <c r="N31" s="563"/>
      <c r="O31" s="564"/>
      <c r="P31" s="555"/>
      <c r="Q31" s="555"/>
      <c r="R31" s="555"/>
      <c r="S31" s="555"/>
      <c r="T31" s="555"/>
      <c r="U31" s="556"/>
      <c r="V31" s="554"/>
      <c r="W31" s="555"/>
      <c r="X31" s="555"/>
      <c r="Y31" s="555"/>
      <c r="Z31" s="555"/>
      <c r="AA31" s="556"/>
      <c r="AB31" s="538"/>
      <c r="AC31" s="534"/>
      <c r="AD31" s="534"/>
      <c r="AE31" s="534"/>
      <c r="AF31" s="534"/>
      <c r="AG31" s="535"/>
      <c r="AH31" s="545"/>
      <c r="AI31" s="546"/>
      <c r="AJ31" s="546"/>
      <c r="AK31" s="546"/>
      <c r="AL31" s="546"/>
      <c r="AM31" s="547"/>
      <c r="AN31" s="81"/>
      <c r="AO31" s="519"/>
      <c r="AP31" s="520"/>
      <c r="AQ31" s="520"/>
      <c r="AR31" s="520"/>
      <c r="AS31" s="520"/>
      <c r="AT31" s="52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87"/>
      <c r="C32" s="487"/>
      <c r="D32" s="488"/>
      <c r="E32" s="528"/>
      <c r="F32" s="529"/>
      <c r="G32" s="529"/>
      <c r="H32" s="529"/>
      <c r="I32" s="529"/>
      <c r="J32" s="565" t="str">
        <f>IF(AND('Mapa de Riesgos'!$H$30="Baja",'Mapa de Riesgos'!$L$30="Leve"),CONCATENATE("R",'Mapa de Riesgos'!$A$30),"")</f>
        <v/>
      </c>
      <c r="K32" s="563"/>
      <c r="L32" s="563" t="str">
        <f>IF(AND('Mapa de Riesgos'!$H$36="Baja",'Mapa de Riesgos'!$L$36="Leve"),CONCATENATE("R",'Mapa de Riesgos'!$A$36),"")</f>
        <v/>
      </c>
      <c r="M32" s="563"/>
      <c r="N32" s="563" t="str">
        <f>IF(AND('Mapa de Riesgos'!$H$42="Baja",'Mapa de Riesgos'!$L$42="Leve"),CONCATENATE("R",'Mapa de Riesgos'!$A$42),"")</f>
        <v/>
      </c>
      <c r="O32" s="564"/>
      <c r="P32" s="555" t="str">
        <f>IF(AND('Mapa de Riesgos'!$H$30="Baja",'Mapa de Riesgos'!$L$30="Menor"),CONCATENATE("R",'Mapa de Riesgos'!$A$30),"")</f>
        <v/>
      </c>
      <c r="Q32" s="555"/>
      <c r="R32" s="555" t="str">
        <f>IF(AND('Mapa de Riesgos'!$H$36="Baja",'Mapa de Riesgos'!$L$36="Menor"),CONCATENATE("R",'Mapa de Riesgos'!$A$36),"")</f>
        <v/>
      </c>
      <c r="S32" s="555"/>
      <c r="T32" s="555" t="str">
        <f>IF(AND('Mapa de Riesgos'!$H$42="Baja",'Mapa de Riesgos'!$L$42="Menor"),CONCATENATE("R",'Mapa de Riesgos'!$A$42),"")</f>
        <v/>
      </c>
      <c r="U32" s="556"/>
      <c r="V32" s="554" t="str">
        <f>IF(AND('Mapa de Riesgos'!$H$30="Baja",'Mapa de Riesgos'!$L$30="Moderado"),CONCATENATE("R",'Mapa de Riesgos'!$A$30),"")</f>
        <v/>
      </c>
      <c r="W32" s="555"/>
      <c r="X32" s="555" t="str">
        <f>IF(AND('Mapa de Riesgos'!$H$36="Baja",'Mapa de Riesgos'!$L$36="Moderado"),CONCATENATE("R",'Mapa de Riesgos'!$A$36),"")</f>
        <v/>
      </c>
      <c r="Y32" s="555"/>
      <c r="Z32" s="555" t="str">
        <f>IF(AND('Mapa de Riesgos'!$H$42="Baja",'Mapa de Riesgos'!$L$42="Moderado"),CONCATENATE("R",'Mapa de Riesgos'!$A$42),"")</f>
        <v/>
      </c>
      <c r="AA32" s="556"/>
      <c r="AB32" s="538" t="str">
        <f>IF(AND('Mapa de Riesgos'!$H$30="Baja",'Mapa de Riesgos'!$L$30="Mayor"),CONCATENATE("R",'Mapa de Riesgos'!$A$30),"")</f>
        <v/>
      </c>
      <c r="AC32" s="534"/>
      <c r="AD32" s="534" t="str">
        <f>IF(AND('Mapa de Riesgos'!$H$36="Baja",'Mapa de Riesgos'!$L$36="Mayor"),CONCATENATE("R",'Mapa de Riesgos'!$A$36),"")</f>
        <v/>
      </c>
      <c r="AE32" s="534"/>
      <c r="AF32" s="534" t="str">
        <f>IF(AND('Mapa de Riesgos'!$H$42="Baja",'Mapa de Riesgos'!$L$42="Mayor"),CONCATENATE("R",'Mapa de Riesgos'!$A$42),"")</f>
        <v/>
      </c>
      <c r="AG32" s="535"/>
      <c r="AH32" s="545" t="str">
        <f>IF(AND('Mapa de Riesgos'!$H$30="Baja",'Mapa de Riesgos'!$L$30="Catastrófico"),CONCATENATE("R",'Mapa de Riesgos'!$A$30),"")</f>
        <v/>
      </c>
      <c r="AI32" s="546"/>
      <c r="AJ32" s="546" t="str">
        <f>IF(AND('Mapa de Riesgos'!$H$36="Baja",'Mapa de Riesgos'!$L$36="Catastrófico"),CONCATENATE("R",'Mapa de Riesgos'!$A$36),"")</f>
        <v/>
      </c>
      <c r="AK32" s="546"/>
      <c r="AL32" s="546" t="str">
        <f>IF(AND('Mapa de Riesgos'!$H$42="Baja",'Mapa de Riesgos'!$L$42="Catastrófico"),CONCATENATE("R",'Mapa de Riesgos'!$A$42),"")</f>
        <v/>
      </c>
      <c r="AM32" s="547"/>
      <c r="AN32" s="81"/>
      <c r="AO32" s="519"/>
      <c r="AP32" s="520"/>
      <c r="AQ32" s="520"/>
      <c r="AR32" s="520"/>
      <c r="AS32" s="520"/>
      <c r="AT32" s="52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87"/>
      <c r="C33" s="487"/>
      <c r="D33" s="488"/>
      <c r="E33" s="528"/>
      <c r="F33" s="529"/>
      <c r="G33" s="529"/>
      <c r="H33" s="529"/>
      <c r="I33" s="529"/>
      <c r="J33" s="565"/>
      <c r="K33" s="563"/>
      <c r="L33" s="563"/>
      <c r="M33" s="563"/>
      <c r="N33" s="563"/>
      <c r="O33" s="564"/>
      <c r="P33" s="555"/>
      <c r="Q33" s="555"/>
      <c r="R33" s="555"/>
      <c r="S33" s="555"/>
      <c r="T33" s="555"/>
      <c r="U33" s="556"/>
      <c r="V33" s="554"/>
      <c r="W33" s="555"/>
      <c r="X33" s="555"/>
      <c r="Y33" s="555"/>
      <c r="Z33" s="555"/>
      <c r="AA33" s="556"/>
      <c r="AB33" s="538"/>
      <c r="AC33" s="534"/>
      <c r="AD33" s="534"/>
      <c r="AE33" s="534"/>
      <c r="AF33" s="534"/>
      <c r="AG33" s="535"/>
      <c r="AH33" s="545"/>
      <c r="AI33" s="546"/>
      <c r="AJ33" s="546"/>
      <c r="AK33" s="546"/>
      <c r="AL33" s="546"/>
      <c r="AM33" s="547"/>
      <c r="AN33" s="81"/>
      <c r="AO33" s="519"/>
      <c r="AP33" s="520"/>
      <c r="AQ33" s="520"/>
      <c r="AR33" s="520"/>
      <c r="AS33" s="520"/>
      <c r="AT33" s="52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87"/>
      <c r="C34" s="487"/>
      <c r="D34" s="488"/>
      <c r="E34" s="528"/>
      <c r="F34" s="529"/>
      <c r="G34" s="529"/>
      <c r="H34" s="529"/>
      <c r="I34" s="529"/>
      <c r="J34" s="565" t="str">
        <f>IF(AND('Mapa de Riesgos'!$H$49="Baja",'Mapa de Riesgos'!$L$49="Leve"),CONCATENATE("R",'Mapa de Riesgos'!$A$49),"")</f>
        <v/>
      </c>
      <c r="K34" s="563"/>
      <c r="L34" s="563" t="str">
        <f>IF(AND('Mapa de Riesgos'!$H$56="Baja",'Mapa de Riesgos'!$L$56="Leve"),CONCATENATE("R",'Mapa de Riesgos'!$A$56),"")</f>
        <v/>
      </c>
      <c r="M34" s="563"/>
      <c r="N34" s="563" t="str">
        <f>IF(AND('Mapa de Riesgos'!$H$64="Baja",'Mapa de Riesgos'!$L$64="Leve"),CONCATENATE("R",'Mapa de Riesgos'!$A$64),"")</f>
        <v/>
      </c>
      <c r="O34" s="564"/>
      <c r="P34" s="555" t="str">
        <f>IF(AND('Mapa de Riesgos'!$H$49="Baja",'Mapa de Riesgos'!$L$49="Menor"),CONCATENATE("R",'Mapa de Riesgos'!$A$49),"")</f>
        <v/>
      </c>
      <c r="Q34" s="555"/>
      <c r="R34" s="555" t="str">
        <f>IF(AND('Mapa de Riesgos'!$H$56="Baja",'Mapa de Riesgos'!$L$56="Menor"),CONCATENATE("R",'Mapa de Riesgos'!$A$56),"")</f>
        <v/>
      </c>
      <c r="S34" s="555"/>
      <c r="T34" s="555" t="str">
        <f>IF(AND('Mapa de Riesgos'!$H$64="Baja",'Mapa de Riesgos'!$L$64="Menor"),CONCATENATE("R",'Mapa de Riesgos'!$A$64),"")</f>
        <v/>
      </c>
      <c r="U34" s="556"/>
      <c r="V34" s="554" t="str">
        <f>IF(AND('Mapa de Riesgos'!$H$49="Baja",'Mapa de Riesgos'!$L$49="Moderado"),CONCATENATE("R",'Mapa de Riesgos'!$A$49),"")</f>
        <v>R7</v>
      </c>
      <c r="W34" s="555"/>
      <c r="X34" s="555" t="str">
        <f>IF(AND('Mapa de Riesgos'!$H$56="Baja",'Mapa de Riesgos'!$L$56="Moderado"),CONCATENATE("R",'Mapa de Riesgos'!$A$56),"")</f>
        <v/>
      </c>
      <c r="Y34" s="555"/>
      <c r="Z34" s="555" t="str">
        <f>IF(AND('Mapa de Riesgos'!$H$64="Baja",'Mapa de Riesgos'!$L$64="Moderado"),CONCATENATE("R",'Mapa de Riesgos'!$A$64),"")</f>
        <v/>
      </c>
      <c r="AA34" s="556"/>
      <c r="AB34" s="538" t="str">
        <f>IF(AND('Mapa de Riesgos'!$H$49="Baja",'Mapa de Riesgos'!$L$49="Mayor"),CONCATENATE("R",'Mapa de Riesgos'!$A$49),"")</f>
        <v/>
      </c>
      <c r="AC34" s="534"/>
      <c r="AD34" s="534" t="str">
        <f>IF(AND('Mapa de Riesgos'!$H$56="Baja",'Mapa de Riesgos'!$L$56="Mayor"),CONCATENATE("R",'Mapa de Riesgos'!$A$56),"")</f>
        <v/>
      </c>
      <c r="AE34" s="534"/>
      <c r="AF34" s="534" t="str">
        <f>IF(AND('Mapa de Riesgos'!$H$64="Baja",'Mapa de Riesgos'!$L$64="Mayor"),CONCATENATE("R",'Mapa de Riesgos'!$A$64),"")</f>
        <v/>
      </c>
      <c r="AG34" s="535"/>
      <c r="AH34" s="545" t="str">
        <f>IF(AND('Mapa de Riesgos'!$H$49="Baja",'Mapa de Riesgos'!$L$49="Catastrófico"),CONCATENATE("R",'Mapa de Riesgos'!$A$49),"")</f>
        <v/>
      </c>
      <c r="AI34" s="546"/>
      <c r="AJ34" s="546" t="str">
        <f>IF(AND('Mapa de Riesgos'!$H$56="Baja",'Mapa de Riesgos'!$L$56="Catastrófico"),CONCATENATE("R",'Mapa de Riesgos'!$A$56),"")</f>
        <v/>
      </c>
      <c r="AK34" s="546"/>
      <c r="AL34" s="546" t="str">
        <f>IF(AND('Mapa de Riesgos'!$H$64="Baja",'Mapa de Riesgos'!$L$64="Catastrófico"),CONCATENATE("R",'Mapa de Riesgos'!$A$64),"")</f>
        <v/>
      </c>
      <c r="AM34" s="547"/>
      <c r="AN34" s="81"/>
      <c r="AO34" s="519"/>
      <c r="AP34" s="520"/>
      <c r="AQ34" s="520"/>
      <c r="AR34" s="520"/>
      <c r="AS34" s="520"/>
      <c r="AT34" s="52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87"/>
      <c r="C35" s="487"/>
      <c r="D35" s="488"/>
      <c r="E35" s="528"/>
      <c r="F35" s="529"/>
      <c r="G35" s="529"/>
      <c r="H35" s="529"/>
      <c r="I35" s="529"/>
      <c r="J35" s="565"/>
      <c r="K35" s="563"/>
      <c r="L35" s="563"/>
      <c r="M35" s="563"/>
      <c r="N35" s="563"/>
      <c r="O35" s="564"/>
      <c r="P35" s="555"/>
      <c r="Q35" s="555"/>
      <c r="R35" s="555"/>
      <c r="S35" s="555"/>
      <c r="T35" s="555"/>
      <c r="U35" s="556"/>
      <c r="V35" s="554"/>
      <c r="W35" s="555"/>
      <c r="X35" s="555"/>
      <c r="Y35" s="555"/>
      <c r="Z35" s="555"/>
      <c r="AA35" s="556"/>
      <c r="AB35" s="538"/>
      <c r="AC35" s="534"/>
      <c r="AD35" s="534"/>
      <c r="AE35" s="534"/>
      <c r="AF35" s="534"/>
      <c r="AG35" s="535"/>
      <c r="AH35" s="545"/>
      <c r="AI35" s="546"/>
      <c r="AJ35" s="546"/>
      <c r="AK35" s="546"/>
      <c r="AL35" s="546"/>
      <c r="AM35" s="547"/>
      <c r="AN35" s="81"/>
      <c r="AO35" s="519"/>
      <c r="AP35" s="520"/>
      <c r="AQ35" s="520"/>
      <c r="AR35" s="520"/>
      <c r="AS35" s="520"/>
      <c r="AT35" s="52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87"/>
      <c r="C36" s="487"/>
      <c r="D36" s="488"/>
      <c r="E36" s="528"/>
      <c r="F36" s="529"/>
      <c r="G36" s="529"/>
      <c r="H36" s="529"/>
      <c r="I36" s="529"/>
      <c r="J36" s="565" t="str">
        <f>IF(AND('Mapa de Riesgos'!$H$70="Baja",'Mapa de Riesgos'!$L$70="Leve"),CONCATENATE("R",'Mapa de Riesgos'!$A$70),"")</f>
        <v/>
      </c>
      <c r="K36" s="563"/>
      <c r="L36" s="563" t="str">
        <f>IF(AND('Mapa de Riesgos'!$H$108="Baja",'Mapa de Riesgos'!$L$108="Leve"),CONCATENATE("R",'Mapa de Riesgos'!$A$108),"")</f>
        <v/>
      </c>
      <c r="M36" s="563"/>
      <c r="N36" s="563" t="str">
        <f>IF(AND('Mapa de Riesgos'!$H$114="Baja",'Mapa de Riesgos'!$L$114="Leve"),CONCATENATE("R",'Mapa de Riesgos'!$A$114),"")</f>
        <v/>
      </c>
      <c r="O36" s="564"/>
      <c r="P36" s="555" t="str">
        <f>IF(AND('Mapa de Riesgos'!$H$70="Baja",'Mapa de Riesgos'!$L$70="Menor"),CONCATENATE("R",'Mapa de Riesgos'!$A$70),"")</f>
        <v/>
      </c>
      <c r="Q36" s="555"/>
      <c r="R36" s="555" t="str">
        <f>IF(AND('Mapa de Riesgos'!$H$108="Baja",'Mapa de Riesgos'!$L$108="Menor"),CONCATENATE("R",'Mapa de Riesgos'!$A$108),"")</f>
        <v/>
      </c>
      <c r="S36" s="555"/>
      <c r="T36" s="555" t="str">
        <f>IF(AND('Mapa de Riesgos'!$H$114="Baja",'Mapa de Riesgos'!$L$114="Menor"),CONCATENATE("R",'Mapa de Riesgos'!$A$114),"")</f>
        <v/>
      </c>
      <c r="U36" s="556"/>
      <c r="V36" s="554" t="str">
        <f>IF(AND('Mapa de Riesgos'!$H$70="Baja",'Mapa de Riesgos'!$L$70="Moderado"),CONCATENATE("R",'Mapa de Riesgos'!$A$70),"")</f>
        <v/>
      </c>
      <c r="W36" s="555"/>
      <c r="X36" s="555" t="str">
        <f>IF(AND('Mapa de Riesgos'!$H$108="Baja",'Mapa de Riesgos'!$L$108="Moderado"),CONCATENATE("R",'Mapa de Riesgos'!$A$108),"")</f>
        <v/>
      </c>
      <c r="Y36" s="555"/>
      <c r="Z36" s="555" t="str">
        <f>IF(AND('Mapa de Riesgos'!$H$114="Baja",'Mapa de Riesgos'!$L$114="Moderado"),CONCATENATE("R",'Mapa de Riesgos'!$A$114),"")</f>
        <v/>
      </c>
      <c r="AA36" s="556"/>
      <c r="AB36" s="538" t="str">
        <f>IF(AND('Mapa de Riesgos'!$H$70="Baja",'Mapa de Riesgos'!$L$70="Mayor"),CONCATENATE("R",'Mapa de Riesgos'!$A$70),"")</f>
        <v/>
      </c>
      <c r="AC36" s="534"/>
      <c r="AD36" s="534" t="str">
        <f>IF(AND('Mapa de Riesgos'!$H$108="Baja",'Mapa de Riesgos'!$L$108="Mayor"),CONCATENATE("R",'Mapa de Riesgos'!$A$108),"")</f>
        <v/>
      </c>
      <c r="AE36" s="534"/>
      <c r="AF36" s="534" t="str">
        <f>IF(AND('Mapa de Riesgos'!$H$114="Baja",'Mapa de Riesgos'!$L$114="Mayor"),CONCATENATE("R",'Mapa de Riesgos'!$A$114),"")</f>
        <v/>
      </c>
      <c r="AG36" s="535"/>
      <c r="AH36" s="545" t="str">
        <f>IF(AND('Mapa de Riesgos'!$H$70="Baja",'Mapa de Riesgos'!$L$70="Catastrófico"),CONCATENATE("R",'Mapa de Riesgos'!$A$70),"")</f>
        <v/>
      </c>
      <c r="AI36" s="546"/>
      <c r="AJ36" s="546" t="str">
        <f>IF(AND('Mapa de Riesgos'!$H$108="Baja",'Mapa de Riesgos'!$L$108="Catastrófico"),CONCATENATE("R",'Mapa de Riesgos'!$A$108),"")</f>
        <v/>
      </c>
      <c r="AK36" s="546"/>
      <c r="AL36" s="546" t="str">
        <f>IF(AND('Mapa de Riesgos'!$H$114="Baja",'Mapa de Riesgos'!$L$114="Catastrófico"),CONCATENATE("R",'Mapa de Riesgos'!$A$114),"")</f>
        <v/>
      </c>
      <c r="AM36" s="547"/>
      <c r="AN36" s="81"/>
      <c r="AO36" s="519"/>
      <c r="AP36" s="520"/>
      <c r="AQ36" s="520"/>
      <c r="AR36" s="520"/>
      <c r="AS36" s="520"/>
      <c r="AT36" s="52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87"/>
      <c r="C37" s="487"/>
      <c r="D37" s="488"/>
      <c r="E37" s="531"/>
      <c r="F37" s="532"/>
      <c r="G37" s="532"/>
      <c r="H37" s="532"/>
      <c r="I37" s="532"/>
      <c r="J37" s="566"/>
      <c r="K37" s="567"/>
      <c r="L37" s="567"/>
      <c r="M37" s="567"/>
      <c r="N37" s="567"/>
      <c r="O37" s="568"/>
      <c r="P37" s="558"/>
      <c r="Q37" s="558"/>
      <c r="R37" s="558"/>
      <c r="S37" s="558"/>
      <c r="T37" s="558"/>
      <c r="U37" s="559"/>
      <c r="V37" s="557"/>
      <c r="W37" s="558"/>
      <c r="X37" s="558"/>
      <c r="Y37" s="558"/>
      <c r="Z37" s="558"/>
      <c r="AA37" s="559"/>
      <c r="AB37" s="542"/>
      <c r="AC37" s="543"/>
      <c r="AD37" s="543"/>
      <c r="AE37" s="543"/>
      <c r="AF37" s="543"/>
      <c r="AG37" s="544"/>
      <c r="AH37" s="548"/>
      <c r="AI37" s="549"/>
      <c r="AJ37" s="549"/>
      <c r="AK37" s="549"/>
      <c r="AL37" s="549"/>
      <c r="AM37" s="550"/>
      <c r="AN37" s="81"/>
      <c r="AO37" s="522"/>
      <c r="AP37" s="523"/>
      <c r="AQ37" s="523"/>
      <c r="AR37" s="523"/>
      <c r="AS37" s="523"/>
      <c r="AT37" s="524"/>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87"/>
      <c r="C38" s="487"/>
      <c r="D38" s="488"/>
      <c r="E38" s="525" t="s">
        <v>274</v>
      </c>
      <c r="F38" s="526"/>
      <c r="G38" s="526"/>
      <c r="H38" s="526"/>
      <c r="I38" s="527"/>
      <c r="J38" s="569" t="str">
        <f>IF(AND('Mapa de Riesgos'!$H$12="Muy Baja",'Mapa de Riesgos'!$L$12="Leve"),CONCATENATE("R",'Mapa de Riesgos'!$A$12),"")</f>
        <v/>
      </c>
      <c r="K38" s="570"/>
      <c r="L38" s="570" t="str">
        <f>IF(AND('Mapa de Riesgos'!$H$18="Muy Baja",'Mapa de Riesgos'!$L$18="Leve"),CONCATENATE("R",'Mapa de Riesgos'!$A$18),"")</f>
        <v/>
      </c>
      <c r="M38" s="570"/>
      <c r="N38" s="570" t="str">
        <f>IF(AND('Mapa de Riesgos'!$H$24="Muy Baja",'Mapa de Riesgos'!$L$24="Leve"),CONCATENATE("R",'Mapa de Riesgos'!$A$24),"")</f>
        <v/>
      </c>
      <c r="O38" s="571"/>
      <c r="P38" s="569" t="str">
        <f>IF(AND('Mapa de Riesgos'!$H$12="Muy Baja",'Mapa de Riesgos'!$L$12="Menor"),CONCATENATE("R",'Mapa de Riesgos'!$A$12),"")</f>
        <v/>
      </c>
      <c r="Q38" s="570"/>
      <c r="R38" s="570" t="str">
        <f>IF(AND('Mapa de Riesgos'!$H$18="Muy Baja",'Mapa de Riesgos'!$L$18="Menor"),CONCATENATE("R",'Mapa de Riesgos'!$A$18),"")</f>
        <v/>
      </c>
      <c r="S38" s="570"/>
      <c r="T38" s="570" t="str">
        <f>IF(AND('Mapa de Riesgos'!$H$24="Muy Baja",'Mapa de Riesgos'!$L$24="Menor"),CONCATENATE("R",'Mapa de Riesgos'!$A$24),"")</f>
        <v/>
      </c>
      <c r="U38" s="571"/>
      <c r="V38" s="560" t="str">
        <f>IF(AND('Mapa de Riesgos'!$H$12="Muy Baja",'Mapa de Riesgos'!$L$12="Moderado"),CONCATENATE("R",'Mapa de Riesgos'!$A$12),"")</f>
        <v/>
      </c>
      <c r="W38" s="561"/>
      <c r="X38" s="561" t="str">
        <f>IF(AND('Mapa de Riesgos'!$H$18="Muy Baja",'Mapa de Riesgos'!$L$18="Moderado"),CONCATENATE("R",'Mapa de Riesgos'!$A$18),"")</f>
        <v/>
      </c>
      <c r="Y38" s="561"/>
      <c r="Z38" s="561" t="str">
        <f>IF(AND('Mapa de Riesgos'!$H$24="Muy Baja",'Mapa de Riesgos'!$L$24="Moderado"),CONCATENATE("R",'Mapa de Riesgos'!$A$24),"")</f>
        <v/>
      </c>
      <c r="AA38" s="562"/>
      <c r="AB38" s="536" t="str">
        <f>IF(AND('Mapa de Riesgos'!$H$12="Muy Baja",'Mapa de Riesgos'!$L$12="Mayor"),CONCATENATE("R",'Mapa de Riesgos'!$A$12),"")</f>
        <v/>
      </c>
      <c r="AC38" s="537"/>
      <c r="AD38" s="537" t="str">
        <f>IF(AND('Mapa de Riesgos'!$H$18="Muy Baja",'Mapa de Riesgos'!$L$18="Mayor"),CONCATENATE("R",'Mapa de Riesgos'!$A$18),"")</f>
        <v/>
      </c>
      <c r="AE38" s="537"/>
      <c r="AF38" s="537" t="str">
        <f>IF(AND('Mapa de Riesgos'!$H$24="Muy Baja",'Mapa de Riesgos'!$L$24="Mayor"),CONCATENATE("R",'Mapa de Riesgos'!$A$24),"")</f>
        <v/>
      </c>
      <c r="AG38" s="539"/>
      <c r="AH38" s="551" t="str">
        <f>IF(AND('Mapa de Riesgos'!$H$12="Muy Baja",'Mapa de Riesgos'!$L$12="Catastrófico"),CONCATENATE("R",'Mapa de Riesgos'!$A$12),"")</f>
        <v/>
      </c>
      <c r="AI38" s="552"/>
      <c r="AJ38" s="552" t="str">
        <f>IF(AND('Mapa de Riesgos'!$H$18="Muy Baja",'Mapa de Riesgos'!$L$18="Catastrófico"),CONCATENATE("R",'Mapa de Riesgos'!$A$18),"")</f>
        <v/>
      </c>
      <c r="AK38" s="552"/>
      <c r="AL38" s="552" t="str">
        <f>IF(AND('Mapa de Riesgos'!$H$24="Muy Baja",'Mapa de Riesgos'!$L$24="Catastrófico"),CONCATENATE("R",'Mapa de Riesgos'!$A$24),"")</f>
        <v/>
      </c>
      <c r="AM38" s="553"/>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87"/>
      <c r="C39" s="487"/>
      <c r="D39" s="488"/>
      <c r="E39" s="528"/>
      <c r="F39" s="529"/>
      <c r="G39" s="529"/>
      <c r="H39" s="529"/>
      <c r="I39" s="530"/>
      <c r="J39" s="565"/>
      <c r="K39" s="563"/>
      <c r="L39" s="563"/>
      <c r="M39" s="563"/>
      <c r="N39" s="563"/>
      <c r="O39" s="564"/>
      <c r="P39" s="565"/>
      <c r="Q39" s="563"/>
      <c r="R39" s="563"/>
      <c r="S39" s="563"/>
      <c r="T39" s="563"/>
      <c r="U39" s="564"/>
      <c r="V39" s="554"/>
      <c r="W39" s="555"/>
      <c r="X39" s="555"/>
      <c r="Y39" s="555"/>
      <c r="Z39" s="555"/>
      <c r="AA39" s="556"/>
      <c r="AB39" s="538"/>
      <c r="AC39" s="534"/>
      <c r="AD39" s="534"/>
      <c r="AE39" s="534"/>
      <c r="AF39" s="534"/>
      <c r="AG39" s="535"/>
      <c r="AH39" s="545"/>
      <c r="AI39" s="546"/>
      <c r="AJ39" s="546"/>
      <c r="AK39" s="546"/>
      <c r="AL39" s="546"/>
      <c r="AM39" s="547"/>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87"/>
      <c r="C40" s="487"/>
      <c r="D40" s="488"/>
      <c r="E40" s="528"/>
      <c r="F40" s="529"/>
      <c r="G40" s="529"/>
      <c r="H40" s="529"/>
      <c r="I40" s="530"/>
      <c r="J40" s="565" t="str">
        <f>IF(AND('Mapa de Riesgos'!$H$30="Muy Baja",'Mapa de Riesgos'!$L$30="Leve"),CONCATENATE("R",'Mapa de Riesgos'!$A$30),"")</f>
        <v/>
      </c>
      <c r="K40" s="563"/>
      <c r="L40" s="563" t="str">
        <f>IF(AND('Mapa de Riesgos'!$H$36="Muy Baja",'Mapa de Riesgos'!$L$36="Leve"),CONCATENATE("R",'Mapa de Riesgos'!$A$36),"")</f>
        <v/>
      </c>
      <c r="M40" s="563"/>
      <c r="N40" s="563" t="str">
        <f>IF(AND('Mapa de Riesgos'!$H$42="Muy Baja",'Mapa de Riesgos'!$L$42="Leve"),CONCATENATE("R",'Mapa de Riesgos'!$A$42),"")</f>
        <v/>
      </c>
      <c r="O40" s="564"/>
      <c r="P40" s="565" t="str">
        <f>IF(AND('Mapa de Riesgos'!$H$30="Muy Baja",'Mapa de Riesgos'!$L$30="Menor"),CONCATENATE("R",'Mapa de Riesgos'!$A$30),"")</f>
        <v/>
      </c>
      <c r="Q40" s="563"/>
      <c r="R40" s="563" t="str">
        <f>IF(AND('Mapa de Riesgos'!$H$36="Muy Baja",'Mapa de Riesgos'!$L$36="Menor"),CONCATENATE("R",'Mapa de Riesgos'!$A$36),"")</f>
        <v/>
      </c>
      <c r="S40" s="563"/>
      <c r="T40" s="563" t="str">
        <f>IF(AND('Mapa de Riesgos'!$H$42="Muy Baja",'Mapa de Riesgos'!$L$42="Menor"),CONCATENATE("R",'Mapa de Riesgos'!$A$42),"")</f>
        <v/>
      </c>
      <c r="U40" s="564"/>
      <c r="V40" s="554" t="str">
        <f>IF(AND('Mapa de Riesgos'!$H$30="Muy Baja",'Mapa de Riesgos'!$L$30="Moderado"),CONCATENATE("R",'Mapa de Riesgos'!$A$30),"")</f>
        <v/>
      </c>
      <c r="W40" s="555"/>
      <c r="X40" s="555" t="str">
        <f>IF(AND('Mapa de Riesgos'!$H$36="Muy Baja",'Mapa de Riesgos'!$L$36="Moderado"),CONCATENATE("R",'Mapa de Riesgos'!$A$36),"")</f>
        <v/>
      </c>
      <c r="Y40" s="555"/>
      <c r="Z40" s="555" t="str">
        <f>IF(AND('Mapa de Riesgos'!$H$42="Muy Baja",'Mapa de Riesgos'!$L$42="Moderado"),CONCATENATE("R",'Mapa de Riesgos'!$A$42),"")</f>
        <v/>
      </c>
      <c r="AA40" s="556"/>
      <c r="AB40" s="538" t="str">
        <f>IF(AND('Mapa de Riesgos'!$H$30="Muy Baja",'Mapa de Riesgos'!$L$30="Mayor"),CONCATENATE("R",'Mapa de Riesgos'!$A$30),"")</f>
        <v/>
      </c>
      <c r="AC40" s="534"/>
      <c r="AD40" s="534" t="str">
        <f>IF(AND('Mapa de Riesgos'!$H$36="Muy Baja",'Mapa de Riesgos'!$L$36="Mayor"),CONCATENATE("R",'Mapa de Riesgos'!$A$36),"")</f>
        <v/>
      </c>
      <c r="AE40" s="534"/>
      <c r="AF40" s="534" t="str">
        <f>IF(AND('Mapa de Riesgos'!$H$42="Muy Baja",'Mapa de Riesgos'!$L$42="Mayor"),CONCATENATE("R",'Mapa de Riesgos'!$A$42),"")</f>
        <v>R6</v>
      </c>
      <c r="AG40" s="535"/>
      <c r="AH40" s="545" t="str">
        <f>IF(AND('Mapa de Riesgos'!$H$30="Muy Baja",'Mapa de Riesgos'!$L$30="Catastrófico"),CONCATENATE("R",'Mapa de Riesgos'!$A$30),"")</f>
        <v/>
      </c>
      <c r="AI40" s="546"/>
      <c r="AJ40" s="546" t="str">
        <f>IF(AND('Mapa de Riesgos'!$H$36="Muy Baja",'Mapa de Riesgos'!$L$36="Catastrófico"),CONCATENATE("R",'Mapa de Riesgos'!$A$36),"")</f>
        <v/>
      </c>
      <c r="AK40" s="546"/>
      <c r="AL40" s="546" t="str">
        <f>IF(AND('Mapa de Riesgos'!$H$42="Muy Baja",'Mapa de Riesgos'!$L$42="Catastrófico"),CONCATENATE("R",'Mapa de Riesgos'!$A$42),"")</f>
        <v/>
      </c>
      <c r="AM40" s="547"/>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87"/>
      <c r="C41" s="487"/>
      <c r="D41" s="488"/>
      <c r="E41" s="528"/>
      <c r="F41" s="529"/>
      <c r="G41" s="529"/>
      <c r="H41" s="529"/>
      <c r="I41" s="530"/>
      <c r="J41" s="565"/>
      <c r="K41" s="563"/>
      <c r="L41" s="563"/>
      <c r="M41" s="563"/>
      <c r="N41" s="563"/>
      <c r="O41" s="564"/>
      <c r="P41" s="565"/>
      <c r="Q41" s="563"/>
      <c r="R41" s="563"/>
      <c r="S41" s="563"/>
      <c r="T41" s="563"/>
      <c r="U41" s="564"/>
      <c r="V41" s="554"/>
      <c r="W41" s="555"/>
      <c r="X41" s="555"/>
      <c r="Y41" s="555"/>
      <c r="Z41" s="555"/>
      <c r="AA41" s="556"/>
      <c r="AB41" s="538"/>
      <c r="AC41" s="534"/>
      <c r="AD41" s="534"/>
      <c r="AE41" s="534"/>
      <c r="AF41" s="534"/>
      <c r="AG41" s="535"/>
      <c r="AH41" s="545"/>
      <c r="AI41" s="546"/>
      <c r="AJ41" s="546"/>
      <c r="AK41" s="546"/>
      <c r="AL41" s="546"/>
      <c r="AM41" s="547"/>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87"/>
      <c r="C42" s="487"/>
      <c r="D42" s="488"/>
      <c r="E42" s="528"/>
      <c r="F42" s="529"/>
      <c r="G42" s="529"/>
      <c r="H42" s="529"/>
      <c r="I42" s="530"/>
      <c r="J42" s="565" t="str">
        <f>IF(AND('Mapa de Riesgos'!$H$49="Muy Baja",'Mapa de Riesgos'!$L$49="Leve"),CONCATENATE("R",'Mapa de Riesgos'!$A$49),"")</f>
        <v/>
      </c>
      <c r="K42" s="563"/>
      <c r="L42" s="563" t="str">
        <f>IF(AND('Mapa de Riesgos'!$H$56="Muy Baja",'Mapa de Riesgos'!$L$56="Leve"),CONCATENATE("R",'Mapa de Riesgos'!$A$56),"")</f>
        <v/>
      </c>
      <c r="M42" s="563"/>
      <c r="N42" s="563" t="str">
        <f>IF(AND('Mapa de Riesgos'!$H$64="Muy Baja",'Mapa de Riesgos'!$L$64="Leve"),CONCATENATE("R",'Mapa de Riesgos'!$A$64),"")</f>
        <v/>
      </c>
      <c r="O42" s="564"/>
      <c r="P42" s="565" t="str">
        <f>IF(AND('Mapa de Riesgos'!$H$49="Muy Baja",'Mapa de Riesgos'!$L$49="Menor"),CONCATENATE("R",'Mapa de Riesgos'!$A$49),"")</f>
        <v/>
      </c>
      <c r="Q42" s="563"/>
      <c r="R42" s="563" t="str">
        <f>IF(AND('Mapa de Riesgos'!$H$56="Muy Baja",'Mapa de Riesgos'!$L$56="Menor"),CONCATENATE("R",'Mapa de Riesgos'!$A$56),"")</f>
        <v/>
      </c>
      <c r="S42" s="563"/>
      <c r="T42" s="563" t="str">
        <f>IF(AND('Mapa de Riesgos'!$H$64="Muy Baja",'Mapa de Riesgos'!$L$64="Menor"),CONCATENATE("R",'Mapa de Riesgos'!$A$64),"")</f>
        <v/>
      </c>
      <c r="U42" s="564"/>
      <c r="V42" s="554" t="str">
        <f>IF(AND('Mapa de Riesgos'!$H$49="Muy Baja",'Mapa de Riesgos'!$L$49="Moderado"),CONCATENATE("R",'Mapa de Riesgos'!$A$49),"")</f>
        <v/>
      </c>
      <c r="W42" s="555"/>
      <c r="X42" s="555" t="str">
        <f>IF(AND('Mapa de Riesgos'!$H$56="Muy Baja",'Mapa de Riesgos'!$L$56="Moderado"),CONCATENATE("R",'Mapa de Riesgos'!$A$56),"")</f>
        <v/>
      </c>
      <c r="Y42" s="555"/>
      <c r="Z42" s="555" t="str">
        <f>IF(AND('Mapa de Riesgos'!$H$64="Muy Baja",'Mapa de Riesgos'!$L$64="Moderado"),CONCATENATE("R",'Mapa de Riesgos'!$A$64),"")</f>
        <v/>
      </c>
      <c r="AA42" s="556"/>
      <c r="AB42" s="538" t="str">
        <f>IF(AND('Mapa de Riesgos'!$H$49="Muy Baja",'Mapa de Riesgos'!$L$49="Mayor"),CONCATENATE("R",'Mapa de Riesgos'!$A$49),"")</f>
        <v/>
      </c>
      <c r="AC42" s="534"/>
      <c r="AD42" s="534" t="str">
        <f>IF(AND('Mapa de Riesgos'!$H$56="Muy Baja",'Mapa de Riesgos'!$L$56="Mayor"),CONCATENATE("R",'Mapa de Riesgos'!$A$56),"")</f>
        <v/>
      </c>
      <c r="AE42" s="534"/>
      <c r="AF42" s="534" t="str">
        <f>IF(AND('Mapa de Riesgos'!$H$64="Muy Baja",'Mapa de Riesgos'!$L$64="Mayor"),CONCATENATE("R",'Mapa de Riesgos'!$A$64),"")</f>
        <v/>
      </c>
      <c r="AG42" s="535"/>
      <c r="AH42" s="545" t="str">
        <f>IF(AND('Mapa de Riesgos'!$H$49="Muy Baja",'Mapa de Riesgos'!$L$49="Catastrófico"),CONCATENATE("R",'Mapa de Riesgos'!$A$49),"")</f>
        <v/>
      </c>
      <c r="AI42" s="546"/>
      <c r="AJ42" s="546" t="str">
        <f>IF(AND('Mapa de Riesgos'!$H$56="Muy Baja",'Mapa de Riesgos'!$L$56="Catastrófico"),CONCATENATE("R",'Mapa de Riesgos'!$A$56),"")</f>
        <v/>
      </c>
      <c r="AK42" s="546"/>
      <c r="AL42" s="546" t="str">
        <f>IF(AND('Mapa de Riesgos'!$H$64="Muy Baja",'Mapa de Riesgos'!$L$64="Catastrófico"),CONCATENATE("R",'Mapa de Riesgos'!$A$64),"")</f>
        <v/>
      </c>
      <c r="AM42" s="547"/>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87"/>
      <c r="C43" s="487"/>
      <c r="D43" s="488"/>
      <c r="E43" s="528"/>
      <c r="F43" s="529"/>
      <c r="G43" s="529"/>
      <c r="H43" s="529"/>
      <c r="I43" s="530"/>
      <c r="J43" s="565"/>
      <c r="K43" s="563"/>
      <c r="L43" s="563"/>
      <c r="M43" s="563"/>
      <c r="N43" s="563"/>
      <c r="O43" s="564"/>
      <c r="P43" s="565"/>
      <c r="Q43" s="563"/>
      <c r="R43" s="563"/>
      <c r="S43" s="563"/>
      <c r="T43" s="563"/>
      <c r="U43" s="564"/>
      <c r="V43" s="554"/>
      <c r="W43" s="555"/>
      <c r="X43" s="555"/>
      <c r="Y43" s="555"/>
      <c r="Z43" s="555"/>
      <c r="AA43" s="556"/>
      <c r="AB43" s="538"/>
      <c r="AC43" s="534"/>
      <c r="AD43" s="534"/>
      <c r="AE43" s="534"/>
      <c r="AF43" s="534"/>
      <c r="AG43" s="535"/>
      <c r="AH43" s="545"/>
      <c r="AI43" s="546"/>
      <c r="AJ43" s="546"/>
      <c r="AK43" s="546"/>
      <c r="AL43" s="546"/>
      <c r="AM43" s="547"/>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87"/>
      <c r="C44" s="487"/>
      <c r="D44" s="488"/>
      <c r="E44" s="528"/>
      <c r="F44" s="529"/>
      <c r="G44" s="529"/>
      <c r="H44" s="529"/>
      <c r="I44" s="530"/>
      <c r="J44" s="565" t="str">
        <f>IF(AND('Mapa de Riesgos'!$H$70="Muy Baja",'Mapa de Riesgos'!$L$70="Leve"),CONCATENATE("R",'Mapa de Riesgos'!$A$70),"")</f>
        <v/>
      </c>
      <c r="K44" s="563"/>
      <c r="L44" s="563" t="str">
        <f>IF(AND('Mapa de Riesgos'!$H$108="Muy Baja",'Mapa de Riesgos'!$L$108="Leve"),CONCATENATE("R",'Mapa de Riesgos'!$A$108),"")</f>
        <v/>
      </c>
      <c r="M44" s="563"/>
      <c r="N44" s="563" t="str">
        <f>IF(AND('Mapa de Riesgos'!$H$114="Muy Baja",'Mapa de Riesgos'!$L$114="Leve"),CONCATENATE("R",'Mapa de Riesgos'!$A$114),"")</f>
        <v/>
      </c>
      <c r="O44" s="564"/>
      <c r="P44" s="565" t="str">
        <f>IF(AND('Mapa de Riesgos'!$H$70="Muy Baja",'Mapa de Riesgos'!$L$70="Menor"),CONCATENATE("R",'Mapa de Riesgos'!$A$70),"")</f>
        <v/>
      </c>
      <c r="Q44" s="563"/>
      <c r="R44" s="563" t="str">
        <f>IF(AND('Mapa de Riesgos'!$H$108="Muy Baja",'Mapa de Riesgos'!$L$108="Menor"),CONCATENATE("R",'Mapa de Riesgos'!$A$108),"")</f>
        <v/>
      </c>
      <c r="S44" s="563"/>
      <c r="T44" s="563" t="str">
        <f>IF(AND('Mapa de Riesgos'!$H$114="Muy Baja",'Mapa de Riesgos'!$L$114="Menor"),CONCATENATE("R",'Mapa de Riesgos'!$A$114),"")</f>
        <v/>
      </c>
      <c r="U44" s="564"/>
      <c r="V44" s="554" t="str">
        <f>IF(AND('Mapa de Riesgos'!$H$70="Muy Baja",'Mapa de Riesgos'!$L$70="Moderado"),CONCATENATE("R",'Mapa de Riesgos'!$A$70),"")</f>
        <v/>
      </c>
      <c r="W44" s="555"/>
      <c r="X44" s="555" t="str">
        <f>IF(AND('Mapa de Riesgos'!$H$108="Muy Baja",'Mapa de Riesgos'!$L$108="Moderado"),CONCATENATE("R",'Mapa de Riesgos'!$A$108),"")</f>
        <v/>
      </c>
      <c r="Y44" s="555"/>
      <c r="Z44" s="555" t="str">
        <f>IF(AND('Mapa de Riesgos'!$H$114="Muy Baja",'Mapa de Riesgos'!$L$114="Moderado"),CONCATENATE("R",'Mapa de Riesgos'!$A$114),"")</f>
        <v/>
      </c>
      <c r="AA44" s="556"/>
      <c r="AB44" s="538" t="str">
        <f>IF(AND('Mapa de Riesgos'!$H$70="Muy Baja",'Mapa de Riesgos'!$L$70="Mayor"),CONCATENATE("R",'Mapa de Riesgos'!$A$70),"")</f>
        <v/>
      </c>
      <c r="AC44" s="534"/>
      <c r="AD44" s="534" t="str">
        <f>IF(AND('Mapa de Riesgos'!$H$108="Muy Baja",'Mapa de Riesgos'!$L$108="Mayor"),CONCATENATE("R",'Mapa de Riesgos'!$A$108),"")</f>
        <v/>
      </c>
      <c r="AE44" s="534"/>
      <c r="AF44" s="534" t="str">
        <f>IF(AND('Mapa de Riesgos'!$H$114="Muy Baja",'Mapa de Riesgos'!$L$114="Mayor"),CONCATENATE("R",'Mapa de Riesgos'!$A$114),"")</f>
        <v/>
      </c>
      <c r="AG44" s="535"/>
      <c r="AH44" s="545" t="str">
        <f>IF(AND('Mapa de Riesgos'!$H$70="Muy Baja",'Mapa de Riesgos'!$L$70="Catastrófico"),CONCATENATE("R",'Mapa de Riesgos'!$A$70),"")</f>
        <v/>
      </c>
      <c r="AI44" s="546"/>
      <c r="AJ44" s="546" t="str">
        <f>IF(AND('Mapa de Riesgos'!$H$108="Muy Baja",'Mapa de Riesgos'!$L$108="Catastrófico"),CONCATENATE("R",'Mapa de Riesgos'!$A$108),"")</f>
        <v/>
      </c>
      <c r="AK44" s="546"/>
      <c r="AL44" s="546" t="str">
        <f>IF(AND('Mapa de Riesgos'!$H$114="Muy Baja",'Mapa de Riesgos'!$L$114="Catastrófico"),CONCATENATE("R",'Mapa de Riesgos'!$A$114),"")</f>
        <v/>
      </c>
      <c r="AM44" s="547"/>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87"/>
      <c r="C45" s="487"/>
      <c r="D45" s="488"/>
      <c r="E45" s="531"/>
      <c r="F45" s="532"/>
      <c r="G45" s="532"/>
      <c r="H45" s="532"/>
      <c r="I45" s="533"/>
      <c r="J45" s="566"/>
      <c r="K45" s="567"/>
      <c r="L45" s="567"/>
      <c r="M45" s="567"/>
      <c r="N45" s="567"/>
      <c r="O45" s="568"/>
      <c r="P45" s="566"/>
      <c r="Q45" s="567"/>
      <c r="R45" s="567"/>
      <c r="S45" s="567"/>
      <c r="T45" s="567"/>
      <c r="U45" s="568"/>
      <c r="V45" s="557"/>
      <c r="W45" s="558"/>
      <c r="X45" s="558"/>
      <c r="Y45" s="558"/>
      <c r="Z45" s="558"/>
      <c r="AA45" s="559"/>
      <c r="AB45" s="542"/>
      <c r="AC45" s="543"/>
      <c r="AD45" s="543"/>
      <c r="AE45" s="543"/>
      <c r="AF45" s="543"/>
      <c r="AG45" s="544"/>
      <c r="AH45" s="548"/>
      <c r="AI45" s="549"/>
      <c r="AJ45" s="549"/>
      <c r="AK45" s="549"/>
      <c r="AL45" s="549"/>
      <c r="AM45" s="550"/>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525" t="s">
        <v>275</v>
      </c>
      <c r="K46" s="526"/>
      <c r="L46" s="526"/>
      <c r="M46" s="526"/>
      <c r="N46" s="526"/>
      <c r="O46" s="527"/>
      <c r="P46" s="525" t="s">
        <v>276</v>
      </c>
      <c r="Q46" s="526"/>
      <c r="R46" s="526"/>
      <c r="S46" s="526"/>
      <c r="T46" s="526"/>
      <c r="U46" s="527"/>
      <c r="V46" s="525" t="s">
        <v>277</v>
      </c>
      <c r="W46" s="526"/>
      <c r="X46" s="526"/>
      <c r="Y46" s="526"/>
      <c r="Z46" s="526"/>
      <c r="AA46" s="527"/>
      <c r="AB46" s="525" t="s">
        <v>278</v>
      </c>
      <c r="AC46" s="541"/>
      <c r="AD46" s="526"/>
      <c r="AE46" s="526"/>
      <c r="AF46" s="526"/>
      <c r="AG46" s="527"/>
      <c r="AH46" s="525" t="s">
        <v>279</v>
      </c>
      <c r="AI46" s="526"/>
      <c r="AJ46" s="526"/>
      <c r="AK46" s="526"/>
      <c r="AL46" s="526"/>
      <c r="AM46" s="527"/>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528"/>
      <c r="K47" s="529"/>
      <c r="L47" s="529"/>
      <c r="M47" s="529"/>
      <c r="N47" s="529"/>
      <c r="O47" s="530"/>
      <c r="P47" s="528"/>
      <c r="Q47" s="529"/>
      <c r="R47" s="529"/>
      <c r="S47" s="529"/>
      <c r="T47" s="529"/>
      <c r="U47" s="530"/>
      <c r="V47" s="528"/>
      <c r="W47" s="529"/>
      <c r="X47" s="529"/>
      <c r="Y47" s="529"/>
      <c r="Z47" s="529"/>
      <c r="AA47" s="530"/>
      <c r="AB47" s="528"/>
      <c r="AC47" s="529"/>
      <c r="AD47" s="529"/>
      <c r="AE47" s="529"/>
      <c r="AF47" s="529"/>
      <c r="AG47" s="530"/>
      <c r="AH47" s="528"/>
      <c r="AI47" s="529"/>
      <c r="AJ47" s="529"/>
      <c r="AK47" s="529"/>
      <c r="AL47" s="529"/>
      <c r="AM47" s="530"/>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528"/>
      <c r="K48" s="529"/>
      <c r="L48" s="529"/>
      <c r="M48" s="529"/>
      <c r="N48" s="529"/>
      <c r="O48" s="530"/>
      <c r="P48" s="528"/>
      <c r="Q48" s="529"/>
      <c r="R48" s="529"/>
      <c r="S48" s="529"/>
      <c r="T48" s="529"/>
      <c r="U48" s="530"/>
      <c r="V48" s="528"/>
      <c r="W48" s="529"/>
      <c r="X48" s="529"/>
      <c r="Y48" s="529"/>
      <c r="Z48" s="529"/>
      <c r="AA48" s="530"/>
      <c r="AB48" s="528"/>
      <c r="AC48" s="529"/>
      <c r="AD48" s="529"/>
      <c r="AE48" s="529"/>
      <c r="AF48" s="529"/>
      <c r="AG48" s="530"/>
      <c r="AH48" s="528"/>
      <c r="AI48" s="529"/>
      <c r="AJ48" s="529"/>
      <c r="AK48" s="529"/>
      <c r="AL48" s="529"/>
      <c r="AM48" s="530"/>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528"/>
      <c r="K49" s="529"/>
      <c r="L49" s="529"/>
      <c r="M49" s="529"/>
      <c r="N49" s="529"/>
      <c r="O49" s="530"/>
      <c r="P49" s="528"/>
      <c r="Q49" s="529"/>
      <c r="R49" s="529"/>
      <c r="S49" s="529"/>
      <c r="T49" s="529"/>
      <c r="U49" s="530"/>
      <c r="V49" s="528"/>
      <c r="W49" s="529"/>
      <c r="X49" s="529"/>
      <c r="Y49" s="529"/>
      <c r="Z49" s="529"/>
      <c r="AA49" s="530"/>
      <c r="AB49" s="528"/>
      <c r="AC49" s="529"/>
      <c r="AD49" s="529"/>
      <c r="AE49" s="529"/>
      <c r="AF49" s="529"/>
      <c r="AG49" s="530"/>
      <c r="AH49" s="528"/>
      <c r="AI49" s="529"/>
      <c r="AJ49" s="529"/>
      <c r="AK49" s="529"/>
      <c r="AL49" s="529"/>
      <c r="AM49" s="530"/>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528"/>
      <c r="K50" s="529"/>
      <c r="L50" s="529"/>
      <c r="M50" s="529"/>
      <c r="N50" s="529"/>
      <c r="O50" s="530"/>
      <c r="P50" s="528"/>
      <c r="Q50" s="529"/>
      <c r="R50" s="529"/>
      <c r="S50" s="529"/>
      <c r="T50" s="529"/>
      <c r="U50" s="530"/>
      <c r="V50" s="528"/>
      <c r="W50" s="529"/>
      <c r="X50" s="529"/>
      <c r="Y50" s="529"/>
      <c r="Z50" s="529"/>
      <c r="AA50" s="530"/>
      <c r="AB50" s="528"/>
      <c r="AC50" s="529"/>
      <c r="AD50" s="529"/>
      <c r="AE50" s="529"/>
      <c r="AF50" s="529"/>
      <c r="AG50" s="530"/>
      <c r="AH50" s="528"/>
      <c r="AI50" s="529"/>
      <c r="AJ50" s="529"/>
      <c r="AK50" s="529"/>
      <c r="AL50" s="529"/>
      <c r="AM50" s="530"/>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531"/>
      <c r="K51" s="532"/>
      <c r="L51" s="532"/>
      <c r="M51" s="532"/>
      <c r="N51" s="532"/>
      <c r="O51" s="533"/>
      <c r="P51" s="531"/>
      <c r="Q51" s="532"/>
      <c r="R51" s="532"/>
      <c r="S51" s="532"/>
      <c r="T51" s="532"/>
      <c r="U51" s="533"/>
      <c r="V51" s="531"/>
      <c r="W51" s="532"/>
      <c r="X51" s="532"/>
      <c r="Y51" s="532"/>
      <c r="Z51" s="532"/>
      <c r="AA51" s="533"/>
      <c r="AB51" s="531"/>
      <c r="AC51" s="532"/>
      <c r="AD51" s="532"/>
      <c r="AE51" s="532"/>
      <c r="AF51" s="532"/>
      <c r="AG51" s="533"/>
      <c r="AH51" s="531"/>
      <c r="AI51" s="532"/>
      <c r="AJ51" s="532"/>
      <c r="AK51" s="532"/>
      <c r="AL51" s="532"/>
      <c r="AM51" s="533"/>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3" zoomScale="50" zoomScaleNormal="50" workbookViewId="0">
      <selection activeCell="P45" sqref="P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98" t="s">
        <v>280</v>
      </c>
      <c r="C2" s="599"/>
      <c r="D2" s="599"/>
      <c r="E2" s="599"/>
      <c r="F2" s="599"/>
      <c r="G2" s="599"/>
      <c r="H2" s="599"/>
      <c r="I2" s="599"/>
      <c r="J2" s="540" t="s">
        <v>23</v>
      </c>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99"/>
      <c r="C3" s="599"/>
      <c r="D3" s="599"/>
      <c r="E3" s="599"/>
      <c r="F3" s="599"/>
      <c r="G3" s="599"/>
      <c r="H3" s="599"/>
      <c r="I3" s="599"/>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99"/>
      <c r="C4" s="599"/>
      <c r="D4" s="599"/>
      <c r="E4" s="599"/>
      <c r="F4" s="599"/>
      <c r="G4" s="599"/>
      <c r="H4" s="599"/>
      <c r="I4" s="599"/>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87" t="s">
        <v>266</v>
      </c>
      <c r="C6" s="487"/>
      <c r="D6" s="488"/>
      <c r="E6" s="582" t="s">
        <v>267</v>
      </c>
      <c r="F6" s="583"/>
      <c r="G6" s="583"/>
      <c r="H6" s="583"/>
      <c r="I6" s="600"/>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89" t="s">
        <v>268</v>
      </c>
      <c r="AP6" s="590"/>
      <c r="AQ6" s="590"/>
      <c r="AR6" s="590"/>
      <c r="AS6" s="590"/>
      <c r="AT6" s="59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87"/>
      <c r="C7" s="487"/>
      <c r="D7" s="488"/>
      <c r="E7" s="586"/>
      <c r="F7" s="585"/>
      <c r="G7" s="585"/>
      <c r="H7" s="585"/>
      <c r="I7" s="601"/>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92"/>
      <c r="AP7" s="593"/>
      <c r="AQ7" s="593"/>
      <c r="AR7" s="593"/>
      <c r="AS7" s="593"/>
      <c r="AT7" s="594"/>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87"/>
      <c r="C8" s="487"/>
      <c r="D8" s="488"/>
      <c r="E8" s="586"/>
      <c r="F8" s="585"/>
      <c r="G8" s="585"/>
      <c r="H8" s="585"/>
      <c r="I8" s="601"/>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92"/>
      <c r="AP8" s="593"/>
      <c r="AQ8" s="593"/>
      <c r="AR8" s="593"/>
      <c r="AS8" s="593"/>
      <c r="AT8" s="594"/>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87"/>
      <c r="C9" s="487"/>
      <c r="D9" s="488"/>
      <c r="E9" s="586"/>
      <c r="F9" s="585"/>
      <c r="G9" s="585"/>
      <c r="H9" s="585"/>
      <c r="I9" s="601"/>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92"/>
      <c r="AP9" s="593"/>
      <c r="AQ9" s="593"/>
      <c r="AR9" s="593"/>
      <c r="AS9" s="593"/>
      <c r="AT9" s="594"/>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87"/>
      <c r="C10" s="487"/>
      <c r="D10" s="488"/>
      <c r="E10" s="586"/>
      <c r="F10" s="585"/>
      <c r="G10" s="585"/>
      <c r="H10" s="585"/>
      <c r="I10" s="601"/>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92"/>
      <c r="AP10" s="593"/>
      <c r="AQ10" s="593"/>
      <c r="AR10" s="593"/>
      <c r="AS10" s="593"/>
      <c r="AT10" s="594"/>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87"/>
      <c r="C11" s="487"/>
      <c r="D11" s="488"/>
      <c r="E11" s="586"/>
      <c r="F11" s="585"/>
      <c r="G11" s="585"/>
      <c r="H11" s="585"/>
      <c r="I11" s="601"/>
      <c r="J11" s="50" t="str">
        <f>IF(AND('Mapa de Riesgos'!$Y$42="Muy Alta",'Mapa de Riesgos'!$AA$42="Leve"),CONCATENATE("R6C",'Mapa de Riesgos'!$O$42),"")</f>
        <v/>
      </c>
      <c r="K11" s="51" t="str">
        <f>IF(AND('Mapa de Riesgos'!$Y$44="Muy Alta",'Mapa de Riesgos'!$AA$44="Leve"),CONCATENATE("R6C",'Mapa de Riesgos'!$O$44),"")</f>
        <v/>
      </c>
      <c r="L11" s="51" t="str">
        <f>IF(AND('Mapa de Riesgos'!$Y$45="Muy Alta",'Mapa de Riesgos'!$AA$45="Leve"),CONCATENATE("R6C",'Mapa de Riesgos'!$O$45),"")</f>
        <v/>
      </c>
      <c r="M11" s="51" t="str">
        <f>IF(AND('Mapa de Riesgos'!$Y$46="Muy Alta",'Mapa de Riesgos'!$AA$46="Leve"),CONCATENATE("R6C",'Mapa de Riesgos'!$O$46),"")</f>
        <v/>
      </c>
      <c r="N11" s="51" t="str">
        <f>IF(AND('Mapa de Riesgos'!$Y$47="Muy Alta",'Mapa de Riesgos'!$AA$47="Leve"),CONCATENATE("R6C",'Mapa de Riesgos'!$O$47),"")</f>
        <v/>
      </c>
      <c r="O11" s="52" t="str">
        <f>IF(AND('Mapa de Riesgos'!$Y$48="Muy Alta",'Mapa de Riesgos'!$AA$48="Leve"),CONCATENATE("R6C",'Mapa de Riesgos'!$O$48),"")</f>
        <v/>
      </c>
      <c r="P11" s="50" t="str">
        <f>IF(AND('Mapa de Riesgos'!$Y$42="Muy Alta",'Mapa de Riesgos'!$AA$42="Menor"),CONCATENATE("R6C",'Mapa de Riesgos'!$O$42),"")</f>
        <v/>
      </c>
      <c r="Q11" s="51" t="str">
        <f>IF(AND('Mapa de Riesgos'!$Y$44="Muy Alta",'Mapa de Riesgos'!$AA$44="Menor"),CONCATENATE("R6C",'Mapa de Riesgos'!$O$44),"")</f>
        <v/>
      </c>
      <c r="R11" s="51" t="str">
        <f>IF(AND('Mapa de Riesgos'!$Y$45="Muy Alta",'Mapa de Riesgos'!$AA$45="Menor"),CONCATENATE("R6C",'Mapa de Riesgos'!$O$45),"")</f>
        <v/>
      </c>
      <c r="S11" s="51" t="str">
        <f>IF(AND('Mapa de Riesgos'!$Y$46="Muy Alta",'Mapa de Riesgos'!$AA$46="Menor"),CONCATENATE("R6C",'Mapa de Riesgos'!$O$46),"")</f>
        <v/>
      </c>
      <c r="T11" s="51" t="str">
        <f>IF(AND('Mapa de Riesgos'!$Y$47="Muy Alta",'Mapa de Riesgos'!$AA$47="Menor"),CONCATENATE("R6C",'Mapa de Riesgos'!$O$47),"")</f>
        <v/>
      </c>
      <c r="U11" s="52" t="str">
        <f>IF(AND('Mapa de Riesgos'!$Y$48="Muy Alta",'Mapa de Riesgos'!$AA$48="Menor"),CONCATENATE("R6C",'Mapa de Riesgos'!$O$48),"")</f>
        <v/>
      </c>
      <c r="V11" s="50" t="str">
        <f>IF(AND('Mapa de Riesgos'!$Y$42="Muy Alta",'Mapa de Riesgos'!$AA$42="Moderado"),CONCATENATE("R6C",'Mapa de Riesgos'!$O$42),"")</f>
        <v/>
      </c>
      <c r="W11" s="51" t="str">
        <f>IF(AND('Mapa de Riesgos'!$Y$44="Muy Alta",'Mapa de Riesgos'!$AA$44="Moderado"),CONCATENATE("R6C",'Mapa de Riesgos'!$O$44),"")</f>
        <v/>
      </c>
      <c r="X11" s="51" t="str">
        <f>IF(AND('Mapa de Riesgos'!$Y$45="Muy Alta",'Mapa de Riesgos'!$AA$45="Moderado"),CONCATENATE("R6C",'Mapa de Riesgos'!$O$45),"")</f>
        <v/>
      </c>
      <c r="Y11" s="51" t="str">
        <f>IF(AND('Mapa de Riesgos'!$Y$46="Muy Alta",'Mapa de Riesgos'!$AA$46="Moderado"),CONCATENATE("R6C",'Mapa de Riesgos'!$O$46),"")</f>
        <v/>
      </c>
      <c r="Z11" s="51" t="str">
        <f>IF(AND('Mapa de Riesgos'!$Y$47="Muy Alta",'Mapa de Riesgos'!$AA$47="Moderado"),CONCATENATE("R6C",'Mapa de Riesgos'!$O$47),"")</f>
        <v/>
      </c>
      <c r="AA11" s="52" t="str">
        <f>IF(AND('Mapa de Riesgos'!$Y$48="Muy Alta",'Mapa de Riesgos'!$AA$48="Moderado"),CONCATENATE("R6C",'Mapa de Riesgos'!$O$48),"")</f>
        <v/>
      </c>
      <c r="AB11" s="50" t="str">
        <f>IF(AND('Mapa de Riesgos'!$Y$42="Muy Alta",'Mapa de Riesgos'!$AA$42="Mayor"),CONCATENATE("R6C",'Mapa de Riesgos'!$O$42),"")</f>
        <v/>
      </c>
      <c r="AC11" s="51" t="str">
        <f>IF(AND('Mapa de Riesgos'!$Y$44="Muy Alta",'Mapa de Riesgos'!$AA$44="Mayor"),CONCATENATE("R6C",'Mapa de Riesgos'!$O$44),"")</f>
        <v/>
      </c>
      <c r="AD11" s="51" t="str">
        <f>IF(AND('Mapa de Riesgos'!$Y$45="Muy Alta",'Mapa de Riesgos'!$AA$45="Mayor"),CONCATENATE("R6C",'Mapa de Riesgos'!$O$45),"")</f>
        <v/>
      </c>
      <c r="AE11" s="51" t="str">
        <f>IF(AND('Mapa de Riesgos'!$Y$46="Muy Alta",'Mapa de Riesgos'!$AA$46="Mayor"),CONCATENATE("R6C",'Mapa de Riesgos'!$O$46),"")</f>
        <v/>
      </c>
      <c r="AF11" s="51" t="str">
        <f>IF(AND('Mapa de Riesgos'!$Y$47="Muy Alta",'Mapa de Riesgos'!$AA$47="Mayor"),CONCATENATE("R6C",'Mapa de Riesgos'!$O$47),"")</f>
        <v/>
      </c>
      <c r="AG11" s="52" t="str">
        <f>IF(AND('Mapa de Riesgos'!$Y$48="Muy Alta",'Mapa de Riesgos'!$AA$48="Mayor"),CONCATENATE("R6C",'Mapa de Riesgos'!$O$48),"")</f>
        <v/>
      </c>
      <c r="AH11" s="53" t="str">
        <f>IF(AND('Mapa de Riesgos'!$Y$42="Muy Alta",'Mapa de Riesgos'!$AA$42="Catastrófico"),CONCATENATE("R6C",'Mapa de Riesgos'!$O$42),"")</f>
        <v/>
      </c>
      <c r="AI11" s="54" t="str">
        <f>IF(AND('Mapa de Riesgos'!$Y$44="Muy Alta",'Mapa de Riesgos'!$AA$44="Catastrófico"),CONCATENATE("R6C",'Mapa de Riesgos'!$O$44),"")</f>
        <v/>
      </c>
      <c r="AJ11" s="54" t="str">
        <f>IF(AND('Mapa de Riesgos'!$Y$45="Muy Alta",'Mapa de Riesgos'!$AA$45="Catastrófico"),CONCATENATE("R6C",'Mapa de Riesgos'!$O$45),"")</f>
        <v/>
      </c>
      <c r="AK11" s="54" t="str">
        <f>IF(AND('Mapa de Riesgos'!$Y$46="Muy Alta",'Mapa de Riesgos'!$AA$46="Catastrófico"),CONCATENATE("R6C",'Mapa de Riesgos'!$O$46),"")</f>
        <v/>
      </c>
      <c r="AL11" s="54" t="str">
        <f>IF(AND('Mapa de Riesgos'!$Y$47="Muy Alta",'Mapa de Riesgos'!$AA$47="Catastrófico"),CONCATENATE("R6C",'Mapa de Riesgos'!$O$47),"")</f>
        <v/>
      </c>
      <c r="AM11" s="55" t="str">
        <f>IF(AND('Mapa de Riesgos'!$Y$48="Muy Alta",'Mapa de Riesgos'!$AA$48="Catastrófico"),CONCATENATE("R6C",'Mapa de Riesgos'!$O$48),"")</f>
        <v/>
      </c>
      <c r="AN11" s="81"/>
      <c r="AO11" s="592"/>
      <c r="AP11" s="593"/>
      <c r="AQ11" s="593"/>
      <c r="AR11" s="593"/>
      <c r="AS11" s="593"/>
      <c r="AT11" s="594"/>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87"/>
      <c r="C12" s="487"/>
      <c r="D12" s="488"/>
      <c r="E12" s="586"/>
      <c r="F12" s="585"/>
      <c r="G12" s="585"/>
      <c r="H12" s="585"/>
      <c r="I12" s="601"/>
      <c r="J12" s="50" t="str">
        <f>IF(AND('Mapa de Riesgos'!$Y$49="Muy Alta",'Mapa de Riesgos'!$AA$49="Leve"),CONCATENATE("R7C",'Mapa de Riesgos'!$O$49),"")</f>
        <v/>
      </c>
      <c r="K12" s="51" t="str">
        <f>IF(AND('Mapa de Riesgos'!$Y$51="Muy Alta",'Mapa de Riesgos'!$AA$51="Leve"),CONCATENATE("R7C",'Mapa de Riesgos'!$O$51),"")</f>
        <v/>
      </c>
      <c r="L12" s="51" t="str">
        <f>IF(AND('Mapa de Riesgos'!$Y$52="Muy Alta",'Mapa de Riesgos'!$AA$52="Leve"),CONCATENATE("R7C",'Mapa de Riesgos'!$O$52),"")</f>
        <v/>
      </c>
      <c r="M12" s="51" t="str">
        <f>IF(AND('Mapa de Riesgos'!$Y$53="Muy Alta",'Mapa de Riesgos'!$AA$53="Leve"),CONCATENATE("R7C",'Mapa de Riesgos'!$O$53),"")</f>
        <v/>
      </c>
      <c r="N12" s="51" t="str">
        <f>IF(AND('Mapa de Riesgos'!$Y$54="Muy Alta",'Mapa de Riesgos'!$AA$54="Leve"),CONCATENATE("R7C",'Mapa de Riesgos'!$O$54),"")</f>
        <v/>
      </c>
      <c r="O12" s="52" t="str">
        <f>IF(AND('Mapa de Riesgos'!$Y$55="Muy Alta",'Mapa de Riesgos'!$AA$55="Leve"),CONCATENATE("R7C",'Mapa de Riesgos'!$O$55),"")</f>
        <v/>
      </c>
      <c r="P12" s="50" t="str">
        <f>IF(AND('Mapa de Riesgos'!$Y$49="Muy Alta",'Mapa de Riesgos'!$AA$49="Menor"),CONCATENATE("R7C",'Mapa de Riesgos'!$O$49),"")</f>
        <v/>
      </c>
      <c r="Q12" s="51" t="str">
        <f>IF(AND('Mapa de Riesgos'!$Y$51="Muy Alta",'Mapa de Riesgos'!$AA$51="Menor"),CONCATENATE("R7C",'Mapa de Riesgos'!$O$51),"")</f>
        <v/>
      </c>
      <c r="R12" s="51" t="str">
        <f>IF(AND('Mapa de Riesgos'!$Y$52="Muy Alta",'Mapa de Riesgos'!$AA$52="Menor"),CONCATENATE("R7C",'Mapa de Riesgos'!$O$52),"")</f>
        <v/>
      </c>
      <c r="S12" s="51" t="str">
        <f>IF(AND('Mapa de Riesgos'!$Y$53="Muy Alta",'Mapa de Riesgos'!$AA$53="Menor"),CONCATENATE("R7C",'Mapa de Riesgos'!$O$53),"")</f>
        <v/>
      </c>
      <c r="T12" s="51" t="str">
        <f>IF(AND('Mapa de Riesgos'!$Y$54="Muy Alta",'Mapa de Riesgos'!$AA$54="Menor"),CONCATENATE("R7C",'Mapa de Riesgos'!$O$54),"")</f>
        <v/>
      </c>
      <c r="U12" s="52" t="str">
        <f>IF(AND('Mapa de Riesgos'!$Y$55="Muy Alta",'Mapa de Riesgos'!$AA$55="Menor"),CONCATENATE("R7C",'Mapa de Riesgos'!$O$55),"")</f>
        <v/>
      </c>
      <c r="V12" s="50" t="str">
        <f>IF(AND('Mapa de Riesgos'!$Y$49="Muy Alta",'Mapa de Riesgos'!$AA$49="Moderado"),CONCATENATE("R7C",'Mapa de Riesgos'!$O$49),"")</f>
        <v/>
      </c>
      <c r="W12" s="51" t="str">
        <f>IF(AND('Mapa de Riesgos'!$Y$51="Muy Alta",'Mapa de Riesgos'!$AA$51="Moderado"),CONCATENATE("R7C",'Mapa de Riesgos'!$O$51),"")</f>
        <v/>
      </c>
      <c r="X12" s="51" t="str">
        <f>IF(AND('Mapa de Riesgos'!$Y$52="Muy Alta",'Mapa de Riesgos'!$AA$52="Moderado"),CONCATENATE("R7C",'Mapa de Riesgos'!$O$52),"")</f>
        <v/>
      </c>
      <c r="Y12" s="51" t="str">
        <f>IF(AND('Mapa de Riesgos'!$Y$53="Muy Alta",'Mapa de Riesgos'!$AA$53="Moderado"),CONCATENATE("R7C",'Mapa de Riesgos'!$O$53),"")</f>
        <v/>
      </c>
      <c r="Z12" s="51" t="str">
        <f>IF(AND('Mapa de Riesgos'!$Y$54="Muy Alta",'Mapa de Riesgos'!$AA$54="Moderado"),CONCATENATE("R7C",'Mapa de Riesgos'!$O$54),"")</f>
        <v/>
      </c>
      <c r="AA12" s="52" t="str">
        <f>IF(AND('Mapa de Riesgos'!$Y$55="Muy Alta",'Mapa de Riesgos'!$AA$55="Moderado"),CONCATENATE("R7C",'Mapa de Riesgos'!$O$55),"")</f>
        <v/>
      </c>
      <c r="AB12" s="50" t="str">
        <f>IF(AND('Mapa de Riesgos'!$Y$49="Muy Alta",'Mapa de Riesgos'!$AA$49="Mayor"),CONCATENATE("R7C",'Mapa de Riesgos'!$O$49),"")</f>
        <v/>
      </c>
      <c r="AC12" s="51" t="str">
        <f>IF(AND('Mapa de Riesgos'!$Y$51="Muy Alta",'Mapa de Riesgos'!$AA$51="Mayor"),CONCATENATE("R7C",'Mapa de Riesgos'!$O$51),"")</f>
        <v/>
      </c>
      <c r="AD12" s="51" t="str">
        <f>IF(AND('Mapa de Riesgos'!$Y$52="Muy Alta",'Mapa de Riesgos'!$AA$52="Mayor"),CONCATENATE("R7C",'Mapa de Riesgos'!$O$52),"")</f>
        <v/>
      </c>
      <c r="AE12" s="51" t="str">
        <f>IF(AND('Mapa de Riesgos'!$Y$53="Muy Alta",'Mapa de Riesgos'!$AA$53="Mayor"),CONCATENATE("R7C",'Mapa de Riesgos'!$O$53),"")</f>
        <v/>
      </c>
      <c r="AF12" s="51" t="str">
        <f>IF(AND('Mapa de Riesgos'!$Y$54="Muy Alta",'Mapa de Riesgos'!$AA$54="Mayor"),CONCATENATE("R7C",'Mapa de Riesgos'!$O$54),"")</f>
        <v/>
      </c>
      <c r="AG12" s="52" t="str">
        <f>IF(AND('Mapa de Riesgos'!$Y$55="Muy Alta",'Mapa de Riesgos'!$AA$55="Mayor"),CONCATENATE("R7C",'Mapa de Riesgos'!$O$55),"")</f>
        <v/>
      </c>
      <c r="AH12" s="53" t="str">
        <f>IF(AND('Mapa de Riesgos'!$Y$49="Muy Alta",'Mapa de Riesgos'!$AA$49="Catastrófico"),CONCATENATE("R7C",'Mapa de Riesgos'!$O$49),"")</f>
        <v/>
      </c>
      <c r="AI12" s="54" t="str">
        <f>IF(AND('Mapa de Riesgos'!$Y$51="Muy Alta",'Mapa de Riesgos'!$AA$51="Catastrófico"),CONCATENATE("R7C",'Mapa de Riesgos'!$O$51),"")</f>
        <v/>
      </c>
      <c r="AJ12" s="54" t="str">
        <f>IF(AND('Mapa de Riesgos'!$Y$52="Muy Alta",'Mapa de Riesgos'!$AA$52="Catastrófico"),CONCATENATE("R7C",'Mapa de Riesgos'!$O$52),"")</f>
        <v/>
      </c>
      <c r="AK12" s="54" t="str">
        <f>IF(AND('Mapa de Riesgos'!$Y$53="Muy Alta",'Mapa de Riesgos'!$AA$53="Catastrófico"),CONCATENATE("R7C",'Mapa de Riesgos'!$O$53),"")</f>
        <v/>
      </c>
      <c r="AL12" s="54" t="str">
        <f>IF(AND('Mapa de Riesgos'!$Y$54="Muy Alta",'Mapa de Riesgos'!$AA$54="Catastrófico"),CONCATENATE("R7C",'Mapa de Riesgos'!$O$54),"")</f>
        <v/>
      </c>
      <c r="AM12" s="55" t="str">
        <f>IF(AND('Mapa de Riesgos'!$Y$55="Muy Alta",'Mapa de Riesgos'!$AA$55="Catastrófico"),CONCATENATE("R7C",'Mapa de Riesgos'!$O$55),"")</f>
        <v/>
      </c>
      <c r="AN12" s="81"/>
      <c r="AO12" s="592"/>
      <c r="AP12" s="593"/>
      <c r="AQ12" s="593"/>
      <c r="AR12" s="593"/>
      <c r="AS12" s="593"/>
      <c r="AT12" s="594"/>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87"/>
      <c r="C13" s="487"/>
      <c r="D13" s="488"/>
      <c r="E13" s="586"/>
      <c r="F13" s="585"/>
      <c r="G13" s="585"/>
      <c r="H13" s="585"/>
      <c r="I13" s="601"/>
      <c r="J13" s="50" t="str">
        <f>IF(AND('Mapa de Riesgos'!$Y$56="Muy Alta",'Mapa de Riesgos'!$AA$56="Leve"),CONCATENATE("R8C",'Mapa de Riesgos'!$O$56),"")</f>
        <v/>
      </c>
      <c r="K13" s="51" t="str">
        <f>IF(AND('Mapa de Riesgos'!$Y$59="Muy Alta",'Mapa de Riesgos'!$AA$59="Leve"),CONCATENATE("R8C",'Mapa de Riesgos'!$O$59),"")</f>
        <v/>
      </c>
      <c r="L13" s="51" t="str">
        <f>IF(AND('Mapa de Riesgos'!$Y$60="Muy Alta",'Mapa de Riesgos'!$AA$60="Leve"),CONCATENATE("R8C",'Mapa de Riesgos'!$O$60),"")</f>
        <v/>
      </c>
      <c r="M13" s="51" t="str">
        <f>IF(AND('Mapa de Riesgos'!$Y$61="Muy Alta",'Mapa de Riesgos'!$AA$61="Leve"),CONCATENATE("R8C",'Mapa de Riesgos'!$O$61),"")</f>
        <v/>
      </c>
      <c r="N13" s="51" t="str">
        <f>IF(AND('Mapa de Riesgos'!$Y$62="Muy Alta",'Mapa de Riesgos'!$AA$62="Leve"),CONCATENATE("R8C",'Mapa de Riesgos'!$O$62),"")</f>
        <v/>
      </c>
      <c r="O13" s="52" t="str">
        <f>IF(AND('Mapa de Riesgos'!$Y$63="Muy Alta",'Mapa de Riesgos'!$AA$63="Leve"),CONCATENATE("R8C",'Mapa de Riesgos'!$O$63),"")</f>
        <v/>
      </c>
      <c r="P13" s="50" t="str">
        <f>IF(AND('Mapa de Riesgos'!$Y$56="Muy Alta",'Mapa de Riesgos'!$AA$56="Menor"),CONCATENATE("R8C",'Mapa de Riesgos'!$O$56),"")</f>
        <v/>
      </c>
      <c r="Q13" s="51" t="str">
        <f>IF(AND('Mapa de Riesgos'!$Y$59="Muy Alta",'Mapa de Riesgos'!$AA$59="Menor"),CONCATENATE("R8C",'Mapa de Riesgos'!$O$59),"")</f>
        <v/>
      </c>
      <c r="R13" s="51" t="str">
        <f>IF(AND('Mapa de Riesgos'!$Y$60="Muy Alta",'Mapa de Riesgos'!$AA$60="Menor"),CONCATENATE("R8C",'Mapa de Riesgos'!$O$60),"")</f>
        <v/>
      </c>
      <c r="S13" s="51" t="str">
        <f>IF(AND('Mapa de Riesgos'!$Y$61="Muy Alta",'Mapa de Riesgos'!$AA$61="Menor"),CONCATENATE("R8C",'Mapa de Riesgos'!$O$61),"")</f>
        <v/>
      </c>
      <c r="T13" s="51" t="str">
        <f>IF(AND('Mapa de Riesgos'!$Y$62="Muy Alta",'Mapa de Riesgos'!$AA$62="Menor"),CONCATENATE("R8C",'Mapa de Riesgos'!$O$62),"")</f>
        <v/>
      </c>
      <c r="U13" s="52" t="str">
        <f>IF(AND('Mapa de Riesgos'!$Y$63="Muy Alta",'Mapa de Riesgos'!$AA$63="Menor"),CONCATENATE("R8C",'Mapa de Riesgos'!$O$63),"")</f>
        <v/>
      </c>
      <c r="V13" s="50" t="str">
        <f>IF(AND('Mapa de Riesgos'!$Y$56="Muy Alta",'Mapa de Riesgos'!$AA$56="Moderado"),CONCATENATE("R8C",'Mapa de Riesgos'!$O$56),"")</f>
        <v/>
      </c>
      <c r="W13" s="51" t="str">
        <f>IF(AND('Mapa de Riesgos'!$Y$59="Muy Alta",'Mapa de Riesgos'!$AA$59="Moderado"),CONCATENATE("R8C",'Mapa de Riesgos'!$O$59),"")</f>
        <v/>
      </c>
      <c r="X13" s="51" t="str">
        <f>IF(AND('Mapa de Riesgos'!$Y$60="Muy Alta",'Mapa de Riesgos'!$AA$60="Moderado"),CONCATENATE("R8C",'Mapa de Riesgos'!$O$60),"")</f>
        <v/>
      </c>
      <c r="Y13" s="51" t="str">
        <f>IF(AND('Mapa de Riesgos'!$Y$61="Muy Alta",'Mapa de Riesgos'!$AA$61="Moderado"),CONCATENATE("R8C",'Mapa de Riesgos'!$O$61),"")</f>
        <v/>
      </c>
      <c r="Z13" s="51" t="str">
        <f>IF(AND('Mapa de Riesgos'!$Y$62="Muy Alta",'Mapa de Riesgos'!$AA$62="Moderado"),CONCATENATE("R8C",'Mapa de Riesgos'!$O$62),"")</f>
        <v/>
      </c>
      <c r="AA13" s="52" t="str">
        <f>IF(AND('Mapa de Riesgos'!$Y$63="Muy Alta",'Mapa de Riesgos'!$AA$63="Moderado"),CONCATENATE("R8C",'Mapa de Riesgos'!$O$63),"")</f>
        <v/>
      </c>
      <c r="AB13" s="50" t="str">
        <f>IF(AND('Mapa de Riesgos'!$Y$56="Muy Alta",'Mapa de Riesgos'!$AA$56="Mayor"),CONCATENATE("R8C",'Mapa de Riesgos'!$O$56),"")</f>
        <v/>
      </c>
      <c r="AC13" s="51" t="str">
        <f>IF(AND('Mapa de Riesgos'!$Y$59="Muy Alta",'Mapa de Riesgos'!$AA$59="Mayor"),CONCATENATE("R8C",'Mapa de Riesgos'!$O$59),"")</f>
        <v/>
      </c>
      <c r="AD13" s="51" t="str">
        <f>IF(AND('Mapa de Riesgos'!$Y$60="Muy Alta",'Mapa de Riesgos'!$AA$60="Mayor"),CONCATENATE("R8C",'Mapa de Riesgos'!$O$60),"")</f>
        <v/>
      </c>
      <c r="AE13" s="51" t="str">
        <f>IF(AND('Mapa de Riesgos'!$Y$61="Muy Alta",'Mapa de Riesgos'!$AA$61="Mayor"),CONCATENATE("R8C",'Mapa de Riesgos'!$O$61),"")</f>
        <v/>
      </c>
      <c r="AF13" s="51" t="str">
        <f>IF(AND('Mapa de Riesgos'!$Y$62="Muy Alta",'Mapa de Riesgos'!$AA$62="Mayor"),CONCATENATE("R8C",'Mapa de Riesgos'!$O$62),"")</f>
        <v/>
      </c>
      <c r="AG13" s="52" t="str">
        <f>IF(AND('Mapa de Riesgos'!$Y$63="Muy Alta",'Mapa de Riesgos'!$AA$63="Mayor"),CONCATENATE("R8C",'Mapa de Riesgos'!$O$63),"")</f>
        <v/>
      </c>
      <c r="AH13" s="53" t="str">
        <f>IF(AND('Mapa de Riesgos'!$Y$56="Muy Alta",'Mapa de Riesgos'!$AA$56="Catastrófico"),CONCATENATE("R8C",'Mapa de Riesgos'!$O$56),"")</f>
        <v/>
      </c>
      <c r="AI13" s="54" t="str">
        <f>IF(AND('Mapa de Riesgos'!$Y$59="Muy Alta",'Mapa de Riesgos'!$AA$59="Catastrófico"),CONCATENATE("R8C",'Mapa de Riesgos'!$O$59),"")</f>
        <v/>
      </c>
      <c r="AJ13" s="54" t="str">
        <f>IF(AND('Mapa de Riesgos'!$Y$60="Muy Alta",'Mapa de Riesgos'!$AA$60="Catastrófico"),CONCATENATE("R8C",'Mapa de Riesgos'!$O$60),"")</f>
        <v/>
      </c>
      <c r="AK13" s="54" t="str">
        <f>IF(AND('Mapa de Riesgos'!$Y$61="Muy Alta",'Mapa de Riesgos'!$AA$61="Catastrófico"),CONCATENATE("R8C",'Mapa de Riesgos'!$O$61),"")</f>
        <v/>
      </c>
      <c r="AL13" s="54" t="str">
        <f>IF(AND('Mapa de Riesgos'!$Y$62="Muy Alta",'Mapa de Riesgos'!$AA$62="Catastrófico"),CONCATENATE("R8C",'Mapa de Riesgos'!$O$62),"")</f>
        <v/>
      </c>
      <c r="AM13" s="55" t="str">
        <f>IF(AND('Mapa de Riesgos'!$Y$63="Muy Alta",'Mapa de Riesgos'!$AA$63="Catastrófico"),CONCATENATE("R8C",'Mapa de Riesgos'!$O$63),"")</f>
        <v/>
      </c>
      <c r="AN13" s="81"/>
      <c r="AO13" s="592"/>
      <c r="AP13" s="593"/>
      <c r="AQ13" s="593"/>
      <c r="AR13" s="593"/>
      <c r="AS13" s="593"/>
      <c r="AT13" s="594"/>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87"/>
      <c r="C14" s="487"/>
      <c r="D14" s="488"/>
      <c r="E14" s="586"/>
      <c r="F14" s="585"/>
      <c r="G14" s="585"/>
      <c r="H14" s="585"/>
      <c r="I14" s="601"/>
      <c r="J14" s="50" t="str">
        <f>IF(AND('Mapa de Riesgos'!$Y$64="Muy Alta",'Mapa de Riesgos'!$AA$64="Leve"),CONCATENATE("R9C",'Mapa de Riesgos'!$O$64),"")</f>
        <v/>
      </c>
      <c r="K14" s="51" t="str">
        <f>IF(AND('Mapa de Riesgos'!$Y$65="Muy Alta",'Mapa de Riesgos'!$AA$65="Leve"),CONCATENATE("R9C",'Mapa de Riesgos'!$O$65),"")</f>
        <v/>
      </c>
      <c r="L14" s="51" t="str">
        <f>IF(AND('Mapa de Riesgos'!$Y$66="Muy Alta",'Mapa de Riesgos'!$AA$66="Leve"),CONCATENATE("R9C",'Mapa de Riesgos'!$O$66),"")</f>
        <v/>
      </c>
      <c r="M14" s="51" t="str">
        <f>IF(AND('Mapa de Riesgos'!$Y$67="Muy Alta",'Mapa de Riesgos'!$AA$67="Leve"),CONCATENATE("R9C",'Mapa de Riesgos'!$O$67),"")</f>
        <v/>
      </c>
      <c r="N14" s="51" t="str">
        <f>IF(AND('Mapa de Riesgos'!$Y$68="Muy Alta",'Mapa de Riesgos'!$AA$68="Leve"),CONCATENATE("R9C",'Mapa de Riesgos'!$O$68),"")</f>
        <v/>
      </c>
      <c r="O14" s="52" t="str">
        <f>IF(AND('Mapa de Riesgos'!$Y$69="Muy Alta",'Mapa de Riesgos'!$AA$69="Leve"),CONCATENATE("R9C",'Mapa de Riesgos'!$O$69),"")</f>
        <v/>
      </c>
      <c r="P14" s="50" t="str">
        <f>IF(AND('Mapa de Riesgos'!$Y$64="Muy Alta",'Mapa de Riesgos'!$AA$64="Menor"),CONCATENATE("R9C",'Mapa de Riesgos'!$O$64),"")</f>
        <v/>
      </c>
      <c r="Q14" s="51" t="str">
        <f>IF(AND('Mapa de Riesgos'!$Y$65="Muy Alta",'Mapa de Riesgos'!$AA$65="Menor"),CONCATENATE("R9C",'Mapa de Riesgos'!$O$65),"")</f>
        <v/>
      </c>
      <c r="R14" s="51" t="str">
        <f>IF(AND('Mapa de Riesgos'!$Y$66="Muy Alta",'Mapa de Riesgos'!$AA$66="Menor"),CONCATENATE("R9C",'Mapa de Riesgos'!$O$66),"")</f>
        <v/>
      </c>
      <c r="S14" s="51" t="str">
        <f>IF(AND('Mapa de Riesgos'!$Y$67="Muy Alta",'Mapa de Riesgos'!$AA$67="Menor"),CONCATENATE("R9C",'Mapa de Riesgos'!$O$67),"")</f>
        <v/>
      </c>
      <c r="T14" s="51" t="str">
        <f>IF(AND('Mapa de Riesgos'!$Y$68="Muy Alta",'Mapa de Riesgos'!$AA$68="Menor"),CONCATENATE("R9C",'Mapa de Riesgos'!$O$68),"")</f>
        <v/>
      </c>
      <c r="U14" s="52" t="str">
        <f>IF(AND('Mapa de Riesgos'!$Y$69="Muy Alta",'Mapa de Riesgos'!$AA$69="Menor"),CONCATENATE("R9C",'Mapa de Riesgos'!$O$69),"")</f>
        <v/>
      </c>
      <c r="V14" s="50" t="str">
        <f>IF(AND('Mapa de Riesgos'!$Y$64="Muy Alta",'Mapa de Riesgos'!$AA$64="Moderado"),CONCATENATE("R9C",'Mapa de Riesgos'!$O$64),"")</f>
        <v/>
      </c>
      <c r="W14" s="51" t="str">
        <f>IF(AND('Mapa de Riesgos'!$Y$65="Muy Alta",'Mapa de Riesgos'!$AA$65="Moderado"),CONCATENATE("R9C",'Mapa de Riesgos'!$O$65),"")</f>
        <v/>
      </c>
      <c r="X14" s="51" t="str">
        <f>IF(AND('Mapa de Riesgos'!$Y$66="Muy Alta",'Mapa de Riesgos'!$AA$66="Moderado"),CONCATENATE("R9C",'Mapa de Riesgos'!$O$66),"")</f>
        <v/>
      </c>
      <c r="Y14" s="51" t="str">
        <f>IF(AND('Mapa de Riesgos'!$Y$67="Muy Alta",'Mapa de Riesgos'!$AA$67="Moderado"),CONCATENATE("R9C",'Mapa de Riesgos'!$O$67),"")</f>
        <v/>
      </c>
      <c r="Z14" s="51" t="str">
        <f>IF(AND('Mapa de Riesgos'!$Y$68="Muy Alta",'Mapa de Riesgos'!$AA$68="Moderado"),CONCATENATE("R9C",'Mapa de Riesgos'!$O$68),"")</f>
        <v/>
      </c>
      <c r="AA14" s="52" t="str">
        <f>IF(AND('Mapa de Riesgos'!$Y$69="Muy Alta",'Mapa de Riesgos'!$AA$69="Moderado"),CONCATENATE("R9C",'Mapa de Riesgos'!$O$69),"")</f>
        <v/>
      </c>
      <c r="AB14" s="50" t="str">
        <f>IF(AND('Mapa de Riesgos'!$Y$64="Muy Alta",'Mapa de Riesgos'!$AA$64="Mayor"),CONCATENATE("R9C",'Mapa de Riesgos'!$O$64),"")</f>
        <v/>
      </c>
      <c r="AC14" s="51" t="str">
        <f>IF(AND('Mapa de Riesgos'!$Y$65="Muy Alta",'Mapa de Riesgos'!$AA$65="Mayor"),CONCATENATE("R9C",'Mapa de Riesgos'!$O$65),"")</f>
        <v/>
      </c>
      <c r="AD14" s="51" t="str">
        <f>IF(AND('Mapa de Riesgos'!$Y$66="Muy Alta",'Mapa de Riesgos'!$AA$66="Mayor"),CONCATENATE("R9C",'Mapa de Riesgos'!$O$66),"")</f>
        <v/>
      </c>
      <c r="AE14" s="51" t="str">
        <f>IF(AND('Mapa de Riesgos'!$Y$67="Muy Alta",'Mapa de Riesgos'!$AA$67="Mayor"),CONCATENATE("R9C",'Mapa de Riesgos'!$O$67),"")</f>
        <v/>
      </c>
      <c r="AF14" s="51" t="str">
        <f>IF(AND('Mapa de Riesgos'!$Y$68="Muy Alta",'Mapa de Riesgos'!$AA$68="Mayor"),CONCATENATE("R9C",'Mapa de Riesgos'!$O$68),"")</f>
        <v/>
      </c>
      <c r="AG14" s="52" t="str">
        <f>IF(AND('Mapa de Riesgos'!$Y$69="Muy Alta",'Mapa de Riesgos'!$AA$69="Mayor"),CONCATENATE("R9C",'Mapa de Riesgos'!$O$69),"")</f>
        <v/>
      </c>
      <c r="AH14" s="53" t="str">
        <f>IF(AND('Mapa de Riesgos'!$Y$64="Muy Alta",'Mapa de Riesgos'!$AA$64="Catastrófico"),CONCATENATE("R9C",'Mapa de Riesgos'!$O$64),"")</f>
        <v/>
      </c>
      <c r="AI14" s="54" t="str">
        <f>IF(AND('Mapa de Riesgos'!$Y$65="Muy Alta",'Mapa de Riesgos'!$AA$65="Catastrófico"),CONCATENATE("R9C",'Mapa de Riesgos'!$O$65),"")</f>
        <v/>
      </c>
      <c r="AJ14" s="54" t="str">
        <f>IF(AND('Mapa de Riesgos'!$Y$66="Muy Alta",'Mapa de Riesgos'!$AA$66="Catastrófico"),CONCATENATE("R9C",'Mapa de Riesgos'!$O$66),"")</f>
        <v/>
      </c>
      <c r="AK14" s="54" t="str">
        <f>IF(AND('Mapa de Riesgos'!$Y$67="Muy Alta",'Mapa de Riesgos'!$AA$67="Catastrófico"),CONCATENATE("R9C",'Mapa de Riesgos'!$O$67),"")</f>
        <v/>
      </c>
      <c r="AL14" s="54" t="str">
        <f>IF(AND('Mapa de Riesgos'!$Y$68="Muy Alta",'Mapa de Riesgos'!$AA$68="Catastrófico"),CONCATENATE("R9C",'Mapa de Riesgos'!$O$68),"")</f>
        <v/>
      </c>
      <c r="AM14" s="55" t="str">
        <f>IF(AND('Mapa de Riesgos'!$Y$69="Muy Alta",'Mapa de Riesgos'!$AA$69="Catastrófico"),CONCATENATE("R9C",'Mapa de Riesgos'!$O$69),"")</f>
        <v/>
      </c>
      <c r="AN14" s="81"/>
      <c r="AO14" s="592"/>
      <c r="AP14" s="593"/>
      <c r="AQ14" s="593"/>
      <c r="AR14" s="593"/>
      <c r="AS14" s="593"/>
      <c r="AT14" s="594"/>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87"/>
      <c r="C15" s="487"/>
      <c r="D15" s="488"/>
      <c r="E15" s="587"/>
      <c r="F15" s="588"/>
      <c r="G15" s="588"/>
      <c r="H15" s="588"/>
      <c r="I15" s="602"/>
      <c r="J15" s="56" t="str">
        <f>IF(AND('Mapa de Riesgos'!$Y$70="Muy Alta",'Mapa de Riesgos'!$AA$70="Leve"),CONCATENATE("R10C",'Mapa de Riesgos'!$O$70),"")</f>
        <v/>
      </c>
      <c r="K15" s="57" t="str">
        <f>IF(AND('Mapa de Riesgos'!$Y$71="Muy Alta",'Mapa de Riesgos'!$AA$71="Leve"),CONCATENATE("R10C",'Mapa de Riesgos'!$O$71),"")</f>
        <v/>
      </c>
      <c r="L15" s="57" t="str">
        <f>IF(AND('Mapa de Riesgos'!$Y$72="Muy Alta",'Mapa de Riesgos'!$AA$72="Leve"),CONCATENATE("R10C",'Mapa de Riesgos'!$O$72),"")</f>
        <v/>
      </c>
      <c r="M15" s="57" t="str">
        <f>IF(AND('Mapa de Riesgos'!$Y$73="Muy Alta",'Mapa de Riesgos'!$AA$73="Leve"),CONCATENATE("R10C",'Mapa de Riesgos'!$O$73),"")</f>
        <v/>
      </c>
      <c r="N15" s="57" t="str">
        <f>IF(AND('Mapa de Riesgos'!$Y$74="Muy Alta",'Mapa de Riesgos'!$AA$74="Leve"),CONCATENATE("R10C",'Mapa de Riesgos'!$O$74),"")</f>
        <v/>
      </c>
      <c r="O15" s="58" t="str">
        <f>IF(AND('Mapa de Riesgos'!$Y$75="Muy Alta",'Mapa de Riesgos'!$AA$75="Leve"),CONCATENATE("R10C",'Mapa de Riesgos'!$O$75),"")</f>
        <v/>
      </c>
      <c r="P15" s="50" t="str">
        <f>IF(AND('Mapa de Riesgos'!$Y$70="Muy Alta",'Mapa de Riesgos'!$AA$70="Menor"),CONCATENATE("R10C",'Mapa de Riesgos'!$O$70),"")</f>
        <v/>
      </c>
      <c r="Q15" s="51" t="str">
        <f>IF(AND('Mapa de Riesgos'!$Y$71="Muy Alta",'Mapa de Riesgos'!$AA$71="Menor"),CONCATENATE("R10C",'Mapa de Riesgos'!$O$71),"")</f>
        <v/>
      </c>
      <c r="R15" s="51" t="str">
        <f>IF(AND('Mapa de Riesgos'!$Y$72="Muy Alta",'Mapa de Riesgos'!$AA$72="Menor"),CONCATENATE("R10C",'Mapa de Riesgos'!$O$72),"")</f>
        <v/>
      </c>
      <c r="S15" s="51" t="str">
        <f>IF(AND('Mapa de Riesgos'!$Y$73="Muy Alta",'Mapa de Riesgos'!$AA$73="Menor"),CONCATENATE("R10C",'Mapa de Riesgos'!$O$73),"")</f>
        <v/>
      </c>
      <c r="T15" s="51" t="str">
        <f>IF(AND('Mapa de Riesgos'!$Y$74="Muy Alta",'Mapa de Riesgos'!$AA$74="Menor"),CONCATENATE("R10C",'Mapa de Riesgos'!$O$74),"")</f>
        <v/>
      </c>
      <c r="U15" s="52" t="str">
        <f>IF(AND('Mapa de Riesgos'!$Y$75="Muy Alta",'Mapa de Riesgos'!$AA$75="Menor"),CONCATENATE("R10C",'Mapa de Riesgos'!$O$75),"")</f>
        <v/>
      </c>
      <c r="V15" s="56" t="str">
        <f>IF(AND('Mapa de Riesgos'!$Y$70="Muy Alta",'Mapa de Riesgos'!$AA$70="Moderado"),CONCATENATE("R10C",'Mapa de Riesgos'!$O$70),"")</f>
        <v/>
      </c>
      <c r="W15" s="57" t="str">
        <f>IF(AND('Mapa de Riesgos'!$Y$71="Muy Alta",'Mapa de Riesgos'!$AA$71="Moderado"),CONCATENATE("R10C",'Mapa de Riesgos'!$O$71),"")</f>
        <v/>
      </c>
      <c r="X15" s="57" t="str">
        <f>IF(AND('Mapa de Riesgos'!$Y$72="Muy Alta",'Mapa de Riesgos'!$AA$72="Moderado"),CONCATENATE("R10C",'Mapa de Riesgos'!$O$72),"")</f>
        <v/>
      </c>
      <c r="Y15" s="57" t="str">
        <f>IF(AND('Mapa de Riesgos'!$Y$73="Muy Alta",'Mapa de Riesgos'!$AA$73="Moderado"),CONCATENATE("R10C",'Mapa de Riesgos'!$O$73),"")</f>
        <v/>
      </c>
      <c r="Z15" s="57" t="str">
        <f>IF(AND('Mapa de Riesgos'!$Y$74="Muy Alta",'Mapa de Riesgos'!$AA$74="Moderado"),CONCATENATE("R10C",'Mapa de Riesgos'!$O$74),"")</f>
        <v/>
      </c>
      <c r="AA15" s="58" t="str">
        <f>IF(AND('Mapa de Riesgos'!$Y$75="Muy Alta",'Mapa de Riesgos'!$AA$75="Moderado"),CONCATENATE("R10C",'Mapa de Riesgos'!$O$75),"")</f>
        <v/>
      </c>
      <c r="AB15" s="50" t="str">
        <f>IF(AND('Mapa de Riesgos'!$Y$70="Muy Alta",'Mapa de Riesgos'!$AA$70="Mayor"),CONCATENATE("R10C",'Mapa de Riesgos'!$O$70),"")</f>
        <v/>
      </c>
      <c r="AC15" s="51" t="str">
        <f>IF(AND('Mapa de Riesgos'!$Y$71="Muy Alta",'Mapa de Riesgos'!$AA$71="Mayor"),CONCATENATE("R10C",'Mapa de Riesgos'!$O$71),"")</f>
        <v/>
      </c>
      <c r="AD15" s="51" t="str">
        <f>IF(AND('Mapa de Riesgos'!$Y$72="Muy Alta",'Mapa de Riesgos'!$AA$72="Mayor"),CONCATENATE("R10C",'Mapa de Riesgos'!$O$72),"")</f>
        <v/>
      </c>
      <c r="AE15" s="51" t="str">
        <f>IF(AND('Mapa de Riesgos'!$Y$73="Muy Alta",'Mapa de Riesgos'!$AA$73="Mayor"),CONCATENATE("R10C",'Mapa de Riesgos'!$O$73),"")</f>
        <v/>
      </c>
      <c r="AF15" s="51" t="str">
        <f>IF(AND('Mapa de Riesgos'!$Y$74="Muy Alta",'Mapa de Riesgos'!$AA$74="Mayor"),CONCATENATE("R10C",'Mapa de Riesgos'!$O$74),"")</f>
        <v/>
      </c>
      <c r="AG15" s="52" t="str">
        <f>IF(AND('Mapa de Riesgos'!$Y$75="Muy Alta",'Mapa de Riesgos'!$AA$75="Mayor"),CONCATENATE("R10C",'Mapa de Riesgos'!$O$75),"")</f>
        <v/>
      </c>
      <c r="AH15" s="59" t="str">
        <f>IF(AND('Mapa de Riesgos'!$Y$70="Muy Alta",'Mapa de Riesgos'!$AA$70="Catastrófico"),CONCATENATE("R10C",'Mapa de Riesgos'!$O$70),"")</f>
        <v/>
      </c>
      <c r="AI15" s="60" t="str">
        <f>IF(AND('Mapa de Riesgos'!$Y$71="Muy Alta",'Mapa de Riesgos'!$AA$71="Catastrófico"),CONCATENATE("R10C",'Mapa de Riesgos'!$O$71),"")</f>
        <v/>
      </c>
      <c r="AJ15" s="60" t="str">
        <f>IF(AND('Mapa de Riesgos'!$Y$72="Muy Alta",'Mapa de Riesgos'!$AA$72="Catastrófico"),CONCATENATE("R10C",'Mapa de Riesgos'!$O$72),"")</f>
        <v/>
      </c>
      <c r="AK15" s="60" t="str">
        <f>IF(AND('Mapa de Riesgos'!$Y$73="Muy Alta",'Mapa de Riesgos'!$AA$73="Catastrófico"),CONCATENATE("R10C",'Mapa de Riesgos'!$O$73),"")</f>
        <v/>
      </c>
      <c r="AL15" s="60" t="str">
        <f>IF(AND('Mapa de Riesgos'!$Y$74="Muy Alta",'Mapa de Riesgos'!$AA$74="Catastrófico"),CONCATENATE("R10C",'Mapa de Riesgos'!$O$74),"")</f>
        <v/>
      </c>
      <c r="AM15" s="61" t="str">
        <f>IF(AND('Mapa de Riesgos'!$Y$75="Muy Alta",'Mapa de Riesgos'!$AA$75="Catastrófico"),CONCATENATE("R10C",'Mapa de Riesgos'!$O$75),"")</f>
        <v/>
      </c>
      <c r="AN15" s="81"/>
      <c r="AO15" s="595"/>
      <c r="AP15" s="596"/>
      <c r="AQ15" s="596"/>
      <c r="AR15" s="596"/>
      <c r="AS15" s="596"/>
      <c r="AT15" s="597"/>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87"/>
      <c r="C16" s="487"/>
      <c r="D16" s="488"/>
      <c r="E16" s="582" t="s">
        <v>269</v>
      </c>
      <c r="F16" s="583"/>
      <c r="G16" s="583"/>
      <c r="H16" s="583"/>
      <c r="I16" s="583"/>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73" t="s">
        <v>270</v>
      </c>
      <c r="AP16" s="574"/>
      <c r="AQ16" s="574"/>
      <c r="AR16" s="574"/>
      <c r="AS16" s="574"/>
      <c r="AT16" s="575"/>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87"/>
      <c r="C17" s="487"/>
      <c r="D17" s="488"/>
      <c r="E17" s="584"/>
      <c r="F17" s="585"/>
      <c r="G17" s="585"/>
      <c r="H17" s="585"/>
      <c r="I17" s="585"/>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76"/>
      <c r="AP17" s="577"/>
      <c r="AQ17" s="577"/>
      <c r="AR17" s="577"/>
      <c r="AS17" s="577"/>
      <c r="AT17" s="578"/>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87"/>
      <c r="C18" s="487"/>
      <c r="D18" s="488"/>
      <c r="E18" s="586"/>
      <c r="F18" s="585"/>
      <c r="G18" s="585"/>
      <c r="H18" s="585"/>
      <c r="I18" s="585"/>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76"/>
      <c r="AP18" s="577"/>
      <c r="AQ18" s="577"/>
      <c r="AR18" s="577"/>
      <c r="AS18" s="577"/>
      <c r="AT18" s="578"/>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87"/>
      <c r="C19" s="487"/>
      <c r="D19" s="488"/>
      <c r="E19" s="586"/>
      <c r="F19" s="585"/>
      <c r="G19" s="585"/>
      <c r="H19" s="585"/>
      <c r="I19" s="585"/>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76"/>
      <c r="AP19" s="577"/>
      <c r="AQ19" s="577"/>
      <c r="AR19" s="577"/>
      <c r="AS19" s="577"/>
      <c r="AT19" s="578"/>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87"/>
      <c r="C20" s="487"/>
      <c r="D20" s="488"/>
      <c r="E20" s="586"/>
      <c r="F20" s="585"/>
      <c r="G20" s="585"/>
      <c r="H20" s="585"/>
      <c r="I20" s="585"/>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76"/>
      <c r="AP20" s="577"/>
      <c r="AQ20" s="577"/>
      <c r="AR20" s="577"/>
      <c r="AS20" s="577"/>
      <c r="AT20" s="578"/>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87"/>
      <c r="C21" s="487"/>
      <c r="D21" s="488"/>
      <c r="E21" s="586"/>
      <c r="F21" s="585"/>
      <c r="G21" s="585"/>
      <c r="H21" s="585"/>
      <c r="I21" s="585"/>
      <c r="J21" s="65" t="str">
        <f>IF(AND('Mapa de Riesgos'!$Y$42="Alta",'Mapa de Riesgos'!$AA$42="Leve"),CONCATENATE("R6C",'Mapa de Riesgos'!$O$42),"")</f>
        <v/>
      </c>
      <c r="K21" s="66" t="str">
        <f>IF(AND('Mapa de Riesgos'!$Y$44="Alta",'Mapa de Riesgos'!$AA$44="Leve"),CONCATENATE("R6C",'Mapa de Riesgos'!$O$44),"")</f>
        <v/>
      </c>
      <c r="L21" s="66" t="str">
        <f>IF(AND('Mapa de Riesgos'!$Y$45="Alta",'Mapa de Riesgos'!$AA$45="Leve"),CONCATENATE("R6C",'Mapa de Riesgos'!$O$45),"")</f>
        <v/>
      </c>
      <c r="M21" s="66" t="str">
        <f>IF(AND('Mapa de Riesgos'!$Y$46="Alta",'Mapa de Riesgos'!$AA$46="Leve"),CONCATENATE("R6C",'Mapa de Riesgos'!$O$46),"")</f>
        <v/>
      </c>
      <c r="N21" s="66" t="str">
        <f>IF(AND('Mapa de Riesgos'!$Y$47="Alta",'Mapa de Riesgos'!$AA$47="Leve"),CONCATENATE("R6C",'Mapa de Riesgos'!$O$47),"")</f>
        <v/>
      </c>
      <c r="O21" s="67" t="str">
        <f>IF(AND('Mapa de Riesgos'!$Y$48="Alta",'Mapa de Riesgos'!$AA$48="Leve"),CONCATENATE("R6C",'Mapa de Riesgos'!$O$48),"")</f>
        <v/>
      </c>
      <c r="P21" s="65" t="str">
        <f>IF(AND('Mapa de Riesgos'!$Y$42="Alta",'Mapa de Riesgos'!$AA$42="Menor"),CONCATENATE("R6C",'Mapa de Riesgos'!$O$42),"")</f>
        <v/>
      </c>
      <c r="Q21" s="66" t="str">
        <f>IF(AND('Mapa de Riesgos'!$Y$44="Alta",'Mapa de Riesgos'!$AA$44="Menor"),CONCATENATE("R6C",'Mapa de Riesgos'!$O$44),"")</f>
        <v/>
      </c>
      <c r="R21" s="66" t="str">
        <f>IF(AND('Mapa de Riesgos'!$Y$45="Alta",'Mapa de Riesgos'!$AA$45="Menor"),CONCATENATE("R6C",'Mapa de Riesgos'!$O$45),"")</f>
        <v/>
      </c>
      <c r="S21" s="66" t="str">
        <f>IF(AND('Mapa de Riesgos'!$Y$46="Alta",'Mapa de Riesgos'!$AA$46="Menor"),CONCATENATE("R6C",'Mapa de Riesgos'!$O$46),"")</f>
        <v/>
      </c>
      <c r="T21" s="66" t="str">
        <f>IF(AND('Mapa de Riesgos'!$Y$47="Alta",'Mapa de Riesgos'!$AA$47="Menor"),CONCATENATE("R6C",'Mapa de Riesgos'!$O$47),"")</f>
        <v/>
      </c>
      <c r="U21" s="67" t="str">
        <f>IF(AND('Mapa de Riesgos'!$Y$48="Alta",'Mapa de Riesgos'!$AA$48="Menor"),CONCATENATE("R6C",'Mapa de Riesgos'!$O$48),"")</f>
        <v/>
      </c>
      <c r="V21" s="50" t="str">
        <f>IF(AND('Mapa de Riesgos'!$Y$42="Alta",'Mapa de Riesgos'!$AA$42="Moderado"),CONCATENATE("R6C",'Mapa de Riesgos'!$O$42),"")</f>
        <v/>
      </c>
      <c r="W21" s="51" t="str">
        <f>IF(AND('Mapa de Riesgos'!$Y$44="Alta",'Mapa de Riesgos'!$AA$44="Moderado"),CONCATENATE("R6C",'Mapa de Riesgos'!$O$44),"")</f>
        <v/>
      </c>
      <c r="X21" s="51" t="str">
        <f>IF(AND('Mapa de Riesgos'!$Y$45="Alta",'Mapa de Riesgos'!$AA$45="Moderado"),CONCATENATE("R6C",'Mapa de Riesgos'!$O$45),"")</f>
        <v/>
      </c>
      <c r="Y21" s="51" t="str">
        <f>IF(AND('Mapa de Riesgos'!$Y$46="Alta",'Mapa de Riesgos'!$AA$46="Moderado"),CONCATENATE("R6C",'Mapa de Riesgos'!$O$46),"")</f>
        <v/>
      </c>
      <c r="Z21" s="51" t="str">
        <f>IF(AND('Mapa de Riesgos'!$Y$47="Alta",'Mapa de Riesgos'!$AA$47="Moderado"),CONCATENATE("R6C",'Mapa de Riesgos'!$O$47),"")</f>
        <v/>
      </c>
      <c r="AA21" s="52" t="str">
        <f>IF(AND('Mapa de Riesgos'!$Y$48="Alta",'Mapa de Riesgos'!$AA$48="Moderado"),CONCATENATE("R6C",'Mapa de Riesgos'!$O$48),"")</f>
        <v/>
      </c>
      <c r="AB21" s="50" t="str">
        <f>IF(AND('Mapa de Riesgos'!$Y$42="Alta",'Mapa de Riesgos'!$AA$42="Mayor"),CONCATENATE("R6C",'Mapa de Riesgos'!$O$42),"")</f>
        <v/>
      </c>
      <c r="AC21" s="51" t="str">
        <f>IF(AND('Mapa de Riesgos'!$Y$44="Alta",'Mapa de Riesgos'!$AA$44="Mayor"),CONCATENATE("R6C",'Mapa de Riesgos'!$O$44),"")</f>
        <v/>
      </c>
      <c r="AD21" s="51" t="str">
        <f>IF(AND('Mapa de Riesgos'!$Y$45="Alta",'Mapa de Riesgos'!$AA$45="Mayor"),CONCATENATE("R6C",'Mapa de Riesgos'!$O$45),"")</f>
        <v/>
      </c>
      <c r="AE21" s="51" t="str">
        <f>IF(AND('Mapa de Riesgos'!$Y$46="Alta",'Mapa de Riesgos'!$AA$46="Mayor"),CONCATENATE("R6C",'Mapa de Riesgos'!$O$46),"")</f>
        <v/>
      </c>
      <c r="AF21" s="51" t="str">
        <f>IF(AND('Mapa de Riesgos'!$Y$47="Alta",'Mapa de Riesgos'!$AA$47="Mayor"),CONCATENATE("R6C",'Mapa de Riesgos'!$O$47),"")</f>
        <v/>
      </c>
      <c r="AG21" s="52" t="str">
        <f>IF(AND('Mapa de Riesgos'!$Y$48="Alta",'Mapa de Riesgos'!$AA$48="Mayor"),CONCATENATE("R6C",'Mapa de Riesgos'!$O$48),"")</f>
        <v/>
      </c>
      <c r="AH21" s="53" t="str">
        <f>IF(AND('Mapa de Riesgos'!$Y$42="Alta",'Mapa de Riesgos'!$AA$42="Catastrófico"),CONCATENATE("R6C",'Mapa de Riesgos'!$O$42),"")</f>
        <v/>
      </c>
      <c r="AI21" s="54" t="str">
        <f>IF(AND('Mapa de Riesgos'!$Y$44="Alta",'Mapa de Riesgos'!$AA$44="Catastrófico"),CONCATENATE("R6C",'Mapa de Riesgos'!$O$44),"")</f>
        <v/>
      </c>
      <c r="AJ21" s="54" t="str">
        <f>IF(AND('Mapa de Riesgos'!$Y$45="Alta",'Mapa de Riesgos'!$AA$45="Catastrófico"),CONCATENATE("R6C",'Mapa de Riesgos'!$O$45),"")</f>
        <v/>
      </c>
      <c r="AK21" s="54" t="str">
        <f>IF(AND('Mapa de Riesgos'!$Y$46="Alta",'Mapa de Riesgos'!$AA$46="Catastrófico"),CONCATENATE("R6C",'Mapa de Riesgos'!$O$46),"")</f>
        <v/>
      </c>
      <c r="AL21" s="54" t="str">
        <f>IF(AND('Mapa de Riesgos'!$Y$47="Alta",'Mapa de Riesgos'!$AA$47="Catastrófico"),CONCATENATE("R6C",'Mapa de Riesgos'!$O$47),"")</f>
        <v/>
      </c>
      <c r="AM21" s="55" t="str">
        <f>IF(AND('Mapa de Riesgos'!$Y$48="Alta",'Mapa de Riesgos'!$AA$48="Catastrófico"),CONCATENATE("R6C",'Mapa de Riesgos'!$O$48),"")</f>
        <v/>
      </c>
      <c r="AN21" s="81"/>
      <c r="AO21" s="576"/>
      <c r="AP21" s="577"/>
      <c r="AQ21" s="577"/>
      <c r="AR21" s="577"/>
      <c r="AS21" s="577"/>
      <c r="AT21" s="578"/>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87"/>
      <c r="C22" s="487"/>
      <c r="D22" s="488"/>
      <c r="E22" s="586"/>
      <c r="F22" s="585"/>
      <c r="G22" s="585"/>
      <c r="H22" s="585"/>
      <c r="I22" s="585"/>
      <c r="J22" s="65" t="str">
        <f>IF(AND('Mapa de Riesgos'!$Y$49="Alta",'Mapa de Riesgos'!$AA$49="Leve"),CONCATENATE("R7C",'Mapa de Riesgos'!$O$49),"")</f>
        <v/>
      </c>
      <c r="K22" s="66" t="str">
        <f>IF(AND('Mapa de Riesgos'!$Y$51="Alta",'Mapa de Riesgos'!$AA$51="Leve"),CONCATENATE("R7C",'Mapa de Riesgos'!$O$51),"")</f>
        <v/>
      </c>
      <c r="L22" s="66" t="str">
        <f>IF(AND('Mapa de Riesgos'!$Y$52="Alta",'Mapa de Riesgos'!$AA$52="Leve"),CONCATENATE("R7C",'Mapa de Riesgos'!$O$52),"")</f>
        <v/>
      </c>
      <c r="M22" s="66" t="str">
        <f>IF(AND('Mapa de Riesgos'!$Y$53="Alta",'Mapa de Riesgos'!$AA$53="Leve"),CONCATENATE("R7C",'Mapa de Riesgos'!$O$53),"")</f>
        <v/>
      </c>
      <c r="N22" s="66" t="str">
        <f>IF(AND('Mapa de Riesgos'!$Y$54="Alta",'Mapa de Riesgos'!$AA$54="Leve"),CONCATENATE("R7C",'Mapa de Riesgos'!$O$54),"")</f>
        <v/>
      </c>
      <c r="O22" s="67" t="str">
        <f>IF(AND('Mapa de Riesgos'!$Y$55="Alta",'Mapa de Riesgos'!$AA$55="Leve"),CONCATENATE("R7C",'Mapa de Riesgos'!$O$55),"")</f>
        <v/>
      </c>
      <c r="P22" s="65" t="str">
        <f>IF(AND('Mapa de Riesgos'!$Y$49="Alta",'Mapa de Riesgos'!$AA$49="Menor"),CONCATENATE("R7C",'Mapa de Riesgos'!$O$49),"")</f>
        <v/>
      </c>
      <c r="Q22" s="66" t="str">
        <f>IF(AND('Mapa de Riesgos'!$Y$51="Alta",'Mapa de Riesgos'!$AA$51="Menor"),CONCATENATE("R7C",'Mapa de Riesgos'!$O$51),"")</f>
        <v/>
      </c>
      <c r="R22" s="66" t="str">
        <f>IF(AND('Mapa de Riesgos'!$Y$52="Alta",'Mapa de Riesgos'!$AA$52="Menor"),CONCATENATE("R7C",'Mapa de Riesgos'!$O$52),"")</f>
        <v/>
      </c>
      <c r="S22" s="66" t="str">
        <f>IF(AND('Mapa de Riesgos'!$Y$53="Alta",'Mapa de Riesgos'!$AA$53="Menor"),CONCATENATE("R7C",'Mapa de Riesgos'!$O$53),"")</f>
        <v/>
      </c>
      <c r="T22" s="66" t="str">
        <f>IF(AND('Mapa de Riesgos'!$Y$54="Alta",'Mapa de Riesgos'!$AA$54="Menor"),CONCATENATE("R7C",'Mapa de Riesgos'!$O$54),"")</f>
        <v/>
      </c>
      <c r="U22" s="67" t="str">
        <f>IF(AND('Mapa de Riesgos'!$Y$55="Alta",'Mapa de Riesgos'!$AA$55="Menor"),CONCATENATE("R7C",'Mapa de Riesgos'!$O$55),"")</f>
        <v/>
      </c>
      <c r="V22" s="50" t="str">
        <f>IF(AND('Mapa de Riesgos'!$Y$49="Alta",'Mapa de Riesgos'!$AA$49="Moderado"),CONCATENATE("R7C",'Mapa de Riesgos'!$O$49),"")</f>
        <v/>
      </c>
      <c r="W22" s="51" t="str">
        <f>IF(AND('Mapa de Riesgos'!$Y$51="Alta",'Mapa de Riesgos'!$AA$51="Moderado"),CONCATENATE("R7C",'Mapa de Riesgos'!$O$51),"")</f>
        <v/>
      </c>
      <c r="X22" s="51" t="str">
        <f>IF(AND('Mapa de Riesgos'!$Y$52="Alta",'Mapa de Riesgos'!$AA$52="Moderado"),CONCATENATE("R7C",'Mapa de Riesgos'!$O$52),"")</f>
        <v/>
      </c>
      <c r="Y22" s="51" t="str">
        <f>IF(AND('Mapa de Riesgos'!$Y$53="Alta",'Mapa de Riesgos'!$AA$53="Moderado"),CONCATENATE("R7C",'Mapa de Riesgos'!$O$53),"")</f>
        <v/>
      </c>
      <c r="Z22" s="51" t="str">
        <f>IF(AND('Mapa de Riesgos'!$Y$54="Alta",'Mapa de Riesgos'!$AA$54="Moderado"),CONCATENATE("R7C",'Mapa de Riesgos'!$O$54),"")</f>
        <v/>
      </c>
      <c r="AA22" s="52" t="str">
        <f>IF(AND('Mapa de Riesgos'!$Y$55="Alta",'Mapa de Riesgos'!$AA$55="Moderado"),CONCATENATE("R7C",'Mapa de Riesgos'!$O$55),"")</f>
        <v/>
      </c>
      <c r="AB22" s="50" t="str">
        <f>IF(AND('Mapa de Riesgos'!$Y$49="Alta",'Mapa de Riesgos'!$AA$49="Mayor"),CONCATENATE("R7C",'Mapa de Riesgos'!$O$49),"")</f>
        <v/>
      </c>
      <c r="AC22" s="51" t="str">
        <f>IF(AND('Mapa de Riesgos'!$Y$51="Alta",'Mapa de Riesgos'!$AA$51="Mayor"),CONCATENATE("R7C",'Mapa de Riesgos'!$O$51),"")</f>
        <v/>
      </c>
      <c r="AD22" s="51" t="str">
        <f>IF(AND('Mapa de Riesgos'!$Y$52="Alta",'Mapa de Riesgos'!$AA$52="Mayor"),CONCATENATE("R7C",'Mapa de Riesgos'!$O$52),"")</f>
        <v/>
      </c>
      <c r="AE22" s="51" t="str">
        <f>IF(AND('Mapa de Riesgos'!$Y$53="Alta",'Mapa de Riesgos'!$AA$53="Mayor"),CONCATENATE("R7C",'Mapa de Riesgos'!$O$53),"")</f>
        <v/>
      </c>
      <c r="AF22" s="51" t="str">
        <f>IF(AND('Mapa de Riesgos'!$Y$54="Alta",'Mapa de Riesgos'!$AA$54="Mayor"),CONCATENATE("R7C",'Mapa de Riesgos'!$O$54),"")</f>
        <v/>
      </c>
      <c r="AG22" s="52" t="str">
        <f>IF(AND('Mapa de Riesgos'!$Y$55="Alta",'Mapa de Riesgos'!$AA$55="Mayor"),CONCATENATE("R7C",'Mapa de Riesgos'!$O$55),"")</f>
        <v/>
      </c>
      <c r="AH22" s="53" t="str">
        <f>IF(AND('Mapa de Riesgos'!$Y$49="Alta",'Mapa de Riesgos'!$AA$49="Catastrófico"),CONCATENATE("R7C",'Mapa de Riesgos'!$O$49),"")</f>
        <v/>
      </c>
      <c r="AI22" s="54" t="str">
        <f>IF(AND('Mapa de Riesgos'!$Y$51="Alta",'Mapa de Riesgos'!$AA$51="Catastrófico"),CONCATENATE("R7C",'Mapa de Riesgos'!$O$51),"")</f>
        <v/>
      </c>
      <c r="AJ22" s="54" t="str">
        <f>IF(AND('Mapa de Riesgos'!$Y$52="Alta",'Mapa de Riesgos'!$AA$52="Catastrófico"),CONCATENATE("R7C",'Mapa de Riesgos'!$O$52),"")</f>
        <v/>
      </c>
      <c r="AK22" s="54" t="str">
        <f>IF(AND('Mapa de Riesgos'!$Y$53="Alta",'Mapa de Riesgos'!$AA$53="Catastrófico"),CONCATENATE("R7C",'Mapa de Riesgos'!$O$53),"")</f>
        <v/>
      </c>
      <c r="AL22" s="54" t="str">
        <f>IF(AND('Mapa de Riesgos'!$Y$54="Alta",'Mapa de Riesgos'!$AA$54="Catastrófico"),CONCATENATE("R7C",'Mapa de Riesgos'!$O$54),"")</f>
        <v/>
      </c>
      <c r="AM22" s="55" t="str">
        <f>IF(AND('Mapa de Riesgos'!$Y$55="Alta",'Mapa de Riesgos'!$AA$55="Catastrófico"),CONCATENATE("R7C",'Mapa de Riesgos'!$O$55),"")</f>
        <v/>
      </c>
      <c r="AN22" s="81"/>
      <c r="AO22" s="576"/>
      <c r="AP22" s="577"/>
      <c r="AQ22" s="577"/>
      <c r="AR22" s="577"/>
      <c r="AS22" s="577"/>
      <c r="AT22" s="578"/>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87"/>
      <c r="C23" s="487"/>
      <c r="D23" s="488"/>
      <c r="E23" s="586"/>
      <c r="F23" s="585"/>
      <c r="G23" s="585"/>
      <c r="H23" s="585"/>
      <c r="I23" s="585"/>
      <c r="J23" s="65" t="str">
        <f>IF(AND('Mapa de Riesgos'!$Y$56="Alta",'Mapa de Riesgos'!$AA$56="Leve"),CONCATENATE("R8C",'Mapa de Riesgos'!$O$56),"")</f>
        <v/>
      </c>
      <c r="K23" s="66" t="str">
        <f>IF(AND('Mapa de Riesgos'!$Y$59="Alta",'Mapa de Riesgos'!$AA$59="Leve"),CONCATENATE("R8C",'Mapa de Riesgos'!$O$59),"")</f>
        <v/>
      </c>
      <c r="L23" s="66" t="str">
        <f>IF(AND('Mapa de Riesgos'!$Y$60="Alta",'Mapa de Riesgos'!$AA$60="Leve"),CONCATENATE("R8C",'Mapa de Riesgos'!$O$60),"")</f>
        <v/>
      </c>
      <c r="M23" s="66" t="str">
        <f>IF(AND('Mapa de Riesgos'!$Y$61="Alta",'Mapa de Riesgos'!$AA$61="Leve"),CONCATENATE("R8C",'Mapa de Riesgos'!$O$61),"")</f>
        <v/>
      </c>
      <c r="N23" s="66" t="str">
        <f>IF(AND('Mapa de Riesgos'!$Y$62="Alta",'Mapa de Riesgos'!$AA$62="Leve"),CONCATENATE("R8C",'Mapa de Riesgos'!$O$62),"")</f>
        <v/>
      </c>
      <c r="O23" s="67" t="str">
        <f>IF(AND('Mapa de Riesgos'!$Y$63="Alta",'Mapa de Riesgos'!$AA$63="Leve"),CONCATENATE("R8C",'Mapa de Riesgos'!$O$63),"")</f>
        <v/>
      </c>
      <c r="P23" s="65" t="str">
        <f>IF(AND('Mapa de Riesgos'!$Y$56="Alta",'Mapa de Riesgos'!$AA$56="Menor"),CONCATENATE("R8C",'Mapa de Riesgos'!$O$56),"")</f>
        <v/>
      </c>
      <c r="Q23" s="66" t="str">
        <f>IF(AND('Mapa de Riesgos'!$Y$59="Alta",'Mapa de Riesgos'!$AA$59="Menor"),CONCATENATE("R8C",'Mapa de Riesgos'!$O$59),"")</f>
        <v/>
      </c>
      <c r="R23" s="66" t="str">
        <f>IF(AND('Mapa de Riesgos'!$Y$60="Alta",'Mapa de Riesgos'!$AA$60="Menor"),CONCATENATE("R8C",'Mapa de Riesgos'!$O$60),"")</f>
        <v/>
      </c>
      <c r="S23" s="66" t="str">
        <f>IF(AND('Mapa de Riesgos'!$Y$61="Alta",'Mapa de Riesgos'!$AA$61="Menor"),CONCATENATE("R8C",'Mapa de Riesgos'!$O$61),"")</f>
        <v/>
      </c>
      <c r="T23" s="66" t="str">
        <f>IF(AND('Mapa de Riesgos'!$Y$62="Alta",'Mapa de Riesgos'!$AA$62="Menor"),CONCATENATE("R8C",'Mapa de Riesgos'!$O$62),"")</f>
        <v/>
      </c>
      <c r="U23" s="67" t="str">
        <f>IF(AND('Mapa de Riesgos'!$Y$63="Alta",'Mapa de Riesgos'!$AA$63="Menor"),CONCATENATE("R8C",'Mapa de Riesgos'!$O$63),"")</f>
        <v/>
      </c>
      <c r="V23" s="50" t="str">
        <f>IF(AND('Mapa de Riesgos'!$Y$56="Alta",'Mapa de Riesgos'!$AA$56="Moderado"),CONCATENATE("R8C",'Mapa de Riesgos'!$O$56),"")</f>
        <v/>
      </c>
      <c r="W23" s="51" t="str">
        <f>IF(AND('Mapa de Riesgos'!$Y$59="Alta",'Mapa de Riesgos'!$AA$59="Moderado"),CONCATENATE("R8C",'Mapa de Riesgos'!$O$59),"")</f>
        <v/>
      </c>
      <c r="X23" s="51" t="str">
        <f>IF(AND('Mapa de Riesgos'!$Y$60="Alta",'Mapa de Riesgos'!$AA$60="Moderado"),CONCATENATE("R8C",'Mapa de Riesgos'!$O$60),"")</f>
        <v/>
      </c>
      <c r="Y23" s="51" t="str">
        <f>IF(AND('Mapa de Riesgos'!$Y$61="Alta",'Mapa de Riesgos'!$AA$61="Moderado"),CONCATENATE("R8C",'Mapa de Riesgos'!$O$61),"")</f>
        <v/>
      </c>
      <c r="Z23" s="51" t="str">
        <f>IF(AND('Mapa de Riesgos'!$Y$62="Alta",'Mapa de Riesgos'!$AA$62="Moderado"),CONCATENATE("R8C",'Mapa de Riesgos'!$O$62),"")</f>
        <v/>
      </c>
      <c r="AA23" s="52" t="str">
        <f>IF(AND('Mapa de Riesgos'!$Y$63="Alta",'Mapa de Riesgos'!$AA$63="Moderado"),CONCATENATE("R8C",'Mapa de Riesgos'!$O$63),"")</f>
        <v/>
      </c>
      <c r="AB23" s="50" t="str">
        <f>IF(AND('Mapa de Riesgos'!$Y$56="Alta",'Mapa de Riesgos'!$AA$56="Mayor"),CONCATENATE("R8C",'Mapa de Riesgos'!$O$56),"")</f>
        <v/>
      </c>
      <c r="AC23" s="51" t="str">
        <f>IF(AND('Mapa de Riesgos'!$Y$59="Alta",'Mapa de Riesgos'!$AA$59="Mayor"),CONCATENATE("R8C",'Mapa de Riesgos'!$O$59),"")</f>
        <v/>
      </c>
      <c r="AD23" s="51" t="str">
        <f>IF(AND('Mapa de Riesgos'!$Y$60="Alta",'Mapa de Riesgos'!$AA$60="Mayor"),CONCATENATE("R8C",'Mapa de Riesgos'!$O$60),"")</f>
        <v/>
      </c>
      <c r="AE23" s="51" t="str">
        <f>IF(AND('Mapa de Riesgos'!$Y$61="Alta",'Mapa de Riesgos'!$AA$61="Mayor"),CONCATENATE("R8C",'Mapa de Riesgos'!$O$61),"")</f>
        <v/>
      </c>
      <c r="AF23" s="51" t="str">
        <f>IF(AND('Mapa de Riesgos'!$Y$62="Alta",'Mapa de Riesgos'!$AA$62="Mayor"),CONCATENATE("R8C",'Mapa de Riesgos'!$O$62),"")</f>
        <v/>
      </c>
      <c r="AG23" s="52" t="str">
        <f>IF(AND('Mapa de Riesgos'!$Y$63="Alta",'Mapa de Riesgos'!$AA$63="Mayor"),CONCATENATE("R8C",'Mapa de Riesgos'!$O$63),"")</f>
        <v/>
      </c>
      <c r="AH23" s="53" t="str">
        <f>IF(AND('Mapa de Riesgos'!$Y$56="Alta",'Mapa de Riesgos'!$AA$56="Catastrófico"),CONCATENATE("R8C",'Mapa de Riesgos'!$O$56),"")</f>
        <v/>
      </c>
      <c r="AI23" s="54" t="str">
        <f>IF(AND('Mapa de Riesgos'!$Y$59="Alta",'Mapa de Riesgos'!$AA$59="Catastrófico"),CONCATENATE("R8C",'Mapa de Riesgos'!$O$59),"")</f>
        <v/>
      </c>
      <c r="AJ23" s="54" t="str">
        <f>IF(AND('Mapa de Riesgos'!$Y$60="Alta",'Mapa de Riesgos'!$AA$60="Catastrófico"),CONCATENATE("R8C",'Mapa de Riesgos'!$O$60),"")</f>
        <v/>
      </c>
      <c r="AK23" s="54" t="str">
        <f>IF(AND('Mapa de Riesgos'!$Y$61="Alta",'Mapa de Riesgos'!$AA$61="Catastrófico"),CONCATENATE("R8C",'Mapa de Riesgos'!$O$61),"")</f>
        <v/>
      </c>
      <c r="AL23" s="54" t="str">
        <f>IF(AND('Mapa de Riesgos'!$Y$62="Alta",'Mapa de Riesgos'!$AA$62="Catastrófico"),CONCATENATE("R8C",'Mapa de Riesgos'!$O$62),"")</f>
        <v/>
      </c>
      <c r="AM23" s="55" t="str">
        <f>IF(AND('Mapa de Riesgos'!$Y$63="Alta",'Mapa de Riesgos'!$AA$63="Catastrófico"),CONCATENATE("R8C",'Mapa de Riesgos'!$O$63),"")</f>
        <v/>
      </c>
      <c r="AN23" s="81"/>
      <c r="AO23" s="576"/>
      <c r="AP23" s="577"/>
      <c r="AQ23" s="577"/>
      <c r="AR23" s="577"/>
      <c r="AS23" s="577"/>
      <c r="AT23" s="57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87"/>
      <c r="C24" s="487"/>
      <c r="D24" s="488"/>
      <c r="E24" s="586"/>
      <c r="F24" s="585"/>
      <c r="G24" s="585"/>
      <c r="H24" s="585"/>
      <c r="I24" s="585"/>
      <c r="J24" s="65" t="str">
        <f>IF(AND('Mapa de Riesgos'!$Y$64="Alta",'Mapa de Riesgos'!$AA$64="Leve"),CONCATENATE("R9C",'Mapa de Riesgos'!$O$64),"")</f>
        <v/>
      </c>
      <c r="K24" s="66" t="str">
        <f>IF(AND('Mapa de Riesgos'!$Y$65="Alta",'Mapa de Riesgos'!$AA$65="Leve"),CONCATENATE("R9C",'Mapa de Riesgos'!$O$65),"")</f>
        <v/>
      </c>
      <c r="L24" s="66" t="str">
        <f>IF(AND('Mapa de Riesgos'!$Y$66="Alta",'Mapa de Riesgos'!$AA$66="Leve"),CONCATENATE("R9C",'Mapa de Riesgos'!$O$66),"")</f>
        <v/>
      </c>
      <c r="M24" s="66" t="str">
        <f>IF(AND('Mapa de Riesgos'!$Y$67="Alta",'Mapa de Riesgos'!$AA$67="Leve"),CONCATENATE("R9C",'Mapa de Riesgos'!$O$67),"")</f>
        <v/>
      </c>
      <c r="N24" s="66" t="str">
        <f>IF(AND('Mapa de Riesgos'!$Y$68="Alta",'Mapa de Riesgos'!$AA$68="Leve"),CONCATENATE("R9C",'Mapa de Riesgos'!$O$68),"")</f>
        <v/>
      </c>
      <c r="O24" s="67" t="str">
        <f>IF(AND('Mapa de Riesgos'!$Y$69="Alta",'Mapa de Riesgos'!$AA$69="Leve"),CONCATENATE("R9C",'Mapa de Riesgos'!$O$69),"")</f>
        <v/>
      </c>
      <c r="P24" s="65" t="str">
        <f>IF(AND('Mapa de Riesgos'!$Y$64="Alta",'Mapa de Riesgos'!$AA$64="Menor"),CONCATENATE("R9C",'Mapa de Riesgos'!$O$64),"")</f>
        <v/>
      </c>
      <c r="Q24" s="66" t="str">
        <f>IF(AND('Mapa de Riesgos'!$Y$65="Alta",'Mapa de Riesgos'!$AA$65="Menor"),CONCATENATE("R9C",'Mapa de Riesgos'!$O$65),"")</f>
        <v/>
      </c>
      <c r="R24" s="66" t="str">
        <f>IF(AND('Mapa de Riesgos'!$Y$66="Alta",'Mapa de Riesgos'!$AA$66="Menor"),CONCATENATE("R9C",'Mapa de Riesgos'!$O$66),"")</f>
        <v/>
      </c>
      <c r="S24" s="66" t="str">
        <f>IF(AND('Mapa de Riesgos'!$Y$67="Alta",'Mapa de Riesgos'!$AA$67="Menor"),CONCATENATE("R9C",'Mapa de Riesgos'!$O$67),"")</f>
        <v/>
      </c>
      <c r="T24" s="66" t="str">
        <f>IF(AND('Mapa de Riesgos'!$Y$68="Alta",'Mapa de Riesgos'!$AA$68="Menor"),CONCATENATE("R9C",'Mapa de Riesgos'!$O$68),"")</f>
        <v/>
      </c>
      <c r="U24" s="67" t="str">
        <f>IF(AND('Mapa de Riesgos'!$Y$69="Alta",'Mapa de Riesgos'!$AA$69="Menor"),CONCATENATE("R9C",'Mapa de Riesgos'!$O$69),"")</f>
        <v/>
      </c>
      <c r="V24" s="50" t="str">
        <f>IF(AND('Mapa de Riesgos'!$Y$64="Alta",'Mapa de Riesgos'!$AA$64="Moderado"),CONCATENATE("R9C",'Mapa de Riesgos'!$O$64),"")</f>
        <v/>
      </c>
      <c r="W24" s="51" t="str">
        <f>IF(AND('Mapa de Riesgos'!$Y$65="Alta",'Mapa de Riesgos'!$AA$65="Moderado"),CONCATENATE("R9C",'Mapa de Riesgos'!$O$65),"")</f>
        <v/>
      </c>
      <c r="X24" s="51" t="str">
        <f>IF(AND('Mapa de Riesgos'!$Y$66="Alta",'Mapa de Riesgos'!$AA$66="Moderado"),CONCATENATE("R9C",'Mapa de Riesgos'!$O$66),"")</f>
        <v/>
      </c>
      <c r="Y24" s="51" t="str">
        <f>IF(AND('Mapa de Riesgos'!$Y$67="Alta",'Mapa de Riesgos'!$AA$67="Moderado"),CONCATENATE("R9C",'Mapa de Riesgos'!$O$67),"")</f>
        <v/>
      </c>
      <c r="Z24" s="51" t="str">
        <f>IF(AND('Mapa de Riesgos'!$Y$68="Alta",'Mapa de Riesgos'!$AA$68="Moderado"),CONCATENATE("R9C",'Mapa de Riesgos'!$O$68),"")</f>
        <v/>
      </c>
      <c r="AA24" s="52" t="str">
        <f>IF(AND('Mapa de Riesgos'!$Y$69="Alta",'Mapa de Riesgos'!$AA$69="Moderado"),CONCATENATE("R9C",'Mapa de Riesgos'!$O$69),"")</f>
        <v/>
      </c>
      <c r="AB24" s="50" t="str">
        <f>IF(AND('Mapa de Riesgos'!$Y$64="Alta",'Mapa de Riesgos'!$AA$64="Mayor"),CONCATENATE("R9C",'Mapa de Riesgos'!$O$64),"")</f>
        <v/>
      </c>
      <c r="AC24" s="51" t="str">
        <f>IF(AND('Mapa de Riesgos'!$Y$65="Alta",'Mapa de Riesgos'!$AA$65="Mayor"),CONCATENATE("R9C",'Mapa de Riesgos'!$O$65),"")</f>
        <v/>
      </c>
      <c r="AD24" s="51" t="str">
        <f>IF(AND('Mapa de Riesgos'!$Y$66="Alta",'Mapa de Riesgos'!$AA$66="Mayor"),CONCATENATE("R9C",'Mapa de Riesgos'!$O$66),"")</f>
        <v/>
      </c>
      <c r="AE24" s="51" t="str">
        <f>IF(AND('Mapa de Riesgos'!$Y$67="Alta",'Mapa de Riesgos'!$AA$67="Mayor"),CONCATENATE("R9C",'Mapa de Riesgos'!$O$67),"")</f>
        <v/>
      </c>
      <c r="AF24" s="51" t="str">
        <f>IF(AND('Mapa de Riesgos'!$Y$68="Alta",'Mapa de Riesgos'!$AA$68="Mayor"),CONCATENATE("R9C",'Mapa de Riesgos'!$O$68),"")</f>
        <v/>
      </c>
      <c r="AG24" s="52" t="str">
        <f>IF(AND('Mapa de Riesgos'!$Y$69="Alta",'Mapa de Riesgos'!$AA$69="Mayor"),CONCATENATE("R9C",'Mapa de Riesgos'!$O$69),"")</f>
        <v/>
      </c>
      <c r="AH24" s="53" t="str">
        <f>IF(AND('Mapa de Riesgos'!$Y$64="Alta",'Mapa de Riesgos'!$AA$64="Catastrófico"),CONCATENATE("R9C",'Mapa de Riesgos'!$O$64),"")</f>
        <v/>
      </c>
      <c r="AI24" s="54" t="str">
        <f>IF(AND('Mapa de Riesgos'!$Y$65="Alta",'Mapa de Riesgos'!$AA$65="Catastrófico"),CONCATENATE("R9C",'Mapa de Riesgos'!$O$65),"")</f>
        <v/>
      </c>
      <c r="AJ24" s="54" t="str">
        <f>IF(AND('Mapa de Riesgos'!$Y$66="Alta",'Mapa de Riesgos'!$AA$66="Catastrófico"),CONCATENATE("R9C",'Mapa de Riesgos'!$O$66),"")</f>
        <v/>
      </c>
      <c r="AK24" s="54" t="str">
        <f>IF(AND('Mapa de Riesgos'!$Y$67="Alta",'Mapa de Riesgos'!$AA$67="Catastrófico"),CONCATENATE("R9C",'Mapa de Riesgos'!$O$67),"")</f>
        <v/>
      </c>
      <c r="AL24" s="54" t="str">
        <f>IF(AND('Mapa de Riesgos'!$Y$68="Alta",'Mapa de Riesgos'!$AA$68="Catastrófico"),CONCATENATE("R9C",'Mapa de Riesgos'!$O$68),"")</f>
        <v/>
      </c>
      <c r="AM24" s="55" t="str">
        <f>IF(AND('Mapa de Riesgos'!$Y$69="Alta",'Mapa de Riesgos'!$AA$69="Catastrófico"),CONCATENATE("R9C",'Mapa de Riesgos'!$O$69),"")</f>
        <v/>
      </c>
      <c r="AN24" s="81"/>
      <c r="AO24" s="576"/>
      <c r="AP24" s="577"/>
      <c r="AQ24" s="577"/>
      <c r="AR24" s="577"/>
      <c r="AS24" s="577"/>
      <c r="AT24" s="578"/>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87"/>
      <c r="C25" s="487"/>
      <c r="D25" s="488"/>
      <c r="E25" s="587"/>
      <c r="F25" s="588"/>
      <c r="G25" s="588"/>
      <c r="H25" s="588"/>
      <c r="I25" s="588"/>
      <c r="J25" s="68" t="str">
        <f>IF(AND('Mapa de Riesgos'!$Y$70="Alta",'Mapa de Riesgos'!$AA$70="Leve"),CONCATENATE("R10C",'Mapa de Riesgos'!$O$70),"")</f>
        <v/>
      </c>
      <c r="K25" s="69" t="str">
        <f>IF(AND('Mapa de Riesgos'!$Y$71="Alta",'Mapa de Riesgos'!$AA$71="Leve"),CONCATENATE("R10C",'Mapa de Riesgos'!$O$71),"")</f>
        <v/>
      </c>
      <c r="L25" s="69" t="str">
        <f>IF(AND('Mapa de Riesgos'!$Y$72="Alta",'Mapa de Riesgos'!$AA$72="Leve"),CONCATENATE("R10C",'Mapa de Riesgos'!$O$72),"")</f>
        <v/>
      </c>
      <c r="M25" s="69" t="str">
        <f>IF(AND('Mapa de Riesgos'!$Y$73="Alta",'Mapa de Riesgos'!$AA$73="Leve"),CONCATENATE("R10C",'Mapa de Riesgos'!$O$73),"")</f>
        <v/>
      </c>
      <c r="N25" s="69" t="str">
        <f>IF(AND('Mapa de Riesgos'!$Y$74="Alta",'Mapa de Riesgos'!$AA$74="Leve"),CONCATENATE("R10C",'Mapa de Riesgos'!$O$74),"")</f>
        <v/>
      </c>
      <c r="O25" s="70" t="str">
        <f>IF(AND('Mapa de Riesgos'!$Y$75="Alta",'Mapa de Riesgos'!$AA$75="Leve"),CONCATENATE("R10C",'Mapa de Riesgos'!$O$75),"")</f>
        <v/>
      </c>
      <c r="P25" s="68" t="str">
        <f>IF(AND('Mapa de Riesgos'!$Y$70="Alta",'Mapa de Riesgos'!$AA$70="Menor"),CONCATENATE("R10C",'Mapa de Riesgos'!$O$70),"")</f>
        <v/>
      </c>
      <c r="Q25" s="69" t="str">
        <f>IF(AND('Mapa de Riesgos'!$Y$71="Alta",'Mapa de Riesgos'!$AA$71="Menor"),CONCATENATE("R10C",'Mapa de Riesgos'!$O$71),"")</f>
        <v/>
      </c>
      <c r="R25" s="69" t="str">
        <f>IF(AND('Mapa de Riesgos'!$Y$72="Alta",'Mapa de Riesgos'!$AA$72="Menor"),CONCATENATE("R10C",'Mapa de Riesgos'!$O$72),"")</f>
        <v/>
      </c>
      <c r="S25" s="69" t="str">
        <f>IF(AND('Mapa de Riesgos'!$Y$73="Alta",'Mapa de Riesgos'!$AA$73="Menor"),CONCATENATE("R10C",'Mapa de Riesgos'!$O$73),"")</f>
        <v/>
      </c>
      <c r="T25" s="69" t="str">
        <f>IF(AND('Mapa de Riesgos'!$Y$74="Alta",'Mapa de Riesgos'!$AA$74="Menor"),CONCATENATE("R10C",'Mapa de Riesgos'!$O$74),"")</f>
        <v/>
      </c>
      <c r="U25" s="70" t="str">
        <f>IF(AND('Mapa de Riesgos'!$Y$75="Alta",'Mapa de Riesgos'!$AA$75="Menor"),CONCATENATE("R10C",'Mapa de Riesgos'!$O$75),"")</f>
        <v/>
      </c>
      <c r="V25" s="56" t="str">
        <f>IF(AND('Mapa de Riesgos'!$Y$70="Alta",'Mapa de Riesgos'!$AA$70="Moderado"),CONCATENATE("R10C",'Mapa de Riesgos'!$O$70),"")</f>
        <v/>
      </c>
      <c r="W25" s="57" t="str">
        <f>IF(AND('Mapa de Riesgos'!$Y$71="Alta",'Mapa de Riesgos'!$AA$71="Moderado"),CONCATENATE("R10C",'Mapa de Riesgos'!$O$71),"")</f>
        <v/>
      </c>
      <c r="X25" s="57" t="str">
        <f>IF(AND('Mapa de Riesgos'!$Y$72="Alta",'Mapa de Riesgos'!$AA$72="Moderado"),CONCATENATE("R10C",'Mapa de Riesgos'!$O$72),"")</f>
        <v/>
      </c>
      <c r="Y25" s="57" t="str">
        <f>IF(AND('Mapa de Riesgos'!$Y$73="Alta",'Mapa de Riesgos'!$AA$73="Moderado"),CONCATENATE("R10C",'Mapa de Riesgos'!$O$73),"")</f>
        <v/>
      </c>
      <c r="Z25" s="57" t="str">
        <f>IF(AND('Mapa de Riesgos'!$Y$74="Alta",'Mapa de Riesgos'!$AA$74="Moderado"),CONCATENATE("R10C",'Mapa de Riesgos'!$O$74),"")</f>
        <v/>
      </c>
      <c r="AA25" s="58" t="str">
        <f>IF(AND('Mapa de Riesgos'!$Y$75="Alta",'Mapa de Riesgos'!$AA$75="Moderado"),CONCATENATE("R10C",'Mapa de Riesgos'!$O$75),"")</f>
        <v/>
      </c>
      <c r="AB25" s="56" t="str">
        <f>IF(AND('Mapa de Riesgos'!$Y$70="Alta",'Mapa de Riesgos'!$AA$70="Mayor"),CONCATENATE("R10C",'Mapa de Riesgos'!$O$70),"")</f>
        <v/>
      </c>
      <c r="AC25" s="57" t="str">
        <f>IF(AND('Mapa de Riesgos'!$Y$71="Alta",'Mapa de Riesgos'!$AA$71="Mayor"),CONCATENATE("R10C",'Mapa de Riesgos'!$O$71),"")</f>
        <v/>
      </c>
      <c r="AD25" s="57" t="str">
        <f>IF(AND('Mapa de Riesgos'!$Y$72="Alta",'Mapa de Riesgos'!$AA$72="Mayor"),CONCATENATE("R10C",'Mapa de Riesgos'!$O$72),"")</f>
        <v/>
      </c>
      <c r="AE25" s="57" t="str">
        <f>IF(AND('Mapa de Riesgos'!$Y$73="Alta",'Mapa de Riesgos'!$AA$73="Mayor"),CONCATENATE("R10C",'Mapa de Riesgos'!$O$73),"")</f>
        <v/>
      </c>
      <c r="AF25" s="57" t="str">
        <f>IF(AND('Mapa de Riesgos'!$Y$74="Alta",'Mapa de Riesgos'!$AA$74="Mayor"),CONCATENATE("R10C",'Mapa de Riesgos'!$O$74),"")</f>
        <v/>
      </c>
      <c r="AG25" s="58" t="str">
        <f>IF(AND('Mapa de Riesgos'!$Y$75="Alta",'Mapa de Riesgos'!$AA$75="Mayor"),CONCATENATE("R10C",'Mapa de Riesgos'!$O$75),"")</f>
        <v/>
      </c>
      <c r="AH25" s="59" t="str">
        <f>IF(AND('Mapa de Riesgos'!$Y$70="Alta",'Mapa de Riesgos'!$AA$70="Catastrófico"),CONCATENATE("R10C",'Mapa de Riesgos'!$O$70),"")</f>
        <v/>
      </c>
      <c r="AI25" s="60" t="str">
        <f>IF(AND('Mapa de Riesgos'!$Y$71="Alta",'Mapa de Riesgos'!$AA$71="Catastrófico"),CONCATENATE("R10C",'Mapa de Riesgos'!$O$71),"")</f>
        <v/>
      </c>
      <c r="AJ25" s="60" t="str">
        <f>IF(AND('Mapa de Riesgos'!$Y$72="Alta",'Mapa de Riesgos'!$AA$72="Catastrófico"),CONCATENATE("R10C",'Mapa de Riesgos'!$O$72),"")</f>
        <v/>
      </c>
      <c r="AK25" s="60" t="str">
        <f>IF(AND('Mapa de Riesgos'!$Y$73="Alta",'Mapa de Riesgos'!$AA$73="Catastrófico"),CONCATENATE("R10C",'Mapa de Riesgos'!$O$73),"")</f>
        <v/>
      </c>
      <c r="AL25" s="60" t="str">
        <f>IF(AND('Mapa de Riesgos'!$Y$74="Alta",'Mapa de Riesgos'!$AA$74="Catastrófico"),CONCATENATE("R10C",'Mapa de Riesgos'!$O$74),"")</f>
        <v/>
      </c>
      <c r="AM25" s="61" t="str">
        <f>IF(AND('Mapa de Riesgos'!$Y$75="Alta",'Mapa de Riesgos'!$AA$75="Catastrófico"),CONCATENATE("R10C",'Mapa de Riesgos'!$O$75),"")</f>
        <v/>
      </c>
      <c r="AN25" s="81"/>
      <c r="AO25" s="579"/>
      <c r="AP25" s="580"/>
      <c r="AQ25" s="580"/>
      <c r="AR25" s="580"/>
      <c r="AS25" s="580"/>
      <c r="AT25" s="5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87"/>
      <c r="C26" s="487"/>
      <c r="D26" s="488"/>
      <c r="E26" s="582" t="s">
        <v>271</v>
      </c>
      <c r="F26" s="583"/>
      <c r="G26" s="583"/>
      <c r="H26" s="583"/>
      <c r="I26" s="600"/>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R1C1</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612" t="s">
        <v>248</v>
      </c>
      <c r="AP26" s="613"/>
      <c r="AQ26" s="613"/>
      <c r="AR26" s="613"/>
      <c r="AS26" s="613"/>
      <c r="AT26" s="614"/>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87"/>
      <c r="C27" s="487"/>
      <c r="D27" s="488"/>
      <c r="E27" s="584"/>
      <c r="F27" s="585"/>
      <c r="G27" s="585"/>
      <c r="H27" s="585"/>
      <c r="I27" s="601"/>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615"/>
      <c r="AP27" s="616"/>
      <c r="AQ27" s="616"/>
      <c r="AR27" s="616"/>
      <c r="AS27" s="616"/>
      <c r="AT27" s="617"/>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87"/>
      <c r="C28" s="487"/>
      <c r="D28" s="488"/>
      <c r="E28" s="586"/>
      <c r="F28" s="585"/>
      <c r="G28" s="585"/>
      <c r="H28" s="585"/>
      <c r="I28" s="601"/>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615"/>
      <c r="AP28" s="616"/>
      <c r="AQ28" s="616"/>
      <c r="AR28" s="616"/>
      <c r="AS28" s="616"/>
      <c r="AT28" s="617"/>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87"/>
      <c r="C29" s="487"/>
      <c r="D29" s="488"/>
      <c r="E29" s="586"/>
      <c r="F29" s="585"/>
      <c r="G29" s="585"/>
      <c r="H29" s="585"/>
      <c r="I29" s="601"/>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615"/>
      <c r="AP29" s="616"/>
      <c r="AQ29" s="616"/>
      <c r="AR29" s="616"/>
      <c r="AS29" s="616"/>
      <c r="AT29" s="617"/>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87"/>
      <c r="C30" s="487"/>
      <c r="D30" s="488"/>
      <c r="E30" s="586"/>
      <c r="F30" s="585"/>
      <c r="G30" s="585"/>
      <c r="H30" s="585"/>
      <c r="I30" s="601"/>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R5C1</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615"/>
      <c r="AP30" s="616"/>
      <c r="AQ30" s="616"/>
      <c r="AR30" s="616"/>
      <c r="AS30" s="616"/>
      <c r="AT30" s="617"/>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87"/>
      <c r="C31" s="487"/>
      <c r="D31" s="488"/>
      <c r="E31" s="586"/>
      <c r="F31" s="585"/>
      <c r="G31" s="585"/>
      <c r="H31" s="585"/>
      <c r="I31" s="601"/>
      <c r="J31" s="65" t="str">
        <f>IF(AND('Mapa de Riesgos'!$Y$42="Media",'Mapa de Riesgos'!$AA$42="Leve"),CONCATENATE("R6C",'Mapa de Riesgos'!$O$42),"")</f>
        <v/>
      </c>
      <c r="K31" s="66" t="str">
        <f>IF(AND('Mapa de Riesgos'!$Y$44="Media",'Mapa de Riesgos'!$AA$44="Leve"),CONCATENATE("R6C",'Mapa de Riesgos'!$O$44),"")</f>
        <v/>
      </c>
      <c r="L31" s="66" t="str">
        <f>IF(AND('Mapa de Riesgos'!$Y$45="Media",'Mapa de Riesgos'!$AA$45="Leve"),CONCATENATE("R6C",'Mapa de Riesgos'!$O$45),"")</f>
        <v/>
      </c>
      <c r="M31" s="66" t="str">
        <f>IF(AND('Mapa de Riesgos'!$Y$46="Media",'Mapa de Riesgos'!$AA$46="Leve"),CONCATENATE("R6C",'Mapa de Riesgos'!$O$46),"")</f>
        <v/>
      </c>
      <c r="N31" s="66" t="str">
        <f>IF(AND('Mapa de Riesgos'!$Y$47="Media",'Mapa de Riesgos'!$AA$47="Leve"),CONCATENATE("R6C",'Mapa de Riesgos'!$O$47),"")</f>
        <v/>
      </c>
      <c r="O31" s="67" t="str">
        <f>IF(AND('Mapa de Riesgos'!$Y$48="Media",'Mapa de Riesgos'!$AA$48="Leve"),CONCATENATE("R6C",'Mapa de Riesgos'!$O$48),"")</f>
        <v/>
      </c>
      <c r="P31" s="65" t="str">
        <f>IF(AND('Mapa de Riesgos'!$Y$42="Media",'Mapa de Riesgos'!$AA$42="Menor"),CONCATENATE("R6C",'Mapa de Riesgos'!$O$42),"")</f>
        <v/>
      </c>
      <c r="Q31" s="66" t="str">
        <f>IF(AND('Mapa de Riesgos'!$Y$44="Media",'Mapa de Riesgos'!$AA$44="Menor"),CONCATENATE("R6C",'Mapa de Riesgos'!$O$44),"")</f>
        <v/>
      </c>
      <c r="R31" s="66" t="str">
        <f>IF(AND('Mapa de Riesgos'!$Y$45="Media",'Mapa de Riesgos'!$AA$45="Menor"),CONCATENATE("R6C",'Mapa de Riesgos'!$O$45),"")</f>
        <v/>
      </c>
      <c r="S31" s="66" t="str">
        <f>IF(AND('Mapa de Riesgos'!$Y$46="Media",'Mapa de Riesgos'!$AA$46="Menor"),CONCATENATE("R6C",'Mapa de Riesgos'!$O$46),"")</f>
        <v/>
      </c>
      <c r="T31" s="66" t="str">
        <f>IF(AND('Mapa de Riesgos'!$Y$47="Media",'Mapa de Riesgos'!$AA$47="Menor"),CONCATENATE("R6C",'Mapa de Riesgos'!$O$47),"")</f>
        <v/>
      </c>
      <c r="U31" s="67" t="str">
        <f>IF(AND('Mapa de Riesgos'!$Y$48="Media",'Mapa de Riesgos'!$AA$48="Menor"),CONCATENATE("R6C",'Mapa de Riesgos'!$O$48),"")</f>
        <v/>
      </c>
      <c r="V31" s="65" t="str">
        <f>IF(AND('Mapa de Riesgos'!$Y$42="Media",'Mapa de Riesgos'!$AA$42="Moderado"),CONCATENATE("R6C",'Mapa de Riesgos'!$O$42),"")</f>
        <v/>
      </c>
      <c r="W31" s="66" t="str">
        <f>IF(AND('Mapa de Riesgos'!$Y$44="Media",'Mapa de Riesgos'!$AA$44="Moderado"),CONCATENATE("R6C",'Mapa de Riesgos'!$O$44),"")</f>
        <v/>
      </c>
      <c r="X31" s="66" t="str">
        <f>IF(AND('Mapa de Riesgos'!$Y$45="Media",'Mapa de Riesgos'!$AA$45="Moderado"),CONCATENATE("R6C",'Mapa de Riesgos'!$O$45),"")</f>
        <v/>
      </c>
      <c r="Y31" s="66" t="str">
        <f>IF(AND('Mapa de Riesgos'!$Y$46="Media",'Mapa de Riesgos'!$AA$46="Moderado"),CONCATENATE("R6C",'Mapa de Riesgos'!$O$46),"")</f>
        <v/>
      </c>
      <c r="Z31" s="66" t="str">
        <f>IF(AND('Mapa de Riesgos'!$Y$47="Media",'Mapa de Riesgos'!$AA$47="Moderado"),CONCATENATE("R6C",'Mapa de Riesgos'!$O$47),"")</f>
        <v/>
      </c>
      <c r="AA31" s="67" t="str">
        <f>IF(AND('Mapa de Riesgos'!$Y$48="Media",'Mapa de Riesgos'!$AA$48="Moderado"),CONCATENATE("R6C",'Mapa de Riesgos'!$O$48),"")</f>
        <v/>
      </c>
      <c r="AB31" s="50" t="str">
        <f>IF(AND('Mapa de Riesgos'!$Y$42="Media",'Mapa de Riesgos'!$AA$42="Mayor"),CONCATENATE("R6C",'Mapa de Riesgos'!$O$42),"")</f>
        <v/>
      </c>
      <c r="AC31" s="51" t="str">
        <f>IF(AND('Mapa de Riesgos'!$Y$44="Media",'Mapa de Riesgos'!$AA$44="Mayor"),CONCATENATE("R6C",'Mapa de Riesgos'!$O$44),"")</f>
        <v/>
      </c>
      <c r="AD31" s="51" t="str">
        <f>IF(AND('Mapa de Riesgos'!$Y$45="Media",'Mapa de Riesgos'!$AA$45="Mayor"),CONCATENATE("R6C",'Mapa de Riesgos'!$O$45),"")</f>
        <v/>
      </c>
      <c r="AE31" s="51" t="str">
        <f>IF(AND('Mapa de Riesgos'!$Y$46="Media",'Mapa de Riesgos'!$AA$46="Mayor"),CONCATENATE("R6C",'Mapa de Riesgos'!$O$46),"")</f>
        <v/>
      </c>
      <c r="AF31" s="51" t="str">
        <f>IF(AND('Mapa de Riesgos'!$Y$47="Media",'Mapa de Riesgos'!$AA$47="Mayor"),CONCATENATE("R6C",'Mapa de Riesgos'!$O$47),"")</f>
        <v/>
      </c>
      <c r="AG31" s="52" t="str">
        <f>IF(AND('Mapa de Riesgos'!$Y$48="Media",'Mapa de Riesgos'!$AA$48="Mayor"),CONCATENATE("R6C",'Mapa de Riesgos'!$O$48),"")</f>
        <v/>
      </c>
      <c r="AH31" s="53" t="str">
        <f>IF(AND('Mapa de Riesgos'!$Y$42="Media",'Mapa de Riesgos'!$AA$42="Catastrófico"),CONCATENATE("R6C",'Mapa de Riesgos'!$O$42),"")</f>
        <v/>
      </c>
      <c r="AI31" s="54" t="str">
        <f>IF(AND('Mapa de Riesgos'!$Y$44="Media",'Mapa de Riesgos'!$AA$44="Catastrófico"),CONCATENATE("R6C",'Mapa de Riesgos'!$O$44),"")</f>
        <v/>
      </c>
      <c r="AJ31" s="54" t="str">
        <f>IF(AND('Mapa de Riesgos'!$Y$45="Media",'Mapa de Riesgos'!$AA$45="Catastrófico"),CONCATENATE("R6C",'Mapa de Riesgos'!$O$45),"")</f>
        <v/>
      </c>
      <c r="AK31" s="54" t="str">
        <f>IF(AND('Mapa de Riesgos'!$Y$46="Media",'Mapa de Riesgos'!$AA$46="Catastrófico"),CONCATENATE("R6C",'Mapa de Riesgos'!$O$46),"")</f>
        <v/>
      </c>
      <c r="AL31" s="54" t="str">
        <f>IF(AND('Mapa de Riesgos'!$Y$47="Media",'Mapa de Riesgos'!$AA$47="Catastrófico"),CONCATENATE("R6C",'Mapa de Riesgos'!$O$47),"")</f>
        <v/>
      </c>
      <c r="AM31" s="55" t="str">
        <f>IF(AND('Mapa de Riesgos'!$Y$48="Media",'Mapa de Riesgos'!$AA$48="Catastrófico"),CONCATENATE("R6C",'Mapa de Riesgos'!$O$48),"")</f>
        <v/>
      </c>
      <c r="AN31" s="81"/>
      <c r="AO31" s="615"/>
      <c r="AP31" s="616"/>
      <c r="AQ31" s="616"/>
      <c r="AR31" s="616"/>
      <c r="AS31" s="616"/>
      <c r="AT31" s="617"/>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87"/>
      <c r="C32" s="487"/>
      <c r="D32" s="488"/>
      <c r="E32" s="586"/>
      <c r="F32" s="585"/>
      <c r="G32" s="585"/>
      <c r="H32" s="585"/>
      <c r="I32" s="601"/>
      <c r="J32" s="65" t="str">
        <f>IF(AND('Mapa de Riesgos'!$Y$49="Media",'Mapa de Riesgos'!$AA$49="Leve"),CONCATENATE("R7C",'Mapa de Riesgos'!$O$49),"")</f>
        <v/>
      </c>
      <c r="K32" s="66" t="str">
        <f>IF(AND('Mapa de Riesgos'!$Y$51="Media",'Mapa de Riesgos'!$AA$51="Leve"),CONCATENATE("R7C",'Mapa de Riesgos'!$O$51),"")</f>
        <v/>
      </c>
      <c r="L32" s="66" t="str">
        <f>IF(AND('Mapa de Riesgos'!$Y$52="Media",'Mapa de Riesgos'!$AA$52="Leve"),CONCATENATE("R7C",'Mapa de Riesgos'!$O$52),"")</f>
        <v/>
      </c>
      <c r="M32" s="66" t="str">
        <f>IF(AND('Mapa de Riesgos'!$Y$53="Media",'Mapa de Riesgos'!$AA$53="Leve"),CONCATENATE("R7C",'Mapa de Riesgos'!$O$53),"")</f>
        <v/>
      </c>
      <c r="N32" s="66" t="str">
        <f>IF(AND('Mapa de Riesgos'!$Y$54="Media",'Mapa de Riesgos'!$AA$54="Leve"),CONCATENATE("R7C",'Mapa de Riesgos'!$O$54),"")</f>
        <v/>
      </c>
      <c r="O32" s="67" t="str">
        <f>IF(AND('Mapa de Riesgos'!$Y$55="Media",'Mapa de Riesgos'!$AA$55="Leve"),CONCATENATE("R7C",'Mapa de Riesgos'!$O$55),"")</f>
        <v/>
      </c>
      <c r="P32" s="65" t="str">
        <f>IF(AND('Mapa de Riesgos'!$Y$49="Media",'Mapa de Riesgos'!$AA$49="Menor"),CONCATENATE("R7C",'Mapa de Riesgos'!$O$49),"")</f>
        <v/>
      </c>
      <c r="Q32" s="66" t="str">
        <f>IF(AND('Mapa de Riesgos'!$Y$51="Media",'Mapa de Riesgos'!$AA$51="Menor"),CONCATENATE("R7C",'Mapa de Riesgos'!$O$51),"")</f>
        <v/>
      </c>
      <c r="R32" s="66" t="str">
        <f>IF(AND('Mapa de Riesgos'!$Y$52="Media",'Mapa de Riesgos'!$AA$52="Menor"),CONCATENATE("R7C",'Mapa de Riesgos'!$O$52),"")</f>
        <v/>
      </c>
      <c r="S32" s="66" t="str">
        <f>IF(AND('Mapa de Riesgos'!$Y$53="Media",'Mapa de Riesgos'!$AA$53="Menor"),CONCATENATE("R7C",'Mapa de Riesgos'!$O$53),"")</f>
        <v/>
      </c>
      <c r="T32" s="66" t="str">
        <f>IF(AND('Mapa de Riesgos'!$Y$54="Media",'Mapa de Riesgos'!$AA$54="Menor"),CONCATENATE("R7C",'Mapa de Riesgos'!$O$54),"")</f>
        <v/>
      </c>
      <c r="U32" s="67" t="str">
        <f>IF(AND('Mapa de Riesgos'!$Y$55="Media",'Mapa de Riesgos'!$AA$55="Menor"),CONCATENATE("R7C",'Mapa de Riesgos'!$O$55),"")</f>
        <v/>
      </c>
      <c r="V32" s="65" t="str">
        <f>IF(AND('Mapa de Riesgos'!$Y$49="Media",'Mapa de Riesgos'!$AA$49="Moderado"),CONCATENATE("R7C",'Mapa de Riesgos'!$O$49),"")</f>
        <v/>
      </c>
      <c r="W32" s="66" t="str">
        <f>IF(AND('Mapa de Riesgos'!$Y$51="Media",'Mapa de Riesgos'!$AA$51="Moderado"),CONCATENATE("R7C",'Mapa de Riesgos'!$O$51),"")</f>
        <v/>
      </c>
      <c r="X32" s="66" t="str">
        <f>IF(AND('Mapa de Riesgos'!$Y$52="Media",'Mapa de Riesgos'!$AA$52="Moderado"),CONCATENATE("R7C",'Mapa de Riesgos'!$O$52),"")</f>
        <v/>
      </c>
      <c r="Y32" s="66" t="str">
        <f>IF(AND('Mapa de Riesgos'!$Y$53="Media",'Mapa de Riesgos'!$AA$53="Moderado"),CONCATENATE("R7C",'Mapa de Riesgos'!$O$53),"")</f>
        <v/>
      </c>
      <c r="Z32" s="66" t="str">
        <f>IF(AND('Mapa de Riesgos'!$Y$54="Media",'Mapa de Riesgos'!$AA$54="Moderado"),CONCATENATE("R7C",'Mapa de Riesgos'!$O$54),"")</f>
        <v/>
      </c>
      <c r="AA32" s="67" t="str">
        <f>IF(AND('Mapa de Riesgos'!$Y$55="Media",'Mapa de Riesgos'!$AA$55="Moderado"),CONCATENATE("R7C",'Mapa de Riesgos'!$O$55),"")</f>
        <v/>
      </c>
      <c r="AB32" s="50" t="str">
        <f>IF(AND('Mapa de Riesgos'!$Y$49="Media",'Mapa de Riesgos'!$AA$49="Mayor"),CONCATENATE("R7C",'Mapa de Riesgos'!$O$49),"")</f>
        <v/>
      </c>
      <c r="AC32" s="51" t="str">
        <f>IF(AND('Mapa de Riesgos'!$Y$51="Media",'Mapa de Riesgos'!$AA$51="Mayor"),CONCATENATE("R7C",'Mapa de Riesgos'!$O$51),"")</f>
        <v/>
      </c>
      <c r="AD32" s="51" t="str">
        <f>IF(AND('Mapa de Riesgos'!$Y$52="Media",'Mapa de Riesgos'!$AA$52="Mayor"),CONCATENATE("R7C",'Mapa de Riesgos'!$O$52),"")</f>
        <v/>
      </c>
      <c r="AE32" s="51" t="str">
        <f>IF(AND('Mapa de Riesgos'!$Y$53="Media",'Mapa de Riesgos'!$AA$53="Mayor"),CONCATENATE("R7C",'Mapa de Riesgos'!$O$53),"")</f>
        <v/>
      </c>
      <c r="AF32" s="51" t="str">
        <f>IF(AND('Mapa de Riesgos'!$Y$54="Media",'Mapa de Riesgos'!$AA$54="Mayor"),CONCATENATE("R7C",'Mapa de Riesgos'!$O$54),"")</f>
        <v/>
      </c>
      <c r="AG32" s="52" t="str">
        <f>IF(AND('Mapa de Riesgos'!$Y$55="Media",'Mapa de Riesgos'!$AA$55="Mayor"),CONCATENATE("R7C",'Mapa de Riesgos'!$O$55),"")</f>
        <v/>
      </c>
      <c r="AH32" s="53" t="str">
        <f>IF(AND('Mapa de Riesgos'!$Y$49="Media",'Mapa de Riesgos'!$AA$49="Catastrófico"),CONCATENATE("R7C",'Mapa de Riesgos'!$O$49),"")</f>
        <v/>
      </c>
      <c r="AI32" s="54" t="str">
        <f>IF(AND('Mapa de Riesgos'!$Y$51="Media",'Mapa de Riesgos'!$AA$51="Catastrófico"),CONCATENATE("R7C",'Mapa de Riesgos'!$O$51),"")</f>
        <v/>
      </c>
      <c r="AJ32" s="54" t="str">
        <f>IF(AND('Mapa de Riesgos'!$Y$52="Media",'Mapa de Riesgos'!$AA$52="Catastrófico"),CONCATENATE("R7C",'Mapa de Riesgos'!$O$52),"")</f>
        <v/>
      </c>
      <c r="AK32" s="54" t="str">
        <f>IF(AND('Mapa de Riesgos'!$Y$53="Media",'Mapa de Riesgos'!$AA$53="Catastrófico"),CONCATENATE("R7C",'Mapa de Riesgos'!$O$53),"")</f>
        <v/>
      </c>
      <c r="AL32" s="54" t="str">
        <f>IF(AND('Mapa de Riesgos'!$Y$54="Media",'Mapa de Riesgos'!$AA$54="Catastrófico"),CONCATENATE("R7C",'Mapa de Riesgos'!$O$54),"")</f>
        <v/>
      </c>
      <c r="AM32" s="55" t="str">
        <f>IF(AND('Mapa de Riesgos'!$Y$55="Media",'Mapa de Riesgos'!$AA$55="Catastrófico"),CONCATENATE("R7C",'Mapa de Riesgos'!$O$55),"")</f>
        <v/>
      </c>
      <c r="AN32" s="81"/>
      <c r="AO32" s="615"/>
      <c r="AP32" s="616"/>
      <c r="AQ32" s="616"/>
      <c r="AR32" s="616"/>
      <c r="AS32" s="616"/>
      <c r="AT32" s="617"/>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87"/>
      <c r="C33" s="487"/>
      <c r="D33" s="488"/>
      <c r="E33" s="586"/>
      <c r="F33" s="585"/>
      <c r="G33" s="585"/>
      <c r="H33" s="585"/>
      <c r="I33" s="601"/>
      <c r="J33" s="65" t="str">
        <f>IF(AND('Mapa de Riesgos'!$Y$56="Media",'Mapa de Riesgos'!$AA$56="Leve"),CONCATENATE("R8C",'Mapa de Riesgos'!$O$56),"")</f>
        <v/>
      </c>
      <c r="K33" s="66" t="str">
        <f>IF(AND('Mapa de Riesgos'!$Y$59="Media",'Mapa de Riesgos'!$AA$59="Leve"),CONCATENATE("R8C",'Mapa de Riesgos'!$O$59),"")</f>
        <v/>
      </c>
      <c r="L33" s="66" t="str">
        <f>IF(AND('Mapa de Riesgos'!$Y$60="Media",'Mapa de Riesgos'!$AA$60="Leve"),CONCATENATE("R8C",'Mapa de Riesgos'!$O$60),"")</f>
        <v/>
      </c>
      <c r="M33" s="66" t="str">
        <f>IF(AND('Mapa de Riesgos'!$Y$61="Media",'Mapa de Riesgos'!$AA$61="Leve"),CONCATENATE("R8C",'Mapa de Riesgos'!$O$61),"")</f>
        <v/>
      </c>
      <c r="N33" s="66" t="str">
        <f>IF(AND('Mapa de Riesgos'!$Y$62="Media",'Mapa de Riesgos'!$AA$62="Leve"),CONCATENATE("R8C",'Mapa de Riesgos'!$O$62),"")</f>
        <v/>
      </c>
      <c r="O33" s="67" t="str">
        <f>IF(AND('Mapa de Riesgos'!$Y$63="Media",'Mapa de Riesgos'!$AA$63="Leve"),CONCATENATE("R8C",'Mapa de Riesgos'!$O$63),"")</f>
        <v/>
      </c>
      <c r="P33" s="65" t="str">
        <f>IF(AND('Mapa de Riesgos'!$Y$56="Media",'Mapa de Riesgos'!$AA$56="Menor"),CONCATENATE("R8C",'Mapa de Riesgos'!$O$56),"")</f>
        <v/>
      </c>
      <c r="Q33" s="66" t="str">
        <f>IF(AND('Mapa de Riesgos'!$Y$59="Media",'Mapa de Riesgos'!$AA$59="Menor"),CONCATENATE("R8C",'Mapa de Riesgos'!$O$59),"")</f>
        <v/>
      </c>
      <c r="R33" s="66" t="str">
        <f>IF(AND('Mapa de Riesgos'!$Y$60="Media",'Mapa de Riesgos'!$AA$60="Menor"),CONCATENATE("R8C",'Mapa de Riesgos'!$O$60),"")</f>
        <v/>
      </c>
      <c r="S33" s="66" t="str">
        <f>IF(AND('Mapa de Riesgos'!$Y$61="Media",'Mapa de Riesgos'!$AA$61="Menor"),CONCATENATE("R8C",'Mapa de Riesgos'!$O$61),"")</f>
        <v/>
      </c>
      <c r="T33" s="66" t="str">
        <f>IF(AND('Mapa de Riesgos'!$Y$62="Media",'Mapa de Riesgos'!$AA$62="Menor"),CONCATENATE("R8C",'Mapa de Riesgos'!$O$62),"")</f>
        <v/>
      </c>
      <c r="U33" s="67" t="str">
        <f>IF(AND('Mapa de Riesgos'!$Y$63="Media",'Mapa de Riesgos'!$AA$63="Menor"),CONCATENATE("R8C",'Mapa de Riesgos'!$O$63),"")</f>
        <v/>
      </c>
      <c r="V33" s="65" t="str">
        <f>IF(AND('Mapa de Riesgos'!$Y$56="Media",'Mapa de Riesgos'!$AA$56="Moderado"),CONCATENATE("R8C",'Mapa de Riesgos'!$O$56),"")</f>
        <v/>
      </c>
      <c r="W33" s="66" t="str">
        <f>IF(AND('Mapa de Riesgos'!$Y$59="Media",'Mapa de Riesgos'!$AA$59="Moderado"),CONCATENATE("R8C",'Mapa de Riesgos'!$O$59),"")</f>
        <v/>
      </c>
      <c r="X33" s="66" t="str">
        <f>IF(AND('Mapa de Riesgos'!$Y$60="Media",'Mapa de Riesgos'!$AA$60="Moderado"),CONCATENATE("R8C",'Mapa de Riesgos'!$O$60),"")</f>
        <v/>
      </c>
      <c r="Y33" s="66" t="str">
        <f>IF(AND('Mapa de Riesgos'!$Y$61="Media",'Mapa de Riesgos'!$AA$61="Moderado"),CONCATENATE("R8C",'Mapa de Riesgos'!$O$61),"")</f>
        <v/>
      </c>
      <c r="Z33" s="66" t="str">
        <f>IF(AND('Mapa de Riesgos'!$Y$62="Media",'Mapa de Riesgos'!$AA$62="Moderado"),CONCATENATE("R8C",'Mapa de Riesgos'!$O$62),"")</f>
        <v/>
      </c>
      <c r="AA33" s="67" t="str">
        <f>IF(AND('Mapa de Riesgos'!$Y$63="Media",'Mapa de Riesgos'!$AA$63="Moderado"),CONCATENATE("R8C",'Mapa de Riesgos'!$O$63),"")</f>
        <v/>
      </c>
      <c r="AB33" s="50" t="str">
        <f>IF(AND('Mapa de Riesgos'!$Y$56="Media",'Mapa de Riesgos'!$AA$56="Mayor"),CONCATENATE("R8C",'Mapa de Riesgos'!$O$56),"")</f>
        <v/>
      </c>
      <c r="AC33" s="51" t="str">
        <f>IF(AND('Mapa de Riesgos'!$Y$59="Media",'Mapa de Riesgos'!$AA$59="Mayor"),CONCATENATE("R8C",'Mapa de Riesgos'!$O$59),"")</f>
        <v/>
      </c>
      <c r="AD33" s="51" t="str">
        <f>IF(AND('Mapa de Riesgos'!$Y$60="Media",'Mapa de Riesgos'!$AA$60="Mayor"),CONCATENATE("R8C",'Mapa de Riesgos'!$O$60),"")</f>
        <v/>
      </c>
      <c r="AE33" s="51" t="str">
        <f>IF(AND('Mapa de Riesgos'!$Y$61="Media",'Mapa de Riesgos'!$AA$61="Mayor"),CONCATENATE("R8C",'Mapa de Riesgos'!$O$61),"")</f>
        <v/>
      </c>
      <c r="AF33" s="51" t="str">
        <f>IF(AND('Mapa de Riesgos'!$Y$62="Media",'Mapa de Riesgos'!$AA$62="Mayor"),CONCATENATE("R8C",'Mapa de Riesgos'!$O$62),"")</f>
        <v/>
      </c>
      <c r="AG33" s="52" t="str">
        <f>IF(AND('Mapa de Riesgos'!$Y$63="Media",'Mapa de Riesgos'!$AA$63="Mayor"),CONCATENATE("R8C",'Mapa de Riesgos'!$O$63),"")</f>
        <v/>
      </c>
      <c r="AH33" s="53" t="str">
        <f>IF(AND('Mapa de Riesgos'!$Y$56="Media",'Mapa de Riesgos'!$AA$56="Catastrófico"),CONCATENATE("R8C",'Mapa de Riesgos'!$O$56),"")</f>
        <v/>
      </c>
      <c r="AI33" s="54" t="str">
        <f>IF(AND('Mapa de Riesgos'!$Y$59="Media",'Mapa de Riesgos'!$AA$59="Catastrófico"),CONCATENATE("R8C",'Mapa de Riesgos'!$O$59),"")</f>
        <v/>
      </c>
      <c r="AJ33" s="54" t="str">
        <f>IF(AND('Mapa de Riesgos'!$Y$60="Media",'Mapa de Riesgos'!$AA$60="Catastrófico"),CONCATENATE("R8C",'Mapa de Riesgos'!$O$60),"")</f>
        <v/>
      </c>
      <c r="AK33" s="54" t="str">
        <f>IF(AND('Mapa de Riesgos'!$Y$61="Media",'Mapa de Riesgos'!$AA$61="Catastrófico"),CONCATENATE("R8C",'Mapa de Riesgos'!$O$61),"")</f>
        <v/>
      </c>
      <c r="AL33" s="54" t="str">
        <f>IF(AND('Mapa de Riesgos'!$Y$62="Media",'Mapa de Riesgos'!$AA$62="Catastrófico"),CONCATENATE("R8C",'Mapa de Riesgos'!$O$62),"")</f>
        <v/>
      </c>
      <c r="AM33" s="55" t="str">
        <f>IF(AND('Mapa de Riesgos'!$Y$63="Media",'Mapa de Riesgos'!$AA$63="Catastrófico"),CONCATENATE("R8C",'Mapa de Riesgos'!$O$63),"")</f>
        <v/>
      </c>
      <c r="AN33" s="81"/>
      <c r="AO33" s="615"/>
      <c r="AP33" s="616"/>
      <c r="AQ33" s="616"/>
      <c r="AR33" s="616"/>
      <c r="AS33" s="616"/>
      <c r="AT33" s="617"/>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87"/>
      <c r="C34" s="487"/>
      <c r="D34" s="488"/>
      <c r="E34" s="586"/>
      <c r="F34" s="585"/>
      <c r="G34" s="585"/>
      <c r="H34" s="585"/>
      <c r="I34" s="601"/>
      <c r="J34" s="65" t="str">
        <f>IF(AND('Mapa de Riesgos'!$Y$64="Media",'Mapa de Riesgos'!$AA$64="Leve"),CONCATENATE("R9C",'Mapa de Riesgos'!$O$64),"")</f>
        <v/>
      </c>
      <c r="K34" s="66" t="str">
        <f>IF(AND('Mapa de Riesgos'!$Y$65="Media",'Mapa de Riesgos'!$AA$65="Leve"),CONCATENATE("R9C",'Mapa de Riesgos'!$O$65),"")</f>
        <v/>
      </c>
      <c r="L34" s="66" t="str">
        <f>IF(AND('Mapa de Riesgos'!$Y$66="Media",'Mapa de Riesgos'!$AA$66="Leve"),CONCATENATE("R9C",'Mapa de Riesgos'!$O$66),"")</f>
        <v/>
      </c>
      <c r="M34" s="66" t="str">
        <f>IF(AND('Mapa de Riesgos'!$Y$67="Media",'Mapa de Riesgos'!$AA$67="Leve"),CONCATENATE("R9C",'Mapa de Riesgos'!$O$67),"")</f>
        <v/>
      </c>
      <c r="N34" s="66" t="str">
        <f>IF(AND('Mapa de Riesgos'!$Y$68="Media",'Mapa de Riesgos'!$AA$68="Leve"),CONCATENATE("R9C",'Mapa de Riesgos'!$O$68),"")</f>
        <v/>
      </c>
      <c r="O34" s="67" t="str">
        <f>IF(AND('Mapa de Riesgos'!$Y$69="Media",'Mapa de Riesgos'!$AA$69="Leve"),CONCATENATE("R9C",'Mapa de Riesgos'!$O$69),"")</f>
        <v/>
      </c>
      <c r="P34" s="65" t="str">
        <f>IF(AND('Mapa de Riesgos'!$Y$64="Media",'Mapa de Riesgos'!$AA$64="Menor"),CONCATENATE("R9C",'Mapa de Riesgos'!$O$64),"")</f>
        <v/>
      </c>
      <c r="Q34" s="66" t="str">
        <f>IF(AND('Mapa de Riesgos'!$Y$65="Media",'Mapa de Riesgos'!$AA$65="Menor"),CONCATENATE("R9C",'Mapa de Riesgos'!$O$65),"")</f>
        <v/>
      </c>
      <c r="R34" s="66" t="str">
        <f>IF(AND('Mapa de Riesgos'!$Y$66="Media",'Mapa de Riesgos'!$AA$66="Menor"),CONCATENATE("R9C",'Mapa de Riesgos'!$O$66),"")</f>
        <v/>
      </c>
      <c r="S34" s="66" t="str">
        <f>IF(AND('Mapa de Riesgos'!$Y$67="Media",'Mapa de Riesgos'!$AA$67="Menor"),CONCATENATE("R9C",'Mapa de Riesgos'!$O$67),"")</f>
        <v/>
      </c>
      <c r="T34" s="66" t="str">
        <f>IF(AND('Mapa de Riesgos'!$Y$68="Media",'Mapa de Riesgos'!$AA$68="Menor"),CONCATENATE("R9C",'Mapa de Riesgos'!$O$68),"")</f>
        <v/>
      </c>
      <c r="U34" s="67" t="str">
        <f>IF(AND('Mapa de Riesgos'!$Y$69="Media",'Mapa de Riesgos'!$AA$69="Menor"),CONCATENATE("R9C",'Mapa de Riesgos'!$O$69),"")</f>
        <v/>
      </c>
      <c r="V34" s="65" t="str">
        <f>IF(AND('Mapa de Riesgos'!$Y$64="Media",'Mapa de Riesgos'!$AA$64="Moderado"),CONCATENATE("R9C",'Mapa de Riesgos'!$O$64),"")</f>
        <v/>
      </c>
      <c r="W34" s="66" t="str">
        <f>IF(AND('Mapa de Riesgos'!$Y$65="Media",'Mapa de Riesgos'!$AA$65="Moderado"),CONCATENATE("R9C",'Mapa de Riesgos'!$O$65),"")</f>
        <v/>
      </c>
      <c r="X34" s="66" t="str">
        <f>IF(AND('Mapa de Riesgos'!$Y$66="Media",'Mapa de Riesgos'!$AA$66="Moderado"),CONCATENATE("R9C",'Mapa de Riesgos'!$O$66),"")</f>
        <v/>
      </c>
      <c r="Y34" s="66" t="str">
        <f>IF(AND('Mapa de Riesgos'!$Y$67="Media",'Mapa de Riesgos'!$AA$67="Moderado"),CONCATENATE("R9C",'Mapa de Riesgos'!$O$67),"")</f>
        <v/>
      </c>
      <c r="Z34" s="66" t="str">
        <f>IF(AND('Mapa de Riesgos'!$Y$68="Media",'Mapa de Riesgos'!$AA$68="Moderado"),CONCATENATE("R9C",'Mapa de Riesgos'!$O$68),"")</f>
        <v/>
      </c>
      <c r="AA34" s="67" t="str">
        <f>IF(AND('Mapa de Riesgos'!$Y$69="Media",'Mapa de Riesgos'!$AA$69="Moderado"),CONCATENATE("R9C",'Mapa de Riesgos'!$O$69),"")</f>
        <v/>
      </c>
      <c r="AB34" s="50" t="str">
        <f>IF(AND('Mapa de Riesgos'!$Y$64="Media",'Mapa de Riesgos'!$AA$64="Mayor"),CONCATENATE("R9C",'Mapa de Riesgos'!$O$64),"")</f>
        <v/>
      </c>
      <c r="AC34" s="51" t="str">
        <f>IF(AND('Mapa de Riesgos'!$Y$65="Media",'Mapa de Riesgos'!$AA$65="Mayor"),CONCATENATE("R9C",'Mapa de Riesgos'!$O$65),"")</f>
        <v/>
      </c>
      <c r="AD34" s="51" t="str">
        <f>IF(AND('Mapa de Riesgos'!$Y$66="Media",'Mapa de Riesgos'!$AA$66="Mayor"),CONCATENATE("R9C",'Mapa de Riesgos'!$O$66),"")</f>
        <v/>
      </c>
      <c r="AE34" s="51" t="str">
        <f>IF(AND('Mapa de Riesgos'!$Y$67="Media",'Mapa de Riesgos'!$AA$67="Mayor"),CONCATENATE("R9C",'Mapa de Riesgos'!$O$67),"")</f>
        <v/>
      </c>
      <c r="AF34" s="51" t="str">
        <f>IF(AND('Mapa de Riesgos'!$Y$68="Media",'Mapa de Riesgos'!$AA$68="Mayor"),CONCATENATE("R9C",'Mapa de Riesgos'!$O$68),"")</f>
        <v/>
      </c>
      <c r="AG34" s="52" t="str">
        <f>IF(AND('Mapa de Riesgos'!$Y$69="Media",'Mapa de Riesgos'!$AA$69="Mayor"),CONCATENATE("R9C",'Mapa de Riesgos'!$O$69),"")</f>
        <v/>
      </c>
      <c r="AH34" s="53" t="str">
        <f>IF(AND('Mapa de Riesgos'!$Y$64="Media",'Mapa de Riesgos'!$AA$64="Catastrófico"),CONCATENATE("R9C",'Mapa de Riesgos'!$O$64),"")</f>
        <v/>
      </c>
      <c r="AI34" s="54" t="str">
        <f>IF(AND('Mapa de Riesgos'!$Y$65="Media",'Mapa de Riesgos'!$AA$65="Catastrófico"),CONCATENATE("R9C",'Mapa de Riesgos'!$O$65),"")</f>
        <v/>
      </c>
      <c r="AJ34" s="54" t="str">
        <f>IF(AND('Mapa de Riesgos'!$Y$66="Media",'Mapa de Riesgos'!$AA$66="Catastrófico"),CONCATENATE("R9C",'Mapa de Riesgos'!$O$66),"")</f>
        <v/>
      </c>
      <c r="AK34" s="54" t="str">
        <f>IF(AND('Mapa de Riesgos'!$Y$67="Media",'Mapa de Riesgos'!$AA$67="Catastrófico"),CONCATENATE("R9C",'Mapa de Riesgos'!$O$67),"")</f>
        <v/>
      </c>
      <c r="AL34" s="54" t="str">
        <f>IF(AND('Mapa de Riesgos'!$Y$68="Media",'Mapa de Riesgos'!$AA$68="Catastrófico"),CONCATENATE("R9C",'Mapa de Riesgos'!$O$68),"")</f>
        <v/>
      </c>
      <c r="AM34" s="55" t="str">
        <f>IF(AND('Mapa de Riesgos'!$Y$69="Media",'Mapa de Riesgos'!$AA$69="Catastrófico"),CONCATENATE("R9C",'Mapa de Riesgos'!$O$69),"")</f>
        <v/>
      </c>
      <c r="AN34" s="81"/>
      <c r="AO34" s="615"/>
      <c r="AP34" s="616"/>
      <c r="AQ34" s="616"/>
      <c r="AR34" s="616"/>
      <c r="AS34" s="616"/>
      <c r="AT34" s="617"/>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87"/>
      <c r="C35" s="487"/>
      <c r="D35" s="488"/>
      <c r="E35" s="587"/>
      <c r="F35" s="588"/>
      <c r="G35" s="588"/>
      <c r="H35" s="588"/>
      <c r="I35" s="602"/>
      <c r="J35" s="65" t="str">
        <f>IF(AND('Mapa de Riesgos'!$Y$70="Media",'Mapa de Riesgos'!$AA$70="Leve"),CONCATENATE("R10C",'Mapa de Riesgos'!$O$70),"")</f>
        <v/>
      </c>
      <c r="K35" s="66" t="str">
        <f>IF(AND('Mapa de Riesgos'!$Y$71="Media",'Mapa de Riesgos'!$AA$71="Leve"),CONCATENATE("R10C",'Mapa de Riesgos'!$O$71),"")</f>
        <v/>
      </c>
      <c r="L35" s="66" t="str">
        <f>IF(AND('Mapa de Riesgos'!$Y$72="Media",'Mapa de Riesgos'!$AA$72="Leve"),CONCATENATE("R10C",'Mapa de Riesgos'!$O$72),"")</f>
        <v/>
      </c>
      <c r="M35" s="66" t="str">
        <f>IF(AND('Mapa de Riesgos'!$Y$73="Media",'Mapa de Riesgos'!$AA$73="Leve"),CONCATENATE("R10C",'Mapa de Riesgos'!$O$73),"")</f>
        <v/>
      </c>
      <c r="N35" s="66" t="str">
        <f>IF(AND('Mapa de Riesgos'!$Y$74="Media",'Mapa de Riesgos'!$AA$74="Leve"),CONCATENATE("R10C",'Mapa de Riesgos'!$O$74),"")</f>
        <v/>
      </c>
      <c r="O35" s="67" t="str">
        <f>IF(AND('Mapa de Riesgos'!$Y$75="Media",'Mapa de Riesgos'!$AA$75="Leve"),CONCATENATE("R10C",'Mapa de Riesgos'!$O$75),"")</f>
        <v/>
      </c>
      <c r="P35" s="65" t="str">
        <f>IF(AND('Mapa de Riesgos'!$Y$70="Media",'Mapa de Riesgos'!$AA$70="Menor"),CONCATENATE("R10C",'Mapa de Riesgos'!$O$70),"")</f>
        <v/>
      </c>
      <c r="Q35" s="66" t="str">
        <f>IF(AND('Mapa de Riesgos'!$Y$71="Media",'Mapa de Riesgos'!$AA$71="Menor"),CONCATENATE("R10C",'Mapa de Riesgos'!$O$71),"")</f>
        <v/>
      </c>
      <c r="R35" s="66" t="str">
        <f>IF(AND('Mapa de Riesgos'!$Y$72="Media",'Mapa de Riesgos'!$AA$72="Menor"),CONCATENATE("R10C",'Mapa de Riesgos'!$O$72),"")</f>
        <v/>
      </c>
      <c r="S35" s="66" t="str">
        <f>IF(AND('Mapa de Riesgos'!$Y$73="Media",'Mapa de Riesgos'!$AA$73="Menor"),CONCATENATE("R10C",'Mapa de Riesgos'!$O$73),"")</f>
        <v/>
      </c>
      <c r="T35" s="66" t="str">
        <f>IF(AND('Mapa de Riesgos'!$Y$74="Media",'Mapa de Riesgos'!$AA$74="Menor"),CONCATENATE("R10C",'Mapa de Riesgos'!$O$74),"")</f>
        <v/>
      </c>
      <c r="U35" s="67" t="str">
        <f>IF(AND('Mapa de Riesgos'!$Y$75="Media",'Mapa de Riesgos'!$AA$75="Menor"),CONCATENATE("R10C",'Mapa de Riesgos'!$O$75),"")</f>
        <v/>
      </c>
      <c r="V35" s="65" t="str">
        <f>IF(AND('Mapa de Riesgos'!$Y$70="Media",'Mapa de Riesgos'!$AA$70="Moderado"),CONCATENATE("R10C",'Mapa de Riesgos'!$O$70),"")</f>
        <v/>
      </c>
      <c r="W35" s="66" t="str">
        <f>IF(AND('Mapa de Riesgos'!$Y$71="Media",'Mapa de Riesgos'!$AA$71="Moderado"),CONCATENATE("R10C",'Mapa de Riesgos'!$O$71),"")</f>
        <v/>
      </c>
      <c r="X35" s="66" t="str">
        <f>IF(AND('Mapa de Riesgos'!$Y$72="Media",'Mapa de Riesgos'!$AA$72="Moderado"),CONCATENATE("R10C",'Mapa de Riesgos'!$O$72),"")</f>
        <v/>
      </c>
      <c r="Y35" s="66" t="str">
        <f>IF(AND('Mapa de Riesgos'!$Y$73="Media",'Mapa de Riesgos'!$AA$73="Moderado"),CONCATENATE("R10C",'Mapa de Riesgos'!$O$73),"")</f>
        <v/>
      </c>
      <c r="Z35" s="66" t="str">
        <f>IF(AND('Mapa de Riesgos'!$Y$74="Media",'Mapa de Riesgos'!$AA$74="Moderado"),CONCATENATE("R10C",'Mapa de Riesgos'!$O$74),"")</f>
        <v/>
      </c>
      <c r="AA35" s="67" t="str">
        <f>IF(AND('Mapa de Riesgos'!$Y$75="Media",'Mapa de Riesgos'!$AA$75="Moderado"),CONCATENATE("R10C",'Mapa de Riesgos'!$O$75),"")</f>
        <v/>
      </c>
      <c r="AB35" s="56" t="str">
        <f>IF(AND('Mapa de Riesgos'!$Y$70="Media",'Mapa de Riesgos'!$AA$70="Mayor"),CONCATENATE("R10C",'Mapa de Riesgos'!$O$70),"")</f>
        <v/>
      </c>
      <c r="AC35" s="57" t="str">
        <f>IF(AND('Mapa de Riesgos'!$Y$71="Media",'Mapa de Riesgos'!$AA$71="Mayor"),CONCATENATE("R10C",'Mapa de Riesgos'!$O$71),"")</f>
        <v/>
      </c>
      <c r="AD35" s="57" t="str">
        <f>IF(AND('Mapa de Riesgos'!$Y$72="Media",'Mapa de Riesgos'!$AA$72="Mayor"),CONCATENATE("R10C",'Mapa de Riesgos'!$O$72),"")</f>
        <v/>
      </c>
      <c r="AE35" s="57" t="str">
        <f>IF(AND('Mapa de Riesgos'!$Y$73="Media",'Mapa de Riesgos'!$AA$73="Mayor"),CONCATENATE("R10C",'Mapa de Riesgos'!$O$73),"")</f>
        <v/>
      </c>
      <c r="AF35" s="57" t="str">
        <f>IF(AND('Mapa de Riesgos'!$Y$74="Media",'Mapa de Riesgos'!$AA$74="Mayor"),CONCATENATE("R10C",'Mapa de Riesgos'!$O$74),"")</f>
        <v/>
      </c>
      <c r="AG35" s="58" t="str">
        <f>IF(AND('Mapa de Riesgos'!$Y$75="Media",'Mapa de Riesgos'!$AA$75="Mayor"),CONCATENATE("R10C",'Mapa de Riesgos'!$O$75),"")</f>
        <v/>
      </c>
      <c r="AH35" s="59" t="str">
        <f>IF(AND('Mapa de Riesgos'!$Y$70="Media",'Mapa de Riesgos'!$AA$70="Catastrófico"),CONCATENATE("R10C",'Mapa de Riesgos'!$O$70),"")</f>
        <v/>
      </c>
      <c r="AI35" s="60" t="str">
        <f>IF(AND('Mapa de Riesgos'!$Y$71="Media",'Mapa de Riesgos'!$AA$71="Catastrófico"),CONCATENATE("R10C",'Mapa de Riesgos'!$O$71),"")</f>
        <v/>
      </c>
      <c r="AJ35" s="60" t="str">
        <f>IF(AND('Mapa de Riesgos'!$Y$72="Media",'Mapa de Riesgos'!$AA$72="Catastrófico"),CONCATENATE("R10C",'Mapa de Riesgos'!$O$72),"")</f>
        <v/>
      </c>
      <c r="AK35" s="60" t="str">
        <f>IF(AND('Mapa de Riesgos'!$Y$73="Media",'Mapa de Riesgos'!$AA$73="Catastrófico"),CONCATENATE("R10C",'Mapa de Riesgos'!$O$73),"")</f>
        <v/>
      </c>
      <c r="AL35" s="60" t="str">
        <f>IF(AND('Mapa de Riesgos'!$Y$74="Media",'Mapa de Riesgos'!$AA$74="Catastrófico"),CONCATENATE("R10C",'Mapa de Riesgos'!$O$74),"")</f>
        <v/>
      </c>
      <c r="AM35" s="61" t="str">
        <f>IF(AND('Mapa de Riesgos'!$Y$75="Media",'Mapa de Riesgos'!$AA$75="Catastrófico"),CONCATENATE("R10C",'Mapa de Riesgos'!$O$75),"")</f>
        <v/>
      </c>
      <c r="AN35" s="81"/>
      <c r="AO35" s="618"/>
      <c r="AP35" s="619"/>
      <c r="AQ35" s="619"/>
      <c r="AR35" s="619"/>
      <c r="AS35" s="619"/>
      <c r="AT35" s="620"/>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87"/>
      <c r="C36" s="487"/>
      <c r="D36" s="488"/>
      <c r="E36" s="582" t="s">
        <v>272</v>
      </c>
      <c r="F36" s="583"/>
      <c r="G36" s="583"/>
      <c r="H36" s="583"/>
      <c r="I36" s="583"/>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603" t="s">
        <v>273</v>
      </c>
      <c r="AP36" s="604"/>
      <c r="AQ36" s="604"/>
      <c r="AR36" s="604"/>
      <c r="AS36" s="604"/>
      <c r="AT36" s="605"/>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87"/>
      <c r="C37" s="487"/>
      <c r="D37" s="488"/>
      <c r="E37" s="584"/>
      <c r="F37" s="585"/>
      <c r="G37" s="585"/>
      <c r="H37" s="585"/>
      <c r="I37" s="585"/>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R2C1</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606"/>
      <c r="AP37" s="607"/>
      <c r="AQ37" s="607"/>
      <c r="AR37" s="607"/>
      <c r="AS37" s="607"/>
      <c r="AT37" s="608"/>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87"/>
      <c r="C38" s="487"/>
      <c r="D38" s="488"/>
      <c r="E38" s="586"/>
      <c r="F38" s="585"/>
      <c r="G38" s="585"/>
      <c r="H38" s="585"/>
      <c r="I38" s="585"/>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R3C1</v>
      </c>
      <c r="Q38" s="66" t="str">
        <f>IF(AND('Mapa de Riesgos'!$Y$25="Baja",'Mapa de Riesgos'!$AA$25="Menor"),CONCATENATE("R3C",'Mapa de Riesgos'!$O$25),"")</f>
        <v>R3C2</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606"/>
      <c r="AP38" s="607"/>
      <c r="AQ38" s="607"/>
      <c r="AR38" s="607"/>
      <c r="AS38" s="607"/>
      <c r="AT38" s="608"/>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87"/>
      <c r="C39" s="487"/>
      <c r="D39" s="488"/>
      <c r="E39" s="586"/>
      <c r="F39" s="585"/>
      <c r="G39" s="585"/>
      <c r="H39" s="585"/>
      <c r="I39" s="585"/>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R4C1</v>
      </c>
      <c r="W39" s="66" t="str">
        <f>IF(AND('Mapa de Riesgos'!$Y$31="Baja",'Mapa de Riesgos'!$AA$31="Moderado"),CONCATENATE("R4C",'Mapa de Riesgos'!$O$31),"")</f>
        <v>R4C2</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606"/>
      <c r="AP39" s="607"/>
      <c r="AQ39" s="607"/>
      <c r="AR39" s="607"/>
      <c r="AS39" s="607"/>
      <c r="AT39" s="608"/>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87"/>
      <c r="C40" s="487"/>
      <c r="D40" s="488"/>
      <c r="E40" s="586"/>
      <c r="F40" s="585"/>
      <c r="G40" s="585"/>
      <c r="H40" s="585"/>
      <c r="I40" s="585"/>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606"/>
      <c r="AP40" s="607"/>
      <c r="AQ40" s="607"/>
      <c r="AR40" s="607"/>
      <c r="AS40" s="607"/>
      <c r="AT40" s="608"/>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87"/>
      <c r="C41" s="487"/>
      <c r="D41" s="488"/>
      <c r="E41" s="586"/>
      <c r="F41" s="585"/>
      <c r="G41" s="585"/>
      <c r="H41" s="585"/>
      <c r="I41" s="585"/>
      <c r="J41" s="74" t="str">
        <f>IF(AND('Mapa de Riesgos'!$Y$42="Baja",'Mapa de Riesgos'!$AA$42="Leve"),CONCATENATE("R6C",'Mapa de Riesgos'!$O$42),"")</f>
        <v/>
      </c>
      <c r="K41" s="75" t="str">
        <f>IF(AND('Mapa de Riesgos'!$Y$44="Baja",'Mapa de Riesgos'!$AA$44="Leve"),CONCATENATE("R6C",'Mapa de Riesgos'!$O$44),"")</f>
        <v/>
      </c>
      <c r="L41" s="75" t="str">
        <f>IF(AND('Mapa de Riesgos'!$Y$45="Baja",'Mapa de Riesgos'!$AA$45="Leve"),CONCATENATE("R6C",'Mapa de Riesgos'!$O$45),"")</f>
        <v/>
      </c>
      <c r="M41" s="75" t="str">
        <f>IF(AND('Mapa de Riesgos'!$Y$46="Baja",'Mapa de Riesgos'!$AA$46="Leve"),CONCATENATE("R6C",'Mapa de Riesgos'!$O$46),"")</f>
        <v/>
      </c>
      <c r="N41" s="75" t="str">
        <f>IF(AND('Mapa de Riesgos'!$Y$47="Baja",'Mapa de Riesgos'!$AA$47="Leve"),CONCATENATE("R6C",'Mapa de Riesgos'!$O$47),"")</f>
        <v/>
      </c>
      <c r="O41" s="76" t="str">
        <f>IF(AND('Mapa de Riesgos'!$Y$48="Baja",'Mapa de Riesgos'!$AA$48="Leve"),CONCATENATE("R6C",'Mapa de Riesgos'!$O$48),"")</f>
        <v/>
      </c>
      <c r="P41" s="65" t="str">
        <f>IF(AND('Mapa de Riesgos'!$Y$42="Baja",'Mapa de Riesgos'!$AA$42="Menor"),CONCATENATE("R6C",'Mapa de Riesgos'!$O$42),"")</f>
        <v/>
      </c>
      <c r="Q41" s="66" t="str">
        <f>IF(AND('Mapa de Riesgos'!$Y$44="Baja",'Mapa de Riesgos'!$AA$44="Menor"),CONCATENATE("R6C",'Mapa de Riesgos'!$O$44),"")</f>
        <v/>
      </c>
      <c r="R41" s="66" t="str">
        <f>IF(AND('Mapa de Riesgos'!$Y$45="Baja",'Mapa de Riesgos'!$AA$45="Menor"),CONCATENATE("R6C",'Mapa de Riesgos'!$O$45),"")</f>
        <v/>
      </c>
      <c r="S41" s="66" t="str">
        <f>IF(AND('Mapa de Riesgos'!$Y$46="Baja",'Mapa de Riesgos'!$AA$46="Menor"),CONCATENATE("R6C",'Mapa de Riesgos'!$O$46),"")</f>
        <v/>
      </c>
      <c r="T41" s="66" t="str">
        <f>IF(AND('Mapa de Riesgos'!$Y$47="Baja",'Mapa de Riesgos'!$AA$47="Menor"),CONCATENATE("R6C",'Mapa de Riesgos'!$O$47),"")</f>
        <v/>
      </c>
      <c r="U41" s="67" t="str">
        <f>IF(AND('Mapa de Riesgos'!$Y$48="Baja",'Mapa de Riesgos'!$AA$48="Menor"),CONCATENATE("R6C",'Mapa de Riesgos'!$O$48),"")</f>
        <v/>
      </c>
      <c r="V41" s="65" t="str">
        <f>IF(AND('Mapa de Riesgos'!$Y$42="Baja",'Mapa de Riesgos'!$AA$42="Moderado"),CONCATENATE("R6C",'Mapa de Riesgos'!$O$42),"")</f>
        <v/>
      </c>
      <c r="W41" s="66" t="str">
        <f>IF(AND('Mapa de Riesgos'!$Y$44="Baja",'Mapa de Riesgos'!$AA$44="Moderado"),CONCATENATE("R6C",'Mapa de Riesgos'!$O$44),"")</f>
        <v/>
      </c>
      <c r="X41" s="66" t="str">
        <f>IF(AND('Mapa de Riesgos'!$Y$45="Baja",'Mapa de Riesgos'!$AA$45="Moderado"),CONCATENATE("R6C",'Mapa de Riesgos'!$O$45),"")</f>
        <v/>
      </c>
      <c r="Y41" s="66" t="str">
        <f>IF(AND('Mapa de Riesgos'!$Y$46="Baja",'Mapa de Riesgos'!$AA$46="Moderado"),CONCATENATE("R6C",'Mapa de Riesgos'!$O$46),"")</f>
        <v/>
      </c>
      <c r="Z41" s="66" t="str">
        <f>IF(AND('Mapa de Riesgos'!$Y$47="Baja",'Mapa de Riesgos'!$AA$47="Moderado"),CONCATENATE("R6C",'Mapa de Riesgos'!$O$47),"")</f>
        <v/>
      </c>
      <c r="AA41" s="67" t="str">
        <f>IF(AND('Mapa de Riesgos'!$Y$48="Baja",'Mapa de Riesgos'!$AA$48="Moderado"),CONCATENATE("R6C",'Mapa de Riesgos'!$O$48),"")</f>
        <v/>
      </c>
      <c r="AB41" s="50" t="str">
        <f>IF(AND('Mapa de Riesgos'!$Y$42="Baja",'Mapa de Riesgos'!$AA$42="Mayor"),CONCATENATE("R6C",'Mapa de Riesgos'!$O$42),"")</f>
        <v/>
      </c>
      <c r="AC41" s="51" t="str">
        <f>IF(AND('Mapa de Riesgos'!$Y$44="Baja",'Mapa de Riesgos'!$AA$44="Mayor"),CONCATENATE("R6C",'Mapa de Riesgos'!$O$44),"")</f>
        <v/>
      </c>
      <c r="AD41" s="51" t="str">
        <f>IF(AND('Mapa de Riesgos'!$Y$45="Baja",'Mapa de Riesgos'!$AA$45="Mayor"),CONCATENATE("R6C",'Mapa de Riesgos'!$O$45),"")</f>
        <v/>
      </c>
      <c r="AE41" s="51" t="str">
        <f>IF(AND('Mapa de Riesgos'!$Y$46="Baja",'Mapa de Riesgos'!$AA$46="Mayor"),CONCATENATE("R6C",'Mapa de Riesgos'!$O$46),"")</f>
        <v/>
      </c>
      <c r="AF41" s="51" t="str">
        <f>IF(AND('Mapa de Riesgos'!$Y$47="Baja",'Mapa de Riesgos'!$AA$47="Mayor"),CONCATENATE("R6C",'Mapa de Riesgos'!$O$47),"")</f>
        <v/>
      </c>
      <c r="AG41" s="52" t="str">
        <f>IF(AND('Mapa de Riesgos'!$Y$48="Baja",'Mapa de Riesgos'!$AA$48="Mayor"),CONCATENATE("R6C",'Mapa de Riesgos'!$O$48),"")</f>
        <v/>
      </c>
      <c r="AH41" s="53" t="str">
        <f>IF(AND('Mapa de Riesgos'!$Y$42="Baja",'Mapa de Riesgos'!$AA$42="Catastrófico"),CONCATENATE("R6C",'Mapa de Riesgos'!$O$42),"")</f>
        <v/>
      </c>
      <c r="AI41" s="54" t="str">
        <f>IF(AND('Mapa de Riesgos'!$Y$44="Baja",'Mapa de Riesgos'!$AA$44="Catastrófico"),CONCATENATE("R6C",'Mapa de Riesgos'!$O$44),"")</f>
        <v/>
      </c>
      <c r="AJ41" s="54" t="str">
        <f>IF(AND('Mapa de Riesgos'!$Y$45="Baja",'Mapa de Riesgos'!$AA$45="Catastrófico"),CONCATENATE("R6C",'Mapa de Riesgos'!$O$45),"")</f>
        <v/>
      </c>
      <c r="AK41" s="54" t="str">
        <f>IF(AND('Mapa de Riesgos'!$Y$46="Baja",'Mapa de Riesgos'!$AA$46="Catastrófico"),CONCATENATE("R6C",'Mapa de Riesgos'!$O$46),"")</f>
        <v/>
      </c>
      <c r="AL41" s="54" t="str">
        <f>IF(AND('Mapa de Riesgos'!$Y$47="Baja",'Mapa de Riesgos'!$AA$47="Catastrófico"),CONCATENATE("R6C",'Mapa de Riesgos'!$O$47),"")</f>
        <v/>
      </c>
      <c r="AM41" s="55" t="str">
        <f>IF(AND('Mapa de Riesgos'!$Y$48="Baja",'Mapa de Riesgos'!$AA$48="Catastrófico"),CONCATENATE("R6C",'Mapa de Riesgos'!$O$48),"")</f>
        <v/>
      </c>
      <c r="AN41" s="81"/>
      <c r="AO41" s="606"/>
      <c r="AP41" s="607"/>
      <c r="AQ41" s="607"/>
      <c r="AR41" s="607"/>
      <c r="AS41" s="607"/>
      <c r="AT41" s="608"/>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87"/>
      <c r="C42" s="487"/>
      <c r="D42" s="488"/>
      <c r="E42" s="586"/>
      <c r="F42" s="585"/>
      <c r="G42" s="585"/>
      <c r="H42" s="585"/>
      <c r="I42" s="585"/>
      <c r="J42" s="74" t="str">
        <f>IF(AND('Mapa de Riesgos'!$Y$49="Baja",'Mapa de Riesgos'!$AA$49="Leve"),CONCATENATE("R7C",'Mapa de Riesgos'!$O$49),"")</f>
        <v/>
      </c>
      <c r="K42" s="75" t="str">
        <f>IF(AND('Mapa de Riesgos'!$Y$51="Baja",'Mapa de Riesgos'!$AA$51="Leve"),CONCATENATE("R7C",'Mapa de Riesgos'!$O$51),"")</f>
        <v/>
      </c>
      <c r="L42" s="75" t="str">
        <f>IF(AND('Mapa de Riesgos'!$Y$52="Baja",'Mapa de Riesgos'!$AA$52="Leve"),CONCATENATE("R7C",'Mapa de Riesgos'!$O$52),"")</f>
        <v/>
      </c>
      <c r="M42" s="75" t="str">
        <f>IF(AND('Mapa de Riesgos'!$Y$53="Baja",'Mapa de Riesgos'!$AA$53="Leve"),CONCATENATE("R7C",'Mapa de Riesgos'!$O$53),"")</f>
        <v/>
      </c>
      <c r="N42" s="75" t="str">
        <f>IF(AND('Mapa de Riesgos'!$Y$54="Baja",'Mapa de Riesgos'!$AA$54="Leve"),CONCATENATE("R7C",'Mapa de Riesgos'!$O$54),"")</f>
        <v/>
      </c>
      <c r="O42" s="76" t="str">
        <f>IF(AND('Mapa de Riesgos'!$Y$55="Baja",'Mapa de Riesgos'!$AA$55="Leve"),CONCATENATE("R7C",'Mapa de Riesgos'!$O$55),"")</f>
        <v/>
      </c>
      <c r="P42" s="65" t="str">
        <f>IF(AND('Mapa de Riesgos'!$Y$49="Baja",'Mapa de Riesgos'!$AA$49="Menor"),CONCATENATE("R7C",'Mapa de Riesgos'!$O$49),"")</f>
        <v/>
      </c>
      <c r="Q42" s="66" t="str">
        <f>IF(AND('Mapa de Riesgos'!$Y$51="Baja",'Mapa de Riesgos'!$AA$51="Menor"),CONCATENATE("R7C",'Mapa de Riesgos'!$O$51),"")</f>
        <v/>
      </c>
      <c r="R42" s="66" t="str">
        <f>IF(AND('Mapa de Riesgos'!$Y$52="Baja",'Mapa de Riesgos'!$AA$52="Menor"),CONCATENATE("R7C",'Mapa de Riesgos'!$O$52),"")</f>
        <v/>
      </c>
      <c r="S42" s="66" t="str">
        <f>IF(AND('Mapa de Riesgos'!$Y$53="Baja",'Mapa de Riesgos'!$AA$53="Menor"),CONCATENATE("R7C",'Mapa de Riesgos'!$O$53),"")</f>
        <v/>
      </c>
      <c r="T42" s="66" t="str">
        <f>IF(AND('Mapa de Riesgos'!$Y$54="Baja",'Mapa de Riesgos'!$AA$54="Menor"),CONCATENATE("R7C",'Mapa de Riesgos'!$O$54),"")</f>
        <v/>
      </c>
      <c r="U42" s="67" t="str">
        <f>IF(AND('Mapa de Riesgos'!$Y$55="Baja",'Mapa de Riesgos'!$AA$55="Menor"),CONCATENATE("R7C",'Mapa de Riesgos'!$O$55),"")</f>
        <v/>
      </c>
      <c r="V42" s="65" t="str">
        <f>IF(AND('Mapa de Riesgos'!$Y$49="Baja",'Mapa de Riesgos'!$AA$49="Moderado"),CONCATENATE("R7C",'Mapa de Riesgos'!$O$49),"")</f>
        <v>R7C1</v>
      </c>
      <c r="W42" s="66" t="str">
        <f>IF(AND('Mapa de Riesgos'!$Y$51="Baja",'Mapa de Riesgos'!$AA$51="Moderado"),CONCATENATE("R7C",'Mapa de Riesgos'!$O$51),"")</f>
        <v/>
      </c>
      <c r="X42" s="66" t="str">
        <f>IF(AND('Mapa de Riesgos'!$Y$52="Baja",'Mapa de Riesgos'!$AA$52="Moderado"),CONCATENATE("R7C",'Mapa de Riesgos'!$O$52),"")</f>
        <v/>
      </c>
      <c r="Y42" s="66" t="str">
        <f>IF(AND('Mapa de Riesgos'!$Y$53="Baja",'Mapa de Riesgos'!$AA$53="Moderado"),CONCATENATE("R7C",'Mapa de Riesgos'!$O$53),"")</f>
        <v/>
      </c>
      <c r="Z42" s="66" t="str">
        <f>IF(AND('Mapa de Riesgos'!$Y$54="Baja",'Mapa de Riesgos'!$AA$54="Moderado"),CONCATENATE("R7C",'Mapa de Riesgos'!$O$54),"")</f>
        <v/>
      </c>
      <c r="AA42" s="67" t="str">
        <f>IF(AND('Mapa de Riesgos'!$Y$55="Baja",'Mapa de Riesgos'!$AA$55="Moderado"),CONCATENATE("R7C",'Mapa de Riesgos'!$O$55),"")</f>
        <v/>
      </c>
      <c r="AB42" s="50" t="str">
        <f>IF(AND('Mapa de Riesgos'!$Y$49="Baja",'Mapa de Riesgos'!$AA$49="Mayor"),CONCATENATE("R7C",'Mapa de Riesgos'!$O$49),"")</f>
        <v/>
      </c>
      <c r="AC42" s="51" t="str">
        <f>IF(AND('Mapa de Riesgos'!$Y$51="Baja",'Mapa de Riesgos'!$AA$51="Mayor"),CONCATENATE("R7C",'Mapa de Riesgos'!$O$51),"")</f>
        <v/>
      </c>
      <c r="AD42" s="51" t="str">
        <f>IF(AND('Mapa de Riesgos'!$Y$52="Baja",'Mapa de Riesgos'!$AA$52="Mayor"),CONCATENATE("R7C",'Mapa de Riesgos'!$O$52),"")</f>
        <v/>
      </c>
      <c r="AE42" s="51" t="str">
        <f>IF(AND('Mapa de Riesgos'!$Y$53="Baja",'Mapa de Riesgos'!$AA$53="Mayor"),CONCATENATE("R7C",'Mapa de Riesgos'!$O$53),"")</f>
        <v/>
      </c>
      <c r="AF42" s="51" t="str">
        <f>IF(AND('Mapa de Riesgos'!$Y$54="Baja",'Mapa de Riesgos'!$AA$54="Mayor"),CONCATENATE("R7C",'Mapa de Riesgos'!$O$54),"")</f>
        <v/>
      </c>
      <c r="AG42" s="52" t="str">
        <f>IF(AND('Mapa de Riesgos'!$Y$55="Baja",'Mapa de Riesgos'!$AA$55="Mayor"),CONCATENATE("R7C",'Mapa de Riesgos'!$O$55),"")</f>
        <v/>
      </c>
      <c r="AH42" s="53" t="str">
        <f>IF(AND('Mapa de Riesgos'!$Y$49="Baja",'Mapa de Riesgos'!$AA$49="Catastrófico"),CONCATENATE("R7C",'Mapa de Riesgos'!$O$49),"")</f>
        <v/>
      </c>
      <c r="AI42" s="54" t="str">
        <f>IF(AND('Mapa de Riesgos'!$Y$51="Baja",'Mapa de Riesgos'!$AA$51="Catastrófico"),CONCATENATE("R7C",'Mapa de Riesgos'!$O$51),"")</f>
        <v/>
      </c>
      <c r="AJ42" s="54" t="str">
        <f>IF(AND('Mapa de Riesgos'!$Y$52="Baja",'Mapa de Riesgos'!$AA$52="Catastrófico"),CONCATENATE("R7C",'Mapa de Riesgos'!$O$52),"")</f>
        <v/>
      </c>
      <c r="AK42" s="54" t="str">
        <f>IF(AND('Mapa de Riesgos'!$Y$53="Baja",'Mapa de Riesgos'!$AA$53="Catastrófico"),CONCATENATE("R7C",'Mapa de Riesgos'!$O$53),"")</f>
        <v/>
      </c>
      <c r="AL42" s="54" t="str">
        <f>IF(AND('Mapa de Riesgos'!$Y$54="Baja",'Mapa de Riesgos'!$AA$54="Catastrófico"),CONCATENATE("R7C",'Mapa de Riesgos'!$O$54),"")</f>
        <v/>
      </c>
      <c r="AM42" s="55" t="str">
        <f>IF(AND('Mapa de Riesgos'!$Y$55="Baja",'Mapa de Riesgos'!$AA$55="Catastrófico"),CONCATENATE("R7C",'Mapa de Riesgos'!$O$55),"")</f>
        <v/>
      </c>
      <c r="AN42" s="81"/>
      <c r="AO42" s="606"/>
      <c r="AP42" s="607"/>
      <c r="AQ42" s="607"/>
      <c r="AR42" s="607"/>
      <c r="AS42" s="607"/>
      <c r="AT42" s="608"/>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87"/>
      <c r="C43" s="487"/>
      <c r="D43" s="488"/>
      <c r="E43" s="586"/>
      <c r="F43" s="585"/>
      <c r="G43" s="585"/>
      <c r="H43" s="585"/>
      <c r="I43" s="585"/>
      <c r="J43" s="74" t="str">
        <f>IF(AND('Mapa de Riesgos'!$Y$56="Baja",'Mapa de Riesgos'!$AA$56="Leve"),CONCATENATE("R8C",'Mapa de Riesgos'!$O$56),"")</f>
        <v/>
      </c>
      <c r="K43" s="75" t="str">
        <f>IF(AND('Mapa de Riesgos'!$Y$59="Baja",'Mapa de Riesgos'!$AA$59="Leve"),CONCATENATE("R8C",'Mapa de Riesgos'!$O$59),"")</f>
        <v/>
      </c>
      <c r="L43" s="75" t="str">
        <f>IF(AND('Mapa de Riesgos'!$Y$60="Baja",'Mapa de Riesgos'!$AA$60="Leve"),CONCATENATE("R8C",'Mapa de Riesgos'!$O$60),"")</f>
        <v/>
      </c>
      <c r="M43" s="75" t="str">
        <f>IF(AND('Mapa de Riesgos'!$Y$61="Baja",'Mapa de Riesgos'!$AA$61="Leve"),CONCATENATE("R8C",'Mapa de Riesgos'!$O$61),"")</f>
        <v/>
      </c>
      <c r="N43" s="75" t="str">
        <f>IF(AND('Mapa de Riesgos'!$Y$62="Baja",'Mapa de Riesgos'!$AA$62="Leve"),CONCATENATE("R8C",'Mapa de Riesgos'!$O$62),"")</f>
        <v/>
      </c>
      <c r="O43" s="76" t="str">
        <f>IF(AND('Mapa de Riesgos'!$Y$63="Baja",'Mapa de Riesgos'!$AA$63="Leve"),CONCATENATE("R8C",'Mapa de Riesgos'!$O$63),"")</f>
        <v/>
      </c>
      <c r="P43" s="65" t="str">
        <f>IF(AND('Mapa de Riesgos'!$Y$56="Baja",'Mapa de Riesgos'!$AA$56="Menor"),CONCATENATE("R8C",'Mapa de Riesgos'!$O$56),"")</f>
        <v/>
      </c>
      <c r="Q43" s="66" t="str">
        <f>IF(AND('Mapa de Riesgos'!$Y$59="Baja",'Mapa de Riesgos'!$AA$59="Menor"),CONCATENATE("R8C",'Mapa de Riesgos'!$O$59),"")</f>
        <v/>
      </c>
      <c r="R43" s="66" t="str">
        <f>IF(AND('Mapa de Riesgos'!$Y$60="Baja",'Mapa de Riesgos'!$AA$60="Menor"),CONCATENATE("R8C",'Mapa de Riesgos'!$O$60),"")</f>
        <v/>
      </c>
      <c r="S43" s="66" t="str">
        <f>IF(AND('Mapa de Riesgos'!$Y$61="Baja",'Mapa de Riesgos'!$AA$61="Menor"),CONCATENATE("R8C",'Mapa de Riesgos'!$O$61),"")</f>
        <v/>
      </c>
      <c r="T43" s="66" t="str">
        <f>IF(AND('Mapa de Riesgos'!$Y$62="Baja",'Mapa de Riesgos'!$AA$62="Menor"),CONCATENATE("R8C",'Mapa de Riesgos'!$O$62),"")</f>
        <v/>
      </c>
      <c r="U43" s="67" t="str">
        <f>IF(AND('Mapa de Riesgos'!$Y$63="Baja",'Mapa de Riesgos'!$AA$63="Menor"),CONCATENATE("R8C",'Mapa de Riesgos'!$O$63),"")</f>
        <v/>
      </c>
      <c r="V43" s="65" t="str">
        <f>IF(AND('Mapa de Riesgos'!$Y$56="Baja",'Mapa de Riesgos'!$AA$56="Moderado"),CONCATENATE("R8C",'Mapa de Riesgos'!$O$56),"")</f>
        <v>R8C1</v>
      </c>
      <c r="W43" s="66" t="str">
        <f>IF(AND('Mapa de Riesgos'!$Y$59="Baja",'Mapa de Riesgos'!$AA$59="Moderado"),CONCATENATE("R8C",'Mapa de Riesgos'!$O$59),"")</f>
        <v/>
      </c>
      <c r="X43" s="66" t="str">
        <f>IF(AND('Mapa de Riesgos'!$Y$60="Baja",'Mapa de Riesgos'!$AA$60="Moderado"),CONCATENATE("R8C",'Mapa de Riesgos'!$O$60),"")</f>
        <v/>
      </c>
      <c r="Y43" s="66" t="str">
        <f>IF(AND('Mapa de Riesgos'!$Y$61="Baja",'Mapa de Riesgos'!$AA$61="Moderado"),CONCATENATE("R8C",'Mapa de Riesgos'!$O$61),"")</f>
        <v/>
      </c>
      <c r="Z43" s="66" t="str">
        <f>IF(AND('Mapa de Riesgos'!$Y$62="Baja",'Mapa de Riesgos'!$AA$62="Moderado"),CONCATENATE("R8C",'Mapa de Riesgos'!$O$62),"")</f>
        <v/>
      </c>
      <c r="AA43" s="67" t="str">
        <f>IF(AND('Mapa de Riesgos'!$Y$63="Baja",'Mapa de Riesgos'!$AA$63="Moderado"),CONCATENATE("R8C",'Mapa de Riesgos'!$O$63),"")</f>
        <v/>
      </c>
      <c r="AB43" s="50" t="str">
        <f>IF(AND('Mapa de Riesgos'!$Y$56="Baja",'Mapa de Riesgos'!$AA$56="Mayor"),CONCATENATE("R8C",'Mapa de Riesgos'!$O$56),"")</f>
        <v/>
      </c>
      <c r="AC43" s="51" t="str">
        <f>IF(AND('Mapa de Riesgos'!$Y$59="Baja",'Mapa de Riesgos'!$AA$59="Mayor"),CONCATENATE("R8C",'Mapa de Riesgos'!$O$59),"")</f>
        <v/>
      </c>
      <c r="AD43" s="51" t="str">
        <f>IF(AND('Mapa de Riesgos'!$Y$60="Baja",'Mapa de Riesgos'!$AA$60="Mayor"),CONCATENATE("R8C",'Mapa de Riesgos'!$O$60),"")</f>
        <v/>
      </c>
      <c r="AE43" s="51" t="str">
        <f>IF(AND('Mapa de Riesgos'!$Y$61="Baja",'Mapa de Riesgos'!$AA$61="Mayor"),CONCATENATE("R8C",'Mapa de Riesgos'!$O$61),"")</f>
        <v/>
      </c>
      <c r="AF43" s="51" t="str">
        <f>IF(AND('Mapa de Riesgos'!$Y$62="Baja",'Mapa de Riesgos'!$AA$62="Mayor"),CONCATENATE("R8C",'Mapa de Riesgos'!$O$62),"")</f>
        <v/>
      </c>
      <c r="AG43" s="52" t="str">
        <f>IF(AND('Mapa de Riesgos'!$Y$63="Baja",'Mapa de Riesgos'!$AA$63="Mayor"),CONCATENATE("R8C",'Mapa de Riesgos'!$O$63),"")</f>
        <v/>
      </c>
      <c r="AH43" s="53" t="str">
        <f>IF(AND('Mapa de Riesgos'!$Y$56="Baja",'Mapa de Riesgos'!$AA$56="Catastrófico"),CONCATENATE("R8C",'Mapa de Riesgos'!$O$56),"")</f>
        <v/>
      </c>
      <c r="AI43" s="54" t="str">
        <f>IF(AND('Mapa de Riesgos'!$Y$59="Baja",'Mapa de Riesgos'!$AA$59="Catastrófico"),CONCATENATE("R8C",'Mapa de Riesgos'!$O$59),"")</f>
        <v/>
      </c>
      <c r="AJ43" s="54" t="str">
        <f>IF(AND('Mapa de Riesgos'!$Y$60="Baja",'Mapa de Riesgos'!$AA$60="Catastrófico"),CONCATENATE("R8C",'Mapa de Riesgos'!$O$60),"")</f>
        <v/>
      </c>
      <c r="AK43" s="54" t="str">
        <f>IF(AND('Mapa de Riesgos'!$Y$61="Baja",'Mapa de Riesgos'!$AA$61="Catastrófico"),CONCATENATE("R8C",'Mapa de Riesgos'!$O$61),"")</f>
        <v/>
      </c>
      <c r="AL43" s="54" t="str">
        <f>IF(AND('Mapa de Riesgos'!$Y$62="Baja",'Mapa de Riesgos'!$AA$62="Catastrófico"),CONCATENATE("R8C",'Mapa de Riesgos'!$O$62),"")</f>
        <v/>
      </c>
      <c r="AM43" s="55" t="str">
        <f>IF(AND('Mapa de Riesgos'!$Y$63="Baja",'Mapa de Riesgos'!$AA$63="Catastrófico"),CONCATENATE("R8C",'Mapa de Riesgos'!$O$63),"")</f>
        <v/>
      </c>
      <c r="AN43" s="81"/>
      <c r="AO43" s="606"/>
      <c r="AP43" s="607"/>
      <c r="AQ43" s="607"/>
      <c r="AR43" s="607"/>
      <c r="AS43" s="607"/>
      <c r="AT43" s="608"/>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87"/>
      <c r="C44" s="487"/>
      <c r="D44" s="488"/>
      <c r="E44" s="586"/>
      <c r="F44" s="585"/>
      <c r="G44" s="585"/>
      <c r="H44" s="585"/>
      <c r="I44" s="585"/>
      <c r="J44" s="74" t="str">
        <f>IF(AND('Mapa de Riesgos'!$Y$64="Baja",'Mapa de Riesgos'!$AA$64="Leve"),CONCATENATE("R9C",'Mapa de Riesgos'!$O$64),"")</f>
        <v/>
      </c>
      <c r="K44" s="75" t="str">
        <f>IF(AND('Mapa de Riesgos'!$Y$65="Baja",'Mapa de Riesgos'!$AA$65="Leve"),CONCATENATE("R9C",'Mapa de Riesgos'!$O$65),"")</f>
        <v/>
      </c>
      <c r="L44" s="75" t="str">
        <f>IF(AND('Mapa de Riesgos'!$Y$66="Baja",'Mapa de Riesgos'!$AA$66="Leve"),CONCATENATE("R9C",'Mapa de Riesgos'!$O$66),"")</f>
        <v/>
      </c>
      <c r="M44" s="75" t="str">
        <f>IF(AND('Mapa de Riesgos'!$Y$67="Baja",'Mapa de Riesgos'!$AA$67="Leve"),CONCATENATE("R9C",'Mapa de Riesgos'!$O$67),"")</f>
        <v/>
      </c>
      <c r="N44" s="75" t="str">
        <f>IF(AND('Mapa de Riesgos'!$Y$68="Baja",'Mapa de Riesgos'!$AA$68="Leve"),CONCATENATE("R9C",'Mapa de Riesgos'!$O$68),"")</f>
        <v/>
      </c>
      <c r="O44" s="76" t="str">
        <f>IF(AND('Mapa de Riesgos'!$Y$69="Baja",'Mapa de Riesgos'!$AA$69="Leve"),CONCATENATE("R9C",'Mapa de Riesgos'!$O$69),"")</f>
        <v/>
      </c>
      <c r="P44" s="65" t="str">
        <f>IF(AND('Mapa de Riesgos'!$Y$64="Baja",'Mapa de Riesgos'!$AA$64="Menor"),CONCATENATE("R9C",'Mapa de Riesgos'!$O$64),"")</f>
        <v/>
      </c>
      <c r="Q44" s="66" t="str">
        <f>IF(AND('Mapa de Riesgos'!$Y$65="Baja",'Mapa de Riesgos'!$AA$65="Menor"),CONCATENATE("R9C",'Mapa de Riesgos'!$O$65),"")</f>
        <v/>
      </c>
      <c r="R44" s="66" t="str">
        <f>IF(AND('Mapa de Riesgos'!$Y$66="Baja",'Mapa de Riesgos'!$AA$66="Menor"),CONCATENATE("R9C",'Mapa de Riesgos'!$O$66),"")</f>
        <v/>
      </c>
      <c r="S44" s="66" t="str">
        <f>IF(AND('Mapa de Riesgos'!$Y$67="Baja",'Mapa de Riesgos'!$AA$67="Menor"),CONCATENATE("R9C",'Mapa de Riesgos'!$O$67),"")</f>
        <v/>
      </c>
      <c r="T44" s="66" t="str">
        <f>IF(AND('Mapa de Riesgos'!$Y$68="Baja",'Mapa de Riesgos'!$AA$68="Menor"),CONCATENATE("R9C",'Mapa de Riesgos'!$O$68),"")</f>
        <v/>
      </c>
      <c r="U44" s="67" t="str">
        <f>IF(AND('Mapa de Riesgos'!$Y$69="Baja",'Mapa de Riesgos'!$AA$69="Menor"),CONCATENATE("R9C",'Mapa de Riesgos'!$O$69),"")</f>
        <v/>
      </c>
      <c r="V44" s="65" t="str">
        <f>IF(AND('Mapa de Riesgos'!$Y$64="Baja",'Mapa de Riesgos'!$AA$64="Moderado"),CONCATENATE("R9C",'Mapa de Riesgos'!$O$64),"")</f>
        <v>R9C1</v>
      </c>
      <c r="W44" s="66" t="str">
        <f>IF(AND('Mapa de Riesgos'!$Y$65="Baja",'Mapa de Riesgos'!$AA$65="Moderado"),CONCATENATE("R9C",'Mapa de Riesgos'!$O$65),"")</f>
        <v/>
      </c>
      <c r="X44" s="66" t="str">
        <f>IF(AND('Mapa de Riesgos'!$Y$66="Baja",'Mapa de Riesgos'!$AA$66="Moderado"),CONCATENATE("R9C",'Mapa de Riesgos'!$O$66),"")</f>
        <v/>
      </c>
      <c r="Y44" s="66" t="str">
        <f>IF(AND('Mapa de Riesgos'!$Y$67="Baja",'Mapa de Riesgos'!$AA$67="Moderado"),CONCATENATE("R9C",'Mapa de Riesgos'!$O$67),"")</f>
        <v/>
      </c>
      <c r="Z44" s="66" t="str">
        <f>IF(AND('Mapa de Riesgos'!$Y$68="Baja",'Mapa de Riesgos'!$AA$68="Moderado"),CONCATENATE("R9C",'Mapa de Riesgos'!$O$68),"")</f>
        <v/>
      </c>
      <c r="AA44" s="67" t="str">
        <f>IF(AND('Mapa de Riesgos'!$Y$69="Baja",'Mapa de Riesgos'!$AA$69="Moderado"),CONCATENATE("R9C",'Mapa de Riesgos'!$O$69),"")</f>
        <v/>
      </c>
      <c r="AB44" s="50" t="str">
        <f>IF(AND('Mapa de Riesgos'!$Y$64="Baja",'Mapa de Riesgos'!$AA$64="Mayor"),CONCATENATE("R9C",'Mapa de Riesgos'!$O$64),"")</f>
        <v/>
      </c>
      <c r="AC44" s="51" t="str">
        <f>IF(AND('Mapa de Riesgos'!$Y$65="Baja",'Mapa de Riesgos'!$AA$65="Mayor"),CONCATENATE("R9C",'Mapa de Riesgos'!$O$65),"")</f>
        <v/>
      </c>
      <c r="AD44" s="51" t="str">
        <f>IF(AND('Mapa de Riesgos'!$Y$66="Baja",'Mapa de Riesgos'!$AA$66="Mayor"),CONCATENATE("R9C",'Mapa de Riesgos'!$O$66),"")</f>
        <v/>
      </c>
      <c r="AE44" s="51" t="str">
        <f>IF(AND('Mapa de Riesgos'!$Y$67="Baja",'Mapa de Riesgos'!$AA$67="Mayor"),CONCATENATE("R9C",'Mapa de Riesgos'!$O$67),"")</f>
        <v/>
      </c>
      <c r="AF44" s="51" t="str">
        <f>IF(AND('Mapa de Riesgos'!$Y$68="Baja",'Mapa de Riesgos'!$AA$68="Mayor"),CONCATENATE("R9C",'Mapa de Riesgos'!$O$68),"")</f>
        <v/>
      </c>
      <c r="AG44" s="52" t="str">
        <f>IF(AND('Mapa de Riesgos'!$Y$69="Baja",'Mapa de Riesgos'!$AA$69="Mayor"),CONCATENATE("R9C",'Mapa de Riesgos'!$O$69),"")</f>
        <v/>
      </c>
      <c r="AH44" s="53" t="str">
        <f>IF(AND('Mapa de Riesgos'!$Y$64="Baja",'Mapa de Riesgos'!$AA$64="Catastrófico"),CONCATENATE("R9C",'Mapa de Riesgos'!$O$64),"")</f>
        <v/>
      </c>
      <c r="AI44" s="54" t="str">
        <f>IF(AND('Mapa de Riesgos'!$Y$65="Baja",'Mapa de Riesgos'!$AA$65="Catastrófico"),CONCATENATE("R9C",'Mapa de Riesgos'!$O$65),"")</f>
        <v/>
      </c>
      <c r="AJ44" s="54" t="str">
        <f>IF(AND('Mapa de Riesgos'!$Y$66="Baja",'Mapa de Riesgos'!$AA$66="Catastrófico"),CONCATENATE("R9C",'Mapa de Riesgos'!$O$66),"")</f>
        <v/>
      </c>
      <c r="AK44" s="54" t="str">
        <f>IF(AND('Mapa de Riesgos'!$Y$67="Baja",'Mapa de Riesgos'!$AA$67="Catastrófico"),CONCATENATE("R9C",'Mapa de Riesgos'!$O$67),"")</f>
        <v/>
      </c>
      <c r="AL44" s="54" t="str">
        <f>IF(AND('Mapa de Riesgos'!$Y$68="Baja",'Mapa de Riesgos'!$AA$68="Catastrófico"),CONCATENATE("R9C",'Mapa de Riesgos'!$O$68),"")</f>
        <v/>
      </c>
      <c r="AM44" s="55" t="str">
        <f>IF(AND('Mapa de Riesgos'!$Y$69="Baja",'Mapa de Riesgos'!$AA$69="Catastrófico"),CONCATENATE("R9C",'Mapa de Riesgos'!$O$69),"")</f>
        <v/>
      </c>
      <c r="AN44" s="81"/>
      <c r="AO44" s="606"/>
      <c r="AP44" s="607"/>
      <c r="AQ44" s="607"/>
      <c r="AR44" s="607"/>
      <c r="AS44" s="607"/>
      <c r="AT44" s="608"/>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87"/>
      <c r="C45" s="487"/>
      <c r="D45" s="488"/>
      <c r="E45" s="587"/>
      <c r="F45" s="588"/>
      <c r="G45" s="588"/>
      <c r="H45" s="588"/>
      <c r="I45" s="588"/>
      <c r="J45" s="77" t="str">
        <f>IF(AND('Mapa de Riesgos'!$Y$70="Baja",'Mapa de Riesgos'!$AA$70="Leve"),CONCATENATE("R10C",'Mapa de Riesgos'!$O$70),"")</f>
        <v/>
      </c>
      <c r="K45" s="78" t="str">
        <f>IF(AND('Mapa de Riesgos'!$Y$71="Baja",'Mapa de Riesgos'!$AA$71="Leve"),CONCATENATE("R10C",'Mapa de Riesgos'!$O$71),"")</f>
        <v/>
      </c>
      <c r="L45" s="78" t="str">
        <f>IF(AND('Mapa de Riesgos'!$Y$72="Baja",'Mapa de Riesgos'!$AA$72="Leve"),CONCATENATE("R10C",'Mapa de Riesgos'!$O$72),"")</f>
        <v/>
      </c>
      <c r="M45" s="78" t="str">
        <f>IF(AND('Mapa de Riesgos'!$Y$73="Baja",'Mapa de Riesgos'!$AA$73="Leve"),CONCATENATE("R10C",'Mapa de Riesgos'!$O$73),"")</f>
        <v/>
      </c>
      <c r="N45" s="78" t="str">
        <f>IF(AND('Mapa de Riesgos'!$Y$74="Baja",'Mapa de Riesgos'!$AA$74="Leve"),CONCATENATE("R10C",'Mapa de Riesgos'!$O$74),"")</f>
        <v/>
      </c>
      <c r="O45" s="79" t="str">
        <f>IF(AND('Mapa de Riesgos'!$Y$75="Baja",'Mapa de Riesgos'!$AA$75="Leve"),CONCATENATE("R10C",'Mapa de Riesgos'!$O$75),"")</f>
        <v/>
      </c>
      <c r="P45" s="65" t="str">
        <f>IF(AND('Mapa de Riesgos'!$Y$70="Baja",'Mapa de Riesgos'!$AA$70="Menor"),CONCATENATE("R10C",'Mapa de Riesgos'!$O$70),"")</f>
        <v/>
      </c>
      <c r="Q45" s="66" t="str">
        <f>IF(AND('Mapa de Riesgos'!$Y$71="Baja",'Mapa de Riesgos'!$AA$71="Menor"),CONCATENATE("R10C",'Mapa de Riesgos'!$O$71),"")</f>
        <v/>
      </c>
      <c r="R45" s="66" t="str">
        <f>IF(AND('Mapa de Riesgos'!$Y$72="Baja",'Mapa de Riesgos'!$AA$72="Menor"),CONCATENATE("R10C",'Mapa de Riesgos'!$O$72),"")</f>
        <v/>
      </c>
      <c r="S45" s="66" t="str">
        <f>IF(AND('Mapa de Riesgos'!$Y$73="Baja",'Mapa de Riesgos'!$AA$73="Menor"),CONCATENATE("R10C",'Mapa de Riesgos'!$O$73),"")</f>
        <v/>
      </c>
      <c r="T45" s="66" t="str">
        <f>IF(AND('Mapa de Riesgos'!$Y$74="Baja",'Mapa de Riesgos'!$AA$74="Menor"),CONCATENATE("R10C",'Mapa de Riesgos'!$O$74),"")</f>
        <v/>
      </c>
      <c r="U45" s="67" t="str">
        <f>IF(AND('Mapa de Riesgos'!$Y$75="Baja",'Mapa de Riesgos'!$AA$75="Menor"),CONCATENATE("R10C",'Mapa de Riesgos'!$O$75),"")</f>
        <v/>
      </c>
      <c r="V45" s="68" t="str">
        <f>IF(AND('Mapa de Riesgos'!$Y$70="Baja",'Mapa de Riesgos'!$AA$70="Moderado"),CONCATENATE("R10C",'Mapa de Riesgos'!$O$70),"")</f>
        <v>R10C1</v>
      </c>
      <c r="W45" s="69" t="str">
        <f>IF(AND('Mapa de Riesgos'!$Y$71="Baja",'Mapa de Riesgos'!$AA$71="Moderado"),CONCATENATE("R10C",'Mapa de Riesgos'!$O$71),"")</f>
        <v/>
      </c>
      <c r="X45" s="69" t="str">
        <f>IF(AND('Mapa de Riesgos'!$Y$72="Baja",'Mapa de Riesgos'!$AA$72="Moderado"),CONCATENATE("R10C",'Mapa de Riesgos'!$O$72),"")</f>
        <v/>
      </c>
      <c r="Y45" s="69" t="str">
        <f>IF(AND('Mapa de Riesgos'!$Y$73="Baja",'Mapa de Riesgos'!$AA$73="Moderado"),CONCATENATE("R10C",'Mapa de Riesgos'!$O$73),"")</f>
        <v/>
      </c>
      <c r="Z45" s="69" t="str">
        <f>IF(AND('Mapa de Riesgos'!$Y$74="Baja",'Mapa de Riesgos'!$AA$74="Moderado"),CONCATENATE("R10C",'Mapa de Riesgos'!$O$74),"")</f>
        <v/>
      </c>
      <c r="AA45" s="70" t="str">
        <f>IF(AND('Mapa de Riesgos'!$Y$75="Baja",'Mapa de Riesgos'!$AA$75="Moderado"),CONCATENATE("R10C",'Mapa de Riesgos'!$O$75),"")</f>
        <v/>
      </c>
      <c r="AB45" s="56" t="str">
        <f>IF(AND('Mapa de Riesgos'!$Y$70="Baja",'Mapa de Riesgos'!$AA$70="Mayor"),CONCATENATE("R10C",'Mapa de Riesgos'!$O$70),"")</f>
        <v/>
      </c>
      <c r="AC45" s="57" t="str">
        <f>IF(AND('Mapa de Riesgos'!$Y$71="Baja",'Mapa de Riesgos'!$AA$71="Mayor"),CONCATENATE("R10C",'Mapa de Riesgos'!$O$71),"")</f>
        <v/>
      </c>
      <c r="AD45" s="57" t="str">
        <f>IF(AND('Mapa de Riesgos'!$Y$72="Baja",'Mapa de Riesgos'!$AA$72="Mayor"),CONCATENATE("R10C",'Mapa de Riesgos'!$O$72),"")</f>
        <v/>
      </c>
      <c r="AE45" s="57" t="str">
        <f>IF(AND('Mapa de Riesgos'!$Y$73="Baja",'Mapa de Riesgos'!$AA$73="Mayor"),CONCATENATE("R10C",'Mapa de Riesgos'!$O$73),"")</f>
        <v/>
      </c>
      <c r="AF45" s="57" t="str">
        <f>IF(AND('Mapa de Riesgos'!$Y$74="Baja",'Mapa de Riesgos'!$AA$74="Mayor"),CONCATENATE("R10C",'Mapa de Riesgos'!$O$74),"")</f>
        <v/>
      </c>
      <c r="AG45" s="58" t="str">
        <f>IF(AND('Mapa de Riesgos'!$Y$75="Baja",'Mapa de Riesgos'!$AA$75="Mayor"),CONCATENATE("R10C",'Mapa de Riesgos'!$O$75),"")</f>
        <v/>
      </c>
      <c r="AH45" s="59" t="str">
        <f>IF(AND('Mapa de Riesgos'!$Y$70="Baja",'Mapa de Riesgos'!$AA$70="Catastrófico"),CONCATENATE("R10C",'Mapa de Riesgos'!$O$70),"")</f>
        <v/>
      </c>
      <c r="AI45" s="60" t="str">
        <f>IF(AND('Mapa de Riesgos'!$Y$71="Baja",'Mapa de Riesgos'!$AA$71="Catastrófico"),CONCATENATE("R10C",'Mapa de Riesgos'!$O$71),"")</f>
        <v/>
      </c>
      <c r="AJ45" s="60" t="str">
        <f>IF(AND('Mapa de Riesgos'!$Y$72="Baja",'Mapa de Riesgos'!$AA$72="Catastrófico"),CONCATENATE("R10C",'Mapa de Riesgos'!$O$72),"")</f>
        <v/>
      </c>
      <c r="AK45" s="60" t="str">
        <f>IF(AND('Mapa de Riesgos'!$Y$73="Baja",'Mapa de Riesgos'!$AA$73="Catastrófico"),CONCATENATE("R10C",'Mapa de Riesgos'!$O$73),"")</f>
        <v/>
      </c>
      <c r="AL45" s="60" t="str">
        <f>IF(AND('Mapa de Riesgos'!$Y$74="Baja",'Mapa de Riesgos'!$AA$74="Catastrófico"),CONCATENATE("R10C",'Mapa de Riesgos'!$O$74),"")</f>
        <v/>
      </c>
      <c r="AM45" s="61" t="str">
        <f>IF(AND('Mapa de Riesgos'!$Y$75="Baja",'Mapa de Riesgos'!$AA$75="Catastrófico"),CONCATENATE("R10C",'Mapa de Riesgos'!$O$75),"")</f>
        <v/>
      </c>
      <c r="AN45" s="81"/>
      <c r="AO45" s="609"/>
      <c r="AP45" s="610"/>
      <c r="AQ45" s="610"/>
      <c r="AR45" s="610"/>
      <c r="AS45" s="610"/>
      <c r="AT45" s="611"/>
    </row>
    <row r="46" spans="1:80" ht="46.5" customHeight="1" x14ac:dyDescent="0.35">
      <c r="A46" s="81"/>
      <c r="B46" s="487"/>
      <c r="C46" s="487"/>
      <c r="D46" s="488"/>
      <c r="E46" s="582" t="s">
        <v>274</v>
      </c>
      <c r="F46" s="583"/>
      <c r="G46" s="583"/>
      <c r="H46" s="583"/>
      <c r="I46" s="600"/>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87"/>
      <c r="C47" s="487"/>
      <c r="D47" s="488"/>
      <c r="E47" s="584"/>
      <c r="F47" s="585"/>
      <c r="G47" s="585"/>
      <c r="H47" s="585"/>
      <c r="I47" s="601"/>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87"/>
      <c r="C48" s="487"/>
      <c r="D48" s="488"/>
      <c r="E48" s="584"/>
      <c r="F48" s="585"/>
      <c r="G48" s="585"/>
      <c r="H48" s="585"/>
      <c r="I48" s="601"/>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R3C3</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87"/>
      <c r="C49" s="487"/>
      <c r="D49" s="488"/>
      <c r="E49" s="586"/>
      <c r="F49" s="585"/>
      <c r="G49" s="585"/>
      <c r="H49" s="585"/>
      <c r="I49" s="601"/>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87"/>
      <c r="C50" s="487"/>
      <c r="D50" s="488"/>
      <c r="E50" s="586"/>
      <c r="F50" s="585"/>
      <c r="G50" s="585"/>
      <c r="H50" s="585"/>
      <c r="I50" s="601"/>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87"/>
      <c r="C51" s="487"/>
      <c r="D51" s="488"/>
      <c r="E51" s="586"/>
      <c r="F51" s="585"/>
      <c r="G51" s="585"/>
      <c r="H51" s="585"/>
      <c r="I51" s="601"/>
      <c r="J51" s="74" t="str">
        <f>IF(AND('Mapa de Riesgos'!$Y$42="Muy Baja",'Mapa de Riesgos'!$AA$42="Leve"),CONCATENATE("R6C",'Mapa de Riesgos'!$O$42),"")</f>
        <v/>
      </c>
      <c r="K51" s="75" t="str">
        <f>IF(AND('Mapa de Riesgos'!$Y$44="Muy Baja",'Mapa de Riesgos'!$AA$44="Leve"),CONCATENATE("R6C",'Mapa de Riesgos'!$O$44),"")</f>
        <v/>
      </c>
      <c r="L51" s="75" t="str">
        <f>IF(AND('Mapa de Riesgos'!$Y$45="Muy Baja",'Mapa de Riesgos'!$AA$45="Leve"),CONCATENATE("R6C",'Mapa de Riesgos'!$O$45),"")</f>
        <v/>
      </c>
      <c r="M51" s="75" t="str">
        <f>IF(AND('Mapa de Riesgos'!$Y$46="Muy Baja",'Mapa de Riesgos'!$AA$46="Leve"),CONCATENATE("R6C",'Mapa de Riesgos'!$O$46),"")</f>
        <v/>
      </c>
      <c r="N51" s="75" t="str">
        <f>IF(AND('Mapa de Riesgos'!$Y$47="Muy Baja",'Mapa de Riesgos'!$AA$47="Leve"),CONCATENATE("R6C",'Mapa de Riesgos'!$O$47),"")</f>
        <v/>
      </c>
      <c r="O51" s="76" t="str">
        <f>IF(AND('Mapa de Riesgos'!$Y$48="Muy Baja",'Mapa de Riesgos'!$AA$48="Leve"),CONCATENATE("R6C",'Mapa de Riesgos'!$O$48),"")</f>
        <v/>
      </c>
      <c r="P51" s="74" t="str">
        <f>IF(AND('Mapa de Riesgos'!$Y$42="Muy Baja",'Mapa de Riesgos'!$AA$42="Menor"),CONCATENATE("R6C",'Mapa de Riesgos'!$O$42),"")</f>
        <v/>
      </c>
      <c r="Q51" s="75" t="str">
        <f>IF(AND('Mapa de Riesgos'!$Y$44="Muy Baja",'Mapa de Riesgos'!$AA$44="Menor"),CONCATENATE("R6C",'Mapa de Riesgos'!$O$44),"")</f>
        <v/>
      </c>
      <c r="R51" s="75" t="str">
        <f>IF(AND('Mapa de Riesgos'!$Y$45="Muy Baja",'Mapa de Riesgos'!$AA$45="Menor"),CONCATENATE("R6C",'Mapa de Riesgos'!$O$45),"")</f>
        <v/>
      </c>
      <c r="S51" s="75" t="str">
        <f>IF(AND('Mapa de Riesgos'!$Y$46="Muy Baja",'Mapa de Riesgos'!$AA$46="Menor"),CONCATENATE("R6C",'Mapa de Riesgos'!$O$46),"")</f>
        <v/>
      </c>
      <c r="T51" s="75" t="str">
        <f>IF(AND('Mapa de Riesgos'!$Y$47="Muy Baja",'Mapa de Riesgos'!$AA$47="Menor"),CONCATENATE("R6C",'Mapa de Riesgos'!$O$47),"")</f>
        <v/>
      </c>
      <c r="U51" s="76" t="str">
        <f>IF(AND('Mapa de Riesgos'!$Y$48="Muy Baja",'Mapa de Riesgos'!$AA$48="Menor"),CONCATENATE("R6C",'Mapa de Riesgos'!$O$48),"")</f>
        <v/>
      </c>
      <c r="V51" s="65" t="str">
        <f>IF(AND('Mapa de Riesgos'!$Y$42="Muy Baja",'Mapa de Riesgos'!$AA$42="Moderado"),CONCATENATE("R6C",'Mapa de Riesgos'!$O$42),"")</f>
        <v/>
      </c>
      <c r="W51" s="66" t="str">
        <f>IF(AND('Mapa de Riesgos'!$Y$44="Muy Baja",'Mapa de Riesgos'!$AA$44="Moderado"),CONCATENATE("R6C",'Mapa de Riesgos'!$O$44),"")</f>
        <v/>
      </c>
      <c r="X51" s="66" t="str">
        <f>IF(AND('Mapa de Riesgos'!$Y$45="Muy Baja",'Mapa de Riesgos'!$AA$45="Moderado"),CONCATENATE("R6C",'Mapa de Riesgos'!$O$45),"")</f>
        <v/>
      </c>
      <c r="Y51" s="66" t="str">
        <f>IF(AND('Mapa de Riesgos'!$Y$46="Muy Baja",'Mapa de Riesgos'!$AA$46="Moderado"),CONCATENATE("R6C",'Mapa de Riesgos'!$O$46),"")</f>
        <v/>
      </c>
      <c r="Z51" s="66" t="str">
        <f>IF(AND('Mapa de Riesgos'!$Y$47="Muy Baja",'Mapa de Riesgos'!$AA$47="Moderado"),CONCATENATE("R6C",'Mapa de Riesgos'!$O$47),"")</f>
        <v/>
      </c>
      <c r="AA51" s="67" t="str">
        <f>IF(AND('Mapa de Riesgos'!$Y$48="Muy Baja",'Mapa de Riesgos'!$AA$48="Moderado"),CONCATENATE("R6C",'Mapa de Riesgos'!$O$48),"")</f>
        <v/>
      </c>
      <c r="AB51" s="50" t="str">
        <f>IF(AND('Mapa de Riesgos'!$Y$42="Muy Baja",'Mapa de Riesgos'!$AA$42="Mayor"),CONCATENATE("R6C",'Mapa de Riesgos'!$O$42),"")</f>
        <v>R6C1</v>
      </c>
      <c r="AC51" s="51" t="str">
        <f>IF(AND('Mapa de Riesgos'!$Y$44="Muy Baja",'Mapa de Riesgos'!$AA$44="Mayor"),CONCATENATE("R6C",'Mapa de Riesgos'!$O$44),"")</f>
        <v/>
      </c>
      <c r="AD51" s="51" t="str">
        <f>IF(AND('Mapa de Riesgos'!$Y$45="Muy Baja",'Mapa de Riesgos'!$AA$45="Mayor"),CONCATENATE("R6C",'Mapa de Riesgos'!$O$45),"")</f>
        <v/>
      </c>
      <c r="AE51" s="51" t="str">
        <f>IF(AND('Mapa de Riesgos'!$Y$46="Muy Baja",'Mapa de Riesgos'!$AA$46="Mayor"),CONCATENATE("R6C",'Mapa de Riesgos'!$O$46),"")</f>
        <v/>
      </c>
      <c r="AF51" s="51" t="str">
        <f>IF(AND('Mapa de Riesgos'!$Y$47="Muy Baja",'Mapa de Riesgos'!$AA$47="Mayor"),CONCATENATE("R6C",'Mapa de Riesgos'!$O$47),"")</f>
        <v/>
      </c>
      <c r="AG51" s="52" t="str">
        <f>IF(AND('Mapa de Riesgos'!$Y$48="Muy Baja",'Mapa de Riesgos'!$AA$48="Mayor"),CONCATENATE("R6C",'Mapa de Riesgos'!$O$48),"")</f>
        <v/>
      </c>
      <c r="AH51" s="53" t="str">
        <f>IF(AND('Mapa de Riesgos'!$Y$42="Muy Baja",'Mapa de Riesgos'!$AA$42="Catastrófico"),CONCATENATE("R6C",'Mapa de Riesgos'!$O$42),"")</f>
        <v/>
      </c>
      <c r="AI51" s="54" t="str">
        <f>IF(AND('Mapa de Riesgos'!$Y$44="Muy Baja",'Mapa de Riesgos'!$AA$44="Catastrófico"),CONCATENATE("R6C",'Mapa de Riesgos'!$O$44),"")</f>
        <v/>
      </c>
      <c r="AJ51" s="54" t="str">
        <f>IF(AND('Mapa de Riesgos'!$Y$45="Muy Baja",'Mapa de Riesgos'!$AA$45="Catastrófico"),CONCATENATE("R6C",'Mapa de Riesgos'!$O$45),"")</f>
        <v/>
      </c>
      <c r="AK51" s="54" t="str">
        <f>IF(AND('Mapa de Riesgos'!$Y$46="Muy Baja",'Mapa de Riesgos'!$AA$46="Catastrófico"),CONCATENATE("R6C",'Mapa de Riesgos'!$O$46),"")</f>
        <v/>
      </c>
      <c r="AL51" s="54" t="str">
        <f>IF(AND('Mapa de Riesgos'!$Y$47="Muy Baja",'Mapa de Riesgos'!$AA$47="Catastrófico"),CONCATENATE("R6C",'Mapa de Riesgos'!$O$47),"")</f>
        <v/>
      </c>
      <c r="AM51" s="55" t="str">
        <f>IF(AND('Mapa de Riesgos'!$Y$48="Muy Baja",'Mapa de Riesgos'!$AA$48="Catastrófico"),CONCATENATE("R6C",'Mapa de Riesgos'!$O$48),"")</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87"/>
      <c r="C52" s="487"/>
      <c r="D52" s="488"/>
      <c r="E52" s="586"/>
      <c r="F52" s="585"/>
      <c r="G52" s="585"/>
      <c r="H52" s="585"/>
      <c r="I52" s="601"/>
      <c r="J52" s="74" t="str">
        <f>IF(AND('Mapa de Riesgos'!$Y$49="Muy Baja",'Mapa de Riesgos'!$AA$49="Leve"),CONCATENATE("R7C",'Mapa de Riesgos'!$O$49),"")</f>
        <v/>
      </c>
      <c r="K52" s="75" t="str">
        <f>IF(AND('Mapa de Riesgos'!$Y$51="Muy Baja",'Mapa de Riesgos'!$AA$51="Leve"),CONCATENATE("R7C",'Mapa de Riesgos'!$O$51),"")</f>
        <v/>
      </c>
      <c r="L52" s="75" t="str">
        <f>IF(AND('Mapa de Riesgos'!$Y$52="Muy Baja",'Mapa de Riesgos'!$AA$52="Leve"),CONCATENATE("R7C",'Mapa de Riesgos'!$O$52),"")</f>
        <v/>
      </c>
      <c r="M52" s="75" t="str">
        <f>IF(AND('Mapa de Riesgos'!$Y$53="Muy Baja",'Mapa de Riesgos'!$AA$53="Leve"),CONCATENATE("R7C",'Mapa de Riesgos'!$O$53),"")</f>
        <v/>
      </c>
      <c r="N52" s="75" t="str">
        <f>IF(AND('Mapa de Riesgos'!$Y$54="Muy Baja",'Mapa de Riesgos'!$AA$54="Leve"),CONCATENATE("R7C",'Mapa de Riesgos'!$O$54),"")</f>
        <v/>
      </c>
      <c r="O52" s="76" t="str">
        <f>IF(AND('Mapa de Riesgos'!$Y$55="Muy Baja",'Mapa de Riesgos'!$AA$55="Leve"),CONCATENATE("R7C",'Mapa de Riesgos'!$O$55),"")</f>
        <v/>
      </c>
      <c r="P52" s="74" t="str">
        <f>IF(AND('Mapa de Riesgos'!$Y$49="Muy Baja",'Mapa de Riesgos'!$AA$49="Menor"),CONCATENATE("R7C",'Mapa de Riesgos'!$O$49),"")</f>
        <v/>
      </c>
      <c r="Q52" s="75" t="str">
        <f>IF(AND('Mapa de Riesgos'!$Y$51="Muy Baja",'Mapa de Riesgos'!$AA$51="Menor"),CONCATENATE("R7C",'Mapa de Riesgos'!$O$51),"")</f>
        <v/>
      </c>
      <c r="R52" s="75" t="str">
        <f>IF(AND('Mapa de Riesgos'!$Y$52="Muy Baja",'Mapa de Riesgos'!$AA$52="Menor"),CONCATENATE("R7C",'Mapa de Riesgos'!$O$52),"")</f>
        <v/>
      </c>
      <c r="S52" s="75" t="str">
        <f>IF(AND('Mapa de Riesgos'!$Y$53="Muy Baja",'Mapa de Riesgos'!$AA$53="Menor"),CONCATENATE("R7C",'Mapa de Riesgos'!$O$53),"")</f>
        <v/>
      </c>
      <c r="T52" s="75" t="str">
        <f>IF(AND('Mapa de Riesgos'!$Y$54="Muy Baja",'Mapa de Riesgos'!$AA$54="Menor"),CONCATENATE("R7C",'Mapa de Riesgos'!$O$54),"")</f>
        <v/>
      </c>
      <c r="U52" s="76" t="str">
        <f>IF(AND('Mapa de Riesgos'!$Y$55="Muy Baja",'Mapa de Riesgos'!$AA$55="Menor"),CONCATENATE("R7C",'Mapa de Riesgos'!$O$55),"")</f>
        <v/>
      </c>
      <c r="V52" s="65" t="str">
        <f>IF(AND('Mapa de Riesgos'!$Y$49="Muy Baja",'Mapa de Riesgos'!$AA$49="Moderado"),CONCATENATE("R7C",'Mapa de Riesgos'!$O$49),"")</f>
        <v/>
      </c>
      <c r="W52" s="66" t="str">
        <f>IF(AND('Mapa de Riesgos'!$Y$51="Muy Baja",'Mapa de Riesgos'!$AA$51="Moderado"),CONCATENATE("R7C",'Mapa de Riesgos'!$O$51),"")</f>
        <v/>
      </c>
      <c r="X52" s="66" t="str">
        <f>IF(AND('Mapa de Riesgos'!$Y$52="Muy Baja",'Mapa de Riesgos'!$AA$52="Moderado"),CONCATENATE("R7C",'Mapa de Riesgos'!$O$52),"")</f>
        <v/>
      </c>
      <c r="Y52" s="66" t="str">
        <f>IF(AND('Mapa de Riesgos'!$Y$53="Muy Baja",'Mapa de Riesgos'!$AA$53="Moderado"),CONCATENATE("R7C",'Mapa de Riesgos'!$O$53),"")</f>
        <v/>
      </c>
      <c r="Z52" s="66" t="str">
        <f>IF(AND('Mapa de Riesgos'!$Y$54="Muy Baja",'Mapa de Riesgos'!$AA$54="Moderado"),CONCATENATE("R7C",'Mapa de Riesgos'!$O$54),"")</f>
        <v/>
      </c>
      <c r="AA52" s="67" t="str">
        <f>IF(AND('Mapa de Riesgos'!$Y$55="Muy Baja",'Mapa de Riesgos'!$AA$55="Moderado"),CONCATENATE("R7C",'Mapa de Riesgos'!$O$55),"")</f>
        <v/>
      </c>
      <c r="AB52" s="50" t="str">
        <f>IF(AND('Mapa de Riesgos'!$Y$49="Muy Baja",'Mapa de Riesgos'!$AA$49="Mayor"),CONCATENATE("R7C",'Mapa de Riesgos'!$O$49),"")</f>
        <v/>
      </c>
      <c r="AC52" s="51" t="str">
        <f>IF(AND('Mapa de Riesgos'!$Y$51="Muy Baja",'Mapa de Riesgos'!$AA$51="Mayor"),CONCATENATE("R7C",'Mapa de Riesgos'!$O$51),"")</f>
        <v/>
      </c>
      <c r="AD52" s="51" t="str">
        <f>IF(AND('Mapa de Riesgos'!$Y$52="Muy Baja",'Mapa de Riesgos'!$AA$52="Mayor"),CONCATENATE("R7C",'Mapa de Riesgos'!$O$52),"")</f>
        <v/>
      </c>
      <c r="AE52" s="51" t="str">
        <f>IF(AND('Mapa de Riesgos'!$Y$53="Muy Baja",'Mapa de Riesgos'!$AA$53="Mayor"),CONCATENATE("R7C",'Mapa de Riesgos'!$O$53),"")</f>
        <v/>
      </c>
      <c r="AF52" s="51" t="str">
        <f>IF(AND('Mapa de Riesgos'!$Y$54="Muy Baja",'Mapa de Riesgos'!$AA$54="Mayor"),CONCATENATE("R7C",'Mapa de Riesgos'!$O$54),"")</f>
        <v/>
      </c>
      <c r="AG52" s="52" t="str">
        <f>IF(AND('Mapa de Riesgos'!$Y$55="Muy Baja",'Mapa de Riesgos'!$AA$55="Mayor"),CONCATENATE("R7C",'Mapa de Riesgos'!$O$55),"")</f>
        <v/>
      </c>
      <c r="AH52" s="53" t="str">
        <f>IF(AND('Mapa de Riesgos'!$Y$49="Muy Baja",'Mapa de Riesgos'!$AA$49="Catastrófico"),CONCATENATE("R7C",'Mapa de Riesgos'!$O$49),"")</f>
        <v/>
      </c>
      <c r="AI52" s="54" t="str">
        <f>IF(AND('Mapa de Riesgos'!$Y$51="Muy Baja",'Mapa de Riesgos'!$AA$51="Catastrófico"),CONCATENATE("R7C",'Mapa de Riesgos'!$O$51),"")</f>
        <v/>
      </c>
      <c r="AJ52" s="54" t="str">
        <f>IF(AND('Mapa de Riesgos'!$Y$52="Muy Baja",'Mapa de Riesgos'!$AA$52="Catastrófico"),CONCATENATE("R7C",'Mapa de Riesgos'!$O$52),"")</f>
        <v/>
      </c>
      <c r="AK52" s="54" t="str">
        <f>IF(AND('Mapa de Riesgos'!$Y$53="Muy Baja",'Mapa de Riesgos'!$AA$53="Catastrófico"),CONCATENATE("R7C",'Mapa de Riesgos'!$O$53),"")</f>
        <v/>
      </c>
      <c r="AL52" s="54" t="str">
        <f>IF(AND('Mapa de Riesgos'!$Y$54="Muy Baja",'Mapa de Riesgos'!$AA$54="Catastrófico"),CONCATENATE("R7C",'Mapa de Riesgos'!$O$54),"")</f>
        <v/>
      </c>
      <c r="AM52" s="55" t="str">
        <f>IF(AND('Mapa de Riesgos'!$Y$55="Muy Baja",'Mapa de Riesgos'!$AA$55="Catastrófico"),CONCATENATE("R7C",'Mapa de Riesgos'!$O$55),"")</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87"/>
      <c r="C53" s="487"/>
      <c r="D53" s="488"/>
      <c r="E53" s="586"/>
      <c r="F53" s="585"/>
      <c r="G53" s="585"/>
      <c r="H53" s="585"/>
      <c r="I53" s="601"/>
      <c r="J53" s="74" t="str">
        <f>IF(AND('Mapa de Riesgos'!$Y$56="Muy Baja",'Mapa de Riesgos'!$AA$56="Leve"),CONCATENATE("R8C",'Mapa de Riesgos'!$O$56),"")</f>
        <v/>
      </c>
      <c r="K53" s="75" t="str">
        <f>IF(AND('Mapa de Riesgos'!$Y$59="Muy Baja",'Mapa de Riesgos'!$AA$59="Leve"),CONCATENATE("R8C",'Mapa de Riesgos'!$O$59),"")</f>
        <v/>
      </c>
      <c r="L53" s="75" t="str">
        <f>IF(AND('Mapa de Riesgos'!$Y$60="Muy Baja",'Mapa de Riesgos'!$AA$60="Leve"),CONCATENATE("R8C",'Mapa de Riesgos'!$O$60),"")</f>
        <v/>
      </c>
      <c r="M53" s="75" t="str">
        <f>IF(AND('Mapa de Riesgos'!$Y$61="Muy Baja",'Mapa de Riesgos'!$AA$61="Leve"),CONCATENATE("R8C",'Mapa de Riesgos'!$O$61),"")</f>
        <v/>
      </c>
      <c r="N53" s="75" t="str">
        <f>IF(AND('Mapa de Riesgos'!$Y$62="Muy Baja",'Mapa de Riesgos'!$AA$62="Leve"),CONCATENATE("R8C",'Mapa de Riesgos'!$O$62),"")</f>
        <v/>
      </c>
      <c r="O53" s="76" t="str">
        <f>IF(AND('Mapa de Riesgos'!$Y$63="Muy Baja",'Mapa de Riesgos'!$AA$63="Leve"),CONCATENATE("R8C",'Mapa de Riesgos'!$O$63),"")</f>
        <v/>
      </c>
      <c r="P53" s="74" t="str">
        <f>IF(AND('Mapa de Riesgos'!$Y$56="Muy Baja",'Mapa de Riesgos'!$AA$56="Menor"),CONCATENATE("R8C",'Mapa de Riesgos'!$O$56),"")</f>
        <v/>
      </c>
      <c r="Q53" s="75" t="str">
        <f>IF(AND('Mapa de Riesgos'!$Y$59="Muy Baja",'Mapa de Riesgos'!$AA$59="Menor"),CONCATENATE("R8C",'Mapa de Riesgos'!$O$59),"")</f>
        <v/>
      </c>
      <c r="R53" s="75" t="str">
        <f>IF(AND('Mapa de Riesgos'!$Y$60="Muy Baja",'Mapa de Riesgos'!$AA$60="Menor"),CONCATENATE("R8C",'Mapa de Riesgos'!$O$60),"")</f>
        <v/>
      </c>
      <c r="S53" s="75" t="str">
        <f>IF(AND('Mapa de Riesgos'!$Y$61="Muy Baja",'Mapa de Riesgos'!$AA$61="Menor"),CONCATENATE("R8C",'Mapa de Riesgos'!$O$61),"")</f>
        <v/>
      </c>
      <c r="T53" s="75" t="str">
        <f>IF(AND('Mapa de Riesgos'!$Y$62="Muy Baja",'Mapa de Riesgos'!$AA$62="Menor"),CONCATENATE("R8C",'Mapa de Riesgos'!$O$62),"")</f>
        <v/>
      </c>
      <c r="U53" s="76" t="str">
        <f>IF(AND('Mapa de Riesgos'!$Y$63="Muy Baja",'Mapa de Riesgos'!$AA$63="Menor"),CONCATENATE("R8C",'Mapa de Riesgos'!$O$63),"")</f>
        <v/>
      </c>
      <c r="V53" s="65" t="str">
        <f>IF(AND('Mapa de Riesgos'!$Y$56="Muy Baja",'Mapa de Riesgos'!$AA$56="Moderado"),CONCATENATE("R8C",'Mapa de Riesgos'!$O$56),"")</f>
        <v/>
      </c>
      <c r="W53" s="66" t="str">
        <f>IF(AND('Mapa de Riesgos'!$Y$59="Muy Baja",'Mapa de Riesgos'!$AA$59="Moderado"),CONCATENATE("R8C",'Mapa de Riesgos'!$O$59),"")</f>
        <v/>
      </c>
      <c r="X53" s="66" t="str">
        <f>IF(AND('Mapa de Riesgos'!$Y$60="Muy Baja",'Mapa de Riesgos'!$AA$60="Moderado"),CONCATENATE("R8C",'Mapa de Riesgos'!$O$60),"")</f>
        <v/>
      </c>
      <c r="Y53" s="66" t="str">
        <f>IF(AND('Mapa de Riesgos'!$Y$61="Muy Baja",'Mapa de Riesgos'!$AA$61="Moderado"),CONCATENATE("R8C",'Mapa de Riesgos'!$O$61),"")</f>
        <v/>
      </c>
      <c r="Z53" s="66" t="str">
        <f>IF(AND('Mapa de Riesgos'!$Y$62="Muy Baja",'Mapa de Riesgos'!$AA$62="Moderado"),CONCATENATE("R8C",'Mapa de Riesgos'!$O$62),"")</f>
        <v/>
      </c>
      <c r="AA53" s="67" t="str">
        <f>IF(AND('Mapa de Riesgos'!$Y$63="Muy Baja",'Mapa de Riesgos'!$AA$63="Moderado"),CONCATENATE("R8C",'Mapa de Riesgos'!$O$63),"")</f>
        <v/>
      </c>
      <c r="AB53" s="50" t="str">
        <f>IF(AND('Mapa de Riesgos'!$Y$56="Muy Baja",'Mapa de Riesgos'!$AA$56="Mayor"),CONCATENATE("R8C",'Mapa de Riesgos'!$O$56),"")</f>
        <v/>
      </c>
      <c r="AC53" s="51" t="str">
        <f>IF(AND('Mapa de Riesgos'!$Y$59="Muy Baja",'Mapa de Riesgos'!$AA$59="Mayor"),CONCATENATE("R8C",'Mapa de Riesgos'!$O$59),"")</f>
        <v/>
      </c>
      <c r="AD53" s="51" t="str">
        <f>IF(AND('Mapa de Riesgos'!$Y$60="Muy Baja",'Mapa de Riesgos'!$AA$60="Mayor"),CONCATENATE("R8C",'Mapa de Riesgos'!$O$60),"")</f>
        <v/>
      </c>
      <c r="AE53" s="51" t="str">
        <f>IF(AND('Mapa de Riesgos'!$Y$61="Muy Baja",'Mapa de Riesgos'!$AA$61="Mayor"),CONCATENATE("R8C",'Mapa de Riesgos'!$O$61),"")</f>
        <v/>
      </c>
      <c r="AF53" s="51" t="str">
        <f>IF(AND('Mapa de Riesgos'!$Y$62="Muy Baja",'Mapa de Riesgos'!$AA$62="Mayor"),CONCATENATE("R8C",'Mapa de Riesgos'!$O$62),"")</f>
        <v/>
      </c>
      <c r="AG53" s="52" t="str">
        <f>IF(AND('Mapa de Riesgos'!$Y$63="Muy Baja",'Mapa de Riesgos'!$AA$63="Mayor"),CONCATENATE("R8C",'Mapa de Riesgos'!$O$63),"")</f>
        <v/>
      </c>
      <c r="AH53" s="53" t="str">
        <f>IF(AND('Mapa de Riesgos'!$Y$56="Muy Baja",'Mapa de Riesgos'!$AA$56="Catastrófico"),CONCATENATE("R8C",'Mapa de Riesgos'!$O$56),"")</f>
        <v/>
      </c>
      <c r="AI53" s="54" t="str">
        <f>IF(AND('Mapa de Riesgos'!$Y$59="Muy Baja",'Mapa de Riesgos'!$AA$59="Catastrófico"),CONCATENATE("R8C",'Mapa de Riesgos'!$O$59),"")</f>
        <v/>
      </c>
      <c r="AJ53" s="54" t="str">
        <f>IF(AND('Mapa de Riesgos'!$Y$60="Muy Baja",'Mapa de Riesgos'!$AA$60="Catastrófico"),CONCATENATE("R8C",'Mapa de Riesgos'!$O$60),"")</f>
        <v/>
      </c>
      <c r="AK53" s="54" t="str">
        <f>IF(AND('Mapa de Riesgos'!$Y$61="Muy Baja",'Mapa de Riesgos'!$AA$61="Catastrófico"),CONCATENATE("R8C",'Mapa de Riesgos'!$O$61),"")</f>
        <v/>
      </c>
      <c r="AL53" s="54" t="str">
        <f>IF(AND('Mapa de Riesgos'!$Y$62="Muy Baja",'Mapa de Riesgos'!$AA$62="Catastrófico"),CONCATENATE("R8C",'Mapa de Riesgos'!$O$62),"")</f>
        <v/>
      </c>
      <c r="AM53" s="55" t="str">
        <f>IF(AND('Mapa de Riesgos'!$Y$63="Muy Baja",'Mapa de Riesgos'!$AA$63="Catastrófico"),CONCATENATE("R8C",'Mapa de Riesgos'!$O$63),"")</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87"/>
      <c r="C54" s="487"/>
      <c r="D54" s="488"/>
      <c r="E54" s="586"/>
      <c r="F54" s="585"/>
      <c r="G54" s="585"/>
      <c r="H54" s="585"/>
      <c r="I54" s="601"/>
      <c r="J54" s="74" t="str">
        <f>IF(AND('Mapa de Riesgos'!$Y$64="Muy Baja",'Mapa de Riesgos'!$AA$64="Leve"),CONCATENATE("R9C",'Mapa de Riesgos'!$O$64),"")</f>
        <v/>
      </c>
      <c r="K54" s="75" t="str">
        <f>IF(AND('Mapa de Riesgos'!$Y$65="Muy Baja",'Mapa de Riesgos'!$AA$65="Leve"),CONCATENATE("R9C",'Mapa de Riesgos'!$O$65),"")</f>
        <v/>
      </c>
      <c r="L54" s="75" t="str">
        <f>IF(AND('Mapa de Riesgos'!$Y$66="Muy Baja",'Mapa de Riesgos'!$AA$66="Leve"),CONCATENATE("R9C",'Mapa de Riesgos'!$O$66),"")</f>
        <v/>
      </c>
      <c r="M54" s="75" t="str">
        <f>IF(AND('Mapa de Riesgos'!$Y$67="Muy Baja",'Mapa de Riesgos'!$AA$67="Leve"),CONCATENATE("R9C",'Mapa de Riesgos'!$O$67),"")</f>
        <v/>
      </c>
      <c r="N54" s="75" t="str">
        <f>IF(AND('Mapa de Riesgos'!$Y$68="Muy Baja",'Mapa de Riesgos'!$AA$68="Leve"),CONCATENATE("R9C",'Mapa de Riesgos'!$O$68),"")</f>
        <v/>
      </c>
      <c r="O54" s="76" t="str">
        <f>IF(AND('Mapa de Riesgos'!$Y$69="Muy Baja",'Mapa de Riesgos'!$AA$69="Leve"),CONCATENATE("R9C",'Mapa de Riesgos'!$O$69),"")</f>
        <v/>
      </c>
      <c r="P54" s="74" t="str">
        <f>IF(AND('Mapa de Riesgos'!$Y$64="Muy Baja",'Mapa de Riesgos'!$AA$64="Menor"),CONCATENATE("R9C",'Mapa de Riesgos'!$O$64),"")</f>
        <v/>
      </c>
      <c r="Q54" s="75" t="str">
        <f>IF(AND('Mapa de Riesgos'!$Y$65="Muy Baja",'Mapa de Riesgos'!$AA$65="Menor"),CONCATENATE("R9C",'Mapa de Riesgos'!$O$65),"")</f>
        <v/>
      </c>
      <c r="R54" s="75" t="str">
        <f>IF(AND('Mapa de Riesgos'!$Y$66="Muy Baja",'Mapa de Riesgos'!$AA$66="Menor"),CONCATENATE("R9C",'Mapa de Riesgos'!$O$66),"")</f>
        <v/>
      </c>
      <c r="S54" s="75" t="str">
        <f>IF(AND('Mapa de Riesgos'!$Y$67="Muy Baja",'Mapa de Riesgos'!$AA$67="Menor"),CONCATENATE("R9C",'Mapa de Riesgos'!$O$67),"")</f>
        <v/>
      </c>
      <c r="T54" s="75" t="str">
        <f>IF(AND('Mapa de Riesgos'!$Y$68="Muy Baja",'Mapa de Riesgos'!$AA$68="Menor"),CONCATENATE("R9C",'Mapa de Riesgos'!$O$68),"")</f>
        <v/>
      </c>
      <c r="U54" s="76" t="str">
        <f>IF(AND('Mapa de Riesgos'!$Y$69="Muy Baja",'Mapa de Riesgos'!$AA$69="Menor"),CONCATENATE("R9C",'Mapa de Riesgos'!$O$69),"")</f>
        <v/>
      </c>
      <c r="V54" s="65" t="str">
        <f>IF(AND('Mapa de Riesgos'!$Y$64="Muy Baja",'Mapa de Riesgos'!$AA$64="Moderado"),CONCATENATE("R9C",'Mapa de Riesgos'!$O$64),"")</f>
        <v/>
      </c>
      <c r="W54" s="66" t="str">
        <f>IF(AND('Mapa de Riesgos'!$Y$65="Muy Baja",'Mapa de Riesgos'!$AA$65="Moderado"),CONCATENATE("R9C",'Mapa de Riesgos'!$O$65),"")</f>
        <v/>
      </c>
      <c r="X54" s="66" t="str">
        <f>IF(AND('Mapa de Riesgos'!$Y$66="Muy Baja",'Mapa de Riesgos'!$AA$66="Moderado"),CONCATENATE("R9C",'Mapa de Riesgos'!$O$66),"")</f>
        <v/>
      </c>
      <c r="Y54" s="66" t="str">
        <f>IF(AND('Mapa de Riesgos'!$Y$67="Muy Baja",'Mapa de Riesgos'!$AA$67="Moderado"),CONCATENATE("R9C",'Mapa de Riesgos'!$O$67),"")</f>
        <v/>
      </c>
      <c r="Z54" s="66" t="str">
        <f>IF(AND('Mapa de Riesgos'!$Y$68="Muy Baja",'Mapa de Riesgos'!$AA$68="Moderado"),CONCATENATE("R9C",'Mapa de Riesgos'!$O$68),"")</f>
        <v/>
      </c>
      <c r="AA54" s="67" t="str">
        <f>IF(AND('Mapa de Riesgos'!$Y$69="Muy Baja",'Mapa de Riesgos'!$AA$69="Moderado"),CONCATENATE("R9C",'Mapa de Riesgos'!$O$69),"")</f>
        <v/>
      </c>
      <c r="AB54" s="50" t="str">
        <f>IF(AND('Mapa de Riesgos'!$Y$64="Muy Baja",'Mapa de Riesgos'!$AA$64="Mayor"),CONCATENATE("R9C",'Mapa de Riesgos'!$O$64),"")</f>
        <v/>
      </c>
      <c r="AC54" s="51" t="str">
        <f>IF(AND('Mapa de Riesgos'!$Y$65="Muy Baja",'Mapa de Riesgos'!$AA$65="Mayor"),CONCATENATE("R9C",'Mapa de Riesgos'!$O$65),"")</f>
        <v/>
      </c>
      <c r="AD54" s="51" t="str">
        <f>IF(AND('Mapa de Riesgos'!$Y$66="Muy Baja",'Mapa de Riesgos'!$AA$66="Mayor"),CONCATENATE("R9C",'Mapa de Riesgos'!$O$66),"")</f>
        <v/>
      </c>
      <c r="AE54" s="51" t="str">
        <f>IF(AND('Mapa de Riesgos'!$Y$67="Muy Baja",'Mapa de Riesgos'!$AA$67="Mayor"),CONCATENATE("R9C",'Mapa de Riesgos'!$O$67),"")</f>
        <v/>
      </c>
      <c r="AF54" s="51" t="str">
        <f>IF(AND('Mapa de Riesgos'!$Y$68="Muy Baja",'Mapa de Riesgos'!$AA$68="Mayor"),CONCATENATE("R9C",'Mapa de Riesgos'!$O$68),"")</f>
        <v/>
      </c>
      <c r="AG54" s="52" t="str">
        <f>IF(AND('Mapa de Riesgos'!$Y$69="Muy Baja",'Mapa de Riesgos'!$AA$69="Mayor"),CONCATENATE("R9C",'Mapa de Riesgos'!$O$69),"")</f>
        <v/>
      </c>
      <c r="AH54" s="53" t="str">
        <f>IF(AND('Mapa de Riesgos'!$Y$64="Muy Baja",'Mapa de Riesgos'!$AA$64="Catastrófico"),CONCATENATE("R9C",'Mapa de Riesgos'!$O$64),"")</f>
        <v/>
      </c>
      <c r="AI54" s="54" t="str">
        <f>IF(AND('Mapa de Riesgos'!$Y$65="Muy Baja",'Mapa de Riesgos'!$AA$65="Catastrófico"),CONCATENATE("R9C",'Mapa de Riesgos'!$O$65),"")</f>
        <v/>
      </c>
      <c r="AJ54" s="54" t="str">
        <f>IF(AND('Mapa de Riesgos'!$Y$66="Muy Baja",'Mapa de Riesgos'!$AA$66="Catastrófico"),CONCATENATE("R9C",'Mapa de Riesgos'!$O$66),"")</f>
        <v/>
      </c>
      <c r="AK54" s="54" t="str">
        <f>IF(AND('Mapa de Riesgos'!$Y$67="Muy Baja",'Mapa de Riesgos'!$AA$67="Catastrófico"),CONCATENATE("R9C",'Mapa de Riesgos'!$O$67),"")</f>
        <v/>
      </c>
      <c r="AL54" s="54" t="str">
        <f>IF(AND('Mapa de Riesgos'!$Y$68="Muy Baja",'Mapa de Riesgos'!$AA$68="Catastrófico"),CONCATENATE("R9C",'Mapa de Riesgos'!$O$68),"")</f>
        <v/>
      </c>
      <c r="AM54" s="55" t="str">
        <f>IF(AND('Mapa de Riesgos'!$Y$69="Muy Baja",'Mapa de Riesgos'!$AA$69="Catastrófico"),CONCATENATE("R9C",'Mapa de Riesgos'!$O$69),"")</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87"/>
      <c r="C55" s="487"/>
      <c r="D55" s="488"/>
      <c r="E55" s="587"/>
      <c r="F55" s="588"/>
      <c r="G55" s="588"/>
      <c r="H55" s="588"/>
      <c r="I55" s="602"/>
      <c r="J55" s="77" t="str">
        <f>IF(AND('Mapa de Riesgos'!$Y$70="Muy Baja",'Mapa de Riesgos'!$AA$70="Leve"),CONCATENATE("R10C",'Mapa de Riesgos'!$O$70),"")</f>
        <v/>
      </c>
      <c r="K55" s="78" t="str">
        <f>IF(AND('Mapa de Riesgos'!$Y$71="Muy Baja",'Mapa de Riesgos'!$AA$71="Leve"),CONCATENATE("R10C",'Mapa de Riesgos'!$O$71),"")</f>
        <v/>
      </c>
      <c r="L55" s="78" t="str">
        <f>IF(AND('Mapa de Riesgos'!$Y$72="Muy Baja",'Mapa de Riesgos'!$AA$72="Leve"),CONCATENATE("R10C",'Mapa de Riesgos'!$O$72),"")</f>
        <v/>
      </c>
      <c r="M55" s="78" t="str">
        <f>IF(AND('Mapa de Riesgos'!$Y$73="Muy Baja",'Mapa de Riesgos'!$AA$73="Leve"),CONCATENATE("R10C",'Mapa de Riesgos'!$O$73),"")</f>
        <v/>
      </c>
      <c r="N55" s="78" t="str">
        <f>IF(AND('Mapa de Riesgos'!$Y$74="Muy Baja",'Mapa de Riesgos'!$AA$74="Leve"),CONCATENATE("R10C",'Mapa de Riesgos'!$O$74),"")</f>
        <v/>
      </c>
      <c r="O55" s="79" t="str">
        <f>IF(AND('Mapa de Riesgos'!$Y$75="Muy Baja",'Mapa de Riesgos'!$AA$75="Leve"),CONCATENATE("R10C",'Mapa de Riesgos'!$O$75),"")</f>
        <v/>
      </c>
      <c r="P55" s="77" t="str">
        <f>IF(AND('Mapa de Riesgos'!$Y$70="Muy Baja",'Mapa de Riesgos'!$AA$70="Menor"),CONCATENATE("R10C",'Mapa de Riesgos'!$O$70),"")</f>
        <v/>
      </c>
      <c r="Q55" s="78" t="str">
        <f>IF(AND('Mapa de Riesgos'!$Y$71="Muy Baja",'Mapa de Riesgos'!$AA$71="Menor"),CONCATENATE("R10C",'Mapa de Riesgos'!$O$71),"")</f>
        <v/>
      </c>
      <c r="R55" s="78" t="str">
        <f>IF(AND('Mapa de Riesgos'!$Y$72="Muy Baja",'Mapa de Riesgos'!$AA$72="Menor"),CONCATENATE("R10C",'Mapa de Riesgos'!$O$72),"")</f>
        <v/>
      </c>
      <c r="S55" s="78" t="str">
        <f>IF(AND('Mapa de Riesgos'!$Y$73="Muy Baja",'Mapa de Riesgos'!$AA$73="Menor"),CONCATENATE("R10C",'Mapa de Riesgos'!$O$73),"")</f>
        <v/>
      </c>
      <c r="T55" s="78" t="str">
        <f>IF(AND('Mapa de Riesgos'!$Y$74="Muy Baja",'Mapa de Riesgos'!$AA$74="Menor"),CONCATENATE("R10C",'Mapa de Riesgos'!$O$74),"")</f>
        <v/>
      </c>
      <c r="U55" s="79" t="str">
        <f>IF(AND('Mapa de Riesgos'!$Y$75="Muy Baja",'Mapa de Riesgos'!$AA$75="Menor"),CONCATENATE("R10C",'Mapa de Riesgos'!$O$75),"")</f>
        <v/>
      </c>
      <c r="V55" s="68" t="str">
        <f>IF(AND('Mapa de Riesgos'!$Y$70="Muy Baja",'Mapa de Riesgos'!$AA$70="Moderado"),CONCATENATE("R10C",'Mapa de Riesgos'!$O$70),"")</f>
        <v/>
      </c>
      <c r="W55" s="69" t="str">
        <f>IF(AND('Mapa de Riesgos'!$Y$71="Muy Baja",'Mapa de Riesgos'!$AA$71="Moderado"),CONCATENATE("R10C",'Mapa de Riesgos'!$O$71),"")</f>
        <v/>
      </c>
      <c r="X55" s="69" t="str">
        <f>IF(AND('Mapa de Riesgos'!$Y$72="Muy Baja",'Mapa de Riesgos'!$AA$72="Moderado"),CONCATENATE("R10C",'Mapa de Riesgos'!$O$72),"")</f>
        <v/>
      </c>
      <c r="Y55" s="69" t="str">
        <f>IF(AND('Mapa de Riesgos'!$Y$73="Muy Baja",'Mapa de Riesgos'!$AA$73="Moderado"),CONCATENATE("R10C",'Mapa de Riesgos'!$O$73),"")</f>
        <v/>
      </c>
      <c r="Z55" s="69" t="str">
        <f>IF(AND('Mapa de Riesgos'!$Y$74="Muy Baja",'Mapa de Riesgos'!$AA$74="Moderado"),CONCATENATE("R10C",'Mapa de Riesgos'!$O$74),"")</f>
        <v/>
      </c>
      <c r="AA55" s="70" t="str">
        <f>IF(AND('Mapa de Riesgos'!$Y$75="Muy Baja",'Mapa de Riesgos'!$AA$75="Moderado"),CONCATENATE("R10C",'Mapa de Riesgos'!$O$75),"")</f>
        <v/>
      </c>
      <c r="AB55" s="56" t="str">
        <f>IF(AND('Mapa de Riesgos'!$Y$70="Muy Baja",'Mapa de Riesgos'!$AA$70="Mayor"),CONCATENATE("R10C",'Mapa de Riesgos'!$O$70),"")</f>
        <v/>
      </c>
      <c r="AC55" s="57" t="str">
        <f>IF(AND('Mapa de Riesgos'!$Y$71="Muy Baja",'Mapa de Riesgos'!$AA$71="Mayor"),CONCATENATE("R10C",'Mapa de Riesgos'!$O$71),"")</f>
        <v/>
      </c>
      <c r="AD55" s="57" t="str">
        <f>IF(AND('Mapa de Riesgos'!$Y$72="Muy Baja",'Mapa de Riesgos'!$AA$72="Mayor"),CONCATENATE("R10C",'Mapa de Riesgos'!$O$72),"")</f>
        <v/>
      </c>
      <c r="AE55" s="57" t="str">
        <f>IF(AND('Mapa de Riesgos'!$Y$73="Muy Baja",'Mapa de Riesgos'!$AA$73="Mayor"),CONCATENATE("R10C",'Mapa de Riesgos'!$O$73),"")</f>
        <v/>
      </c>
      <c r="AF55" s="57" t="str">
        <f>IF(AND('Mapa de Riesgos'!$Y$74="Muy Baja",'Mapa de Riesgos'!$AA$74="Mayor"),CONCATENATE("R10C",'Mapa de Riesgos'!$O$74),"")</f>
        <v/>
      </c>
      <c r="AG55" s="58" t="str">
        <f>IF(AND('Mapa de Riesgos'!$Y$75="Muy Baja",'Mapa de Riesgos'!$AA$75="Mayor"),CONCATENATE("R10C",'Mapa de Riesgos'!$O$75),"")</f>
        <v/>
      </c>
      <c r="AH55" s="59" t="str">
        <f>IF(AND('Mapa de Riesgos'!$Y$70="Muy Baja",'Mapa de Riesgos'!$AA$70="Catastrófico"),CONCATENATE("R10C",'Mapa de Riesgos'!$O$70),"")</f>
        <v/>
      </c>
      <c r="AI55" s="60" t="str">
        <f>IF(AND('Mapa de Riesgos'!$Y$71="Muy Baja",'Mapa de Riesgos'!$AA$71="Catastrófico"),CONCATENATE("R10C",'Mapa de Riesgos'!$O$71),"")</f>
        <v/>
      </c>
      <c r="AJ55" s="60" t="str">
        <f>IF(AND('Mapa de Riesgos'!$Y$72="Muy Baja",'Mapa de Riesgos'!$AA$72="Catastrófico"),CONCATENATE("R10C",'Mapa de Riesgos'!$O$72),"")</f>
        <v/>
      </c>
      <c r="AK55" s="60" t="str">
        <f>IF(AND('Mapa de Riesgos'!$Y$73="Muy Baja",'Mapa de Riesgos'!$AA$73="Catastrófico"),CONCATENATE("R10C",'Mapa de Riesgos'!$O$73),"")</f>
        <v/>
      </c>
      <c r="AL55" s="60" t="str">
        <f>IF(AND('Mapa de Riesgos'!$Y$74="Muy Baja",'Mapa de Riesgos'!$AA$74="Catastrófico"),CONCATENATE("R10C",'Mapa de Riesgos'!$O$74),"")</f>
        <v/>
      </c>
      <c r="AM55" s="61" t="str">
        <f>IF(AND('Mapa de Riesgos'!$Y$75="Muy Baja",'Mapa de Riesgos'!$AA$75="Catastrófico"),CONCATENATE("R10C",'Mapa de Riesgos'!$O$75),"")</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82" t="s">
        <v>275</v>
      </c>
      <c r="K56" s="583"/>
      <c r="L56" s="583"/>
      <c r="M56" s="583"/>
      <c r="N56" s="583"/>
      <c r="O56" s="600"/>
      <c r="P56" s="582" t="s">
        <v>276</v>
      </c>
      <c r="Q56" s="583"/>
      <c r="R56" s="583"/>
      <c r="S56" s="583"/>
      <c r="T56" s="583"/>
      <c r="U56" s="600"/>
      <c r="V56" s="582" t="s">
        <v>277</v>
      </c>
      <c r="W56" s="583"/>
      <c r="X56" s="583"/>
      <c r="Y56" s="583"/>
      <c r="Z56" s="583"/>
      <c r="AA56" s="600"/>
      <c r="AB56" s="582" t="s">
        <v>278</v>
      </c>
      <c r="AC56" s="621"/>
      <c r="AD56" s="583"/>
      <c r="AE56" s="583"/>
      <c r="AF56" s="583"/>
      <c r="AG56" s="600"/>
      <c r="AH56" s="582" t="s">
        <v>279</v>
      </c>
      <c r="AI56" s="583"/>
      <c r="AJ56" s="583"/>
      <c r="AK56" s="583"/>
      <c r="AL56" s="583"/>
      <c r="AM56" s="600"/>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86"/>
      <c r="K57" s="585"/>
      <c r="L57" s="585"/>
      <c r="M57" s="585"/>
      <c r="N57" s="585"/>
      <c r="O57" s="601"/>
      <c r="P57" s="586"/>
      <c r="Q57" s="585"/>
      <c r="R57" s="585"/>
      <c r="S57" s="585"/>
      <c r="T57" s="585"/>
      <c r="U57" s="601"/>
      <c r="V57" s="586"/>
      <c r="W57" s="585"/>
      <c r="X57" s="585"/>
      <c r="Y57" s="585"/>
      <c r="Z57" s="585"/>
      <c r="AA57" s="601"/>
      <c r="AB57" s="586"/>
      <c r="AC57" s="585"/>
      <c r="AD57" s="585"/>
      <c r="AE57" s="585"/>
      <c r="AF57" s="585"/>
      <c r="AG57" s="601"/>
      <c r="AH57" s="586"/>
      <c r="AI57" s="585"/>
      <c r="AJ57" s="585"/>
      <c r="AK57" s="585"/>
      <c r="AL57" s="585"/>
      <c r="AM57" s="60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86"/>
      <c r="K58" s="585"/>
      <c r="L58" s="585"/>
      <c r="M58" s="585"/>
      <c r="N58" s="585"/>
      <c r="O58" s="601"/>
      <c r="P58" s="586"/>
      <c r="Q58" s="585"/>
      <c r="R58" s="585"/>
      <c r="S58" s="585"/>
      <c r="T58" s="585"/>
      <c r="U58" s="601"/>
      <c r="V58" s="586"/>
      <c r="W58" s="585"/>
      <c r="X58" s="585"/>
      <c r="Y58" s="585"/>
      <c r="Z58" s="585"/>
      <c r="AA58" s="601"/>
      <c r="AB58" s="586"/>
      <c r="AC58" s="585"/>
      <c r="AD58" s="585"/>
      <c r="AE58" s="585"/>
      <c r="AF58" s="585"/>
      <c r="AG58" s="601"/>
      <c r="AH58" s="586"/>
      <c r="AI58" s="585"/>
      <c r="AJ58" s="585"/>
      <c r="AK58" s="585"/>
      <c r="AL58" s="585"/>
      <c r="AM58" s="60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86"/>
      <c r="K59" s="585"/>
      <c r="L59" s="585"/>
      <c r="M59" s="585"/>
      <c r="N59" s="585"/>
      <c r="O59" s="601"/>
      <c r="P59" s="586"/>
      <c r="Q59" s="585"/>
      <c r="R59" s="585"/>
      <c r="S59" s="585"/>
      <c r="T59" s="585"/>
      <c r="U59" s="601"/>
      <c r="V59" s="586"/>
      <c r="W59" s="585"/>
      <c r="X59" s="585"/>
      <c r="Y59" s="585"/>
      <c r="Z59" s="585"/>
      <c r="AA59" s="601"/>
      <c r="AB59" s="586"/>
      <c r="AC59" s="585"/>
      <c r="AD59" s="585"/>
      <c r="AE59" s="585"/>
      <c r="AF59" s="585"/>
      <c r="AG59" s="601"/>
      <c r="AH59" s="586"/>
      <c r="AI59" s="585"/>
      <c r="AJ59" s="585"/>
      <c r="AK59" s="585"/>
      <c r="AL59" s="585"/>
      <c r="AM59" s="60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86"/>
      <c r="K60" s="585"/>
      <c r="L60" s="585"/>
      <c r="M60" s="585"/>
      <c r="N60" s="585"/>
      <c r="O60" s="601"/>
      <c r="P60" s="586"/>
      <c r="Q60" s="585"/>
      <c r="R60" s="585"/>
      <c r="S60" s="585"/>
      <c r="T60" s="585"/>
      <c r="U60" s="601"/>
      <c r="V60" s="586"/>
      <c r="W60" s="585"/>
      <c r="X60" s="585"/>
      <c r="Y60" s="585"/>
      <c r="Z60" s="585"/>
      <c r="AA60" s="601"/>
      <c r="AB60" s="586"/>
      <c r="AC60" s="585"/>
      <c r="AD60" s="585"/>
      <c r="AE60" s="585"/>
      <c r="AF60" s="585"/>
      <c r="AG60" s="601"/>
      <c r="AH60" s="586"/>
      <c r="AI60" s="585"/>
      <c r="AJ60" s="585"/>
      <c r="AK60" s="585"/>
      <c r="AL60" s="585"/>
      <c r="AM60" s="60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87"/>
      <c r="K61" s="588"/>
      <c r="L61" s="588"/>
      <c r="M61" s="588"/>
      <c r="N61" s="588"/>
      <c r="O61" s="602"/>
      <c r="P61" s="587"/>
      <c r="Q61" s="588"/>
      <c r="R61" s="588"/>
      <c r="S61" s="588"/>
      <c r="T61" s="588"/>
      <c r="U61" s="602"/>
      <c r="V61" s="587"/>
      <c r="W61" s="588"/>
      <c r="X61" s="588"/>
      <c r="Y61" s="588"/>
      <c r="Z61" s="588"/>
      <c r="AA61" s="602"/>
      <c r="AB61" s="587"/>
      <c r="AC61" s="588"/>
      <c r="AD61" s="588"/>
      <c r="AE61" s="588"/>
      <c r="AF61" s="588"/>
      <c r="AG61" s="602"/>
      <c r="AH61" s="587"/>
      <c r="AI61" s="588"/>
      <c r="AJ61" s="588"/>
      <c r="AK61" s="588"/>
      <c r="AL61" s="588"/>
      <c r="AM61" s="602"/>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622" t="s">
        <v>281</v>
      </c>
      <c r="C1" s="622"/>
      <c r="D1" s="622"/>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282</v>
      </c>
      <c r="D3" s="11" t="s">
        <v>266</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283</v>
      </c>
      <c r="C4" s="13" t="s">
        <v>284</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285</v>
      </c>
      <c r="C5" s="16" t="s">
        <v>286</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287</v>
      </c>
      <c r="C6" s="16" t="s">
        <v>288</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289</v>
      </c>
      <c r="C7" s="16" t="s">
        <v>290</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291</v>
      </c>
      <c r="C8" s="16" t="s">
        <v>292</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623" t="s">
        <v>293</v>
      </c>
      <c r="C1" s="623"/>
      <c r="D1" s="623"/>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294</v>
      </c>
      <c r="D3" s="34" t="s">
        <v>295</v>
      </c>
      <c r="E3" s="81"/>
      <c r="F3" s="81"/>
      <c r="G3" s="81"/>
      <c r="H3" s="81"/>
      <c r="I3" s="81"/>
      <c r="J3" s="81"/>
      <c r="K3" s="81"/>
      <c r="L3" s="81"/>
      <c r="M3" s="81"/>
      <c r="N3" s="81"/>
      <c r="O3" s="81"/>
      <c r="P3" s="81"/>
      <c r="Q3" s="81"/>
      <c r="R3" s="81"/>
      <c r="S3" s="81"/>
      <c r="T3" s="81"/>
      <c r="U3" s="81"/>
    </row>
    <row r="4" spans="1:21" ht="33.75" x14ac:dyDescent="0.25">
      <c r="A4" s="98" t="s">
        <v>296</v>
      </c>
      <c r="B4" s="37" t="s">
        <v>297</v>
      </c>
      <c r="C4" s="42" t="s">
        <v>298</v>
      </c>
      <c r="D4" s="35" t="s">
        <v>299</v>
      </c>
      <c r="E4" s="81"/>
      <c r="F4" s="81"/>
      <c r="G4" s="81"/>
      <c r="H4" s="81"/>
      <c r="I4" s="81"/>
      <c r="J4" s="81"/>
      <c r="K4" s="81"/>
      <c r="L4" s="81"/>
      <c r="M4" s="81"/>
      <c r="N4" s="81"/>
      <c r="O4" s="81"/>
      <c r="P4" s="81"/>
      <c r="Q4" s="81"/>
      <c r="R4" s="81"/>
      <c r="S4" s="81"/>
      <c r="T4" s="81"/>
      <c r="U4" s="81"/>
    </row>
    <row r="5" spans="1:21" ht="67.5" x14ac:dyDescent="0.25">
      <c r="A5" s="98" t="s">
        <v>300</v>
      </c>
      <c r="B5" s="38" t="s">
        <v>301</v>
      </c>
      <c r="C5" s="43" t="s">
        <v>302</v>
      </c>
      <c r="D5" s="36" t="s">
        <v>303</v>
      </c>
      <c r="E5" s="81"/>
      <c r="F5" s="81"/>
      <c r="G5" s="81"/>
      <c r="H5" s="81"/>
      <c r="I5" s="81"/>
      <c r="J5" s="81"/>
      <c r="K5" s="81"/>
      <c r="L5" s="81"/>
      <c r="M5" s="81"/>
      <c r="N5" s="81"/>
      <c r="O5" s="81"/>
      <c r="P5" s="81"/>
      <c r="Q5" s="81"/>
      <c r="R5" s="81"/>
      <c r="S5" s="81"/>
      <c r="T5" s="81"/>
      <c r="U5" s="81"/>
    </row>
    <row r="6" spans="1:21" ht="67.5" x14ac:dyDescent="0.25">
      <c r="A6" s="98" t="s">
        <v>248</v>
      </c>
      <c r="B6" s="39" t="s">
        <v>304</v>
      </c>
      <c r="C6" s="43" t="s">
        <v>305</v>
      </c>
      <c r="D6" s="36" t="s">
        <v>306</v>
      </c>
      <c r="E6" s="81"/>
      <c r="F6" s="81"/>
      <c r="G6" s="81"/>
      <c r="H6" s="81"/>
      <c r="I6" s="81"/>
      <c r="J6" s="81"/>
      <c r="K6" s="81"/>
      <c r="L6" s="81"/>
      <c r="M6" s="81"/>
      <c r="N6" s="81"/>
      <c r="O6" s="81"/>
      <c r="P6" s="81"/>
      <c r="Q6" s="81"/>
      <c r="R6" s="81"/>
      <c r="S6" s="81"/>
      <c r="T6" s="81"/>
      <c r="U6" s="81"/>
    </row>
    <row r="7" spans="1:21" ht="101.25" x14ac:dyDescent="0.25">
      <c r="A7" s="98" t="s">
        <v>307</v>
      </c>
      <c r="B7" s="40" t="s">
        <v>308</v>
      </c>
      <c r="C7" s="43" t="s">
        <v>309</v>
      </c>
      <c r="D7" s="36" t="s">
        <v>310</v>
      </c>
      <c r="E7" s="81"/>
      <c r="F7" s="81"/>
      <c r="G7" s="81"/>
      <c r="H7" s="81"/>
      <c r="I7" s="81"/>
      <c r="J7" s="81"/>
      <c r="K7" s="81"/>
      <c r="L7" s="81"/>
      <c r="M7" s="81"/>
      <c r="N7" s="81"/>
      <c r="O7" s="81"/>
      <c r="P7" s="81"/>
      <c r="Q7" s="81"/>
      <c r="R7" s="81"/>
      <c r="S7" s="81"/>
      <c r="T7" s="81"/>
      <c r="U7" s="81"/>
    </row>
    <row r="8" spans="1:21" ht="67.5" x14ac:dyDescent="0.25">
      <c r="A8" s="98" t="s">
        <v>311</v>
      </c>
      <c r="B8" s="41" t="s">
        <v>312</v>
      </c>
      <c r="C8" s="43" t="s">
        <v>313</v>
      </c>
      <c r="D8" s="36" t="s">
        <v>314</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315</v>
      </c>
      <c r="C11" s="98" t="s">
        <v>316</v>
      </c>
      <c r="D11" s="98" t="s">
        <v>317</v>
      </c>
      <c r="E11" s="81"/>
      <c r="F11" s="81"/>
      <c r="G11" s="81"/>
      <c r="H11" s="81"/>
      <c r="I11" s="81"/>
      <c r="J11" s="81"/>
      <c r="K11" s="81"/>
      <c r="L11" s="81"/>
      <c r="M11" s="81"/>
      <c r="N11" s="81"/>
      <c r="O11" s="81"/>
      <c r="P11" s="81"/>
      <c r="Q11" s="81"/>
      <c r="R11" s="81"/>
      <c r="S11" s="81"/>
      <c r="T11" s="81"/>
      <c r="U11" s="81"/>
    </row>
    <row r="12" spans="1:21" x14ac:dyDescent="0.25">
      <c r="A12" s="98"/>
      <c r="B12" s="98" t="s">
        <v>318</v>
      </c>
      <c r="C12" s="98" t="s">
        <v>201</v>
      </c>
      <c r="D12" s="98" t="s">
        <v>319</v>
      </c>
      <c r="E12" s="81"/>
      <c r="F12" s="81"/>
      <c r="G12" s="81"/>
      <c r="H12" s="81"/>
      <c r="I12" s="81"/>
      <c r="J12" s="81"/>
      <c r="K12" s="81"/>
      <c r="L12" s="81"/>
      <c r="M12" s="81"/>
      <c r="N12" s="81"/>
      <c r="O12" s="81"/>
      <c r="P12" s="81"/>
      <c r="Q12" s="81"/>
      <c r="R12" s="81"/>
      <c r="S12" s="81"/>
      <c r="T12" s="81"/>
      <c r="U12" s="81"/>
    </row>
    <row r="13" spans="1:21" x14ac:dyDescent="0.25">
      <c r="A13" s="98"/>
      <c r="B13" s="98"/>
      <c r="C13" s="98" t="s">
        <v>320</v>
      </c>
      <c r="D13" s="98" t="s">
        <v>195</v>
      </c>
      <c r="E13" s="81"/>
      <c r="F13" s="81"/>
      <c r="G13" s="81"/>
      <c r="H13" s="81"/>
      <c r="I13" s="81"/>
      <c r="J13" s="81"/>
      <c r="K13" s="81"/>
      <c r="L13" s="81"/>
      <c r="M13" s="81"/>
      <c r="N13" s="81"/>
      <c r="O13" s="81"/>
      <c r="P13" s="81"/>
      <c r="Q13" s="81"/>
      <c r="R13" s="81"/>
      <c r="S13" s="81"/>
      <c r="T13" s="81"/>
      <c r="U13" s="81"/>
    </row>
    <row r="14" spans="1:21" x14ac:dyDescent="0.25">
      <c r="A14" s="98"/>
      <c r="B14" s="98"/>
      <c r="C14" s="98" t="s">
        <v>321</v>
      </c>
      <c r="D14" s="98" t="s">
        <v>182</v>
      </c>
      <c r="E14" s="81"/>
      <c r="F14" s="81"/>
      <c r="G14" s="81"/>
      <c r="H14" s="81"/>
      <c r="I14" s="81"/>
      <c r="J14" s="81"/>
      <c r="K14" s="81"/>
      <c r="L14" s="81"/>
      <c r="M14" s="81"/>
      <c r="N14" s="81"/>
      <c r="O14" s="81"/>
      <c r="P14" s="81"/>
      <c r="Q14" s="81"/>
      <c r="R14" s="81"/>
      <c r="S14" s="81"/>
      <c r="T14" s="81"/>
      <c r="U14" s="81"/>
    </row>
    <row r="15" spans="1:21" x14ac:dyDescent="0.25">
      <c r="A15" s="98"/>
      <c r="B15" s="98"/>
      <c r="C15" s="98" t="s">
        <v>322</v>
      </c>
      <c r="D15" s="98" t="s">
        <v>323</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324</v>
      </c>
      <c r="C209" s="28" t="s">
        <v>325</v>
      </c>
      <c r="D209" s="31" t="s">
        <v>324</v>
      </c>
      <c r="E209" s="31" t="s">
        <v>325</v>
      </c>
    </row>
    <row r="210" spans="1:8" ht="21" x14ac:dyDescent="0.35">
      <c r="A210" s="81"/>
      <c r="B210" s="29" t="s">
        <v>326</v>
      </c>
      <c r="C210" s="29" t="s">
        <v>327</v>
      </c>
      <c r="D210" t="s">
        <v>326</v>
      </c>
      <c r="F210" t="str">
        <f>IF(NOT(ISBLANK(D210)),D210,IF(NOT(ISBLANK(E210)),"     "&amp;E210,FALSE))</f>
        <v>Afectación Económica o presupuestal</v>
      </c>
      <c r="G210" t="s">
        <v>326</v>
      </c>
      <c r="H210" t="str">
        <f>IF(NOT(ISERROR(MATCH(G210,_xlfn.ANCHORARRAY(B221),0))),F223&amp;"Por favor no seleccionar los criterios de impacto",G210)</f>
        <v>❌Por favor no seleccionar los criterios de impacto</v>
      </c>
    </row>
    <row r="211" spans="1:8" ht="21" x14ac:dyDescent="0.35">
      <c r="A211" s="81"/>
      <c r="B211" s="29" t="s">
        <v>326</v>
      </c>
      <c r="C211" s="29" t="s">
        <v>302</v>
      </c>
      <c r="E211" t="s">
        <v>327</v>
      </c>
      <c r="F211" t="str">
        <f t="shared" ref="F211:F221" si="0">IF(NOT(ISBLANK(D211)),D211,IF(NOT(ISBLANK(E211)),"     "&amp;E211,FALSE))</f>
        <v xml:space="preserve">     Afectación menor a 10 SMLMV .</v>
      </c>
    </row>
    <row r="212" spans="1:8" ht="21" x14ac:dyDescent="0.35">
      <c r="A212" s="81"/>
      <c r="B212" s="29" t="s">
        <v>326</v>
      </c>
      <c r="C212" s="29" t="s">
        <v>305</v>
      </c>
      <c r="E212" t="s">
        <v>302</v>
      </c>
      <c r="F212" t="str">
        <f t="shared" si="0"/>
        <v xml:space="preserve">     Entre 10 y 50 SMLMV </v>
      </c>
    </row>
    <row r="213" spans="1:8" ht="21" x14ac:dyDescent="0.35">
      <c r="A213" s="81"/>
      <c r="B213" s="29" t="s">
        <v>326</v>
      </c>
      <c r="C213" s="29" t="s">
        <v>309</v>
      </c>
      <c r="E213" t="s">
        <v>305</v>
      </c>
      <c r="F213" t="str">
        <f t="shared" si="0"/>
        <v xml:space="preserve">     Entre 50 y 100 SMLMV </v>
      </c>
    </row>
    <row r="214" spans="1:8" ht="21" x14ac:dyDescent="0.35">
      <c r="A214" s="81"/>
      <c r="B214" s="29" t="s">
        <v>326</v>
      </c>
      <c r="C214" s="29" t="s">
        <v>313</v>
      </c>
      <c r="E214" t="s">
        <v>309</v>
      </c>
      <c r="F214" t="str">
        <f t="shared" si="0"/>
        <v xml:space="preserve">     Entre 100 y 500 SMLMV </v>
      </c>
    </row>
    <row r="215" spans="1:8" ht="21" x14ac:dyDescent="0.35">
      <c r="A215" s="81"/>
      <c r="B215" s="29" t="s">
        <v>295</v>
      </c>
      <c r="C215" s="29" t="s">
        <v>299</v>
      </c>
      <c r="E215" t="s">
        <v>313</v>
      </c>
      <c r="F215" t="str">
        <f t="shared" si="0"/>
        <v xml:space="preserve">     Mayor a 500 SMLMV </v>
      </c>
    </row>
    <row r="216" spans="1:8" ht="21" x14ac:dyDescent="0.35">
      <c r="A216" s="81"/>
      <c r="B216" s="29" t="s">
        <v>295</v>
      </c>
      <c r="C216" s="29" t="s">
        <v>303</v>
      </c>
      <c r="D216" t="s">
        <v>295</v>
      </c>
      <c r="F216" t="str">
        <f t="shared" si="0"/>
        <v>Pérdida Reputacional</v>
      </c>
    </row>
    <row r="217" spans="1:8" ht="21" x14ac:dyDescent="0.35">
      <c r="A217" s="81"/>
      <c r="B217" s="29" t="s">
        <v>295</v>
      </c>
      <c r="C217" s="29" t="s">
        <v>306</v>
      </c>
      <c r="E217" t="s">
        <v>299</v>
      </c>
      <c r="F217" t="str">
        <f t="shared" si="0"/>
        <v xml:space="preserve">     El riesgo afecta la imagen de alguna área de la organización</v>
      </c>
    </row>
    <row r="218" spans="1:8" ht="21" x14ac:dyDescent="0.35">
      <c r="A218" s="81"/>
      <c r="B218" s="29" t="s">
        <v>295</v>
      </c>
      <c r="C218" s="29" t="s">
        <v>310</v>
      </c>
      <c r="E218" t="s">
        <v>303</v>
      </c>
      <c r="F218" t="str">
        <f t="shared" si="0"/>
        <v xml:space="preserve">     El riesgo afecta la imagen de la entidad internamente, de conocimiento general, nivel interno, de junta dircetiva y accionistas y/o de provedores</v>
      </c>
    </row>
    <row r="219" spans="1:8" ht="21" x14ac:dyDescent="0.35">
      <c r="A219" s="81"/>
      <c r="B219" s="29" t="s">
        <v>295</v>
      </c>
      <c r="C219" s="29" t="s">
        <v>314</v>
      </c>
      <c r="E219" t="s">
        <v>306</v>
      </c>
      <c r="F219" t="str">
        <f t="shared" si="0"/>
        <v xml:space="preserve">     El riesgo afecta la imagen de la entidad con algunos usuarios de relevancia frente al logro de los objetivos</v>
      </c>
    </row>
    <row r="220" spans="1:8" x14ac:dyDescent="0.25">
      <c r="A220" s="81"/>
      <c r="B220" s="30"/>
      <c r="C220" s="30"/>
      <c r="E220" t="s">
        <v>310</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314</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328</v>
      </c>
    </row>
    <row r="224" spans="1:8" x14ac:dyDescent="0.25">
      <c r="B224" s="21"/>
      <c r="C224" s="21"/>
      <c r="F224" s="33" t="s">
        <v>329</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624" t="s">
        <v>330</v>
      </c>
      <c r="C1" s="625"/>
      <c r="D1" s="625"/>
      <c r="E1" s="625"/>
      <c r="F1" s="626"/>
    </row>
    <row r="2" spans="2:6" ht="16.5" thickBot="1" x14ac:dyDescent="0.3">
      <c r="B2" s="84"/>
      <c r="C2" s="84"/>
      <c r="D2" s="84"/>
      <c r="E2" s="84"/>
      <c r="F2" s="84"/>
    </row>
    <row r="3" spans="2:6" ht="16.5" thickBot="1" x14ac:dyDescent="0.25">
      <c r="B3" s="628" t="s">
        <v>331</v>
      </c>
      <c r="C3" s="629"/>
      <c r="D3" s="629"/>
      <c r="E3" s="96" t="s">
        <v>332</v>
      </c>
      <c r="F3" s="97" t="s">
        <v>333</v>
      </c>
    </row>
    <row r="4" spans="2:6" ht="31.5" x14ac:dyDescent="0.2">
      <c r="B4" s="630" t="s">
        <v>334</v>
      </c>
      <c r="C4" s="632" t="s">
        <v>172</v>
      </c>
      <c r="D4" s="85" t="s">
        <v>196</v>
      </c>
      <c r="E4" s="86" t="s">
        <v>335</v>
      </c>
      <c r="F4" s="87">
        <v>0.25</v>
      </c>
    </row>
    <row r="5" spans="2:6" ht="47.25" x14ac:dyDescent="0.2">
      <c r="B5" s="631"/>
      <c r="C5" s="633"/>
      <c r="D5" s="88" t="s">
        <v>184</v>
      </c>
      <c r="E5" s="89" t="s">
        <v>336</v>
      </c>
      <c r="F5" s="90">
        <v>0.15</v>
      </c>
    </row>
    <row r="6" spans="2:6" ht="47.25" x14ac:dyDescent="0.2">
      <c r="B6" s="631"/>
      <c r="C6" s="633"/>
      <c r="D6" s="88" t="s">
        <v>337</v>
      </c>
      <c r="E6" s="89" t="s">
        <v>338</v>
      </c>
      <c r="F6" s="90">
        <v>0.1</v>
      </c>
    </row>
    <row r="7" spans="2:6" ht="63" x14ac:dyDescent="0.2">
      <c r="B7" s="631"/>
      <c r="C7" s="633" t="s">
        <v>173</v>
      </c>
      <c r="D7" s="88" t="s">
        <v>339</v>
      </c>
      <c r="E7" s="89" t="s">
        <v>340</v>
      </c>
      <c r="F7" s="90">
        <v>0.25</v>
      </c>
    </row>
    <row r="8" spans="2:6" ht="31.5" x14ac:dyDescent="0.2">
      <c r="B8" s="631"/>
      <c r="C8" s="633"/>
      <c r="D8" s="88" t="s">
        <v>185</v>
      </c>
      <c r="E8" s="89" t="s">
        <v>341</v>
      </c>
      <c r="F8" s="90">
        <v>0.15</v>
      </c>
    </row>
    <row r="9" spans="2:6" ht="47.25" x14ac:dyDescent="0.2">
      <c r="B9" s="631" t="s">
        <v>342</v>
      </c>
      <c r="C9" s="633" t="s">
        <v>175</v>
      </c>
      <c r="D9" s="88" t="s">
        <v>186</v>
      </c>
      <c r="E9" s="89" t="s">
        <v>343</v>
      </c>
      <c r="F9" s="91" t="s">
        <v>344</v>
      </c>
    </row>
    <row r="10" spans="2:6" ht="63" x14ac:dyDescent="0.2">
      <c r="B10" s="631"/>
      <c r="C10" s="633"/>
      <c r="D10" s="88" t="s">
        <v>345</v>
      </c>
      <c r="E10" s="89" t="s">
        <v>346</v>
      </c>
      <c r="F10" s="91" t="s">
        <v>344</v>
      </c>
    </row>
    <row r="11" spans="2:6" ht="47.25" x14ac:dyDescent="0.2">
      <c r="B11" s="631"/>
      <c r="C11" s="633" t="s">
        <v>176</v>
      </c>
      <c r="D11" s="88" t="s">
        <v>187</v>
      </c>
      <c r="E11" s="89" t="s">
        <v>347</v>
      </c>
      <c r="F11" s="91" t="s">
        <v>344</v>
      </c>
    </row>
    <row r="12" spans="2:6" ht="47.25" x14ac:dyDescent="0.2">
      <c r="B12" s="631"/>
      <c r="C12" s="633"/>
      <c r="D12" s="88" t="s">
        <v>348</v>
      </c>
      <c r="E12" s="89" t="s">
        <v>349</v>
      </c>
      <c r="F12" s="91" t="s">
        <v>344</v>
      </c>
    </row>
    <row r="13" spans="2:6" ht="31.5" x14ac:dyDescent="0.2">
      <c r="B13" s="631"/>
      <c r="C13" s="633" t="s">
        <v>177</v>
      </c>
      <c r="D13" s="88" t="s">
        <v>188</v>
      </c>
      <c r="E13" s="89" t="s">
        <v>350</v>
      </c>
      <c r="F13" s="91" t="s">
        <v>344</v>
      </c>
    </row>
    <row r="14" spans="2:6" ht="32.25" thickBot="1" x14ac:dyDescent="0.25">
      <c r="B14" s="634"/>
      <c r="C14" s="635"/>
      <c r="D14" s="92" t="s">
        <v>351</v>
      </c>
      <c r="E14" s="93" t="s">
        <v>352</v>
      </c>
      <c r="F14" s="94" t="s">
        <v>344</v>
      </c>
    </row>
    <row r="15" spans="2:6" ht="49.5" customHeight="1" x14ac:dyDescent="0.2">
      <c r="B15" s="627" t="s">
        <v>353</v>
      </c>
      <c r="C15" s="627"/>
      <c r="D15" s="627"/>
      <c r="E15" s="627"/>
      <c r="F15" s="627"/>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B1DF5-41F1-4111-A4EC-7866213054B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 </vt:lpstr>
      <vt:lpstr>CONTEXTO</vt:lpstr>
      <vt:lpstr>Mapa de Riesgos</vt:lpstr>
      <vt:lpstr>Matriz Calor Inherente</vt:lpstr>
      <vt:lpstr>Matriz Calor Residual</vt:lpstr>
      <vt:lpstr>Tabla probabilidad</vt:lpstr>
      <vt:lpstr>Tabla Impacto</vt:lpstr>
      <vt:lpstr>Tabla Valoración controles</vt:lpstr>
      <vt:lpstr>Hoja2</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2024-10-31T03:49:32Z</dcterms:modified>
  <cp:category/>
  <cp:contentStatus/>
</cp:coreProperties>
</file>