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02 - Seguimiento PDM\2023\12 - PA Diciembre\"/>
    </mc:Choice>
  </mc:AlternateContent>
  <xr:revisionPtr revIDLastSave="0" documentId="13_ncr:1_{2F7225A5-1CA5-4AB6-9F97-44C0C3DBFD90}" xr6:coauthVersionLast="47" xr6:coauthVersionMax="47" xr10:uidLastSave="{00000000-0000-0000-0000-000000000000}"/>
  <bookViews>
    <workbookView xWindow="-108" yWindow="-108" windowWidth="23256" windowHeight="12456" tabRatio="612" xr2:uid="{00000000-000D-0000-FFFF-FFFF00000000}"/>
  </bookViews>
  <sheets>
    <sheet name="PA 2023" sheetId="14" r:id="rId1"/>
  </sheets>
  <definedNames>
    <definedName name="_xlnm._FilterDatabase" localSheetId="0" hidden="1">'PA 2023'!$A$8:$BU$107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02" i="14" l="1"/>
  <c r="AA10" i="14"/>
  <c r="U10" i="14"/>
  <c r="AB10" i="14"/>
  <c r="AA11" i="14"/>
  <c r="P11" i="14"/>
  <c r="U11" i="14"/>
  <c r="AB11" i="14"/>
  <c r="AA13" i="14"/>
  <c r="U13" i="14"/>
  <c r="AB13" i="14"/>
  <c r="AA14" i="14"/>
  <c r="U14" i="14"/>
  <c r="AB14" i="14"/>
  <c r="AA15" i="14"/>
  <c r="U15" i="14"/>
  <c r="AB15" i="14"/>
  <c r="V16" i="14"/>
  <c r="AA16" i="14"/>
  <c r="P16" i="14"/>
  <c r="P19" i="14"/>
  <c r="U16" i="14"/>
  <c r="AB16" i="14"/>
  <c r="V20" i="14"/>
  <c r="V28" i="14"/>
  <c r="V29" i="14"/>
  <c r="V30" i="14"/>
  <c r="V32" i="14"/>
  <c r="V35" i="14"/>
  <c r="Z36" i="14"/>
  <c r="V41" i="14"/>
  <c r="V46" i="14"/>
  <c r="V50" i="14"/>
  <c r="V56" i="14"/>
  <c r="AA20" i="14"/>
  <c r="P20" i="14"/>
  <c r="P22" i="14"/>
  <c r="P25" i="14"/>
  <c r="P26" i="14"/>
  <c r="P28" i="14"/>
  <c r="P29" i="14"/>
  <c r="P30" i="14"/>
  <c r="P32" i="14"/>
  <c r="P33" i="14"/>
  <c r="P35" i="14"/>
  <c r="T36" i="14"/>
  <c r="P37" i="14"/>
  <c r="P38" i="14"/>
  <c r="P40" i="14"/>
  <c r="P41" i="14"/>
  <c r="P43" i="14"/>
  <c r="P44" i="14"/>
  <c r="P46" i="14"/>
  <c r="P50" i="14"/>
  <c r="P54" i="14"/>
  <c r="P56" i="14"/>
  <c r="P57" i="14"/>
  <c r="P60" i="14"/>
  <c r="U20" i="14"/>
  <c r="AB20" i="14"/>
  <c r="AA63" i="14"/>
  <c r="U63" i="14"/>
  <c r="AB63" i="14"/>
  <c r="AA65" i="14"/>
  <c r="U65" i="14"/>
  <c r="AB65" i="14"/>
  <c r="V67" i="14"/>
  <c r="V69" i="14"/>
  <c r="AA66" i="14"/>
  <c r="P66" i="14"/>
  <c r="P67" i="14"/>
  <c r="P68" i="14"/>
  <c r="P69" i="14"/>
  <c r="T70" i="14"/>
  <c r="U66" i="14"/>
  <c r="AB66" i="14"/>
  <c r="AA71" i="14"/>
  <c r="P71" i="14"/>
  <c r="U71" i="14"/>
  <c r="AB71" i="14"/>
  <c r="AA72" i="14"/>
  <c r="U72" i="14"/>
  <c r="AB72" i="14"/>
  <c r="AA73" i="14"/>
  <c r="T88" i="14"/>
  <c r="U73" i="14"/>
  <c r="AB73" i="14"/>
  <c r="AA89" i="14"/>
  <c r="U89" i="14"/>
  <c r="AB89" i="14"/>
  <c r="AA93" i="14"/>
  <c r="U93" i="14"/>
  <c r="AB93" i="14"/>
  <c r="AA94" i="14"/>
  <c r="U94" i="14"/>
  <c r="AB94" i="14"/>
  <c r="AA95" i="14"/>
  <c r="U95" i="14"/>
  <c r="AB95" i="14"/>
  <c r="AA96" i="14"/>
  <c r="U96" i="14"/>
  <c r="AB96" i="14"/>
  <c r="W98" i="14"/>
  <c r="AA97" i="14"/>
  <c r="P97" i="14"/>
  <c r="Q98" i="14"/>
  <c r="T98" i="14"/>
  <c r="U97" i="14"/>
  <c r="AB97" i="14"/>
  <c r="Z99" i="14"/>
  <c r="Z100" i="14"/>
  <c r="V101" i="14"/>
  <c r="AA99" i="14"/>
  <c r="T99" i="14"/>
  <c r="T100" i="14"/>
  <c r="P101" i="14"/>
  <c r="U99" i="14"/>
  <c r="AB99" i="14"/>
  <c r="AA9" i="14"/>
  <c r="AA102" i="14"/>
  <c r="U9" i="14"/>
  <c r="U102" i="14"/>
  <c r="AB9" i="14"/>
  <c r="N99" i="14"/>
  <c r="N97" i="14"/>
  <c r="N96" i="14"/>
  <c r="N94" i="14"/>
  <c r="N93" i="14"/>
  <c r="N89" i="14"/>
  <c r="N73" i="14"/>
  <c r="N72" i="14"/>
  <c r="N71" i="14"/>
  <c r="M66" i="14"/>
  <c r="N66" i="14"/>
  <c r="N63" i="14"/>
  <c r="M20" i="14"/>
  <c r="N20" i="14"/>
  <c r="N9" i="14"/>
  <c r="A102" i="14" a="1"/>
  <c r="A102" i="14"/>
  <c r="AC102" i="14"/>
  <c r="Y102" i="14"/>
  <c r="X102" i="14"/>
  <c r="W102" i="14"/>
  <c r="S102" i="14"/>
  <c r="R102" i="14"/>
  <c r="Q102" i="14"/>
  <c r="Z102" i="14"/>
  <c r="T102" i="14"/>
  <c r="N95" i="14"/>
  <c r="N65" i="14"/>
  <c r="N16" i="14"/>
  <c r="N15" i="14"/>
  <c r="N14" i="14"/>
  <c r="N13" i="14"/>
  <c r="N11" i="14"/>
  <c r="N10" i="14"/>
  <c r="V102" i="14"/>
  <c r="P102" i="14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<sst xmlns="http://schemas.openxmlformats.org/spreadsheetml/2006/main" count="747" uniqueCount="254">
  <si>
    <t xml:space="preserve"> PLAN DE ACCIÓN - PLAN DE DESARROLLO MUNICIPAL
SECRETARÍA DE INFRAESTRUCTURA</t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</si>
  <si>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</si>
  <si>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</si>
  <si>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</si>
  <si>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</si>
  <si>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</si>
  <si>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</si>
  <si>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</si>
  <si>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</si>
  <si>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</si>
  <si>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</si>
  <si>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</si>
  <si>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</si>
  <si>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</si>
  <si>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</si>
  <si>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</si>
  <si>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</si>
  <si>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</si>
  <si>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</si>
  <si>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</si>
  <si>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</si>
  <si>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</si>
  <si>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</si>
  <si>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</si>
  <si>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</si>
  <si>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</si>
  <si>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</si>
  <si>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</si>
  <si>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</si>
  <si>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Dependencia</t>
  </si>
  <si>
    <t>Responsable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</si>
  <si>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</si>
  <si>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</si>
  <si>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</si>
  <si>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</si>
  <si>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</si>
  <si>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</si>
  <si>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</si>
  <si>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</si>
  <si>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</si>
  <si>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</si>
  <si>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</si>
  <si>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</si>
  <si>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</si>
  <si>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</si>
  <si>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Una Zona Rural Competitiva E Incluyente</t>
  </si>
  <si>
    <t>Desarrollo Del Campo</t>
  </si>
  <si>
    <t>Repotenciar 2 acueductos veredales.</t>
  </si>
  <si>
    <t>Número de acueductos veredales repotenciados.</t>
  </si>
  <si>
    <t>Construir 1 acueducto veredal.</t>
  </si>
  <si>
    <t>Porcentaje de avance en la construcción del acueducto veredal.</t>
  </si>
  <si>
    <t>BUCARAMANGA CIUDAD VITAL: LA VIDA ES SAGRADA</t>
  </si>
  <si>
    <t>Espacio Público Vital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</si>
  <si>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</si>
  <si>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</si>
  <si>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</si>
  <si>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</si>
  <si>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</si>
  <si>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</si>
  <si>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</si>
  <si>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</si>
  <si>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</si>
  <si>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</si>
  <si>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</si>
  <si>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</si>
  <si>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</si>
  <si>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Construir 3.000 metros líneales de placa huella en la zona rural.</t>
  </si>
  <si>
    <t>Número de metros lineales de placa huella construídos en la zona rural.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</si>
  <si>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</si>
  <si>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</si>
  <si>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</si>
  <si>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 xml:space="preserve">Mantener el funcionamiento del 100% de las luminarias operativas. </t>
  </si>
  <si>
    <t xml:space="preserve">Porcentaje de luminarias operativas en funcionamiento. 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</si>
  <si>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</si>
  <si>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</si>
  <si>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</si>
  <si>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</si>
  <si>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</si>
  <si>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</si>
  <si>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</si>
  <si>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</si>
  <si>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</si>
  <si>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MANTENIMIENTO DEL SISTEMA DE ALUMBRADO PÚBLICO 2020-2023 DEL MUNICIPIO DE BUCARAMANGA.</t>
  </si>
  <si>
    <t>SUBSIDIO DE LOS SERVICIOS PUBLICOS DE ACUEDUCTO, ALCANTARILLADO Y ASEO A LA POBLACIÓN DE ESTRATO 1, 2 Y 3 DEL MUNICIPIO DE BUCARAMANGA</t>
  </si>
  <si>
    <t>ADECUACION DE ANDENES, ESCALERAS Y PASAMANOS, DEL MUNICIPIO DE BUCARAMANGA SANTANDER</t>
  </si>
  <si>
    <t>ADECUACION DEL EQUIPAMIENTO Y ESCENARIOS DEPORTIVOS DEL MUNICIPIO DE BUCARAMANGA SANTANDER</t>
  </si>
  <si>
    <t>MEJORAMIENTO DE LA INFRAESTRUCTURA URBANA Y CALIDAD AMBIENTAL DENTRO DE LA ESTRATEGIA “CENTRO CAMINABLE” EN EL MUNICIPIO DE BUCARAMANGA SANTANDER</t>
  </si>
  <si>
    <t>RECURSOS COMPROMETIDOS</t>
  </si>
  <si>
    <t>Código BPIN</t>
  </si>
  <si>
    <t>Meta a programar con recursos del Balance</t>
  </si>
  <si>
    <t>CONSTRUCCIÓN DE ACUEDUCTOS VEREDALES EN VARIOS SECTORES DEL MUNICIPIO DE BUCARAMANGA SANTANDER</t>
  </si>
  <si>
    <t>MANTENIMIENTO Y RECUPERACIÓN DEL EQUIPAMIENTO URBANO EN PARQUES, ESCENARIOS DEPORTIVOS Y ESPACIO PUBLICO DEL MUNICIPIO DE BUCARAMANGA.</t>
  </si>
  <si>
    <t xml:space="preserve">MANTENIMIENTO Y ORNATO DE LOS PARQUES Y ZONAS VERDES UBICADAS EN LOS ESPACIOS PUBLICOS DEL MUNICIPIO DE BUCARAMANGA, SANTANDER </t>
  </si>
  <si>
    <t>MEJORAMIENTO DEL ESPACIO PÚBLICO (PLAZOLETA LUIS CARLOS GALÁN Y PARQUE GARCIA ROVIRA)  ENMARCADO DENTRO DE LA ESTRATEGIA  "PLAN CENTRO"  EN EL MUNICIPIO DE BUCARAMANGA, SANTANDER</t>
  </si>
  <si>
    <t>CONSTRUCCIÓN ESPACIO PÚBLICO COLEGIO TECNOLÓGICO DÁMASO ZAPATA EN EL MUNICIPIO DE BUCARAMANGA</t>
  </si>
  <si>
    <t xml:space="preserve">CONSTRUCCIÓN CENTRO VIDA Y ESPACIOS COMPLEMENTARIOS ANTONIA SANTOS EN EL MUNICIPIO DE BUCARAMANGA </t>
  </si>
  <si>
    <t>ADECUACIÓN DE LOS SALONES COMUNALES  DE LOS BARRIOS LA CONDORDIA Y SAN LUIS DEL MUNICIPIO DE BUCARAMANGA</t>
  </si>
  <si>
    <t>CONSTRUCCIÓN DE LAS OBRAS PARA EL MONUMENTO CONMEMORACION 400 AÑOS DE BUCARAMANGA, SANTANDER</t>
  </si>
  <si>
    <t>ADECUACIÓN Y REFORMAS LOCATIVAS A LAS PLAZAS DE MERCADO DEL MUNICIPIO DE BUCARAMANGA, SANTANDER.</t>
  </si>
  <si>
    <t>MEJORAMIENTO Y MANTENIMIENTO DE LA RED VIAL URBANA DEL MUNICIPIO DE BUCARAMANGA, SANTANDER</t>
  </si>
  <si>
    <t>CONSTRUCCION DE LA SOLUCION VIAL DE LA CALLE 53 Y CALLE 54 DE LA CONEXION ORIENTE - OCCIDENTE DEL MUNICIPIO DE BUCARAMANGA</t>
  </si>
  <si>
    <t>MEJORAMIENTO DE LA RED VIAL TERCIARIA EN LOS CORREGIMIENTOS 1, 2 Y 3 DEL MUNICIPIO DE BUCARAMANGA, SANTANDER</t>
  </si>
  <si>
    <t>MODERNIZACIÓN DEL ALUMBRADO PUBLICO DE LAS URBANIZACIONES LOS NARANJOS Y CENTAUROS DEL MUNICIPIO DE BUCARAMANGA.</t>
  </si>
  <si>
    <t>SUMINISTRO DE LUMINARIAS DE TECNOLOGÍA LED PARA EL MUNICIPIO DE BUCARAMANGA</t>
  </si>
  <si>
    <t>FORTALECIMIENTO DE LA ADMINISTRACIÓN Y OPERACIÓN DE ALUMBRADO PÚBLICO DE BUCARAMANGA</t>
  </si>
  <si>
    <t>FORTALECIMIENTO INSTITUCIONAL PARA LOS PROCESOS DE INFRAESTRUCTURA Y PLANIFICACIÓN DE LA SECRETARIA DE INFRAESTRUCTURA DEL MUNICIPIO DE BUCARAMANGA</t>
  </si>
  <si>
    <t>Construir 50 pozos sépticos para el sector rural.</t>
  </si>
  <si>
    <t>Número de pozos sépticos construidos para el sector rural.</t>
  </si>
  <si>
    <t>Meta no programada para la vigencia</t>
  </si>
  <si>
    <t>Realizar mantenimiento a 2 puente peatonal.</t>
  </si>
  <si>
    <t>Número de puentes peatonales con mantenimiento realizado.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</si>
  <si>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</si>
  <si>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</si>
  <si>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</si>
  <si>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</si>
  <si>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TOTAL COMPROMETIDO</t>
  </si>
  <si>
    <t>2.3.2.02.02.005.1709078.53122.201</t>
  </si>
  <si>
    <t>2.3.2.02.02.005.4003015.53231.213 2.3.2.02.02.005.4003015.53231.221 2.3.2.02.02.005.4003015.53231.267</t>
  </si>
  <si>
    <t>2.3.2.02.02.005.4301011.54270.201</t>
  </si>
  <si>
    <t>2.3.2.02.02.005.4002020.53211.201</t>
  </si>
  <si>
    <t>2.3.2.02.02.005.4104001.53129.201</t>
  </si>
  <si>
    <t>2.3.2.02.02.005.4301004.53270.201</t>
  </si>
  <si>
    <t>2.3.2.02.02.005.4502003.53129.201</t>
  </si>
  <si>
    <t>2.3.2.02.02.005.4002020.53290.245 2.3.2.02.02.008.4002020.83211.245</t>
  </si>
  <si>
    <t>2.3.2.02.02.005.2402114.53211.201 2.3.2.02.02.005.2402114.53211.213 2.3.2.02.02.005.2402114.53211.289</t>
  </si>
  <si>
    <t>2.3.2.02.02.008.4599031.82120.201 2.3.2.02.02.008.4599031.83213.201 2.3.2.02.02.008.4599031.83321.201 2.3.2.02.02.008.4599031.83990.201 2.3.2.02.02.008.4599031.85999.201</t>
  </si>
  <si>
    <t>2.3.2.02.02.009.4003047.91123.200 2.3.2.02.02.009.4003047.91123.201 2.3.2.02.02.009.4003047.91123.215 2.3.2.02.02.009.4003047.91123.260 2.3.2.02.02.009.4003047.91123.268</t>
  </si>
  <si>
    <t>2.3.2.02.02.005.4002020.53270.201</t>
  </si>
  <si>
    <t>2.3.2.02.02.005.2102013.53270.201</t>
  </si>
  <si>
    <t>MEJORAMIENTO DE LA MALLA VIAL Y ESPACIO PUBLICO ENMARCADO DENTRO DE LA ESTRATEGIA "PLAN REVITALIZACION DEL ESPACIO PUBLICO CENTRO" EN EL MUNICIPIO DE BUCARAMANGA, SANTANDER</t>
  </si>
  <si>
    <t>2.3.2.02.02.005.2409013.53211.201</t>
  </si>
  <si>
    <t>2.3.2.02.02.005.4301004.54270.201</t>
  </si>
  <si>
    <t>ADECUACION DE LA INFRAESTRUCTURA DE PARQUES Y ESCENARIOS DEPORTIVOS EN EL MUNICIPIO DE BUCARAMANGA, SANTANDER</t>
  </si>
  <si>
    <t>ADECUACION DEL PARQUE EL CENTENARIO DEL MUNICIPIO DE BUCARAMANGA SANTANDER</t>
  </si>
  <si>
    <t>RECUPERACION DEL EQUIPAMIENTO URBANO EN PARQUES Y ESCENARIOS DEPORTIVOS  Y ESPACIO PUBLICO DEL MUNICIPIO DE BUCARAMANGA</t>
  </si>
  <si>
    <t>ADECUACIÓN DE LOS SALONES COMUNALES  EN EL MUNICIPIO DE BUCARAMANGA, SANTANDER</t>
  </si>
  <si>
    <t>2.3.2.02.02.009.2102013.91123.226</t>
  </si>
  <si>
    <t>2.3.2.02.02.009.2102011.91123.226</t>
  </si>
  <si>
    <t>2.3.2.02.02.009.2102010.91123.226</t>
  </si>
  <si>
    <t>MODERNIZACION DEL ALUMBRADO PUBLICO DE LAS COMUNAS 7, 12 Y 15 DEL MUNICIPIO DE BUCARAMANGA, SANTANDER</t>
  </si>
  <si>
    <t>CONSTRUCCION DEL PARQUE LINEAL BORDE SUR LA VICTORIA EN EL BARRIO LA VICTORIA DEL MUNICIPIO DE BUCARAMANGA, SANTANDER</t>
  </si>
  <si>
    <t>MEJORAMIENTO DE LA SEÑALIZACION HORIZONTAL Y OBRAS COMPLEMENTARIAS EN TRAMOS VIALES DEL MUNICIPIO DE BUCARAMANGA, SANTANDER</t>
  </si>
  <si>
    <t>AVANCE FÍSICO</t>
  </si>
  <si>
    <t>EFICACIA</t>
  </si>
  <si>
    <t>MODERNIZACIÓN DEL ALUMBRADO PUBLICO DE LA CALLE 56 DESDE LA CARRERA 36 HASTA LA CARRERA 15 Y DESDE LA CARRERA 15 HASTA LA AVENIDA LOS BUCAROS Y AVENIDA CALLE REAL DEL MUNICIPIO DE BUCARAMANGA</t>
  </si>
  <si>
    <t>MODERNIZACIÓN DEL ALUMBRADO PÚBLICO DE LAS COMUNAS 7, 12 y 15 DEL MUNICIPIO DE BUCARAMANGA</t>
  </si>
  <si>
    <t>AMPLIACIÓN DEL ALUMBRADO PUBLICO EN ZONAS RURALES FASE II DEL MUNICIPIO DE BUCARAMANGA</t>
  </si>
  <si>
    <t>MANTENIMIENTO DE TAPAS DE LAS CAJAS DE INSPECCIÓN DE LA RED DE ALUMBRADO PÚBLICO DEL MUNICIPIO DE BUCARAMANGA</t>
  </si>
  <si>
    <t>2.3.2.02.02.005.4301011.54270.201
2.3.2.02.02.008.4301011.83990.201
2.3.2.02.02.008.4301011.85999.201</t>
  </si>
  <si>
    <t>2.3.2.02.02.005.4002020.53270.201 
2.3.2.02.02.009.4002020.91123.226</t>
  </si>
  <si>
    <t>ESTUDIOS Y DISEÑOS PARA EL PROYECTO DE RESTAURACION  DEL COLISEO PERALTA INMUEBLE DECLARADO BIEN DE INTERES CULTURAL DEL AMBITO NACIONAL EN EL MUNIICPIO DE BUCARAMANGA, SANTANDER</t>
  </si>
  <si>
    <t>CONSTRUCCION DE OBRAS COMPLEMENTARIAS DEL ESPACIO PUBLICO ADYACENTE A LA INSTITUCION EDUCATIVA CAMACHO CARREÑO DEL MUNICIPIO DE BUCARAMANGA</t>
  </si>
  <si>
    <t>MODERNIZACION DEL ALUMBRADO DE LOS PARQUES GABRIEL TURBAY Y OLAYA HERRERA DEL MUNICIPIO DE BUCARAMANGA</t>
  </si>
  <si>
    <t>MODERNIZACION DEL ALUMBRADO PUBLICO DE LAS URBANIZACIONES LOS NARANJOS Y CENTAUROS DEL MUNICIPIO DE BUCARAMANGA</t>
  </si>
  <si>
    <t>BUCARAMANGA EQUITATIVA E INCLUYENTE: UNA CIUDAD DE BIENESTAR</t>
  </si>
  <si>
    <t>Educación De Calidad, Garantía De Una Ciudad De Oportunidades</t>
  </si>
  <si>
    <t>Cobertura Y Equidad De La Educación Preescolar, Básica Y Media</t>
  </si>
  <si>
    <t>Realizar 25 intervenciones a colegios públicos de Bucaramanga.</t>
  </si>
  <si>
    <t>Número de intervenciones realizadas a colegios públicos de Bucaramanga.</t>
  </si>
  <si>
    <t>OPTIMIZACION DEL ALCANTARILLADO SANITARIO DEL BARRIO LA FORTUNA Y MANTENIMIENTO DE SECTORES PLUVIALES DEL MUNICIPIO DE BUCARAMANGA</t>
  </si>
  <si>
    <t>2.3.2.02.02.005.4003020.53253.213</t>
  </si>
  <si>
    <t>MANTENIMIENTO Y MANEJO INTEGRAL DE ARBOLES UBICADOS EN EL ESPACIO PUBLICO DEL MUNIICPIO DE BUCARAMANGA, SANTANDER</t>
  </si>
  <si>
    <t>2.3.2.02.02.008.4002026.85970.513</t>
  </si>
  <si>
    <t>MANTENIMIENTO DE PUENTES PEATONALES EN EL MUNICIPIO DE BUCARAMANGA, SANTANDER</t>
  </si>
  <si>
    <t>2.3.2.02.02.005.2402120.53211.213</t>
  </si>
  <si>
    <t>INSTALACION DEL ALUMBRADO NAVIDEÑO EN EL MUNICIPIO DE BUCARAMANGA</t>
  </si>
  <si>
    <t>2.3.2.02.02.008.4002020.88756.201</t>
  </si>
  <si>
    <t>MEJORAMIENTO A LA INFRAESTRUCTURA DE LA INSTITUCION EDUCATIVA DE SANTANDER SEDE A- ETAPA 1 DEL MUNICIPIO DE BUCARAMANGA</t>
  </si>
  <si>
    <t>MEJORAMIENTO A LA INFRAESTRUCTURA DE LA INSTITUCION INEM SEDE A- FASE 1 DEL MUNICIPIO DE BUCARAMANGA</t>
  </si>
  <si>
    <t>MEJORAMIENTO A LA INFRAESTRUCTURA DE LA INSTITUCION EDUCATIVA TECNICO DAMASO ZAPATA- FASE III DEL MUNICIPIO DE BUCARAMANGA</t>
  </si>
  <si>
    <t>2.3.2.02.02.005.2402113.53211.230 
2.3.2.02.02.005.2402113.53211.255 2.3.2.02.02.005.2402113.53211.530</t>
  </si>
  <si>
    <t>2.3.2.02.02.005.2402114.53211.201 2.3.2.02.02.005.2402114.53211.213</t>
  </si>
  <si>
    <t>2.3.2.02.02.005.2402127.54211.232 2.3.2.02.02.005.2402127.54211.282 2.3.2.02.02.005.2402127.54211.806</t>
  </si>
  <si>
    <t>2.3.2.02.02.005.2402127.54211.201 2.3.2.02.02.005.2402127.54211.289</t>
  </si>
  <si>
    <t>Nuevos proyectos</t>
  </si>
  <si>
    <t>MANTENIMIENTO DE ESPACIOS PÚBLICOS VIABILIZADOS POR EL EJERCICIO DE PRESUPUESTOS PARTICIPATIVOS  EN EL MUNICIPIO DE BUCARAMANGA</t>
  </si>
  <si>
    <t>2.3.2.02.02.005.4002020.54211.588</t>
  </si>
  <si>
    <t>2.3.2.02.02.005.4002020.53122.557 2.3.2.02.02.005.4002020.54211.201</t>
  </si>
  <si>
    <t>2.3.2.02.02.005.4301004.53270.588</t>
  </si>
  <si>
    <t>Adicional contratos</t>
  </si>
  <si>
    <t>2.3.2.02.02.005.4502003.53129.201 2.3.2.02.02.005.4502003.54129.501 2.3.2.02.02.005.4502003.53129.588</t>
  </si>
  <si>
    <t>PASIVOS EXIGIBLES</t>
  </si>
  <si>
    <t>2.3.7.06.02.4599002.53211.601</t>
  </si>
  <si>
    <t>2.3.7.06.02.4599002.91123.626</t>
  </si>
  <si>
    <t xml:space="preserve">2.3.2.02.02.009.2102013.91123.226 </t>
  </si>
  <si>
    <t>MODERNIZACION DEL ALUMBRADO PUBLICO DEL BULEVAR BOLIVAR, GLORIETA DE SAN FRANCISCO Y DEL BULEVAR SANTANDER, GLORIETA ESTADIO ALFONSO LOPEZ DEL MUNICIPIO DE BUCARAMANGA.</t>
  </si>
  <si>
    <t>2.3.2.02.02.005.3301038.53129.201</t>
  </si>
  <si>
    <t>2.3.2.02.02.005.4502003.54129.201 2.3.2.02.02.005.4502003.54129.501</t>
  </si>
  <si>
    <t>2.3.2.02.02.005.4502003.53129.588</t>
  </si>
  <si>
    <t>CONSTRUCCION DEL SALON COMUNAL VEREDAL VIJAGUAL CORREGIMIENTO No. 1  Y ADECUACION DEL SALON COMUNAL RINCON DE LA PAZ EN LA COMUNA No. 5 DEL MUNICIPIO DE BUCARAMANGA, SANTANDER</t>
  </si>
  <si>
    <t>2.3.2.02.02.008.4002026.85970.201 2.3.2.02.02.008.4002026.83990.201 2.3.2.02.02.008.4002026.85999.201 2.3.2.02.02.008.4002026.85970.213 2.3.2.02.02.008.4002026.85970.513</t>
  </si>
  <si>
    <t>2.3.2.02.02.008.4503017.83321.201</t>
  </si>
  <si>
    <t>COMPROMISO EN EL PAGO DE PASIVOS EXIGIBLES DE LOS CONTRATOS DE ALUMBRADO PUBLICO DEL MUNICIPIO DE BUCARAMANGA</t>
  </si>
  <si>
    <t>2.3.7.06.02.4599002.85970.601</t>
  </si>
  <si>
    <t>COMPROMISO PARA EL PAGO DE VIGENCIAS EXPIRADAS DE LA ADECUACION Y MEJORAMIENTO DE EQUIPAMIENTO URBANO MEDIANTE EL EJERCICIO DE PRESUPUESTOS PARTICIPATIVOS, MANTENIMIENTO Y MEJORAMIENTO DE LA RED VIAL DEL MUNICIPIO DE BUCARAMANGA</t>
  </si>
  <si>
    <t>2.3.7.06.02.4599002.53211.613 2.3.7.06.02.4599002.54270.601</t>
  </si>
  <si>
    <t>MODERNIZACIÓN DEL ALUMBRADO PÚBLICO DEL BULEVAR BOLIVAR, GLORIETA DE SAN FRANCISCO Y DEL BULEVAR SANTANDER, GLORIETA ESTADIO ALFONSO LOPEZ DEL MUNICIPIO DE BUCARAMANGA.</t>
  </si>
  <si>
    <t>COMPROMISO EN EL PAGO DE PASIVOS EXIGIBLES DE LOS CONTRATOS DE ALUMBRADO PÚBLICO DEL MUNICIPIO DE BUCARAMANGA</t>
  </si>
  <si>
    <t xml:space="preserve">2.3.2.02.01.004.4599016.4693999.253 $1.250.000.000,00
2.3.2.02.02.008.4599016.8715205.226 $8.068.699.647,40
2.3.2.02.02.008.4599016.85970.226 $1.365.120.023,37
</t>
  </si>
  <si>
    <t>2.3.2.02.01.004.4599016.4693999.526 $1.592.598.366,84
2.3.2.02.02.008.4599016.8715205.526 $3.500.000.000,00
2.3.2.02.02.008.4599016.85970.526 $650.000.000,00</t>
  </si>
  <si>
    <t>Pendiente por definir</t>
  </si>
  <si>
    <t>2.3.2.02.02.008.3301094.83321.201 2.3.2.02.02.008.3301094.83321.306</t>
  </si>
  <si>
    <t>ADECUACION DEL PARQUE DIAMANTE II - ETAPA I- DEL MUNICIPIO  DE BUCARAMANGA , SANTANDER</t>
  </si>
  <si>
    <t>2.3.2.02.02.005.4301011.54270.201 2.3.2.02.02.009.2102013.91123.526</t>
  </si>
  <si>
    <t xml:space="preserve">MODERNIZACIÓN DEL ALUMBRADO PUBLICO VIAS M2 - FASE 1 DEL MUNICIPIO DE BUCARAMANGA. </t>
  </si>
  <si>
    <t>2.3.2.02.02.009.2102013.91123.526 $10.472.490.274,4</t>
  </si>
  <si>
    <t>2.3.2.02.02.009.2102013.91123.526 $339.489.356,00</t>
  </si>
  <si>
    <t>ADECUACIÓN DEL PARQUE DIAMANTE II - ETAPA 1 - DEL MUNICIPIO DE BUCARAMANGA, SANTANDER</t>
  </si>
  <si>
    <t>2.3.7.06.02.4599002.3699060.626 $ 37.795.429,09
2.3.7.06.02.4599002.4523001.626 $ 16.429.288,75
2.3.7.06.02.4599002.82120.626 $ 18.800.000,00
2.3.7.06.02.4599002.85970.626 $ 15.586.290,27</t>
  </si>
  <si>
    <t>CONSTRUCCIÓN DE OBRAS COMPLEMENTARIAS DE ESPACIO PUBLICO, A LA INSTITUCIÓN EDUCATIVA RURAL BOSCONIA SEDE B DE LA VEREDA SANTA RITA, DEL MUNICIPIO DE BUCARAMANGA, SANTANDER</t>
  </si>
  <si>
    <t>MEJORAMIENTO DE LA INFRAESTRUCTURA URBANA DE LA DIAGONAL 15 AVENIDA QUEBRADA SECA HASTA LA CALLE 33 DENTRO DE LA ESTRATEGIA CORREDOR AMBIENTAL EN EL MUNICIPIO DE BUCARAMANGA</t>
  </si>
  <si>
    <t>ESTUDIOS Y DISEÑOS DE OBRAS DE MITIGACIÓN EN EL BARRIO ALTOS DEL KENNEDY DEL MUNICIPIO DE BUCARAMANGA, SANTANDER</t>
  </si>
  <si>
    <t>COMPROMISO PARA EL PAGO DE VIGENCIAS EXPIRADAS DE LOS PROYECTOS EJECUTADOS POR LA SECRETARIA DE INFRAESTRUCTURA DEL MUNICIPIO DE BUCARAMANGA</t>
  </si>
  <si>
    <t>2.3.2.02.02.005.2402114.53211.201 2.3.2.02.02.005.2402114.53211.588</t>
  </si>
  <si>
    <t>ADECUACION DE LOS EQUIPOS RECREAR DEL NORTE Y CANCHA SINTETICA DEL KENNEDY DEL MUNICIPIO DE BUCARAMANGA</t>
  </si>
  <si>
    <t xml:space="preserve">2.3.2.02.02.005.4301011.54270.201 </t>
  </si>
  <si>
    <t>2.3.2.02.02.005.4301011.54270.201 2.3.2.02.02.005.4301011.54270.501 2.3.2.02.02.005.4301011.54270.213</t>
  </si>
  <si>
    <t>CONSERVACION PREVENTIVA Y PRIMEROS AUXILIOS AL BIEN DE INTERES CULTURAL TEATRO COLISEO PERALTA EN EL MUNICIPIO DE BUCARAMANGA, SANTANDER</t>
  </si>
  <si>
    <t>2.3.7.06.02.4599002.54270.601 2.3.7.06.02.4599002.53290.613 2.3.7.06.02.4599002.53129.667 2.3.7.06.02.4599002.53129. 601</t>
  </si>
  <si>
    <t xml:space="preserve">Retirar la infraestructura existente; Instalar redes de conexión a luminarias nuevas;  canalización, estructuras; Instalar equipos de iluminación; Instalar salidas; Suministrar, transportar e instalar postes y Realizar obras civiles complementarias. </t>
  </si>
  <si>
    <t xml:space="preserve">Retirar la infraestructura existente; Instalar redes de media tensión de Alumbrado Público; Instalar subestación; nstalar redes de baja tensión de alumbrado público; Instalar tableros de baja tensión; Suministrar e instalar equipos de iluminación de Alumbrado Público; Suministrar, transportar e instalar postes y Realizar obras civiles complementarias. </t>
  </si>
  <si>
    <t>Cambio de luminarias en vías vehiculares; Construcción de subestación Eléctrica (Bolívar);Remodelación parque rotonda de San francisco, rotonda Estadio, intervención civil, arquitectónica y eléctrica;Cambio de postes de iluminación y Cambio de redes eléctricas.</t>
  </si>
  <si>
    <t xml:space="preserve">Retirar la infraestructura existente; Instalar redes de media tensión; Instalar subestación ; Instalar redes de baja tensión de alumbrado público; Instalar tableros de baja tensión; Suministrar e instalar equipos de iluminación de Alumbrado Público; Suministrar, transportar e instalar postes y Realizar obras civiles complementarias. </t>
  </si>
  <si>
    <t xml:space="preserve">Actividades preliminares (localización y replanteo); Demolición de coronas de concreto de cámaras de inspección; Suministro e instalación de marco y contramarco antivandálico; Suministro, transporte y colocación de concreto de 3000 psi; Friso mortero; Mampostería en ladrillo común y Aseo y limpieza. </t>
  </si>
  <si>
    <t xml:space="preserve">Suministrar luminarias y proyectores LED y accesorios de instalación necesarios para el mantenimiento del alumbrado público en el Municipio de Bucaramanga.  </t>
  </si>
  <si>
    <t>Migración de luminarias a tecnología LED; Instalación de postes en fibra de vidrio;Tendido de nueva red para iluminación y Retiro de infraestructura actual en deterioro.</t>
  </si>
  <si>
    <t>CAMBIO DE POSTES, REDES ELECTRICAS Y LUMINARIAS  PARA MEJORAR EL ALUMBRADO PUBLICO EN EL SECTOR</t>
  </si>
  <si>
    <t xml:space="preserve">Redes de Alumbrado Público Mejoradas. </t>
  </si>
  <si>
    <t>2.3.2.02.02.005.4301011.54270.201 2.3.2.02.02.005.4301011.54270.501</t>
  </si>
  <si>
    <t>2.3.2.02.02.005.2201052.53129.273 2.3.2.02.02.005.2201052.53129.201 2.3.2.02.02.005.2201052.53129.501</t>
  </si>
  <si>
    <t>2.3.2.02.02.005.2402042.53211.289 2.3.2.02.02.005.2402042.53211.201 2.3.2.02.02.005.2402042.53211.588</t>
  </si>
  <si>
    <t>2.3.2.02.02.005.4002020.53270.213 
2.3.2.02.02.005.4002020.53270.201 2.3.2.02.02.005.4002020.53270.501</t>
  </si>
  <si>
    <t>2.3.2.02.02.005.4301004.53270.901</t>
  </si>
  <si>
    <t>2.3.2.02.02.009.2102010.91123.226 $94200040</t>
  </si>
  <si>
    <t>2.3.2.02.02.009.2102013.91123.226 $360,00
2.3.2.02.02.009.2102013.91123.526 $171.018.036,15</t>
  </si>
  <si>
    <t>PENDIENTE DE ESTUDIOS</t>
  </si>
  <si>
    <t xml:space="preserve">2.3.2.02.02.008.4599016.83115.226 $50.000.000,00
2.3.2.02.02.008.4599016.85250.226 $815.135.664,53
2.3.2.02.02.008.4599016.85250.226 $584.864.335,47
2.3.2.02.02.008.4599016.85330.226 $19.957.075,28
2.3.2.02.02.008.4599016.85330.226 $7.542.924,72
2.3.2.02.02.008.4599031.82120.226 $211.483.333,33
2.3.2.02.02.008.4599031.83213.226 $0,00
2.3.2.02.02.008.4599031.83321.226 $198.150.000,00
2.3.2.02.02.008.4599031.83990.226 $1.534.582.856,41
2.3.2.02.02.008.4599031.83990.226 $800.000.000,00
2.3.2.02.02.008.4599031.85999.226 $231.143.810,26
2.3.2.02.01.004.4599016.47829.226 $95.362.183,63
2.3.2.02.01.003.4599016.3336103.526 $15.000.000,00
2.3.2.02.01.003.4599016.3699060.526 $30.000.000,00
2.3.2.02.01.003.4599016.3212801.526 $10.000.000,00
2.3.2.02.02.006.4599016.69112.526 $12.500.000,00
2.3.2.02.02.006.4599016.69112.526 $8.000.000.000,00
2.3.2.02.02.008.4599016.84120.526 $80.000.000,00
2.3.2.02.02.008.4599016.8714199.526 $ 30.000.000,00
2.3.2.02.02.008.4599016.83115.526 $ 50.000.000,00
2.3.2.02.02.008.4599016.83132.526 $ 300.000.000,00
2.3.2.02.02.008.4599016.85250.526 $1.900.000.000,00
2.3.2.02.02.008.4599016.85330.526 $ 13.000.000,00
2.3.2.02.02.008.2106003.85954.526 $ 447.961.060,22
2.3.2.02.02.007.4599016.72212.226 $ 45.754.885
2.3.2.02.02.007.4599016.72212.253 $170.535.010
2.3.2.02.02.007.4599016.72212.526 $57.000.000
</t>
  </si>
  <si>
    <t>2.3.2.02.02.009.4002020.91123.526</t>
  </si>
  <si>
    <t>Pendiente adicional</t>
  </si>
  <si>
    <t>pendiente adicional</t>
  </si>
  <si>
    <t>2.3.2.02.02.005.4002020.53211.201 2.3.2.02.02.005.4002020.53211.501</t>
  </si>
  <si>
    <t>2.3.2.02.02.005.4104001.53129.501</t>
  </si>
  <si>
    <t>2.3.2.02.02.005.4002020.53211.501</t>
  </si>
  <si>
    <t>2.3.2.02.02.005.1709078.53122.901</t>
  </si>
  <si>
    <t>2.3.2.02.02.005.2201052.53129.273 2.3.2.02.02.005.2201052.53129.901</t>
  </si>
  <si>
    <t>2.3.2.02.02.005.2402114.53211.201 2.3.2.02.02.005.2402114.53211.501</t>
  </si>
  <si>
    <t xml:space="preserve">MODERNIZACIÓN DEL ALUMBRADO PUBLICO DE LAS COMUNAS 7, 12 Y 15 DEL MUNICIPIO DE BUCARAMANGA. </t>
  </si>
  <si>
    <t>xxxxxxxx</t>
  </si>
  <si>
    <t xml:space="preserve">ADICIONAL CONTRATOS DE INFRAESTRUTURA. </t>
  </si>
  <si>
    <t>COMPROMISO PARA EL PAGO DE VIGENCIAS EXPIRADAS DE LOS PROYECTOS DE MEJORAMIENTO ADECUACION DEL ESPACIO PUBLICO Y PARQUES ABASTECIMIENTO DE AGUA POTABLE Y APOYO A LA GESTION EN LA INFRAESTRUCTURA DEL MUNICIPIO DE BUCARAMANGA</t>
  </si>
  <si>
    <r>
      <t xml:space="preserve">Código:  </t>
    </r>
    <r>
      <rPr>
        <sz val="11"/>
        <rFont val="Arial"/>
        <family val="2"/>
      </rPr>
      <t>F-DPM-1210-238,37-030</t>
    </r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</si>
  <si>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</si>
  <si>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</si>
  <si>
    <r>
      <t xml:space="preserve">Página: </t>
    </r>
    <r>
      <rPr>
        <sz val="11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</si>
</sst>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\ #,##0;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dd/mm/yyyy;@"/>
    <numFmt numFmtId="166" formatCode="_-&quot;$&quot;\ * #,##0_-;\-&quot;$&quot;\ * #,##0_-;_-&quot;$&quot;\ * &quot;-&quot;??_-;_-@_-"/>
    <numFmt numFmtId="167" formatCode="&quot;$&quot;\ #,##0"/>
    <numFmt numFmtId="168" formatCode="_-&quot;$&quot;* #,##0_-;\-&quot;$&quot;* #,##0_-;_-&quot;$&quot;* &quot;-&quot;_-;_-@_-"/>
    <numFmt numFmtId="169" formatCode="_-* #,##0_-;\-* #,##0_-;_-* &quot;-&quot;??_-;_-@_-"/>
    <numFmt numFmtId="170" formatCode="&quot;$&quot;\ #,##0.00"/>
    <numFmt numFmtId="171" formatCode="_(&quot;$&quot;\ * #,##0_);_(&quot;$&quot;\ * \(#,##0\);_(&quot;$&quot;\ * &quot;-&quot;??_);_(@_)"/>
    <numFmt numFmtId="172" formatCode="&quot;$&quot;\ #,##0.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</cellStyleXfs>
  <cellXfs count="174">
    <xf numFmtId="0" fontId="0" fillId="0" borderId="0" xfId="0"/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8" xfId="108" applyFont="1" applyFill="1" applyBorder="1" applyAlignment="1">
      <alignment horizontal="center" vertical="center"/>
    </xf>
    <xf numFmtId="0" fontId="7" fillId="2" borderId="2" xfId="108" applyFont="1" applyFill="1" applyBorder="1" applyAlignment="1">
      <alignment horizontal="center" vertical="center"/>
    </xf>
    <xf numFmtId="0" fontId="7" fillId="2" borderId="2" xfId="108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5" fontId="3" fillId="0" borderId="2" xfId="110" applyNumberFormat="1" applyFont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167" fontId="7" fillId="2" borderId="2" xfId="110" applyNumberFormat="1" applyFont="1" applyFill="1" applyBorder="1" applyAlignment="1">
      <alignment horizontal="right" vertical="center" wrapText="1"/>
    </xf>
    <xf numFmtId="9" fontId="3" fillId="0" borderId="2" xfId="112" applyFont="1" applyFill="1" applyBorder="1" applyAlignment="1">
      <alignment horizontal="center" vertical="center" wrapText="1"/>
    </xf>
    <xf numFmtId="5" fontId="3" fillId="0" borderId="2" xfId="111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5" fontId="3" fillId="0" borderId="2" xfId="111" applyNumberFormat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justify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7" fontId="3" fillId="3" borderId="2" xfId="111" applyNumberFormat="1" applyFont="1" applyFill="1" applyBorder="1" applyAlignment="1">
      <alignment horizontal="right" vertical="center" wrapText="1"/>
    </xf>
    <xf numFmtId="167" fontId="8" fillId="3" borderId="2" xfId="0" applyNumberFormat="1" applyFont="1" applyFill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center" vertical="center"/>
    </xf>
    <xf numFmtId="167" fontId="3" fillId="3" borderId="2" xfId="0" applyNumberFormat="1" applyFont="1" applyFill="1" applyBorder="1" applyAlignment="1">
      <alignment horizontal="right" vertical="center" wrapText="1"/>
    </xf>
    <xf numFmtId="167" fontId="3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wrapText="1"/>
    </xf>
    <xf numFmtId="0" fontId="6" fillId="2" borderId="8" xfId="108" applyFont="1" applyFill="1" applyBorder="1" applyAlignment="1">
      <alignment horizontal="justify"/>
    </xf>
    <xf numFmtId="0" fontId="6" fillId="2" borderId="10" xfId="108" applyFont="1" applyFill="1" applyBorder="1"/>
    <xf numFmtId="9" fontId="7" fillId="2" borderId="10" xfId="108" applyNumberFormat="1" applyFont="1" applyFill="1" applyBorder="1" applyAlignment="1">
      <alignment horizontal="center" vertical="center"/>
    </xf>
    <xf numFmtId="9" fontId="7" fillId="2" borderId="7" xfId="108" applyNumberFormat="1" applyFont="1" applyFill="1" applyBorder="1" applyAlignment="1">
      <alignment horizontal="center" vertical="center"/>
    </xf>
    <xf numFmtId="0" fontId="7" fillId="2" borderId="7" xfId="108" applyFont="1" applyFill="1" applyBorder="1" applyAlignment="1">
      <alignment vertical="center"/>
    </xf>
    <xf numFmtId="0" fontId="6" fillId="2" borderId="2" xfId="108" applyFont="1" applyFill="1" applyBorder="1" applyAlignment="1">
      <alignment vertical="center"/>
    </xf>
    <xf numFmtId="166" fontId="6" fillId="2" borderId="2" xfId="113" applyNumberFormat="1" applyFont="1" applyFill="1" applyBorder="1" applyAlignment="1">
      <alignment vertical="center"/>
    </xf>
    <xf numFmtId="166" fontId="7" fillId="2" borderId="2" xfId="113" applyNumberFormat="1" applyFont="1" applyFill="1" applyBorder="1" applyAlignment="1">
      <alignment vertical="center"/>
    </xf>
    <xf numFmtId="9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3" borderId="3" xfId="108" applyFont="1" applyFill="1" applyBorder="1" applyAlignment="1">
      <alignment horizontal="left" vertical="top" wrapText="1"/>
    </xf>
    <xf numFmtId="167" fontId="0" fillId="3" borderId="2" xfId="0" applyNumberFormat="1" applyFill="1" applyBorder="1" applyAlignment="1">
      <alignment horizontal="right" vertical="center" wrapText="1"/>
    </xf>
    <xf numFmtId="167" fontId="3" fillId="0" borderId="0" xfId="0" applyNumberFormat="1" applyFont="1"/>
    <xf numFmtId="167" fontId="6" fillId="0" borderId="0" xfId="0" applyNumberFormat="1" applyFont="1" applyAlignment="1">
      <alignment vertical="center"/>
    </xf>
    <xf numFmtId="164" fontId="3" fillId="0" borderId="0" xfId="114" applyFont="1"/>
    <xf numFmtId="167" fontId="6" fillId="3" borderId="2" xfId="111" applyNumberFormat="1" applyFont="1" applyFill="1" applyBorder="1" applyAlignment="1">
      <alignment horizontal="right" vertical="center" wrapText="1"/>
    </xf>
    <xf numFmtId="167" fontId="6" fillId="3" borderId="2" xfId="0" applyNumberFormat="1" applyFont="1" applyFill="1" applyBorder="1" applyAlignment="1">
      <alignment horizontal="right" vertical="center"/>
    </xf>
    <xf numFmtId="167" fontId="6" fillId="3" borderId="2" xfId="0" applyNumberFormat="1" applyFont="1" applyFill="1" applyBorder="1" applyAlignment="1">
      <alignment horizontal="right" vertical="center" wrapText="1"/>
    </xf>
    <xf numFmtId="167" fontId="6" fillId="3" borderId="2" xfId="109" applyNumberFormat="1" applyFont="1" applyFill="1" applyBorder="1" applyAlignment="1">
      <alignment horizontal="right" vertical="center" wrapText="1"/>
    </xf>
    <xf numFmtId="167" fontId="7" fillId="3" borderId="2" xfId="0" applyNumberFormat="1" applyFont="1" applyFill="1" applyBorder="1" applyAlignment="1">
      <alignment horizontal="right" vertical="center" wrapText="1"/>
    </xf>
    <xf numFmtId="9" fontId="9" fillId="0" borderId="2" xfId="0" applyNumberFormat="1" applyFont="1" applyBorder="1" applyAlignment="1">
      <alignment horizontal="center" vertical="center"/>
    </xf>
    <xf numFmtId="9" fontId="6" fillId="3" borderId="2" xfId="107" applyFont="1" applyFill="1" applyBorder="1" applyAlignment="1">
      <alignment horizontal="left" vertical="center" wrapText="1"/>
    </xf>
    <xf numFmtId="167" fontId="0" fillId="0" borderId="0" xfId="0" applyNumberFormat="1"/>
    <xf numFmtId="167" fontId="8" fillId="3" borderId="2" xfId="111" applyNumberFormat="1" applyFont="1" applyFill="1" applyBorder="1" applyAlignment="1">
      <alignment horizontal="right" vertical="center" wrapText="1"/>
    </xf>
    <xf numFmtId="167" fontId="3" fillId="3" borderId="2" xfId="0" applyNumberFormat="1" applyFont="1" applyFill="1" applyBorder="1" applyAlignment="1">
      <alignment horizontal="right"/>
    </xf>
    <xf numFmtId="167" fontId="3" fillId="3" borderId="0" xfId="0" applyNumberFormat="1" applyFont="1" applyFill="1" applyAlignment="1">
      <alignment vertical="center"/>
    </xf>
    <xf numFmtId="1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167" fontId="3" fillId="0" borderId="0" xfId="0" applyNumberFormat="1" applyFont="1" applyAlignment="1">
      <alignment vertical="center"/>
    </xf>
    <xf numFmtId="170" fontId="6" fillId="3" borderId="2" xfId="0" applyNumberFormat="1" applyFont="1" applyFill="1" applyBorder="1" applyAlignment="1">
      <alignment horizontal="right" vertical="center" wrapText="1"/>
    </xf>
    <xf numFmtId="0" fontId="7" fillId="2" borderId="2" xfId="108" applyFont="1" applyFill="1" applyBorder="1" applyAlignment="1">
      <alignment vertical="center" wrapText="1"/>
    </xf>
    <xf numFmtId="9" fontId="6" fillId="3" borderId="2" xfId="107" applyFont="1" applyFill="1" applyBorder="1" applyAlignment="1">
      <alignment vertical="center" wrapText="1"/>
    </xf>
    <xf numFmtId="169" fontId="6" fillId="0" borderId="0" xfId="109" applyNumberFormat="1" applyFont="1" applyAlignment="1">
      <alignment vertical="center"/>
    </xf>
    <xf numFmtId="8" fontId="6" fillId="0" borderId="0" xfId="0" applyNumberFormat="1" applyFont="1" applyAlignment="1">
      <alignment vertical="center"/>
    </xf>
    <xf numFmtId="0" fontId="0" fillId="3" borderId="2" xfId="0" applyFill="1" applyBorder="1" applyAlignment="1">
      <alignment horizontal="justify" vertical="center" wrapText="1"/>
    </xf>
    <xf numFmtId="0" fontId="0" fillId="3" borderId="1" xfId="0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167" fontId="3" fillId="0" borderId="0" xfId="114" applyNumberFormat="1" applyFont="1"/>
    <xf numFmtId="167" fontId="3" fillId="3" borderId="0" xfId="0" applyNumberFormat="1" applyFont="1" applyFill="1"/>
    <xf numFmtId="1" fontId="6" fillId="3" borderId="2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71" fontId="3" fillId="0" borderId="0" xfId="114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170" fontId="7" fillId="2" borderId="2" xfId="110" applyNumberFormat="1" applyFont="1" applyFill="1" applyBorder="1" applyAlignment="1">
      <alignment horizontal="right" vertical="center" wrapText="1"/>
    </xf>
    <xf numFmtId="9" fontId="9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0" fontId="6" fillId="0" borderId="0" xfId="0" applyNumberFormat="1" applyFont="1" applyAlignment="1">
      <alignment vertical="center"/>
    </xf>
    <xf numFmtId="170" fontId="3" fillId="0" borderId="0" xfId="0" applyNumberFormat="1" applyFont="1"/>
    <xf numFmtId="167" fontId="3" fillId="3" borderId="0" xfId="111" applyNumberFormat="1" applyFont="1" applyFill="1" applyBorder="1" applyAlignment="1">
      <alignment horizontal="right" vertical="center" wrapText="1"/>
    </xf>
    <xf numFmtId="9" fontId="7" fillId="3" borderId="2" xfId="107" applyFont="1" applyFill="1" applyBorder="1" applyAlignment="1">
      <alignment vertical="center" wrapText="1"/>
    </xf>
    <xf numFmtId="167" fontId="6" fillId="3" borderId="2" xfId="111" applyNumberFormat="1" applyFont="1" applyFill="1" applyBorder="1" applyAlignment="1">
      <alignment vertical="center" wrapText="1"/>
    </xf>
    <xf numFmtId="170" fontId="6" fillId="3" borderId="2" xfId="0" applyNumberFormat="1" applyFont="1" applyFill="1" applyBorder="1" applyAlignment="1">
      <alignment horizontal="right" vertical="center"/>
    </xf>
    <xf numFmtId="172" fontId="6" fillId="3" borderId="2" xfId="0" applyNumberFormat="1" applyFont="1" applyFill="1" applyBorder="1" applyAlignment="1">
      <alignment horizontal="right" vertical="center" wrapText="1"/>
    </xf>
    <xf numFmtId="0" fontId="6" fillId="3" borderId="0" xfId="108" applyFont="1" applyFill="1" applyAlignment="1">
      <alignment vertical="top"/>
    </xf>
    <xf numFmtId="0" fontId="6" fillId="3" borderId="0" xfId="108" applyFont="1" applyFill="1" applyAlignment="1">
      <alignment horizontal="center" vertical="top"/>
    </xf>
    <xf numFmtId="0" fontId="6" fillId="3" borderId="0" xfId="108" applyFont="1" applyFill="1" applyAlignment="1">
      <alignment vertical="top" wrapText="1"/>
    </xf>
    <xf numFmtId="0" fontId="6" fillId="3" borderId="12" xfId="108" applyFont="1" applyFill="1" applyBorder="1" applyAlignment="1">
      <alignment vertical="top"/>
    </xf>
    <xf numFmtId="0" fontId="6" fillId="3" borderId="12" xfId="108" applyFont="1" applyFill="1" applyBorder="1" applyAlignment="1">
      <alignment horizontal="center" vertical="top"/>
    </xf>
    <xf numFmtId="0" fontId="6" fillId="3" borderId="12" xfId="108" applyFont="1" applyFill="1" applyBorder="1" applyAlignment="1">
      <alignment horizontal="center" vertical="center"/>
    </xf>
    <xf numFmtId="0" fontId="6" fillId="3" borderId="12" xfId="108" applyFont="1" applyFill="1" applyBorder="1" applyAlignment="1">
      <alignment vertical="center"/>
    </xf>
    <xf numFmtId="0" fontId="6" fillId="3" borderId="12" xfId="108" applyFont="1" applyFill="1" applyBorder="1" applyAlignment="1">
      <alignment horizontal="center" vertical="center" wrapText="1"/>
    </xf>
    <xf numFmtId="0" fontId="6" fillId="3" borderId="13" xfId="108" applyFont="1" applyFill="1" applyBorder="1" applyAlignment="1">
      <alignment horizontal="left" vertical="center" wrapText="1"/>
    </xf>
    <xf numFmtId="167" fontId="7" fillId="2" borderId="1" xfId="110" applyNumberFormat="1" applyFont="1" applyFill="1" applyBorder="1" applyAlignment="1">
      <alignment horizontal="right" vertical="center" wrapText="1"/>
    </xf>
    <xf numFmtId="167" fontId="7" fillId="2" borderId="5" xfId="110" applyNumberFormat="1" applyFont="1" applyFill="1" applyBorder="1" applyAlignment="1">
      <alignment horizontal="right" vertical="center" wrapText="1"/>
    </xf>
    <xf numFmtId="167" fontId="7" fillId="2" borderId="4" xfId="110" applyNumberFormat="1" applyFont="1" applyFill="1" applyBorder="1" applyAlignment="1">
      <alignment horizontal="right" vertical="center" wrapText="1"/>
    </xf>
    <xf numFmtId="9" fontId="3" fillId="0" borderId="1" xfId="112" applyFont="1" applyFill="1" applyBorder="1" applyAlignment="1">
      <alignment horizontal="center" vertical="center" wrapText="1"/>
    </xf>
    <xf numFmtId="9" fontId="3" fillId="0" borderId="5" xfId="112" applyFont="1" applyFill="1" applyBorder="1" applyAlignment="1">
      <alignment horizontal="center" vertical="center" wrapText="1"/>
    </xf>
    <xf numFmtId="9" fontId="3" fillId="0" borderId="4" xfId="112" applyFont="1" applyFill="1" applyBorder="1" applyAlignment="1">
      <alignment horizontal="center" vertical="center" wrapText="1"/>
    </xf>
    <xf numFmtId="5" fontId="3" fillId="0" borderId="1" xfId="111" applyNumberFormat="1" applyFont="1" applyFill="1" applyBorder="1" applyAlignment="1">
      <alignment horizontal="center" vertical="center" wrapText="1"/>
    </xf>
    <xf numFmtId="5" fontId="3" fillId="0" borderId="5" xfId="111" applyNumberFormat="1" applyFont="1" applyFill="1" applyBorder="1" applyAlignment="1">
      <alignment horizontal="center" vertical="center" wrapText="1"/>
    </xf>
    <xf numFmtId="5" fontId="3" fillId="0" borderId="4" xfId="11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7" fontId="7" fillId="2" borderId="5" xfId="110" applyNumberFormat="1" applyFont="1" applyFill="1" applyBorder="1" applyAlignment="1">
      <alignment horizontal="center" vertical="center" wrapText="1"/>
    </xf>
    <xf numFmtId="167" fontId="7" fillId="2" borderId="4" xfId="110" applyNumberFormat="1" applyFont="1" applyFill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9" fontId="9" fillId="4" borderId="5" xfId="0" applyNumberFormat="1" applyFont="1" applyFill="1" applyBorder="1" applyAlignment="1">
      <alignment horizontal="center" vertical="center"/>
    </xf>
    <xf numFmtId="9" fontId="9" fillId="4" borderId="4" xfId="0" applyNumberFormat="1" applyFont="1" applyFill="1" applyBorder="1" applyAlignment="1">
      <alignment horizontal="center" vertical="center"/>
    </xf>
    <xf numFmtId="167" fontId="7" fillId="2" borderId="2" xfId="110" applyNumberFormat="1" applyFont="1" applyFill="1" applyBorder="1" applyAlignment="1">
      <alignment horizontal="right" vertical="center" wrapText="1"/>
    </xf>
    <xf numFmtId="5" fontId="3" fillId="0" borderId="2" xfId="111" applyNumberFormat="1" applyFont="1" applyFill="1" applyBorder="1" applyAlignment="1">
      <alignment horizontal="center" vertical="center" wrapText="1"/>
    </xf>
    <xf numFmtId="0" fontId="7" fillId="2" borderId="8" xfId="108" applyFont="1" applyFill="1" applyBorder="1" applyAlignment="1">
      <alignment horizontal="center" vertical="center"/>
    </xf>
    <xf numFmtId="0" fontId="7" fillId="2" borderId="10" xfId="108" applyFont="1" applyFill="1" applyBorder="1" applyAlignment="1">
      <alignment horizontal="center" vertical="center"/>
    </xf>
    <xf numFmtId="0" fontId="7" fillId="2" borderId="7" xfId="108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0" fontId="7" fillId="2" borderId="2" xfId="108" applyFont="1" applyFill="1" applyBorder="1" applyAlignment="1" applyProtection="1">
      <alignment horizontal="center" vertical="center"/>
      <protection locked="0"/>
    </xf>
    <xf numFmtId="0" fontId="7" fillId="2" borderId="8" xfId="108" applyFont="1" applyFill="1" applyBorder="1" applyAlignment="1">
      <alignment horizontal="center" vertical="center" wrapText="1"/>
    </xf>
    <xf numFmtId="0" fontId="7" fillId="2" borderId="7" xfId="108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center" vertical="center" wrapText="1"/>
    </xf>
    <xf numFmtId="9" fontId="6" fillId="3" borderId="4" xfId="0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0" fontId="7" fillId="2" borderId="1" xfId="108" applyFont="1" applyFill="1" applyBorder="1" applyAlignment="1">
      <alignment horizontal="center" vertical="center" wrapText="1"/>
    </xf>
    <xf numFmtId="0" fontId="7" fillId="2" borderId="4" xfId="108" applyFont="1" applyFill="1" applyBorder="1" applyAlignment="1">
      <alignment horizontal="center" vertical="center" wrapText="1"/>
    </xf>
    <xf numFmtId="0" fontId="8" fillId="0" borderId="8" xfId="108" applyFont="1" applyBorder="1" applyAlignment="1">
      <alignment horizontal="left" vertical="center"/>
    </xf>
    <xf numFmtId="0" fontId="8" fillId="0" borderId="10" xfId="108" applyFont="1" applyBorder="1" applyAlignment="1">
      <alignment horizontal="left" vertical="center"/>
    </xf>
    <xf numFmtId="0" fontId="8" fillId="0" borderId="7" xfId="108" applyFont="1" applyBorder="1" applyAlignment="1">
      <alignment horizontal="left" vertical="center"/>
    </xf>
    <xf numFmtId="2" fontId="7" fillId="0" borderId="9" xfId="108" applyNumberFormat="1" applyFont="1" applyBorder="1" applyAlignment="1">
      <alignment horizontal="center" vertical="center" wrapText="1"/>
    </xf>
    <xf numFmtId="2" fontId="7" fillId="0" borderId="11" xfId="108" applyNumberFormat="1" applyFont="1" applyBorder="1" applyAlignment="1">
      <alignment horizontal="center" vertical="center" wrapText="1"/>
    </xf>
    <xf numFmtId="2" fontId="7" fillId="0" borderId="6" xfId="108" applyNumberFormat="1" applyFont="1" applyBorder="1" applyAlignment="1">
      <alignment horizontal="center" vertical="center" wrapText="1"/>
    </xf>
    <xf numFmtId="2" fontId="7" fillId="0" borderId="0" xfId="108" applyNumberFormat="1" applyFont="1" applyAlignment="1">
      <alignment horizontal="center" vertical="center" wrapText="1"/>
    </xf>
    <xf numFmtId="2" fontId="6" fillId="0" borderId="1" xfId="108" applyNumberFormat="1" applyFont="1" applyBorder="1" applyAlignment="1">
      <alignment horizontal="center" vertical="center" wrapText="1"/>
    </xf>
    <xf numFmtId="2" fontId="6" fillId="0" borderId="5" xfId="108" applyNumberFormat="1" applyFont="1" applyBorder="1" applyAlignment="1">
      <alignment horizontal="center" vertical="center" wrapText="1"/>
    </xf>
    <xf numFmtId="2" fontId="6" fillId="0" borderId="4" xfId="108" applyNumberFormat="1" applyFont="1" applyBorder="1" applyAlignment="1">
      <alignment horizontal="center" vertical="center" wrapText="1"/>
    </xf>
    <xf numFmtId="0" fontId="8" fillId="0" borderId="2" xfId="108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9" fontId="6" fillId="0" borderId="5" xfId="0" applyNumberFormat="1" applyFont="1" applyBorder="1" applyAlignment="1">
      <alignment horizontal="center" vertical="center" wrapText="1"/>
    </xf>
    <xf numFmtId="9" fontId="8" fillId="2" borderId="2" xfId="112" applyFont="1" applyFill="1" applyBorder="1" applyAlignment="1">
      <alignment horizontal="center" vertical="center" wrapText="1"/>
    </xf>
    <xf numFmtId="2" fontId="7" fillId="0" borderId="8" xfId="110" applyNumberFormat="1" applyFont="1" applyBorder="1" applyAlignment="1">
      <alignment horizontal="left" vertical="center" wrapText="1"/>
    </xf>
    <xf numFmtId="2" fontId="7" fillId="0" borderId="10" xfId="110" applyNumberFormat="1" applyFont="1" applyBorder="1" applyAlignment="1">
      <alignment horizontal="left" vertical="center" wrapText="1"/>
    </xf>
    <xf numFmtId="2" fontId="7" fillId="0" borderId="7" xfId="110" applyNumberFormat="1" applyFont="1" applyBorder="1" applyAlignment="1">
      <alignment horizontal="left" vertical="center" wrapText="1"/>
    </xf>
  </cellXfs>
  <cellStyles count="117">
    <cellStyle name="Hipervínculo" xfId="55" builtinId="8" hidden="1"/>
    <cellStyle name="Hipervínculo" xfId="59" builtinId="8" hidden="1"/>
    <cellStyle name="Hipervínculo" xfId="61" builtinId="8" hidden="1"/>
    <cellStyle name="Hipervínculo" xfId="45" builtinId="8" hidden="1"/>
    <cellStyle name="Hipervínculo" xfId="29" builtinId="8" hidden="1"/>
    <cellStyle name="Hipervínculo" xfId="9" builtinId="8" hidden="1"/>
    <cellStyle name="Hipervínculo" xfId="15" builtinId="8" hidden="1"/>
    <cellStyle name="Hipervínculo" xfId="19" builtinId="8" hidden="1"/>
    <cellStyle name="Hipervínculo" xfId="5" builtinId="8" hidden="1"/>
    <cellStyle name="Hipervínculo" xfId="3" builtinId="8" hidden="1"/>
    <cellStyle name="Hipervínculo" xfId="1" builtinId="8" hidden="1"/>
    <cellStyle name="Hipervínculo" xfId="7" builtinId="8" hidden="1"/>
    <cellStyle name="Hipervínculo" xfId="13" builtinId="8" hidden="1"/>
    <cellStyle name="Hipervínculo" xfId="17" builtinId="8" hidden="1"/>
    <cellStyle name="Hipervínculo" xfId="11" builtinId="8" hidden="1"/>
    <cellStyle name="Hipervínculo" xfId="21" builtinId="8" hidden="1"/>
    <cellStyle name="Hipervínculo" xfId="37" builtinId="8" hidden="1"/>
    <cellStyle name="Hipervínculo" xfId="53" builtinId="8" hidden="1"/>
    <cellStyle name="Hipervínculo" xfId="63" builtinId="8" hidden="1"/>
    <cellStyle name="Hipervínculo" xfId="57" builtinId="8" hidden="1"/>
    <cellStyle name="Hipervínculo" xfId="51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9" builtinId="8" hidden="1"/>
    <cellStyle name="Hipervínculo" xfId="47" builtinId="8" hidden="1"/>
    <cellStyle name="Hipervínculo" xfId="35" builtinId="8" hidden="1"/>
    <cellStyle name="Hipervínculo" xfId="25" builtinId="8" hidden="1"/>
    <cellStyle name="Hipervínculo" xfId="73" builtinId="8" hidden="1"/>
    <cellStyle name="Hipervínculo" xfId="89" builtinId="8" hidden="1"/>
    <cellStyle name="Hipervínculo" xfId="105" builtinId="8" hidden="1"/>
    <cellStyle name="Hipervínculo" xfId="83" builtinId="8" hidden="1"/>
    <cellStyle name="Hipervínculo" xfId="87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91" builtinId="8" hidden="1"/>
    <cellStyle name="Hipervínculo" xfId="75" builtinId="8" hidden="1"/>
    <cellStyle name="Hipervínculo" xfId="79" builtinId="8" hidden="1"/>
    <cellStyle name="Hipervínculo" xfId="71" builtinId="8" hidden="1"/>
    <cellStyle name="Hipervínculo" xfId="67" builtinId="8" hidden="1"/>
    <cellStyle name="Hipervínculo visitado" xfId="32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6" builtinId="9" hidden="1"/>
    <cellStyle name="Hipervínculo visitado" xfId="52" builtinId="9" hidden="1"/>
    <cellStyle name="Hipervínculo visitado" xfId="3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4" builtinId="9" hidden="1"/>
    <cellStyle name="Hipervínculo visitado" xfId="20" builtinId="9" hidden="1"/>
    <cellStyle name="Hipervínculo visitado" xfId="6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Hipervínculo visitado" xfId="8" builtinId="9" hidden="1"/>
    <cellStyle name="Hipervínculo visitado" xfId="22" builtinId="9" hidden="1"/>
    <cellStyle name="Hipervínculo visitado" xfId="12" builtinId="9" hidden="1"/>
    <cellStyle name="Hipervínculo visitado" xfId="54" builtinId="9" hidden="1"/>
    <cellStyle name="Hipervínculo visitado" xfId="44" builtinId="9" hidden="1"/>
    <cellStyle name="Hipervínculo visitado" xfId="34" builtinId="9" hidden="1"/>
    <cellStyle name="Hipervínculo visitado" xfId="90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2" builtinId="9" hidden="1"/>
    <cellStyle name="Hipervínculo visitado" xfId="106" builtinId="9" hidden="1"/>
    <cellStyle name="Hipervínculo visitado" xfId="100" builtinId="9" hidden="1"/>
    <cellStyle name="Hipervínculo visitado" xfId="92" builtinId="9" hidden="1"/>
    <cellStyle name="Hipervínculo visitado" xfId="84" builtinId="9" hidden="1"/>
    <cellStyle name="Hipervínculo visitado" xfId="76" builtinId="9" hidden="1"/>
    <cellStyle name="Hipervínculo visitado" xfId="68" builtinId="9" hidden="1"/>
    <cellStyle name="Hipervínculo visitado" xfId="60" builtinId="9" hidden="1"/>
    <cellStyle name="Hipervínculo visitado" xfId="28" builtinId="9" hidden="1"/>
    <cellStyle name="Hipervínculo visitado" xfId="30" builtinId="9" hidden="1"/>
    <cellStyle name="Hipervínculo visitado" xfId="26" builtinId="9" hidden="1"/>
    <cellStyle name="Hipervínculo visitado" xfId="104" builtinId="9" hidden="1"/>
    <cellStyle name="Hipervínculo visitado" xfId="72" builtinId="9" hidden="1"/>
    <cellStyle name="Hipervínculo visitado" xfId="74" builtinId="9" hidden="1"/>
    <cellStyle name="Hipervínculo visitado" xfId="78" builtinId="9" hidden="1"/>
    <cellStyle name="Hipervínculo visitado" xfId="80" builtinId="9" hidden="1"/>
    <cellStyle name="Hipervínculo visitado" xfId="86" builtinId="9" hidden="1"/>
    <cellStyle name="Hipervínculo visitado" xfId="88" builtinId="9" hidden="1"/>
    <cellStyle name="Hipervínculo visitado" xfId="82" builtinId="9" hidden="1"/>
    <cellStyle name="Hipervínculo visitado" xfId="64" builtinId="9" hidden="1"/>
    <cellStyle name="Hipervínculo visitado" xfId="66" builtinId="9" hidden="1"/>
    <cellStyle name="Hipervínculo visitado" xfId="70" builtinId="9" hidden="1"/>
    <cellStyle name="Hipervínculo visitado" xfId="62" builtinId="9" hidden="1"/>
    <cellStyle name="Hipervínculo visitado" xfId="58" builtinId="9" hidden="1"/>
    <cellStyle name="Millares" xfId="109" builtinId="3"/>
    <cellStyle name="Moneda" xfId="114" builtinId="4"/>
    <cellStyle name="Moneda [0] 2" xfId="116" xr:uid="{00000000-0005-0000-0000-00006C000000}"/>
    <cellStyle name="Moneda 2" xfId="111" xr:uid="{00000000-0005-0000-0000-00006D000000}"/>
    <cellStyle name="Moneda 3" xfId="113" xr:uid="{00000000-0005-0000-0000-00006E000000}"/>
    <cellStyle name="Normal" xfId="0" builtinId="0"/>
    <cellStyle name="Normal 2" xfId="108" xr:uid="{00000000-0005-0000-0000-000070000000}"/>
    <cellStyle name="Normal 2 2" xfId="110" xr:uid="{00000000-0005-0000-0000-000071000000}"/>
    <cellStyle name="Normal 2 3" xfId="115" xr:uid="{00000000-0005-0000-0000-000072000000}"/>
    <cellStyle name="Porcentaje" xfId="107" builtinId="5"/>
    <cellStyle name="Porcentaje 2" xfId="112" xr:uid="{00000000-0005-0000-0000-000074000000}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382400</xdr:colOff>
      <xdr:row>0</xdr:row>
      <xdr:rowOff>6350</xdr:rowOff>
    </xdr:from>
    <xdr:to>
      <xdr:col>1</xdr:col>
      <xdr:colOff>526885</xdr:colOff>
      <xdr:row>4</xdr:row>
      <xdr:rowOff>7973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400" y="6350"/>
          <a:ext cx="614385" cy="731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14"/>
  <sheetViews>
    <sheetView showGridLines="0" tabSelected="1" topLeftCell="H1" zoomScale="60" zoomScaleNormal="60" workbookViewId="0">
      <pane ySplit="8" topLeftCell="A96" activePane="bottomLeft" state="frozen"/>
      <selection activeCell="D1" sqref="D1"/>
      <selection pane="bottomLeft" activeCell="AB103" sqref="AB103"/>
    </sheetView>
  </sheetViews>
  <sheetFormatPr baseColWidth="10" defaultColWidth="11.09765625" defaultRowHeight="13.8" x14ac:dyDescent="0.25"/>
  <cols>
    <col min="1" max="1" width="6.09765625" style="9" customWidth="1"/>
    <col min="2" max="2" width="26.59765625" style="1" customWidth="1"/>
    <col min="3" max="4" width="21.09765625" style="1" customWidth="1"/>
    <col min="5" max="5" width="50.19921875" style="1" customWidth="1"/>
    <col min="6" max="6" width="45.09765625" style="1" customWidth="1"/>
    <col min="7" max="7" width="16.59765625" style="1" customWidth="1"/>
    <col min="8" max="8" width="52.09765625" style="1" customWidth="1"/>
    <col min="9" max="9" width="38.59765625" style="10" customWidth="1"/>
    <col min="10" max="10" width="13.5" style="1" customWidth="1"/>
    <col min="11" max="11" width="16" style="1" customWidth="1"/>
    <col min="12" max="12" width="16.59765625" style="1" customWidth="1"/>
    <col min="13" max="14" width="14.8984375" style="1" customWidth="1"/>
    <col min="15" max="15" width="47.5" style="1" customWidth="1"/>
    <col min="16" max="16" width="24.8984375" style="1" customWidth="1"/>
    <col min="17" max="17" width="23.5" style="1" customWidth="1"/>
    <col min="18" max="19" width="17" style="1" customWidth="1"/>
    <col min="20" max="20" width="24" style="1" customWidth="1"/>
    <col min="21" max="21" width="23" style="1" customWidth="1"/>
    <col min="22" max="22" width="17.8984375" style="44" customWidth="1"/>
    <col min="23" max="23" width="19.59765625" style="44" customWidth="1"/>
    <col min="24" max="25" width="15.59765625" style="44" customWidth="1"/>
    <col min="26" max="26" width="18.8984375" style="44" customWidth="1"/>
    <col min="27" max="27" width="23.59765625" style="44" customWidth="1"/>
    <col min="28" max="28" width="16.09765625" style="44" customWidth="1"/>
    <col min="29" max="29" width="19.59765625" style="1" customWidth="1"/>
    <col min="30" max="30" width="19.69921875" style="1" customWidth="1"/>
    <col min="31" max="31" width="20.296875" style="1" customWidth="1"/>
    <col min="32" max="33" width="11.09765625" style="1" customWidth="1"/>
    <col min="34" max="16384" width="11.09765625" style="1"/>
  </cols>
  <sheetData>
    <row r="1" spans="1:73" ht="14.1" customHeight="1" x14ac:dyDescent="0.25">
      <c r="A1" s="163"/>
      <c r="B1" s="159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71" t="s">
        <v>250</v>
      </c>
      <c r="AD1" s="172"/>
      <c r="AE1" s="173"/>
    </row>
    <row r="2" spans="1:73" x14ac:dyDescent="0.25">
      <c r="A2" s="164"/>
      <c r="B2" s="161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71" t="s">
        <v>251</v>
      </c>
      <c r="AD2" s="172"/>
      <c r="AE2" s="173"/>
    </row>
    <row r="3" spans="1:73" ht="14.1" customHeight="1" x14ac:dyDescent="0.25">
      <c r="A3" s="164"/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71" t="s">
        <v>252</v>
      </c>
      <c r="AD3" s="172"/>
      <c r="AE3" s="173"/>
    </row>
    <row r="4" spans="1:73" x14ac:dyDescent="0.25">
      <c r="A4" s="165"/>
      <c r="B4" s="161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71" t="s">
        <v>253</v>
      </c>
      <c r="AD4" s="172"/>
      <c r="AE4" s="173"/>
    </row>
    <row r="5" spans="1:73" s="43" customFormat="1" x14ac:dyDescent="0.25">
      <c r="A5" s="166" t="s">
        <v>1</v>
      </c>
      <c r="B5" s="166"/>
      <c r="C5" s="166"/>
      <c r="D5" s="168">
        <v>45280</v>
      </c>
      <c r="E5" s="168"/>
      <c r="F5" s="168"/>
      <c r="G5" s="168"/>
      <c r="H5" s="97"/>
      <c r="I5" s="97"/>
      <c r="J5" s="97"/>
      <c r="K5" s="97"/>
      <c r="L5" s="98"/>
      <c r="M5" s="98"/>
      <c r="N5" s="98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97"/>
      <c r="AD5" s="99"/>
      <c r="AE5" s="45"/>
    </row>
    <row r="6" spans="1:73" s="43" customFormat="1" x14ac:dyDescent="0.25">
      <c r="A6" s="156" t="s">
        <v>2</v>
      </c>
      <c r="B6" s="157"/>
      <c r="C6" s="158"/>
      <c r="D6" s="167">
        <v>45275</v>
      </c>
      <c r="E6" s="167"/>
      <c r="F6" s="167"/>
      <c r="G6" s="167"/>
      <c r="H6" s="100"/>
      <c r="I6" s="100"/>
      <c r="J6" s="100"/>
      <c r="K6" s="100"/>
      <c r="L6" s="101"/>
      <c r="M6" s="102"/>
      <c r="N6" s="102"/>
      <c r="O6" s="103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4"/>
      <c r="AE6" s="105"/>
    </row>
    <row r="7" spans="1:73" s="43" customFormat="1" ht="15" customHeight="1" x14ac:dyDescent="0.25">
      <c r="A7" s="138" t="s">
        <v>3</v>
      </c>
      <c r="B7" s="139"/>
      <c r="C7" s="139"/>
      <c r="D7" s="139"/>
      <c r="E7" s="139"/>
      <c r="F7" s="140"/>
      <c r="G7" s="138" t="s">
        <v>4</v>
      </c>
      <c r="H7" s="139"/>
      <c r="I7" s="139"/>
      <c r="J7" s="139"/>
      <c r="K7" s="140"/>
      <c r="L7" s="138" t="s">
        <v>5</v>
      </c>
      <c r="M7" s="139"/>
      <c r="N7" s="139"/>
      <c r="O7" s="138" t="s">
        <v>6</v>
      </c>
      <c r="P7" s="139"/>
      <c r="Q7" s="139"/>
      <c r="R7" s="139"/>
      <c r="S7" s="139"/>
      <c r="T7" s="139"/>
      <c r="U7" s="140"/>
      <c r="V7" s="147" t="s">
        <v>87</v>
      </c>
      <c r="W7" s="147"/>
      <c r="X7" s="147"/>
      <c r="Y7" s="147"/>
      <c r="Z7" s="147"/>
      <c r="AA7" s="147"/>
      <c r="AB7" s="154" t="s">
        <v>7</v>
      </c>
      <c r="AC7" s="154" t="s">
        <v>8</v>
      </c>
      <c r="AD7" s="148" t="s">
        <v>9</v>
      </c>
      <c r="AE7" s="149"/>
    </row>
    <row r="8" spans="1:73" s="43" customFormat="1" ht="41.4" x14ac:dyDescent="0.25">
      <c r="A8" s="12" t="s">
        <v>10</v>
      </c>
      <c r="B8" s="13" t="s">
        <v>11</v>
      </c>
      <c r="C8" s="12" t="s">
        <v>12</v>
      </c>
      <c r="D8" s="12" t="s">
        <v>13</v>
      </c>
      <c r="E8" s="12" t="s">
        <v>14</v>
      </c>
      <c r="F8" s="13" t="s">
        <v>15</v>
      </c>
      <c r="G8" s="13" t="s">
        <v>88</v>
      </c>
      <c r="H8" s="13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21</v>
      </c>
      <c r="N8" s="13" t="s">
        <v>142</v>
      </c>
      <c r="O8" s="67" t="s">
        <v>22</v>
      </c>
      <c r="P8" s="13" t="s">
        <v>23</v>
      </c>
      <c r="Q8" s="13" t="s">
        <v>24</v>
      </c>
      <c r="R8" s="13" t="s">
        <v>25</v>
      </c>
      <c r="S8" s="13" t="s">
        <v>26</v>
      </c>
      <c r="T8" s="13" t="s">
        <v>27</v>
      </c>
      <c r="U8" s="13" t="s">
        <v>28</v>
      </c>
      <c r="V8" s="2" t="s">
        <v>23</v>
      </c>
      <c r="W8" s="2" t="s">
        <v>24</v>
      </c>
      <c r="X8" s="2" t="s">
        <v>25</v>
      </c>
      <c r="Y8" s="2" t="s">
        <v>26</v>
      </c>
      <c r="Z8" s="2" t="s">
        <v>27</v>
      </c>
      <c r="AA8" s="2" t="s">
        <v>115</v>
      </c>
      <c r="AB8" s="155"/>
      <c r="AC8" s="155"/>
      <c r="AD8" s="13" t="s">
        <v>29</v>
      </c>
      <c r="AE8" s="13" t="s">
        <v>30</v>
      </c>
    </row>
    <row r="9" spans="1:73" s="43" customFormat="1" ht="62.25" customHeight="1" x14ac:dyDescent="0.25">
      <c r="A9" s="8">
        <v>160</v>
      </c>
      <c r="B9" s="3" t="s">
        <v>31</v>
      </c>
      <c r="C9" s="3" t="s">
        <v>32</v>
      </c>
      <c r="D9" s="3" t="s">
        <v>33</v>
      </c>
      <c r="E9" s="4" t="s">
        <v>34</v>
      </c>
      <c r="F9" s="31" t="s">
        <v>35</v>
      </c>
      <c r="G9" s="61">
        <v>2023680010026</v>
      </c>
      <c r="H9" s="5" t="s">
        <v>159</v>
      </c>
      <c r="I9" s="14"/>
      <c r="J9" s="15">
        <v>44927</v>
      </c>
      <c r="K9" s="15">
        <v>45291</v>
      </c>
      <c r="L9" s="41">
        <v>1</v>
      </c>
      <c r="M9" s="16">
        <v>0.1</v>
      </c>
      <c r="N9" s="55">
        <f>IFERROR(IF(M9/L9&gt;100%,100%,M9/L9),"-")</f>
        <v>0.1</v>
      </c>
      <c r="O9" s="68" t="s">
        <v>160</v>
      </c>
      <c r="P9" s="50"/>
      <c r="Q9" s="25">
        <v>1899370856.24</v>
      </c>
      <c r="R9" s="58"/>
      <c r="S9" s="58"/>
      <c r="T9" s="51"/>
      <c r="U9" s="17">
        <f>SUM(P9:T9)</f>
        <v>1899370856.24</v>
      </c>
      <c r="V9" s="25"/>
      <c r="W9" s="25">
        <v>1899370856.24</v>
      </c>
      <c r="X9" s="58"/>
      <c r="Y9" s="58"/>
      <c r="Z9" s="59"/>
      <c r="AA9" s="17">
        <f>SUM(V9:Z9)</f>
        <v>1899370856.24</v>
      </c>
      <c r="AB9" s="18">
        <f>IFERROR(AA9/U9,"-")</f>
        <v>1</v>
      </c>
      <c r="AC9" s="19"/>
      <c r="AD9" s="20" t="s">
        <v>36</v>
      </c>
      <c r="AE9" s="21" t="s">
        <v>37</v>
      </c>
    </row>
    <row r="10" spans="1:73" s="43" customFormat="1" ht="54" customHeight="1" x14ac:dyDescent="0.25">
      <c r="A10" s="8">
        <v>161</v>
      </c>
      <c r="B10" s="3" t="s">
        <v>31</v>
      </c>
      <c r="C10" s="3" t="s">
        <v>32</v>
      </c>
      <c r="D10" s="3" t="s">
        <v>33</v>
      </c>
      <c r="E10" s="4" t="s">
        <v>38</v>
      </c>
      <c r="F10" s="31" t="s">
        <v>39</v>
      </c>
      <c r="G10" s="61"/>
      <c r="H10" s="5" t="s">
        <v>89</v>
      </c>
      <c r="I10" s="14"/>
      <c r="J10" s="15">
        <v>44927</v>
      </c>
      <c r="K10" s="15">
        <v>45291</v>
      </c>
      <c r="L10" s="41">
        <v>1</v>
      </c>
      <c r="M10" s="16">
        <v>0</v>
      </c>
      <c r="N10" s="55">
        <f t="shared" ref="N10:N16" si="0">IFERROR(IF(M10/L10&gt;100%,100%,M10/L10),"-")</f>
        <v>0</v>
      </c>
      <c r="O10" s="93"/>
      <c r="P10" s="50"/>
      <c r="Q10" s="25"/>
      <c r="R10" s="58"/>
      <c r="S10" s="58"/>
      <c r="T10" s="51"/>
      <c r="U10" s="17">
        <f>SUM(P10:T10)</f>
        <v>0</v>
      </c>
      <c r="V10" s="25"/>
      <c r="W10" s="58"/>
      <c r="X10" s="58"/>
      <c r="Y10" s="58"/>
      <c r="Z10" s="59"/>
      <c r="AA10" s="17">
        <f>SUM(V10:Z10)</f>
        <v>0</v>
      </c>
      <c r="AB10" s="18" t="str">
        <f>IFERROR(AA10/U10,"-")</f>
        <v>-</v>
      </c>
      <c r="AC10" s="22"/>
      <c r="AD10" s="20" t="s">
        <v>36</v>
      </c>
      <c r="AE10" s="21" t="s">
        <v>37</v>
      </c>
    </row>
    <row r="11" spans="1:73" s="43" customFormat="1" ht="104.25" customHeight="1" x14ac:dyDescent="0.25">
      <c r="A11" s="2">
        <v>191</v>
      </c>
      <c r="B11" s="3" t="s">
        <v>40</v>
      </c>
      <c r="C11" s="3" t="s">
        <v>41</v>
      </c>
      <c r="D11" s="3" t="s">
        <v>42</v>
      </c>
      <c r="E11" s="4" t="s">
        <v>43</v>
      </c>
      <c r="F11" s="31" t="s">
        <v>44</v>
      </c>
      <c r="G11" s="61">
        <v>2023680010012</v>
      </c>
      <c r="H11" s="5" t="s">
        <v>150</v>
      </c>
      <c r="I11" s="23"/>
      <c r="J11" s="15">
        <v>44927</v>
      </c>
      <c r="K11" s="15">
        <v>45291</v>
      </c>
      <c r="L11" s="143">
        <v>1</v>
      </c>
      <c r="M11" s="145">
        <v>1</v>
      </c>
      <c r="N11" s="123">
        <f t="shared" si="0"/>
        <v>1</v>
      </c>
      <c r="O11" s="68" t="s">
        <v>201</v>
      </c>
      <c r="P11" s="50">
        <f>300000000+500000000</f>
        <v>800000000</v>
      </c>
      <c r="Q11" s="25"/>
      <c r="R11" s="58"/>
      <c r="S11" s="58"/>
      <c r="T11" s="51"/>
      <c r="U11" s="106">
        <f>SUM(P11:T12)</f>
        <v>1067379215.4400001</v>
      </c>
      <c r="V11" s="50">
        <v>799428799</v>
      </c>
      <c r="W11" s="58"/>
      <c r="X11" s="58"/>
      <c r="Y11" s="58"/>
      <c r="Z11" s="59"/>
      <c r="AA11" s="106">
        <f>SUM(V11:Z12)</f>
        <v>1066806329</v>
      </c>
      <c r="AB11" s="109">
        <f>IFERROR(AA11/U11,"-")</f>
        <v>0.99946327750089836</v>
      </c>
      <c r="AC11" s="112"/>
      <c r="AD11" s="115" t="s">
        <v>36</v>
      </c>
      <c r="AE11" s="118" t="s">
        <v>37</v>
      </c>
    </row>
    <row r="12" spans="1:73" s="43" customFormat="1" ht="104.25" customHeight="1" x14ac:dyDescent="0.25">
      <c r="A12" s="2">
        <v>191</v>
      </c>
      <c r="B12" s="3" t="s">
        <v>40</v>
      </c>
      <c r="C12" s="3" t="s">
        <v>41</v>
      </c>
      <c r="D12" s="3" t="s">
        <v>42</v>
      </c>
      <c r="E12" s="4" t="s">
        <v>43</v>
      </c>
      <c r="F12" s="72" t="s">
        <v>44</v>
      </c>
      <c r="G12" s="61">
        <v>2023680010051</v>
      </c>
      <c r="H12" s="5" t="s">
        <v>211</v>
      </c>
      <c r="I12" s="23"/>
      <c r="J12" s="15">
        <v>44927</v>
      </c>
      <c r="K12" s="15">
        <v>45291</v>
      </c>
      <c r="L12" s="144"/>
      <c r="M12" s="146"/>
      <c r="N12" s="124"/>
      <c r="O12" s="68" t="s">
        <v>191</v>
      </c>
      <c r="P12" s="50">
        <v>267379215.44</v>
      </c>
      <c r="Q12" s="25"/>
      <c r="R12" s="58"/>
      <c r="S12" s="58"/>
      <c r="T12" s="51"/>
      <c r="U12" s="108"/>
      <c r="V12" s="25">
        <v>267377530</v>
      </c>
      <c r="W12" s="58"/>
      <c r="X12" s="58"/>
      <c r="Y12" s="58"/>
      <c r="Z12" s="59"/>
      <c r="AA12" s="108"/>
      <c r="AB12" s="111"/>
      <c r="AC12" s="114"/>
      <c r="AD12" s="117"/>
      <c r="AE12" s="120"/>
    </row>
    <row r="13" spans="1:73" s="43" customFormat="1" ht="82.8" x14ac:dyDescent="0.25">
      <c r="A13" s="8">
        <v>208</v>
      </c>
      <c r="B13" s="3" t="s">
        <v>40</v>
      </c>
      <c r="C13" s="3" t="s">
        <v>45</v>
      </c>
      <c r="D13" s="3" t="s">
        <v>46</v>
      </c>
      <c r="E13" s="4" t="s">
        <v>47</v>
      </c>
      <c r="F13" s="31" t="s">
        <v>48</v>
      </c>
      <c r="G13" s="62"/>
      <c r="H13" s="5" t="s">
        <v>89</v>
      </c>
      <c r="I13" s="14"/>
      <c r="J13" s="15">
        <v>44927</v>
      </c>
      <c r="K13" s="15">
        <v>45291</v>
      </c>
      <c r="L13" s="42">
        <v>0</v>
      </c>
      <c r="M13" s="24">
        <v>0</v>
      </c>
      <c r="N13" s="55" t="str">
        <f t="shared" si="0"/>
        <v>-</v>
      </c>
      <c r="O13" s="93"/>
      <c r="P13" s="50"/>
      <c r="Q13" s="28"/>
      <c r="R13" s="26"/>
      <c r="S13" s="26"/>
      <c r="T13" s="51"/>
      <c r="U13" s="17">
        <f>SUM(P13:T13)</f>
        <v>0</v>
      </c>
      <c r="V13" s="25"/>
      <c r="W13" s="26"/>
      <c r="X13" s="26"/>
      <c r="Y13" s="26"/>
      <c r="Z13" s="29"/>
      <c r="AA13" s="17">
        <f>SUM(V13:Z13)</f>
        <v>0</v>
      </c>
      <c r="AB13" s="18" t="str">
        <f>IFERROR(AA13/U13,"-")</f>
        <v>-</v>
      </c>
      <c r="AC13" s="27"/>
      <c r="AD13" s="20" t="s">
        <v>36</v>
      </c>
      <c r="AE13" s="21" t="s">
        <v>37</v>
      </c>
    </row>
    <row r="14" spans="1:73" s="43" customFormat="1" ht="82.8" x14ac:dyDescent="0.25">
      <c r="A14" s="8">
        <v>209</v>
      </c>
      <c r="B14" s="3" t="s">
        <v>40</v>
      </c>
      <c r="C14" s="3" t="s">
        <v>45</v>
      </c>
      <c r="D14" s="3" t="s">
        <v>46</v>
      </c>
      <c r="E14" s="4" t="s">
        <v>49</v>
      </c>
      <c r="F14" s="31" t="s">
        <v>50</v>
      </c>
      <c r="G14" s="61">
        <v>2022680010102</v>
      </c>
      <c r="H14" s="5" t="s">
        <v>90</v>
      </c>
      <c r="I14" s="14"/>
      <c r="J14" s="15">
        <v>44927</v>
      </c>
      <c r="K14" s="15">
        <v>45291</v>
      </c>
      <c r="L14" s="41">
        <v>1</v>
      </c>
      <c r="M14" s="16">
        <v>0.1</v>
      </c>
      <c r="N14" s="55">
        <f t="shared" si="0"/>
        <v>0.1</v>
      </c>
      <c r="O14" s="68" t="s">
        <v>117</v>
      </c>
      <c r="P14" s="51"/>
      <c r="Q14" s="28">
        <v>2677679181.7600002</v>
      </c>
      <c r="R14" s="26"/>
      <c r="S14" s="26"/>
      <c r="T14" s="50">
        <v>250656246</v>
      </c>
      <c r="U14" s="17">
        <f>SUM(P14:T14)</f>
        <v>2928335427.7600002</v>
      </c>
      <c r="V14" s="25"/>
      <c r="W14" s="28">
        <v>2677679181.7600002</v>
      </c>
      <c r="X14" s="26"/>
      <c r="Y14" s="26"/>
      <c r="Z14" s="50">
        <v>250656246</v>
      </c>
      <c r="AA14" s="17">
        <f>SUM(V14:Z14)</f>
        <v>2928335427.7600002</v>
      </c>
      <c r="AB14" s="18">
        <f>IFERROR(AA14/U14,"-")</f>
        <v>1</v>
      </c>
      <c r="AC14" s="22"/>
      <c r="AD14" s="20" t="s">
        <v>36</v>
      </c>
      <c r="AE14" s="21" t="s">
        <v>37</v>
      </c>
    </row>
    <row r="15" spans="1:73" s="44" customFormat="1" ht="82.8" x14ac:dyDescent="0.25">
      <c r="A15" s="8">
        <v>210</v>
      </c>
      <c r="B15" s="3" t="s">
        <v>40</v>
      </c>
      <c r="C15" s="3" t="s">
        <v>45</v>
      </c>
      <c r="D15" s="3" t="s">
        <v>46</v>
      </c>
      <c r="E15" s="4" t="s">
        <v>106</v>
      </c>
      <c r="F15" s="31" t="s">
        <v>107</v>
      </c>
      <c r="G15" s="63"/>
      <c r="H15" s="5" t="s">
        <v>108</v>
      </c>
      <c r="I15" s="14"/>
      <c r="J15" s="15">
        <v>44927</v>
      </c>
      <c r="K15" s="15">
        <v>45291</v>
      </c>
      <c r="L15" s="42">
        <v>0</v>
      </c>
      <c r="M15" s="24">
        <v>0</v>
      </c>
      <c r="N15" s="55" t="str">
        <f t="shared" si="0"/>
        <v>-</v>
      </c>
      <c r="O15" s="94"/>
      <c r="P15" s="28"/>
      <c r="Q15" s="26"/>
      <c r="R15" s="26"/>
      <c r="S15" s="50"/>
      <c r="T15" s="60"/>
      <c r="U15" s="17">
        <f>SUM(P15:T15)</f>
        <v>0</v>
      </c>
      <c r="V15" s="26"/>
      <c r="W15" s="26"/>
      <c r="X15" s="26"/>
      <c r="Y15" s="29"/>
      <c r="Z15" s="60"/>
      <c r="AA15" s="17">
        <f>SUM(V15:Z15)</f>
        <v>0</v>
      </c>
      <c r="AB15" s="18" t="str">
        <f>IFERROR(AA15/U15,"-")</f>
        <v>-</v>
      </c>
      <c r="AC15" s="19"/>
      <c r="AD15" s="20" t="s">
        <v>36</v>
      </c>
      <c r="AE15" s="21" t="s">
        <v>37</v>
      </c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</row>
    <row r="16" spans="1:73" s="43" customFormat="1" ht="49.95" customHeight="1" x14ac:dyDescent="0.25">
      <c r="A16" s="8">
        <v>214</v>
      </c>
      <c r="B16" s="3" t="s">
        <v>51</v>
      </c>
      <c r="C16" s="3" t="s">
        <v>52</v>
      </c>
      <c r="D16" s="3" t="s">
        <v>53</v>
      </c>
      <c r="E16" s="4" t="s">
        <v>54</v>
      </c>
      <c r="F16" s="31" t="s">
        <v>55</v>
      </c>
      <c r="G16" s="63">
        <v>2022680010040</v>
      </c>
      <c r="H16" s="5" t="s">
        <v>91</v>
      </c>
      <c r="I16" s="14"/>
      <c r="J16" s="15">
        <v>44927</v>
      </c>
      <c r="K16" s="15">
        <v>45291</v>
      </c>
      <c r="L16" s="150">
        <v>1</v>
      </c>
      <c r="M16" s="145">
        <v>1</v>
      </c>
      <c r="N16" s="123">
        <f t="shared" si="0"/>
        <v>1</v>
      </c>
      <c r="O16" s="68" t="s">
        <v>148</v>
      </c>
      <c r="P16" s="50">
        <f>1320249725+85470000+91245000+601440848</f>
        <v>2098405573</v>
      </c>
      <c r="Q16" s="28"/>
      <c r="R16" s="26"/>
      <c r="S16" s="26"/>
      <c r="T16" s="51"/>
      <c r="U16" s="136">
        <f>SUM(P16:T19)</f>
        <v>8500061053.7300005</v>
      </c>
      <c r="V16" s="25">
        <f>1320249725+161081666.67+601440848+3210000</f>
        <v>2085982239.6700001</v>
      </c>
      <c r="W16" s="26"/>
      <c r="X16" s="26"/>
      <c r="Y16" s="26"/>
      <c r="Z16" s="29"/>
      <c r="AA16" s="136">
        <f>SUM(V16:Z19)</f>
        <v>8406387249.4800005</v>
      </c>
      <c r="AB16" s="109">
        <f>IFERROR(AA16/U16,"-")</f>
        <v>0.98897963159818791</v>
      </c>
      <c r="AC16" s="137"/>
      <c r="AD16" s="115" t="s">
        <v>36</v>
      </c>
      <c r="AE16" s="129" t="s">
        <v>37</v>
      </c>
    </row>
    <row r="17" spans="1:31" s="43" customFormat="1" ht="49.95" customHeight="1" x14ac:dyDescent="0.25">
      <c r="A17" s="8">
        <v>214</v>
      </c>
      <c r="B17" s="3" t="s">
        <v>51</v>
      </c>
      <c r="C17" s="3" t="s">
        <v>52</v>
      </c>
      <c r="D17" s="3" t="s">
        <v>53</v>
      </c>
      <c r="E17" s="4" t="s">
        <v>54</v>
      </c>
      <c r="F17" s="31" t="s">
        <v>55</v>
      </c>
      <c r="G17" s="63">
        <v>2023680010018</v>
      </c>
      <c r="H17" s="5" t="s">
        <v>161</v>
      </c>
      <c r="I17" s="14"/>
      <c r="J17" s="15">
        <v>44927</v>
      </c>
      <c r="K17" s="15">
        <v>45291</v>
      </c>
      <c r="L17" s="151"/>
      <c r="M17" s="153"/>
      <c r="N17" s="132"/>
      <c r="O17" s="68" t="s">
        <v>162</v>
      </c>
      <c r="P17" s="50"/>
      <c r="Q17" s="28">
        <v>680719160.07000005</v>
      </c>
      <c r="R17" s="26"/>
      <c r="S17" s="26"/>
      <c r="T17" s="51"/>
      <c r="U17" s="136"/>
      <c r="V17" s="25"/>
      <c r="W17" s="46">
        <v>659773955.14999998</v>
      </c>
      <c r="X17" s="26"/>
      <c r="Y17" s="26"/>
      <c r="Z17" s="29"/>
      <c r="AA17" s="136"/>
      <c r="AB17" s="110"/>
      <c r="AC17" s="137"/>
      <c r="AD17" s="116"/>
      <c r="AE17" s="129"/>
    </row>
    <row r="18" spans="1:31" s="43" customFormat="1" ht="49.95" customHeight="1" x14ac:dyDescent="0.25">
      <c r="A18" s="8">
        <v>214</v>
      </c>
      <c r="B18" s="3" t="s">
        <v>51</v>
      </c>
      <c r="C18" s="3" t="s">
        <v>52</v>
      </c>
      <c r="D18" s="3" t="s">
        <v>53</v>
      </c>
      <c r="E18" s="4" t="s">
        <v>54</v>
      </c>
      <c r="F18" s="31" t="s">
        <v>55</v>
      </c>
      <c r="G18" s="63">
        <v>2023680010019</v>
      </c>
      <c r="H18" s="5" t="s">
        <v>192</v>
      </c>
      <c r="I18" s="14"/>
      <c r="J18" s="15">
        <v>44927</v>
      </c>
      <c r="K18" s="15">
        <v>45291</v>
      </c>
      <c r="L18" s="151"/>
      <c r="M18" s="153"/>
      <c r="N18" s="132"/>
      <c r="O18" s="68" t="s">
        <v>193</v>
      </c>
      <c r="P18" s="50">
        <v>10386590.23</v>
      </c>
      <c r="Q18" s="28"/>
      <c r="R18" s="26"/>
      <c r="S18" s="26"/>
      <c r="T18" s="51"/>
      <c r="U18" s="136"/>
      <c r="V18" s="50">
        <v>10386590.23</v>
      </c>
      <c r="W18" s="46"/>
      <c r="X18" s="26"/>
      <c r="Y18" s="26"/>
      <c r="Z18" s="29"/>
      <c r="AA18" s="136"/>
      <c r="AB18" s="110"/>
      <c r="AC18" s="137"/>
      <c r="AD18" s="116"/>
      <c r="AE18" s="129"/>
    </row>
    <row r="19" spans="1:31" s="43" customFormat="1" ht="69" x14ac:dyDescent="0.25">
      <c r="A19" s="8">
        <v>214</v>
      </c>
      <c r="B19" s="3" t="s">
        <v>51</v>
      </c>
      <c r="C19" s="3" t="s">
        <v>52</v>
      </c>
      <c r="D19" s="3" t="s">
        <v>53</v>
      </c>
      <c r="E19" s="4" t="s">
        <v>54</v>
      </c>
      <c r="F19" s="31" t="s">
        <v>55</v>
      </c>
      <c r="G19" s="63">
        <v>2022680010043</v>
      </c>
      <c r="H19" s="5" t="s">
        <v>92</v>
      </c>
      <c r="I19" s="14"/>
      <c r="J19" s="15">
        <v>44927</v>
      </c>
      <c r="K19" s="15">
        <v>45291</v>
      </c>
      <c r="L19" s="152"/>
      <c r="M19" s="146"/>
      <c r="N19" s="124"/>
      <c r="O19" s="68" t="s">
        <v>190</v>
      </c>
      <c r="P19" s="50">
        <f>3690578454+78978925.5</f>
        <v>3769557379.5</v>
      </c>
      <c r="Q19" s="28">
        <v>1940992350.9300001</v>
      </c>
      <c r="R19" s="26"/>
      <c r="S19" s="26"/>
      <c r="T19" s="51"/>
      <c r="U19" s="136"/>
      <c r="V19" s="25">
        <v>5650244464.4300003</v>
      </c>
      <c r="W19" s="26"/>
      <c r="X19" s="26"/>
      <c r="Y19" s="26"/>
      <c r="Z19" s="29"/>
      <c r="AA19" s="136"/>
      <c r="AB19" s="111"/>
      <c r="AC19" s="137"/>
      <c r="AD19" s="117"/>
      <c r="AE19" s="129"/>
    </row>
    <row r="20" spans="1:31" s="43" customFormat="1" ht="69" x14ac:dyDescent="0.25">
      <c r="A20" s="8">
        <v>215</v>
      </c>
      <c r="B20" s="3" t="s">
        <v>51</v>
      </c>
      <c r="C20" s="3" t="s">
        <v>52</v>
      </c>
      <c r="D20" s="3" t="s">
        <v>56</v>
      </c>
      <c r="E20" s="4" t="s">
        <v>57</v>
      </c>
      <c r="F20" s="31" t="s">
        <v>58</v>
      </c>
      <c r="G20" s="63">
        <v>2022680010049</v>
      </c>
      <c r="H20" s="5" t="s">
        <v>93</v>
      </c>
      <c r="I20" s="14"/>
      <c r="J20" s="15">
        <v>44927</v>
      </c>
      <c r="K20" s="15">
        <v>45291</v>
      </c>
      <c r="L20" s="125">
        <v>0</v>
      </c>
      <c r="M20" s="127">
        <f>20047.35+19600+3670+19857.23+4109.78</f>
        <v>67284.36</v>
      </c>
      <c r="N20" s="123" t="str">
        <f>IFERROR(IF(M20/L20&gt;100%,100%,M20/L20),"-")</f>
        <v>-</v>
      </c>
      <c r="O20" s="68" t="s">
        <v>231</v>
      </c>
      <c r="P20" s="52">
        <f>4168994307.49+178766916.96</f>
        <v>4347761224.4499998</v>
      </c>
      <c r="Q20" s="28">
        <v>3998939014</v>
      </c>
      <c r="R20" s="26"/>
      <c r="S20" s="26"/>
      <c r="T20" s="53"/>
      <c r="U20" s="106">
        <f>SUM(P20:T62)</f>
        <v>99668685130.369995</v>
      </c>
      <c r="V20" s="25">
        <f>4168994307.49+178766916.96</f>
        <v>4347761224.4499998</v>
      </c>
      <c r="W20" s="46">
        <v>3998939014</v>
      </c>
      <c r="X20" s="26"/>
      <c r="Y20" s="26"/>
      <c r="Z20" s="29"/>
      <c r="AA20" s="106">
        <f>SUM(V20:Z62)</f>
        <v>77944578691.059998</v>
      </c>
      <c r="AB20" s="109">
        <f>IFERROR(AA20/U20,"-")</f>
        <v>0.78203679108544344</v>
      </c>
      <c r="AC20" s="112"/>
      <c r="AD20" s="115" t="s">
        <v>36</v>
      </c>
      <c r="AE20" s="115" t="s">
        <v>37</v>
      </c>
    </row>
    <row r="21" spans="1:31" s="43" customFormat="1" ht="59.25" customHeight="1" x14ac:dyDescent="0.25">
      <c r="A21" s="8">
        <v>215</v>
      </c>
      <c r="B21" s="3" t="s">
        <v>51</v>
      </c>
      <c r="C21" s="3" t="s">
        <v>52</v>
      </c>
      <c r="D21" s="3" t="s">
        <v>56</v>
      </c>
      <c r="E21" s="4" t="s">
        <v>57</v>
      </c>
      <c r="F21" s="31" t="s">
        <v>58</v>
      </c>
      <c r="G21" s="63">
        <v>2022680010046</v>
      </c>
      <c r="H21" s="5" t="s">
        <v>94</v>
      </c>
      <c r="I21" s="14"/>
      <c r="J21" s="15">
        <v>44927</v>
      </c>
      <c r="K21" s="15">
        <v>45291</v>
      </c>
      <c r="L21" s="141"/>
      <c r="M21" s="142"/>
      <c r="N21" s="132"/>
      <c r="O21" s="68" t="s">
        <v>119</v>
      </c>
      <c r="P21" s="52">
        <v>5595006016.8400002</v>
      </c>
      <c r="Q21" s="25"/>
      <c r="R21" s="26"/>
      <c r="S21" s="26"/>
      <c r="T21" s="53"/>
      <c r="U21" s="107"/>
      <c r="V21" s="25">
        <v>5595006016.8400002</v>
      </c>
      <c r="W21" s="25"/>
      <c r="X21" s="26"/>
      <c r="Y21" s="26"/>
      <c r="Z21" s="29"/>
      <c r="AA21" s="107"/>
      <c r="AB21" s="110"/>
      <c r="AC21" s="113"/>
      <c r="AD21" s="116"/>
      <c r="AE21" s="116"/>
    </row>
    <row r="22" spans="1:31" s="43" customFormat="1" ht="59.25" customHeight="1" x14ac:dyDescent="0.25">
      <c r="A22" s="8">
        <v>215</v>
      </c>
      <c r="B22" s="3" t="s">
        <v>51</v>
      </c>
      <c r="C22" s="3" t="s">
        <v>52</v>
      </c>
      <c r="D22" s="3" t="s">
        <v>56</v>
      </c>
      <c r="E22" s="4" t="s">
        <v>57</v>
      </c>
      <c r="F22" s="31" t="s">
        <v>58</v>
      </c>
      <c r="G22" s="63"/>
      <c r="H22" s="5" t="s">
        <v>239</v>
      </c>
      <c r="I22" s="14"/>
      <c r="J22" s="15">
        <v>44927</v>
      </c>
      <c r="K22" s="15">
        <v>45291</v>
      </c>
      <c r="L22" s="141"/>
      <c r="M22" s="142"/>
      <c r="N22" s="132"/>
      <c r="O22" s="68" t="s">
        <v>240</v>
      </c>
      <c r="P22" s="52">
        <f>172368815+461092280.14</f>
        <v>633461095.13999999</v>
      </c>
      <c r="Q22" s="92"/>
      <c r="R22" s="26"/>
      <c r="S22" s="26"/>
      <c r="T22" s="53"/>
      <c r="U22" s="107"/>
      <c r="V22" s="25"/>
      <c r="W22" s="25"/>
      <c r="X22" s="26"/>
      <c r="Y22" s="26"/>
      <c r="Z22" s="29"/>
      <c r="AA22" s="107"/>
      <c r="AB22" s="110"/>
      <c r="AC22" s="113"/>
      <c r="AD22" s="116"/>
      <c r="AE22" s="116"/>
    </row>
    <row r="23" spans="1:31" s="43" customFormat="1" ht="72" customHeight="1" x14ac:dyDescent="0.25">
      <c r="A23" s="8">
        <v>215</v>
      </c>
      <c r="B23" s="3" t="s">
        <v>51</v>
      </c>
      <c r="C23" s="3" t="s">
        <v>52</v>
      </c>
      <c r="D23" s="3" t="s">
        <v>56</v>
      </c>
      <c r="E23" s="4" t="s">
        <v>57</v>
      </c>
      <c r="F23" s="31" t="s">
        <v>58</v>
      </c>
      <c r="G23" s="63">
        <v>2022680010054</v>
      </c>
      <c r="H23" s="5" t="s">
        <v>86</v>
      </c>
      <c r="I23" s="14"/>
      <c r="J23" s="15">
        <v>44927</v>
      </c>
      <c r="K23" s="15">
        <v>45291</v>
      </c>
      <c r="L23" s="141"/>
      <c r="M23" s="142"/>
      <c r="N23" s="132"/>
      <c r="O23" s="68" t="s">
        <v>119</v>
      </c>
      <c r="P23" s="52">
        <v>6976351160</v>
      </c>
      <c r="Q23" s="75"/>
      <c r="R23" s="26"/>
      <c r="S23" s="26"/>
      <c r="T23" s="53"/>
      <c r="U23" s="107"/>
      <c r="V23" s="25">
        <v>6976351160</v>
      </c>
      <c r="W23" s="25"/>
      <c r="X23" s="26"/>
      <c r="Y23" s="26"/>
      <c r="Z23" s="29"/>
      <c r="AA23" s="107"/>
      <c r="AB23" s="110"/>
      <c r="AC23" s="113"/>
      <c r="AD23" s="116"/>
      <c r="AE23" s="116"/>
    </row>
    <row r="24" spans="1:31" s="43" customFormat="1" ht="73.5" customHeight="1" x14ac:dyDescent="0.25">
      <c r="A24" s="8">
        <v>215</v>
      </c>
      <c r="B24" s="3" t="s">
        <v>51</v>
      </c>
      <c r="C24" s="3" t="s">
        <v>52</v>
      </c>
      <c r="D24" s="3" t="s">
        <v>56</v>
      </c>
      <c r="E24" s="4" t="s">
        <v>57</v>
      </c>
      <c r="F24" s="31" t="s">
        <v>58</v>
      </c>
      <c r="G24" s="63">
        <v>2023680010054</v>
      </c>
      <c r="H24" s="5" t="s">
        <v>209</v>
      </c>
      <c r="I24" s="14"/>
      <c r="J24" s="15">
        <v>44927</v>
      </c>
      <c r="K24" s="15">
        <v>45291</v>
      </c>
      <c r="L24" s="141"/>
      <c r="M24" s="142"/>
      <c r="N24" s="132"/>
      <c r="O24" s="68" t="s">
        <v>119</v>
      </c>
      <c r="P24" s="52">
        <v>973860494</v>
      </c>
      <c r="Q24" s="75"/>
      <c r="R24" s="26"/>
      <c r="S24" s="26"/>
      <c r="T24" s="53"/>
      <c r="U24" s="107"/>
      <c r="V24" s="25">
        <v>866841849</v>
      </c>
      <c r="W24" s="25"/>
      <c r="X24" s="26"/>
      <c r="Y24" s="26"/>
      <c r="Z24" s="29"/>
      <c r="AA24" s="107"/>
      <c r="AB24" s="110"/>
      <c r="AC24" s="113"/>
      <c r="AD24" s="116"/>
      <c r="AE24" s="116"/>
    </row>
    <row r="25" spans="1:31" s="43" customFormat="1" ht="66.75" customHeight="1" x14ac:dyDescent="0.25">
      <c r="A25" s="8">
        <v>215</v>
      </c>
      <c r="B25" s="3" t="s">
        <v>51</v>
      </c>
      <c r="C25" s="3" t="s">
        <v>52</v>
      </c>
      <c r="D25" s="3" t="s">
        <v>56</v>
      </c>
      <c r="E25" s="4" t="s">
        <v>57</v>
      </c>
      <c r="F25" s="31" t="s">
        <v>58</v>
      </c>
      <c r="G25" s="63">
        <v>2023680010008</v>
      </c>
      <c r="H25" s="5" t="s">
        <v>151</v>
      </c>
      <c r="I25" s="30"/>
      <c r="J25" s="15">
        <v>44927</v>
      </c>
      <c r="K25" s="15">
        <v>45291</v>
      </c>
      <c r="L25" s="141"/>
      <c r="M25" s="142"/>
      <c r="N25" s="132"/>
      <c r="O25" s="56" t="s">
        <v>119</v>
      </c>
      <c r="P25" s="52">
        <f>1925921463.41-86034612.41</f>
        <v>1839886851</v>
      </c>
      <c r="Q25" s="25"/>
      <c r="R25" s="25"/>
      <c r="S25" s="25"/>
      <c r="T25" s="53"/>
      <c r="U25" s="107"/>
      <c r="V25" s="52">
        <v>1839886851</v>
      </c>
      <c r="W25" s="25"/>
      <c r="X25" s="25"/>
      <c r="Y25" s="25"/>
      <c r="Z25" s="29"/>
      <c r="AA25" s="107"/>
      <c r="AB25" s="110"/>
      <c r="AC25" s="113"/>
      <c r="AD25" s="116"/>
      <c r="AE25" s="116"/>
    </row>
    <row r="26" spans="1:31" s="43" customFormat="1" ht="41.4" x14ac:dyDescent="0.25">
      <c r="A26" s="8">
        <v>215</v>
      </c>
      <c r="B26" s="3" t="s">
        <v>51</v>
      </c>
      <c r="C26" s="3" t="s">
        <v>52</v>
      </c>
      <c r="D26" s="3" t="s">
        <v>56</v>
      </c>
      <c r="E26" s="4" t="s">
        <v>57</v>
      </c>
      <c r="F26" s="72" t="s">
        <v>58</v>
      </c>
      <c r="G26" s="63">
        <v>2022680010047</v>
      </c>
      <c r="H26" s="5" t="s">
        <v>95</v>
      </c>
      <c r="I26" s="30"/>
      <c r="J26" s="15">
        <v>44927</v>
      </c>
      <c r="K26" s="15">
        <v>45291</v>
      </c>
      <c r="L26" s="141"/>
      <c r="M26" s="142"/>
      <c r="N26" s="132"/>
      <c r="O26" s="68" t="s">
        <v>120</v>
      </c>
      <c r="P26" s="52">
        <f>7246113637.15-406298821.1</f>
        <v>6839814816.0499992</v>
      </c>
      <c r="Q26" s="25"/>
      <c r="R26" s="25"/>
      <c r="S26" s="25"/>
      <c r="T26" s="53"/>
      <c r="U26" s="107"/>
      <c r="V26" s="25">
        <v>6839814816.0500002</v>
      </c>
      <c r="W26" s="25"/>
      <c r="X26" s="25"/>
      <c r="Y26" s="25"/>
      <c r="Z26" s="29"/>
      <c r="AA26" s="107"/>
      <c r="AB26" s="110"/>
      <c r="AC26" s="113"/>
      <c r="AD26" s="116"/>
      <c r="AE26" s="116"/>
    </row>
    <row r="27" spans="1:31" s="43" customFormat="1" ht="27.6" x14ac:dyDescent="0.25">
      <c r="A27" s="8">
        <v>215</v>
      </c>
      <c r="B27" s="3" t="s">
        <v>51</v>
      </c>
      <c r="C27" s="3" t="s">
        <v>52</v>
      </c>
      <c r="D27" s="3" t="s">
        <v>56</v>
      </c>
      <c r="E27" s="4" t="s">
        <v>57</v>
      </c>
      <c r="F27" s="31" t="s">
        <v>58</v>
      </c>
      <c r="G27" s="63"/>
      <c r="H27" s="5" t="s">
        <v>239</v>
      </c>
      <c r="I27" s="30"/>
      <c r="J27" s="15">
        <v>44927</v>
      </c>
      <c r="K27" s="15">
        <v>45291</v>
      </c>
      <c r="L27" s="141"/>
      <c r="M27" s="142"/>
      <c r="N27" s="132"/>
      <c r="O27" s="68" t="s">
        <v>241</v>
      </c>
      <c r="P27" s="52">
        <v>553500735.98000002</v>
      </c>
      <c r="Q27" s="25"/>
      <c r="R27" s="25"/>
      <c r="S27" s="25"/>
      <c r="T27" s="53"/>
      <c r="U27" s="107"/>
      <c r="V27" s="52"/>
      <c r="W27" s="25"/>
      <c r="X27" s="25"/>
      <c r="Y27" s="25"/>
      <c r="Z27" s="29"/>
      <c r="AA27" s="107"/>
      <c r="AB27" s="110"/>
      <c r="AC27" s="113"/>
      <c r="AD27" s="116"/>
      <c r="AE27" s="116"/>
    </row>
    <row r="28" spans="1:31" s="43" customFormat="1" ht="41.4" x14ac:dyDescent="0.25">
      <c r="A28" s="8">
        <v>215</v>
      </c>
      <c r="B28" s="3" t="s">
        <v>51</v>
      </c>
      <c r="C28" s="3" t="s">
        <v>52</v>
      </c>
      <c r="D28" s="3" t="s">
        <v>56</v>
      </c>
      <c r="E28" s="4" t="s">
        <v>57</v>
      </c>
      <c r="F28" s="31" t="s">
        <v>58</v>
      </c>
      <c r="G28" s="63">
        <v>2022680010048</v>
      </c>
      <c r="H28" s="5" t="s">
        <v>85</v>
      </c>
      <c r="I28" s="30"/>
      <c r="J28" s="15">
        <v>44927</v>
      </c>
      <c r="K28" s="15">
        <v>45291</v>
      </c>
      <c r="L28" s="141"/>
      <c r="M28" s="142"/>
      <c r="N28" s="132"/>
      <c r="O28" s="68" t="s">
        <v>121</v>
      </c>
      <c r="P28" s="66">
        <f>10789776795.36+288637559-1278574017.69+180973632</f>
        <v>9980813968.6700001</v>
      </c>
      <c r="Q28" s="28"/>
      <c r="R28" s="28"/>
      <c r="S28" s="28"/>
      <c r="T28" s="53"/>
      <c r="U28" s="107"/>
      <c r="V28" s="66">
        <f>10789776795.36+288637559-1278574017.69+180973632</f>
        <v>9980813968.6700001</v>
      </c>
      <c r="W28" s="28"/>
      <c r="X28" s="28"/>
      <c r="Y28" s="28"/>
      <c r="Z28" s="29"/>
      <c r="AA28" s="107"/>
      <c r="AB28" s="110"/>
      <c r="AC28" s="113"/>
      <c r="AD28" s="116"/>
      <c r="AE28" s="116"/>
    </row>
    <row r="29" spans="1:31" s="43" customFormat="1" ht="27.6" x14ac:dyDescent="0.25">
      <c r="A29" s="8">
        <v>215</v>
      </c>
      <c r="B29" s="3" t="s">
        <v>51</v>
      </c>
      <c r="C29" s="3" t="s">
        <v>52</v>
      </c>
      <c r="D29" s="3" t="s">
        <v>56</v>
      </c>
      <c r="E29" s="4" t="s">
        <v>57</v>
      </c>
      <c r="F29" s="31" t="s">
        <v>58</v>
      </c>
      <c r="G29" s="63"/>
      <c r="H29" s="5" t="s">
        <v>238</v>
      </c>
      <c r="I29" s="30"/>
      <c r="J29" s="15">
        <v>44927</v>
      </c>
      <c r="K29" s="15">
        <v>45291</v>
      </c>
      <c r="L29" s="141"/>
      <c r="M29" s="142"/>
      <c r="N29" s="132"/>
      <c r="O29" s="68" t="s">
        <v>127</v>
      </c>
      <c r="P29" s="66">
        <f>641713090+1221105</f>
        <v>642934195</v>
      </c>
      <c r="Q29" s="28"/>
      <c r="R29" s="28"/>
      <c r="S29" s="28"/>
      <c r="T29" s="53"/>
      <c r="U29" s="107"/>
      <c r="V29" s="66">
        <f>641713090+1221105</f>
        <v>642934195</v>
      </c>
      <c r="W29" s="28"/>
      <c r="X29" s="28"/>
      <c r="Y29" s="28"/>
      <c r="Z29" s="29"/>
      <c r="AA29" s="107"/>
      <c r="AB29" s="110"/>
      <c r="AC29" s="113"/>
      <c r="AD29" s="116"/>
      <c r="AE29" s="116"/>
    </row>
    <row r="30" spans="1:31" s="43" customFormat="1" ht="41.4" x14ac:dyDescent="0.25">
      <c r="A30" s="8">
        <v>215</v>
      </c>
      <c r="B30" s="3" t="s">
        <v>51</v>
      </c>
      <c r="C30" s="3" t="s">
        <v>52</v>
      </c>
      <c r="D30" s="3" t="s">
        <v>56</v>
      </c>
      <c r="E30" s="4" t="s">
        <v>57</v>
      </c>
      <c r="F30" s="31" t="s">
        <v>58</v>
      </c>
      <c r="G30" s="63">
        <v>2023680010007</v>
      </c>
      <c r="H30" s="5" t="s">
        <v>140</v>
      </c>
      <c r="I30" s="30"/>
      <c r="J30" s="15">
        <v>44927</v>
      </c>
      <c r="K30" s="15">
        <v>45291</v>
      </c>
      <c r="L30" s="141"/>
      <c r="M30" s="142"/>
      <c r="N30" s="132"/>
      <c r="O30" s="68" t="s">
        <v>149</v>
      </c>
      <c r="P30" s="52">
        <f>13096649326.19+500000000</f>
        <v>13596649326.190001</v>
      </c>
      <c r="Q30" s="28"/>
      <c r="R30" s="28"/>
      <c r="S30" s="28"/>
      <c r="T30" s="53"/>
      <c r="U30" s="107"/>
      <c r="V30" s="52">
        <f>13096649326.19+500000000</f>
        <v>13596649326.190001</v>
      </c>
      <c r="W30" s="28"/>
      <c r="X30" s="28"/>
      <c r="Y30" s="28"/>
      <c r="Z30" s="29"/>
      <c r="AA30" s="107"/>
      <c r="AB30" s="110"/>
      <c r="AC30" s="113"/>
      <c r="AD30" s="116"/>
      <c r="AE30" s="116"/>
    </row>
    <row r="31" spans="1:31" s="43" customFormat="1" ht="27.6" x14ac:dyDescent="0.25">
      <c r="A31" s="8">
        <v>215</v>
      </c>
      <c r="B31" s="3" t="s">
        <v>51</v>
      </c>
      <c r="C31" s="3" t="s">
        <v>52</v>
      </c>
      <c r="D31" s="3" t="s">
        <v>56</v>
      </c>
      <c r="E31" s="4" t="s">
        <v>57</v>
      </c>
      <c r="F31" s="72" t="s">
        <v>58</v>
      </c>
      <c r="G31" s="63"/>
      <c r="H31" s="5" t="s">
        <v>239</v>
      </c>
      <c r="I31" s="30"/>
      <c r="J31" s="15"/>
      <c r="K31" s="15"/>
      <c r="L31" s="141"/>
      <c r="M31" s="142"/>
      <c r="N31" s="132"/>
      <c r="O31" s="68" t="s">
        <v>242</v>
      </c>
      <c r="P31" s="52">
        <v>98453564.260000005</v>
      </c>
      <c r="Q31" s="28"/>
      <c r="R31" s="28"/>
      <c r="S31" s="28"/>
      <c r="T31" s="53"/>
      <c r="U31" s="107"/>
      <c r="V31" s="52"/>
      <c r="W31" s="28"/>
      <c r="X31" s="28"/>
      <c r="Y31" s="28"/>
      <c r="Z31" s="29"/>
      <c r="AA31" s="107"/>
      <c r="AB31" s="110"/>
      <c r="AC31" s="113"/>
      <c r="AD31" s="116"/>
      <c r="AE31" s="116"/>
    </row>
    <row r="32" spans="1:31" s="43" customFormat="1" ht="41.4" x14ac:dyDescent="0.25">
      <c r="A32" s="8">
        <v>215</v>
      </c>
      <c r="B32" s="3" t="s">
        <v>51</v>
      </c>
      <c r="C32" s="3" t="s">
        <v>52</v>
      </c>
      <c r="D32" s="3" t="s">
        <v>56</v>
      </c>
      <c r="E32" s="4" t="s">
        <v>57</v>
      </c>
      <c r="F32" s="31" t="s">
        <v>58</v>
      </c>
      <c r="G32" s="63">
        <v>2022680010050</v>
      </c>
      <c r="H32" s="5" t="s">
        <v>96</v>
      </c>
      <c r="I32" s="30"/>
      <c r="J32" s="15">
        <v>44927</v>
      </c>
      <c r="K32" s="15">
        <v>45291</v>
      </c>
      <c r="L32" s="141"/>
      <c r="M32" s="142"/>
      <c r="N32" s="132"/>
      <c r="O32" s="68" t="s">
        <v>122</v>
      </c>
      <c r="P32" s="52">
        <f>1203656711+470000000</f>
        <v>1673656711</v>
      </c>
      <c r="Q32" s="28"/>
      <c r="R32" s="28"/>
      <c r="S32" s="28"/>
      <c r="T32" s="53"/>
      <c r="U32" s="107"/>
      <c r="V32" s="52">
        <f>1203656711+470000000</f>
        <v>1673656711</v>
      </c>
      <c r="W32" s="28"/>
      <c r="X32" s="28"/>
      <c r="Y32" s="28"/>
      <c r="Z32" s="29"/>
      <c r="AA32" s="107"/>
      <c r="AB32" s="110"/>
      <c r="AC32" s="113"/>
      <c r="AD32" s="116"/>
      <c r="AE32" s="116"/>
    </row>
    <row r="33" spans="1:31" s="43" customFormat="1" ht="41.4" x14ac:dyDescent="0.25">
      <c r="A33" s="8">
        <v>215</v>
      </c>
      <c r="B33" s="3" t="s">
        <v>51</v>
      </c>
      <c r="C33" s="3" t="s">
        <v>52</v>
      </c>
      <c r="D33" s="3" t="s">
        <v>56</v>
      </c>
      <c r="E33" s="4" t="s">
        <v>57</v>
      </c>
      <c r="F33" s="31" t="s">
        <v>58</v>
      </c>
      <c r="G33" s="63"/>
      <c r="H33" s="5" t="s">
        <v>179</v>
      </c>
      <c r="I33" s="30"/>
      <c r="J33" s="15">
        <v>44927</v>
      </c>
      <c r="K33" s="15">
        <v>45291</v>
      </c>
      <c r="L33" s="141"/>
      <c r="M33" s="142"/>
      <c r="N33" s="132"/>
      <c r="O33" s="68" t="s">
        <v>180</v>
      </c>
      <c r="P33" s="52">
        <f>92872229.51-26458125.51</f>
        <v>66414104</v>
      </c>
      <c r="Q33" s="28"/>
      <c r="R33" s="28"/>
      <c r="S33" s="28"/>
      <c r="T33" s="53"/>
      <c r="U33" s="107"/>
      <c r="V33" s="28"/>
      <c r="W33" s="28"/>
      <c r="X33" s="28"/>
      <c r="Y33" s="28"/>
      <c r="Z33" s="29"/>
      <c r="AA33" s="107"/>
      <c r="AB33" s="110"/>
      <c r="AC33" s="113"/>
      <c r="AD33" s="116"/>
      <c r="AE33" s="116"/>
    </row>
    <row r="34" spans="1:31" s="43" customFormat="1" ht="73.5" customHeight="1" x14ac:dyDescent="0.25">
      <c r="A34" s="8">
        <v>215</v>
      </c>
      <c r="B34" s="3" t="s">
        <v>51</v>
      </c>
      <c r="C34" s="3" t="s">
        <v>52</v>
      </c>
      <c r="D34" s="3" t="s">
        <v>56</v>
      </c>
      <c r="E34" s="4" t="s">
        <v>57</v>
      </c>
      <c r="F34" s="31" t="s">
        <v>58</v>
      </c>
      <c r="G34" s="63">
        <v>2023680010038</v>
      </c>
      <c r="H34" s="5" t="s">
        <v>189</v>
      </c>
      <c r="I34" s="30"/>
      <c r="J34" s="15">
        <v>44927</v>
      </c>
      <c r="K34" s="15">
        <v>45291</v>
      </c>
      <c r="L34" s="141"/>
      <c r="M34" s="142"/>
      <c r="N34" s="132"/>
      <c r="O34" s="68" t="s">
        <v>188</v>
      </c>
      <c r="P34" s="52">
        <v>1667307685.1900001</v>
      </c>
      <c r="Q34" s="28"/>
      <c r="R34" s="28"/>
      <c r="S34" s="28"/>
      <c r="T34" s="53"/>
      <c r="U34" s="107"/>
      <c r="V34" s="28">
        <v>368226958</v>
      </c>
      <c r="W34" s="28"/>
      <c r="X34" s="28"/>
      <c r="Y34" s="28"/>
      <c r="Z34" s="29"/>
      <c r="AA34" s="107"/>
      <c r="AB34" s="110"/>
      <c r="AC34" s="113"/>
      <c r="AD34" s="116"/>
      <c r="AE34" s="116"/>
    </row>
    <row r="35" spans="1:31" s="43" customFormat="1" ht="41.4" customHeight="1" x14ac:dyDescent="0.25">
      <c r="A35" s="8">
        <v>215</v>
      </c>
      <c r="B35" s="3" t="s">
        <v>51</v>
      </c>
      <c r="C35" s="3" t="s">
        <v>52</v>
      </c>
      <c r="D35" s="3" t="s">
        <v>56</v>
      </c>
      <c r="E35" s="4" t="s">
        <v>57</v>
      </c>
      <c r="F35" s="31" t="s">
        <v>58</v>
      </c>
      <c r="G35" s="63">
        <v>2021680010115</v>
      </c>
      <c r="H35" s="5" t="s">
        <v>135</v>
      </c>
      <c r="I35" s="30"/>
      <c r="J35" s="15">
        <v>44927</v>
      </c>
      <c r="K35" s="15">
        <v>45291</v>
      </c>
      <c r="L35" s="141"/>
      <c r="M35" s="142"/>
      <c r="N35" s="132"/>
      <c r="O35" s="68" t="s">
        <v>187</v>
      </c>
      <c r="P35" s="52">
        <f>171917428.49+103541874</f>
        <v>275459302.49000001</v>
      </c>
      <c r="Q35" s="28"/>
      <c r="R35" s="28"/>
      <c r="S35" s="28"/>
      <c r="T35" s="53"/>
      <c r="U35" s="107"/>
      <c r="V35" s="52">
        <f>171917428.49+103541874</f>
        <v>275459302.49000001</v>
      </c>
      <c r="W35" s="28"/>
      <c r="X35" s="28"/>
      <c r="Y35" s="28"/>
      <c r="Z35" s="29"/>
      <c r="AA35" s="107"/>
      <c r="AB35" s="110"/>
      <c r="AC35" s="113"/>
      <c r="AD35" s="116"/>
      <c r="AE35" s="116"/>
    </row>
    <row r="36" spans="1:31" s="43" customFormat="1" ht="61.95" customHeight="1" x14ac:dyDescent="0.25">
      <c r="A36" s="8">
        <v>215</v>
      </c>
      <c r="B36" s="3" t="s">
        <v>51</v>
      </c>
      <c r="C36" s="3" t="s">
        <v>52</v>
      </c>
      <c r="D36" s="3" t="s">
        <v>56</v>
      </c>
      <c r="E36" s="4" t="s">
        <v>57</v>
      </c>
      <c r="F36" s="31" t="s">
        <v>58</v>
      </c>
      <c r="G36" s="63">
        <v>2022680010041</v>
      </c>
      <c r="H36" s="5" t="s">
        <v>84</v>
      </c>
      <c r="I36" s="30"/>
      <c r="J36" s="15">
        <v>44927</v>
      </c>
      <c r="K36" s="15">
        <v>45291</v>
      </c>
      <c r="L36" s="141"/>
      <c r="M36" s="142"/>
      <c r="N36" s="132"/>
      <c r="O36" s="68" t="s">
        <v>172</v>
      </c>
      <c r="P36" s="51"/>
      <c r="Q36" s="28"/>
      <c r="R36" s="28"/>
      <c r="S36" s="28"/>
      <c r="T36" s="66">
        <f>1192371467+2089927397.51</f>
        <v>3282298864.5100002</v>
      </c>
      <c r="U36" s="107"/>
      <c r="V36" s="28"/>
      <c r="W36" s="28"/>
      <c r="X36" s="28"/>
      <c r="Y36" s="28"/>
      <c r="Z36" s="29">
        <f>115548006.74+467586244+86664037.49+2089927397.51+87058554</f>
        <v>2846784239.7399998</v>
      </c>
      <c r="AA36" s="107"/>
      <c r="AB36" s="110"/>
      <c r="AC36" s="113"/>
      <c r="AD36" s="116"/>
      <c r="AE36" s="116"/>
    </row>
    <row r="37" spans="1:31" s="43" customFormat="1" ht="61.95" customHeight="1" x14ac:dyDescent="0.25">
      <c r="A37" s="8">
        <v>215</v>
      </c>
      <c r="B37" s="3" t="s">
        <v>51</v>
      </c>
      <c r="C37" s="3" t="s">
        <v>52</v>
      </c>
      <c r="D37" s="3" t="s">
        <v>56</v>
      </c>
      <c r="E37" s="4" t="s">
        <v>57</v>
      </c>
      <c r="F37" s="31" t="s">
        <v>58</v>
      </c>
      <c r="G37" s="63">
        <v>2022680010041</v>
      </c>
      <c r="H37" s="5" t="s">
        <v>84</v>
      </c>
      <c r="I37" s="30"/>
      <c r="J37" s="15">
        <v>44927</v>
      </c>
      <c r="K37" s="15">
        <v>45291</v>
      </c>
      <c r="L37" s="141"/>
      <c r="M37" s="142"/>
      <c r="N37" s="132"/>
      <c r="O37" s="68" t="s">
        <v>173</v>
      </c>
      <c r="P37" s="95">
        <f>1672805757.78+2106626924.48+499204000</f>
        <v>4278636682.2600002</v>
      </c>
      <c r="Q37" s="28"/>
      <c r="R37" s="28"/>
      <c r="S37" s="28"/>
      <c r="T37" s="52"/>
      <c r="U37" s="107"/>
      <c r="V37" s="28">
        <v>3779432682.2600002</v>
      </c>
      <c r="W37" s="28"/>
      <c r="X37" s="28"/>
      <c r="Y37" s="28"/>
      <c r="Z37" s="29"/>
      <c r="AA37" s="107"/>
      <c r="AB37" s="110"/>
      <c r="AC37" s="113"/>
      <c r="AD37" s="116"/>
      <c r="AE37" s="116"/>
    </row>
    <row r="38" spans="1:31" s="43" customFormat="1" ht="66.75" customHeight="1" x14ac:dyDescent="0.25">
      <c r="A38" s="8">
        <v>215</v>
      </c>
      <c r="B38" s="3" t="s">
        <v>51</v>
      </c>
      <c r="C38" s="3" t="s">
        <v>52</v>
      </c>
      <c r="D38" s="3" t="s">
        <v>56</v>
      </c>
      <c r="E38" s="4" t="s">
        <v>57</v>
      </c>
      <c r="F38" s="31" t="s">
        <v>58</v>
      </c>
      <c r="G38" s="63"/>
      <c r="H38" s="5" t="s">
        <v>174</v>
      </c>
      <c r="I38" s="30"/>
      <c r="J38" s="15"/>
      <c r="K38" s="15"/>
      <c r="L38" s="141"/>
      <c r="M38" s="142"/>
      <c r="N38" s="132"/>
      <c r="O38" s="68" t="s">
        <v>177</v>
      </c>
      <c r="P38" s="52">
        <f>3727166660</f>
        <v>3727166660</v>
      </c>
      <c r="Q38" s="28"/>
      <c r="R38" s="28"/>
      <c r="S38" s="28"/>
      <c r="T38" s="53"/>
      <c r="U38" s="107"/>
      <c r="V38" s="28"/>
      <c r="W38" s="28"/>
      <c r="X38" s="28"/>
      <c r="Y38" s="28"/>
      <c r="Z38" s="29"/>
      <c r="AA38" s="107"/>
      <c r="AB38" s="110"/>
      <c r="AC38" s="113"/>
      <c r="AD38" s="116"/>
      <c r="AE38" s="116"/>
    </row>
    <row r="39" spans="1:31" s="43" customFormat="1" ht="79.5" customHeight="1" x14ac:dyDescent="0.25">
      <c r="A39" s="8">
        <v>215</v>
      </c>
      <c r="B39" s="3" t="s">
        <v>51</v>
      </c>
      <c r="C39" s="3" t="s">
        <v>52</v>
      </c>
      <c r="D39" s="3" t="s">
        <v>56</v>
      </c>
      <c r="E39" s="4" t="s">
        <v>57</v>
      </c>
      <c r="F39" s="31" t="s">
        <v>58</v>
      </c>
      <c r="G39" s="63">
        <v>2023680010052</v>
      </c>
      <c r="H39" s="5" t="s">
        <v>210</v>
      </c>
      <c r="I39" s="30"/>
      <c r="J39" s="15">
        <v>44927</v>
      </c>
      <c r="K39" s="15">
        <v>45291</v>
      </c>
      <c r="L39" s="141"/>
      <c r="M39" s="142"/>
      <c r="N39" s="132"/>
      <c r="O39" s="68" t="s">
        <v>176</v>
      </c>
      <c r="P39" s="52">
        <v>419795144.38999999</v>
      </c>
      <c r="Q39" s="28"/>
      <c r="R39" s="28"/>
      <c r="S39" s="28"/>
      <c r="T39" s="53"/>
      <c r="U39" s="107"/>
      <c r="V39" s="52">
        <v>380844085.18000001</v>
      </c>
      <c r="W39" s="28"/>
      <c r="X39" s="28"/>
      <c r="Y39" s="28"/>
      <c r="Z39" s="29"/>
      <c r="AA39" s="107"/>
      <c r="AB39" s="110"/>
      <c r="AC39" s="113"/>
      <c r="AD39" s="116"/>
      <c r="AE39" s="116"/>
    </row>
    <row r="40" spans="1:31" s="43" customFormat="1" ht="66.75" customHeight="1" x14ac:dyDescent="0.25">
      <c r="A40" s="8">
        <v>215</v>
      </c>
      <c r="B40" s="3" t="s">
        <v>51</v>
      </c>
      <c r="C40" s="3" t="s">
        <v>52</v>
      </c>
      <c r="D40" s="3" t="s">
        <v>56</v>
      </c>
      <c r="E40" s="4" t="s">
        <v>57</v>
      </c>
      <c r="F40" s="31" t="s">
        <v>58</v>
      </c>
      <c r="G40" s="63">
        <v>2022680010101</v>
      </c>
      <c r="H40" s="5" t="s">
        <v>175</v>
      </c>
      <c r="I40" s="30"/>
      <c r="J40" s="15">
        <v>44927</v>
      </c>
      <c r="K40" s="15">
        <v>45291</v>
      </c>
      <c r="L40" s="141"/>
      <c r="M40" s="142"/>
      <c r="N40" s="132"/>
      <c r="O40" s="56" t="s">
        <v>176</v>
      </c>
      <c r="P40" s="52">
        <f>6138412551.14-3789375468.56-419795144.39-499204000-546000000</f>
        <v>884037938.19000053</v>
      </c>
      <c r="Q40" s="28"/>
      <c r="R40" s="28"/>
      <c r="S40" s="28"/>
      <c r="T40" s="53"/>
      <c r="U40" s="107"/>
      <c r="V40" s="28"/>
      <c r="W40" s="28"/>
      <c r="X40" s="28"/>
      <c r="Y40" s="28"/>
      <c r="Z40" s="29"/>
      <c r="AA40" s="107"/>
      <c r="AB40" s="110"/>
      <c r="AC40" s="113"/>
      <c r="AD40" s="116"/>
      <c r="AE40" s="116"/>
    </row>
    <row r="41" spans="1:31" s="43" customFormat="1" ht="47.25" customHeight="1" x14ac:dyDescent="0.25">
      <c r="A41" s="8">
        <v>215</v>
      </c>
      <c r="B41" s="3" t="s">
        <v>51</v>
      </c>
      <c r="C41" s="3" t="s">
        <v>52</v>
      </c>
      <c r="D41" s="3" t="s">
        <v>56</v>
      </c>
      <c r="E41" s="4" t="s">
        <v>57</v>
      </c>
      <c r="F41" s="31" t="s">
        <v>58</v>
      </c>
      <c r="G41" s="63">
        <v>2022680010124</v>
      </c>
      <c r="H41" s="5" t="s">
        <v>97</v>
      </c>
      <c r="I41" s="30"/>
      <c r="J41" s="15">
        <v>44927</v>
      </c>
      <c r="K41" s="15">
        <v>45291</v>
      </c>
      <c r="L41" s="141"/>
      <c r="M41" s="142"/>
      <c r="N41" s="132"/>
      <c r="O41" s="68" t="s">
        <v>123</v>
      </c>
      <c r="P41" s="52">
        <f>1358682435.82+141317564.18</f>
        <v>1500000000</v>
      </c>
      <c r="Q41" s="28"/>
      <c r="R41" s="28"/>
      <c r="S41" s="28"/>
      <c r="T41" s="53"/>
      <c r="U41" s="107"/>
      <c r="V41" s="28">
        <f>53852564.18+87465000</f>
        <v>141317564.18000001</v>
      </c>
      <c r="W41" s="28"/>
      <c r="X41" s="28"/>
      <c r="Y41" s="28"/>
      <c r="Z41" s="29"/>
      <c r="AA41" s="107"/>
      <c r="AB41" s="110"/>
      <c r="AC41" s="113"/>
      <c r="AD41" s="116"/>
      <c r="AE41" s="116"/>
    </row>
    <row r="42" spans="1:31" s="43" customFormat="1" ht="47.25" customHeight="1" x14ac:dyDescent="0.25">
      <c r="A42" s="8">
        <v>215</v>
      </c>
      <c r="B42" s="3" t="s">
        <v>51</v>
      </c>
      <c r="C42" s="3" t="s">
        <v>52</v>
      </c>
      <c r="D42" s="3" t="s">
        <v>56</v>
      </c>
      <c r="E42" s="4" t="s">
        <v>57</v>
      </c>
      <c r="F42" s="31" t="s">
        <v>58</v>
      </c>
      <c r="G42" s="63">
        <v>2022680010004</v>
      </c>
      <c r="H42" s="5" t="s">
        <v>141</v>
      </c>
      <c r="I42" s="30"/>
      <c r="J42" s="15">
        <v>44927</v>
      </c>
      <c r="K42" s="15">
        <v>45291</v>
      </c>
      <c r="L42" s="141"/>
      <c r="M42" s="142"/>
      <c r="N42" s="132"/>
      <c r="O42" s="68" t="s">
        <v>130</v>
      </c>
      <c r="P42" s="52">
        <v>79500000</v>
      </c>
      <c r="Q42" s="28"/>
      <c r="R42" s="28"/>
      <c r="S42" s="28"/>
      <c r="T42" s="53"/>
      <c r="U42" s="107"/>
      <c r="V42" s="28">
        <v>79500000</v>
      </c>
      <c r="W42" s="28"/>
      <c r="X42" s="28"/>
      <c r="Y42" s="28"/>
      <c r="Z42" s="29"/>
      <c r="AA42" s="107"/>
      <c r="AB42" s="110"/>
      <c r="AC42" s="113"/>
      <c r="AD42" s="116"/>
      <c r="AE42" s="116" t="s">
        <v>37</v>
      </c>
    </row>
    <row r="43" spans="1:31" s="43" customFormat="1" ht="48" customHeight="1" x14ac:dyDescent="0.25">
      <c r="A43" s="8">
        <v>215</v>
      </c>
      <c r="B43" s="3" t="s">
        <v>51</v>
      </c>
      <c r="C43" s="3" t="s">
        <v>52</v>
      </c>
      <c r="D43" s="3" t="s">
        <v>56</v>
      </c>
      <c r="E43" s="4" t="s">
        <v>57</v>
      </c>
      <c r="F43" s="31" t="s">
        <v>58</v>
      </c>
      <c r="G43" s="63">
        <v>2021680010130</v>
      </c>
      <c r="H43" s="5" t="s">
        <v>132</v>
      </c>
      <c r="I43" s="30"/>
      <c r="J43" s="15">
        <v>44927</v>
      </c>
      <c r="K43" s="15">
        <v>45291</v>
      </c>
      <c r="L43" s="141"/>
      <c r="M43" s="142"/>
      <c r="N43" s="132"/>
      <c r="O43" s="68" t="s">
        <v>216</v>
      </c>
      <c r="P43" s="52">
        <f>698770488+1561284846+339950000+604587129</f>
        <v>3204592463</v>
      </c>
      <c r="Q43" s="28"/>
      <c r="R43" s="28"/>
      <c r="S43" s="28"/>
      <c r="T43" s="53"/>
      <c r="U43" s="107"/>
      <c r="V43" s="28">
        <v>3181761558.0999999</v>
      </c>
      <c r="W43" s="28"/>
      <c r="X43" s="28"/>
      <c r="Y43" s="28"/>
      <c r="Z43" s="29"/>
      <c r="AA43" s="107"/>
      <c r="AB43" s="110"/>
      <c r="AC43" s="113"/>
      <c r="AD43" s="116"/>
      <c r="AE43" s="116" t="s">
        <v>37</v>
      </c>
    </row>
    <row r="44" spans="1:31" s="43" customFormat="1" ht="48" customHeight="1" x14ac:dyDescent="0.25">
      <c r="A44" s="8">
        <v>215</v>
      </c>
      <c r="B44" s="3" t="s">
        <v>51</v>
      </c>
      <c r="C44" s="3" t="s">
        <v>52</v>
      </c>
      <c r="D44" s="3" t="s">
        <v>56</v>
      </c>
      <c r="E44" s="4" t="s">
        <v>57</v>
      </c>
      <c r="F44" s="31" t="s">
        <v>58</v>
      </c>
      <c r="G44" s="63">
        <v>2023680010056</v>
      </c>
      <c r="H44" s="5" t="s">
        <v>214</v>
      </c>
      <c r="I44" s="30"/>
      <c r="J44" s="15">
        <v>44927</v>
      </c>
      <c r="K44" s="15">
        <v>45291</v>
      </c>
      <c r="L44" s="141"/>
      <c r="M44" s="142"/>
      <c r="N44" s="132"/>
      <c r="O44" s="68" t="s">
        <v>215</v>
      </c>
      <c r="P44" s="96">
        <f>849999906+127692601.69</f>
        <v>977692507.69000006</v>
      </c>
      <c r="Q44" s="28"/>
      <c r="R44" s="28"/>
      <c r="S44" s="28"/>
      <c r="T44" s="53"/>
      <c r="U44" s="107"/>
      <c r="V44" s="52">
        <v>816866155</v>
      </c>
      <c r="W44" s="28"/>
      <c r="X44" s="28"/>
      <c r="Y44" s="28"/>
      <c r="Z44" s="29"/>
      <c r="AA44" s="107"/>
      <c r="AB44" s="110"/>
      <c r="AC44" s="113"/>
      <c r="AD44" s="116"/>
      <c r="AE44" s="116"/>
    </row>
    <row r="45" spans="1:31" s="43" customFormat="1" ht="48" customHeight="1" x14ac:dyDescent="0.25">
      <c r="A45" s="8">
        <v>215</v>
      </c>
      <c r="B45" s="3" t="s">
        <v>51</v>
      </c>
      <c r="C45" s="3" t="s">
        <v>52</v>
      </c>
      <c r="D45" s="3" t="s">
        <v>56</v>
      </c>
      <c r="E45" s="4" t="s">
        <v>57</v>
      </c>
      <c r="F45" s="72" t="s">
        <v>58</v>
      </c>
      <c r="G45" s="63">
        <v>2023680010045</v>
      </c>
      <c r="H45" s="5" t="s">
        <v>202</v>
      </c>
      <c r="I45" s="30"/>
      <c r="J45" s="15">
        <v>44927</v>
      </c>
      <c r="K45" s="15">
        <v>45291</v>
      </c>
      <c r="L45" s="141"/>
      <c r="M45" s="142"/>
      <c r="N45" s="132"/>
      <c r="O45" s="68" t="s">
        <v>203</v>
      </c>
      <c r="P45" s="29">
        <v>1941389783</v>
      </c>
      <c r="Q45" s="28"/>
      <c r="R45" s="28"/>
      <c r="S45" s="28"/>
      <c r="T45" s="53"/>
      <c r="U45" s="107"/>
      <c r="V45" s="29">
        <v>1941389783</v>
      </c>
      <c r="W45" s="28"/>
      <c r="X45" s="28"/>
      <c r="Y45" s="28"/>
      <c r="Z45" s="29"/>
      <c r="AA45" s="107"/>
      <c r="AB45" s="110"/>
      <c r="AC45" s="113"/>
      <c r="AD45" s="116"/>
      <c r="AE45" s="116"/>
    </row>
    <row r="46" spans="1:31" s="43" customFormat="1" ht="47.25" customHeight="1" x14ac:dyDescent="0.25">
      <c r="A46" s="8">
        <v>215</v>
      </c>
      <c r="B46" s="3" t="s">
        <v>51</v>
      </c>
      <c r="C46" s="3" t="s">
        <v>52</v>
      </c>
      <c r="D46" s="3" t="s">
        <v>56</v>
      </c>
      <c r="E46" s="4" t="s">
        <v>57</v>
      </c>
      <c r="F46" s="31" t="s">
        <v>58</v>
      </c>
      <c r="G46" s="63">
        <v>2021680010211</v>
      </c>
      <c r="H46" s="5" t="s">
        <v>133</v>
      </c>
      <c r="I46" s="30"/>
      <c r="J46" s="15">
        <v>44927</v>
      </c>
      <c r="K46" s="15">
        <v>45291</v>
      </c>
      <c r="L46" s="141"/>
      <c r="M46" s="142"/>
      <c r="N46" s="132"/>
      <c r="O46" s="68" t="s">
        <v>228</v>
      </c>
      <c r="P46" s="52">
        <f>288642469+517904985.31+154913589+68381641</f>
        <v>1029842684.3099999</v>
      </c>
      <c r="Q46" s="28"/>
      <c r="R46" s="28"/>
      <c r="S46" s="28"/>
      <c r="T46" s="53"/>
      <c r="U46" s="107"/>
      <c r="V46" s="28">
        <f>288639042.77+517904985.31+68381641+154913589</f>
        <v>1029839258.0799999</v>
      </c>
      <c r="W46" s="28"/>
      <c r="X46" s="28"/>
      <c r="Y46" s="28"/>
      <c r="Z46" s="29"/>
      <c r="AA46" s="107"/>
      <c r="AB46" s="110"/>
      <c r="AC46" s="113"/>
      <c r="AD46" s="116"/>
      <c r="AE46" s="116" t="s">
        <v>37</v>
      </c>
    </row>
    <row r="47" spans="1:31" s="43" customFormat="1" ht="47.25" customHeight="1" x14ac:dyDescent="0.25">
      <c r="A47" s="8">
        <v>215</v>
      </c>
      <c r="B47" s="3" t="s">
        <v>51</v>
      </c>
      <c r="C47" s="3" t="s">
        <v>52</v>
      </c>
      <c r="D47" s="3" t="s">
        <v>56</v>
      </c>
      <c r="E47" s="4" t="s">
        <v>57</v>
      </c>
      <c r="F47" s="31" t="s">
        <v>58</v>
      </c>
      <c r="G47" s="63">
        <v>2021680010208</v>
      </c>
      <c r="H47" s="5" t="s">
        <v>134</v>
      </c>
      <c r="I47" s="30"/>
      <c r="J47" s="15">
        <v>44927</v>
      </c>
      <c r="K47" s="15">
        <v>45291</v>
      </c>
      <c r="L47" s="141"/>
      <c r="M47" s="142"/>
      <c r="N47" s="132"/>
      <c r="O47" s="68" t="s">
        <v>118</v>
      </c>
      <c r="P47" s="52">
        <v>77850000</v>
      </c>
      <c r="Q47" s="28"/>
      <c r="R47" s="28"/>
      <c r="S47" s="28"/>
      <c r="T47" s="53"/>
      <c r="U47" s="107"/>
      <c r="V47" s="28">
        <v>77875082.239999995</v>
      </c>
      <c r="W47" s="28"/>
      <c r="X47" s="28"/>
      <c r="Y47" s="28"/>
      <c r="Z47" s="29"/>
      <c r="AA47" s="107"/>
      <c r="AB47" s="110"/>
      <c r="AC47" s="113"/>
      <c r="AD47" s="116"/>
      <c r="AE47" s="116" t="s">
        <v>37</v>
      </c>
    </row>
    <row r="48" spans="1:31" s="43" customFormat="1" ht="47.25" customHeight="1" x14ac:dyDescent="0.25">
      <c r="A48" s="8">
        <v>215</v>
      </c>
      <c r="B48" s="3" t="s">
        <v>51</v>
      </c>
      <c r="C48" s="3" t="s">
        <v>52</v>
      </c>
      <c r="D48" s="3" t="s">
        <v>56</v>
      </c>
      <c r="E48" s="4" t="s">
        <v>57</v>
      </c>
      <c r="F48" s="31" t="s">
        <v>58</v>
      </c>
      <c r="G48" s="63">
        <v>2021680010134</v>
      </c>
      <c r="H48" s="5" t="s">
        <v>139</v>
      </c>
      <c r="I48" s="30"/>
      <c r="J48" s="15">
        <v>44927</v>
      </c>
      <c r="K48" s="15">
        <v>45291</v>
      </c>
      <c r="L48" s="141"/>
      <c r="M48" s="142"/>
      <c r="N48" s="132"/>
      <c r="O48" s="68" t="s">
        <v>128</v>
      </c>
      <c r="P48" s="53">
        <v>500000000</v>
      </c>
      <c r="Q48" s="28"/>
      <c r="R48" s="28"/>
      <c r="S48" s="28"/>
      <c r="T48" s="75"/>
      <c r="U48" s="107"/>
      <c r="V48" s="28">
        <v>500000000</v>
      </c>
      <c r="W48" s="28"/>
      <c r="X48" s="28"/>
      <c r="Y48" s="28"/>
      <c r="Z48" s="29"/>
      <c r="AA48" s="107"/>
      <c r="AB48" s="110"/>
      <c r="AC48" s="113"/>
      <c r="AD48" s="116"/>
      <c r="AE48" s="116" t="s">
        <v>37</v>
      </c>
    </row>
    <row r="49" spans="1:31" s="43" customFormat="1" ht="47.25" customHeight="1" x14ac:dyDescent="0.25">
      <c r="A49" s="8">
        <v>215</v>
      </c>
      <c r="B49" s="3" t="s">
        <v>51</v>
      </c>
      <c r="C49" s="3" t="s">
        <v>52</v>
      </c>
      <c r="D49" s="3" t="s">
        <v>56</v>
      </c>
      <c r="E49" s="4" t="s">
        <v>57</v>
      </c>
      <c r="F49" s="31" t="s">
        <v>58</v>
      </c>
      <c r="G49" s="63">
        <v>2022680010051</v>
      </c>
      <c r="H49" s="5" t="s">
        <v>152</v>
      </c>
      <c r="I49" s="30"/>
      <c r="J49" s="15">
        <v>44927</v>
      </c>
      <c r="K49" s="15">
        <v>45291</v>
      </c>
      <c r="L49" s="141"/>
      <c r="M49" s="142"/>
      <c r="N49" s="132"/>
      <c r="O49" s="68" t="s">
        <v>128</v>
      </c>
      <c r="P49" s="53">
        <v>270000000</v>
      </c>
      <c r="Q49" s="28"/>
      <c r="R49" s="28"/>
      <c r="S49" s="28"/>
      <c r="T49" s="75"/>
      <c r="U49" s="107"/>
      <c r="V49" s="52">
        <v>270000000</v>
      </c>
      <c r="W49" s="28"/>
      <c r="X49" s="28"/>
      <c r="Y49" s="28"/>
      <c r="Z49" s="29"/>
      <c r="AA49" s="107"/>
      <c r="AB49" s="110"/>
      <c r="AC49" s="113"/>
      <c r="AD49" s="116"/>
      <c r="AE49" s="116"/>
    </row>
    <row r="50" spans="1:31" s="43" customFormat="1" ht="47.25" customHeight="1" x14ac:dyDescent="0.25">
      <c r="A50" s="8">
        <v>215</v>
      </c>
      <c r="B50" s="3" t="s">
        <v>51</v>
      </c>
      <c r="C50" s="3" t="s">
        <v>52</v>
      </c>
      <c r="D50" s="3" t="s">
        <v>56</v>
      </c>
      <c r="E50" s="4" t="s">
        <v>57</v>
      </c>
      <c r="F50" s="31" t="s">
        <v>58</v>
      </c>
      <c r="G50" s="63">
        <v>2022680010038</v>
      </c>
      <c r="H50" s="5" t="s">
        <v>153</v>
      </c>
      <c r="I50" s="30"/>
      <c r="J50" s="15">
        <v>44927</v>
      </c>
      <c r="K50" s="15">
        <v>45291</v>
      </c>
      <c r="L50" s="141"/>
      <c r="M50" s="142"/>
      <c r="N50" s="132"/>
      <c r="O50" s="68" t="s">
        <v>128</v>
      </c>
      <c r="P50" s="51">
        <f>353032442.32+249456857</f>
        <v>602489299.31999993</v>
      </c>
      <c r="Q50" s="28"/>
      <c r="R50" s="28"/>
      <c r="S50" s="28"/>
      <c r="T50" s="75"/>
      <c r="U50" s="107"/>
      <c r="V50" s="51">
        <f>353032442.32</f>
        <v>353032442.31999999</v>
      </c>
      <c r="W50" s="28"/>
      <c r="X50" s="28"/>
      <c r="Y50" s="28"/>
      <c r="Z50" s="29"/>
      <c r="AA50" s="107"/>
      <c r="AB50" s="110"/>
      <c r="AC50" s="113"/>
      <c r="AD50" s="116"/>
      <c r="AE50" s="116"/>
    </row>
    <row r="51" spans="1:31" s="43" customFormat="1" ht="64.5" customHeight="1" x14ac:dyDescent="0.25">
      <c r="A51" s="8">
        <v>215</v>
      </c>
      <c r="B51" s="3" t="s">
        <v>51</v>
      </c>
      <c r="C51" s="3" t="s">
        <v>52</v>
      </c>
      <c r="D51" s="3" t="s">
        <v>56</v>
      </c>
      <c r="E51" s="4" t="s">
        <v>57</v>
      </c>
      <c r="F51" s="31" t="s">
        <v>58</v>
      </c>
      <c r="G51" s="63">
        <v>2022680010039</v>
      </c>
      <c r="H51" s="5" t="s">
        <v>185</v>
      </c>
      <c r="I51" s="30"/>
      <c r="J51" s="15">
        <v>44927</v>
      </c>
      <c r="K51" s="15">
        <v>45291</v>
      </c>
      <c r="L51" s="141"/>
      <c r="M51" s="142"/>
      <c r="N51" s="132"/>
      <c r="O51" s="68" t="s">
        <v>128</v>
      </c>
      <c r="P51" s="51">
        <v>640000000</v>
      </c>
      <c r="Q51" s="28"/>
      <c r="R51" s="28"/>
      <c r="S51" s="28"/>
      <c r="T51" s="75"/>
      <c r="U51" s="107"/>
      <c r="V51" s="52">
        <v>640000000</v>
      </c>
      <c r="W51" s="28"/>
      <c r="X51" s="28"/>
      <c r="Y51" s="28"/>
      <c r="Z51" s="29"/>
      <c r="AA51" s="107"/>
      <c r="AB51" s="110"/>
      <c r="AC51" s="113"/>
      <c r="AD51" s="116"/>
      <c r="AE51" s="116"/>
    </row>
    <row r="52" spans="1:31" s="43" customFormat="1" ht="47.25" customHeight="1" x14ac:dyDescent="0.25">
      <c r="A52" s="8">
        <v>215</v>
      </c>
      <c r="B52" s="3" t="s">
        <v>51</v>
      </c>
      <c r="C52" s="3" t="s">
        <v>52</v>
      </c>
      <c r="D52" s="3" t="s">
        <v>56</v>
      </c>
      <c r="E52" s="4" t="s">
        <v>57</v>
      </c>
      <c r="F52" s="31" t="s">
        <v>58</v>
      </c>
      <c r="G52" s="63">
        <v>2022680010025</v>
      </c>
      <c r="H52" s="5" t="s">
        <v>163</v>
      </c>
      <c r="I52" s="30"/>
      <c r="J52" s="15">
        <v>44927</v>
      </c>
      <c r="K52" s="15">
        <v>45291</v>
      </c>
      <c r="L52" s="141"/>
      <c r="M52" s="142"/>
      <c r="N52" s="132"/>
      <c r="O52" s="68" t="s">
        <v>164</v>
      </c>
      <c r="P52" s="51"/>
      <c r="Q52" s="51">
        <v>100050000</v>
      </c>
      <c r="R52" s="28"/>
      <c r="S52" s="28"/>
      <c r="T52" s="75"/>
      <c r="U52" s="107"/>
      <c r="V52" s="28"/>
      <c r="W52" s="28">
        <v>100050000</v>
      </c>
      <c r="X52" s="28"/>
      <c r="Y52" s="28"/>
      <c r="Z52" s="29"/>
      <c r="AA52" s="107"/>
      <c r="AB52" s="110"/>
      <c r="AC52" s="113"/>
      <c r="AD52" s="116"/>
      <c r="AE52" s="116"/>
    </row>
    <row r="53" spans="1:31" s="43" customFormat="1" ht="47.25" customHeight="1" x14ac:dyDescent="0.25">
      <c r="A53" s="8">
        <v>215</v>
      </c>
      <c r="B53" s="3" t="s">
        <v>51</v>
      </c>
      <c r="C53" s="3" t="s">
        <v>52</v>
      </c>
      <c r="D53" s="3" t="s">
        <v>56</v>
      </c>
      <c r="E53" s="4" t="s">
        <v>57</v>
      </c>
      <c r="F53" s="31" t="s">
        <v>58</v>
      </c>
      <c r="G53" s="63">
        <v>2022680010059</v>
      </c>
      <c r="H53" s="5" t="s">
        <v>165</v>
      </c>
      <c r="I53" s="30"/>
      <c r="J53" s="15">
        <v>44927</v>
      </c>
      <c r="K53" s="15">
        <v>45291</v>
      </c>
      <c r="L53" s="141"/>
      <c r="M53" s="142"/>
      <c r="N53" s="132"/>
      <c r="O53" s="68" t="s">
        <v>166</v>
      </c>
      <c r="P53" s="51">
        <v>1800000000</v>
      </c>
      <c r="Q53" s="51"/>
      <c r="R53" s="28"/>
      <c r="S53" s="28"/>
      <c r="T53" s="75"/>
      <c r="U53" s="107"/>
      <c r="V53" s="51">
        <v>1800000000</v>
      </c>
      <c r="W53" s="28"/>
      <c r="X53" s="28"/>
      <c r="Y53" s="28"/>
      <c r="Z53" s="29"/>
      <c r="AA53" s="107"/>
      <c r="AB53" s="110"/>
      <c r="AC53" s="113"/>
      <c r="AD53" s="116"/>
      <c r="AE53" s="116"/>
    </row>
    <row r="54" spans="1:31" s="43" customFormat="1" ht="47.25" customHeight="1" x14ac:dyDescent="0.25">
      <c r="A54" s="8">
        <v>215</v>
      </c>
      <c r="B54" s="3" t="s">
        <v>51</v>
      </c>
      <c r="C54" s="3" t="s">
        <v>52</v>
      </c>
      <c r="D54" s="3" t="s">
        <v>56</v>
      </c>
      <c r="E54" s="4" t="s">
        <v>57</v>
      </c>
      <c r="F54" s="31" t="s">
        <v>58</v>
      </c>
      <c r="G54" s="63"/>
      <c r="H54" s="5" t="s">
        <v>181</v>
      </c>
      <c r="I54" s="30"/>
      <c r="J54" s="15">
        <v>44927</v>
      </c>
      <c r="K54" s="15">
        <v>45291</v>
      </c>
      <c r="L54" s="141"/>
      <c r="M54" s="142"/>
      <c r="N54" s="132"/>
      <c r="O54" s="68" t="s">
        <v>182</v>
      </c>
      <c r="P54" s="51">
        <f>7634272152.51-315742940.96-2267154.08-267122035.86-379802372.65</f>
        <v>6669337648.960001</v>
      </c>
      <c r="Q54" s="51"/>
      <c r="R54" s="28"/>
      <c r="S54" s="28"/>
      <c r="T54" s="75"/>
      <c r="U54" s="107"/>
      <c r="V54" s="28"/>
      <c r="W54" s="28"/>
      <c r="X54" s="28"/>
      <c r="Y54" s="28"/>
      <c r="Z54" s="29"/>
      <c r="AA54" s="107"/>
      <c r="AB54" s="110"/>
      <c r="AC54" s="113"/>
      <c r="AD54" s="116"/>
      <c r="AE54" s="116"/>
    </row>
    <row r="55" spans="1:31" s="43" customFormat="1" ht="47.25" customHeight="1" x14ac:dyDescent="0.25">
      <c r="A55" s="8">
        <v>215</v>
      </c>
      <c r="B55" s="3" t="s">
        <v>51</v>
      </c>
      <c r="C55" s="3" t="s">
        <v>52</v>
      </c>
      <c r="D55" s="3" t="s">
        <v>56</v>
      </c>
      <c r="E55" s="4" t="s">
        <v>57</v>
      </c>
      <c r="F55" s="31" t="s">
        <v>58</v>
      </c>
      <c r="G55" s="63">
        <v>2023680010088</v>
      </c>
      <c r="H55" s="5" t="s">
        <v>249</v>
      </c>
      <c r="I55" s="30"/>
      <c r="J55" s="15">
        <v>44927</v>
      </c>
      <c r="K55" s="15">
        <v>45291</v>
      </c>
      <c r="L55" s="141"/>
      <c r="M55" s="142"/>
      <c r="N55" s="132"/>
      <c r="O55" s="68" t="s">
        <v>182</v>
      </c>
      <c r="P55" s="51">
        <v>379802372.64999998</v>
      </c>
      <c r="Q55" s="51"/>
      <c r="R55" s="28"/>
      <c r="S55" s="28"/>
      <c r="T55" s="75"/>
      <c r="U55" s="107"/>
      <c r="V55" s="28">
        <v>31213755.350000001</v>
      </c>
      <c r="W55" s="28"/>
      <c r="X55" s="28"/>
      <c r="Y55" s="28"/>
      <c r="Z55" s="29"/>
      <c r="AA55" s="107"/>
      <c r="AB55" s="110"/>
      <c r="AC55" s="113"/>
      <c r="AD55" s="116"/>
      <c r="AE55" s="116"/>
    </row>
    <row r="56" spans="1:31" s="43" customFormat="1" ht="55.2" x14ac:dyDescent="0.25">
      <c r="A56" s="8">
        <v>215</v>
      </c>
      <c r="B56" s="3" t="s">
        <v>51</v>
      </c>
      <c r="C56" s="3" t="s">
        <v>52</v>
      </c>
      <c r="D56" s="3" t="s">
        <v>56</v>
      </c>
      <c r="E56" s="4" t="s">
        <v>57</v>
      </c>
      <c r="F56" s="31" t="s">
        <v>58</v>
      </c>
      <c r="G56" s="63">
        <v>2023680010065</v>
      </c>
      <c r="H56" s="5" t="s">
        <v>212</v>
      </c>
      <c r="I56" s="30"/>
      <c r="J56" s="15">
        <v>44927</v>
      </c>
      <c r="K56" s="15">
        <v>45291</v>
      </c>
      <c r="L56" s="141"/>
      <c r="M56" s="142"/>
      <c r="N56" s="132"/>
      <c r="O56" s="68" t="s">
        <v>218</v>
      </c>
      <c r="P56" s="95">
        <f>315742940.96+2267154.08+267122035.86</f>
        <v>585132130.89999998</v>
      </c>
      <c r="Q56" s="51"/>
      <c r="R56" s="28"/>
      <c r="S56" s="28"/>
      <c r="T56" s="75"/>
      <c r="U56" s="107"/>
      <c r="V56" s="28">
        <f>253005402.82+269389189.94</f>
        <v>522394592.75999999</v>
      </c>
      <c r="W56" s="28"/>
      <c r="X56" s="28"/>
      <c r="Y56" s="28"/>
      <c r="Z56" s="29"/>
      <c r="AA56" s="107"/>
      <c r="AB56" s="110"/>
      <c r="AC56" s="113"/>
      <c r="AD56" s="116"/>
      <c r="AE56" s="116"/>
    </row>
    <row r="57" spans="1:31" s="43" customFormat="1" ht="82.8" x14ac:dyDescent="0.25">
      <c r="A57" s="8">
        <v>215</v>
      </c>
      <c r="B57" s="3" t="s">
        <v>51</v>
      </c>
      <c r="C57" s="3" t="s">
        <v>52</v>
      </c>
      <c r="D57" s="3" t="s">
        <v>56</v>
      </c>
      <c r="E57" s="4" t="s">
        <v>57</v>
      </c>
      <c r="F57" s="72" t="s">
        <v>58</v>
      </c>
      <c r="G57" s="63">
        <v>2023680010036</v>
      </c>
      <c r="H57" s="5" t="s">
        <v>194</v>
      </c>
      <c r="I57" s="30"/>
      <c r="J57" s="15">
        <v>44927</v>
      </c>
      <c r="K57" s="15">
        <v>45291</v>
      </c>
      <c r="L57" s="141"/>
      <c r="M57" s="142"/>
      <c r="N57" s="132"/>
      <c r="O57" s="68" t="s">
        <v>195</v>
      </c>
      <c r="P57" s="51">
        <f>401767299.22+450728301.47</f>
        <v>852495600.69000006</v>
      </c>
      <c r="Q57" s="51"/>
      <c r="R57" s="28"/>
      <c r="S57" s="28"/>
      <c r="T57" s="75"/>
      <c r="U57" s="107"/>
      <c r="V57" s="28">
        <v>804713931.39999998</v>
      </c>
      <c r="W57" s="28"/>
      <c r="X57" s="28"/>
      <c r="Y57" s="28"/>
      <c r="Z57" s="29"/>
      <c r="AA57" s="107"/>
      <c r="AB57" s="110"/>
      <c r="AC57" s="113"/>
      <c r="AD57" s="116"/>
      <c r="AE57" s="116"/>
    </row>
    <row r="58" spans="1:31" s="43" customFormat="1" ht="41.4" x14ac:dyDescent="0.25">
      <c r="A58" s="8">
        <v>215</v>
      </c>
      <c r="B58" s="3" t="s">
        <v>51</v>
      </c>
      <c r="C58" s="3" t="s">
        <v>52</v>
      </c>
      <c r="D58" s="3" t="s">
        <v>56</v>
      </c>
      <c r="E58" s="4" t="s">
        <v>57</v>
      </c>
      <c r="F58" s="31" t="s">
        <v>58</v>
      </c>
      <c r="G58" s="63">
        <v>2022680010115</v>
      </c>
      <c r="H58" s="5" t="s">
        <v>217</v>
      </c>
      <c r="I58" s="30"/>
      <c r="J58" s="15">
        <v>44927</v>
      </c>
      <c r="K58" s="15">
        <v>45291</v>
      </c>
      <c r="L58" s="141"/>
      <c r="M58" s="142"/>
      <c r="N58" s="132"/>
      <c r="O58" s="68" t="s">
        <v>186</v>
      </c>
      <c r="P58" s="51">
        <v>33096883.760000002</v>
      </c>
      <c r="Q58" s="51"/>
      <c r="R58" s="28"/>
      <c r="S58" s="28"/>
      <c r="T58" s="75"/>
      <c r="U58" s="107"/>
      <c r="V58" s="51">
        <v>33096883.760000002</v>
      </c>
      <c r="W58" s="28"/>
      <c r="X58" s="28"/>
      <c r="Y58" s="28"/>
      <c r="Z58" s="29"/>
      <c r="AA58" s="107"/>
      <c r="AB58" s="110"/>
      <c r="AC58" s="113"/>
      <c r="AD58" s="116"/>
      <c r="AE58" s="116"/>
    </row>
    <row r="59" spans="1:31" s="43" customFormat="1" ht="47.25" customHeight="1" x14ac:dyDescent="0.25">
      <c r="A59" s="8">
        <v>215</v>
      </c>
      <c r="B59" s="3" t="s">
        <v>51</v>
      </c>
      <c r="C59" s="3" t="s">
        <v>52</v>
      </c>
      <c r="D59" s="3" t="s">
        <v>56</v>
      </c>
      <c r="E59" s="4" t="s">
        <v>57</v>
      </c>
      <c r="F59" s="31" t="s">
        <v>58</v>
      </c>
      <c r="G59" s="63"/>
      <c r="H59" s="5" t="s">
        <v>174</v>
      </c>
      <c r="I59" s="30"/>
      <c r="J59" s="15">
        <v>44927</v>
      </c>
      <c r="K59" s="15">
        <v>45291</v>
      </c>
      <c r="L59" s="141"/>
      <c r="M59" s="142"/>
      <c r="N59" s="132"/>
      <c r="O59" s="68" t="s">
        <v>178</v>
      </c>
      <c r="P59" s="51">
        <v>4264067279.48</v>
      </c>
      <c r="Q59" s="51"/>
      <c r="R59" s="28"/>
      <c r="S59" s="28"/>
      <c r="T59" s="75"/>
      <c r="U59" s="107"/>
      <c r="V59" s="28"/>
      <c r="W59" s="28"/>
      <c r="X59" s="28"/>
      <c r="Y59" s="28"/>
      <c r="Z59" s="29"/>
      <c r="AA59" s="107"/>
      <c r="AB59" s="110"/>
      <c r="AC59" s="113"/>
      <c r="AD59" s="116"/>
      <c r="AE59" s="116"/>
    </row>
    <row r="60" spans="1:31" s="43" customFormat="1" ht="47.25" customHeight="1" x14ac:dyDescent="0.25">
      <c r="A60" s="8">
        <v>215</v>
      </c>
      <c r="B60" s="3" t="s">
        <v>51</v>
      </c>
      <c r="C60" s="3" t="s">
        <v>52</v>
      </c>
      <c r="D60" s="3" t="s">
        <v>56</v>
      </c>
      <c r="E60" s="4" t="s">
        <v>57</v>
      </c>
      <c r="F60" s="31" t="s">
        <v>58</v>
      </c>
      <c r="G60" s="63">
        <v>2022680010048</v>
      </c>
      <c r="H60" s="5" t="s">
        <v>85</v>
      </c>
      <c r="I60" s="30"/>
      <c r="J60" s="15">
        <v>44927</v>
      </c>
      <c r="K60" s="15">
        <v>45291</v>
      </c>
      <c r="L60" s="141"/>
      <c r="M60" s="142"/>
      <c r="N60" s="132"/>
      <c r="O60" s="68" t="s">
        <v>232</v>
      </c>
      <c r="P60" s="51">
        <f>1545758423</f>
        <v>1545758423</v>
      </c>
      <c r="Q60" s="51"/>
      <c r="R60" s="28"/>
      <c r="S60" s="28"/>
      <c r="T60" s="75"/>
      <c r="U60" s="107"/>
      <c r="V60" s="51">
        <v>1545758423</v>
      </c>
      <c r="W60" s="28"/>
      <c r="X60" s="28"/>
      <c r="Y60" s="28"/>
      <c r="Z60" s="29"/>
      <c r="AA60" s="107"/>
      <c r="AB60" s="110"/>
      <c r="AC60" s="113"/>
      <c r="AD60" s="116"/>
      <c r="AE60" s="116"/>
    </row>
    <row r="61" spans="1:31" s="43" customFormat="1" ht="47.25" customHeight="1" x14ac:dyDescent="0.25">
      <c r="A61" s="8">
        <v>215</v>
      </c>
      <c r="B61" s="3" t="s">
        <v>51</v>
      </c>
      <c r="C61" s="3" t="s">
        <v>52</v>
      </c>
      <c r="D61" s="3" t="s">
        <v>56</v>
      </c>
      <c r="E61" s="4" t="s">
        <v>57</v>
      </c>
      <c r="F61" s="31" t="s">
        <v>58</v>
      </c>
      <c r="G61" s="63"/>
      <c r="H61" s="5" t="s">
        <v>200</v>
      </c>
      <c r="I61" s="30"/>
      <c r="J61" s="15">
        <v>44927</v>
      </c>
      <c r="K61" s="15">
        <v>45291</v>
      </c>
      <c r="L61" s="141"/>
      <c r="M61" s="142"/>
      <c r="N61" s="132"/>
      <c r="O61" s="68" t="s">
        <v>232</v>
      </c>
      <c r="P61" s="51">
        <v>197015638</v>
      </c>
      <c r="Q61" s="51"/>
      <c r="R61" s="28"/>
      <c r="S61" s="28"/>
      <c r="T61" s="75"/>
      <c r="U61" s="107"/>
      <c r="V61" s="28"/>
      <c r="W61" s="28"/>
      <c r="X61" s="28"/>
      <c r="Y61" s="28"/>
      <c r="Z61" s="29"/>
      <c r="AA61" s="107"/>
      <c r="AB61" s="110"/>
      <c r="AC61" s="113"/>
      <c r="AD61" s="116"/>
      <c r="AE61" s="116"/>
    </row>
    <row r="62" spans="1:31" s="43" customFormat="1" ht="47.25" customHeight="1" x14ac:dyDescent="0.25">
      <c r="A62" s="8">
        <v>215</v>
      </c>
      <c r="B62" s="3" t="s">
        <v>51</v>
      </c>
      <c r="C62" s="3" t="s">
        <v>52</v>
      </c>
      <c r="D62" s="3" t="s">
        <v>56</v>
      </c>
      <c r="E62" s="4" t="s">
        <v>57</v>
      </c>
      <c r="F62" s="31" t="s">
        <v>58</v>
      </c>
      <c r="G62" s="63">
        <v>2021680010140</v>
      </c>
      <c r="H62" s="5" t="s">
        <v>85</v>
      </c>
      <c r="I62" s="30"/>
      <c r="J62" s="15">
        <v>44927</v>
      </c>
      <c r="K62" s="15">
        <v>45291</v>
      </c>
      <c r="L62" s="126"/>
      <c r="M62" s="128"/>
      <c r="N62" s="124"/>
      <c r="O62" s="68" t="s">
        <v>131</v>
      </c>
      <c r="P62" s="52">
        <v>66366862</v>
      </c>
      <c r="Q62" s="28"/>
      <c r="R62" s="28"/>
      <c r="S62" s="28"/>
      <c r="T62" s="53"/>
      <c r="U62" s="108"/>
      <c r="V62" s="28">
        <v>66366862</v>
      </c>
      <c r="W62" s="28"/>
      <c r="X62" s="28"/>
      <c r="Y62" s="28"/>
      <c r="Z62" s="29"/>
      <c r="AA62" s="108"/>
      <c r="AB62" s="111"/>
      <c r="AC62" s="114"/>
      <c r="AD62" s="117"/>
      <c r="AE62" s="117" t="s">
        <v>37</v>
      </c>
    </row>
    <row r="63" spans="1:31" s="43" customFormat="1" ht="41.4" x14ac:dyDescent="0.25">
      <c r="A63" s="8">
        <v>216</v>
      </c>
      <c r="B63" s="3" t="s">
        <v>51</v>
      </c>
      <c r="C63" s="3" t="s">
        <v>52</v>
      </c>
      <c r="D63" s="3" t="s">
        <v>56</v>
      </c>
      <c r="E63" s="4" t="s">
        <v>59</v>
      </c>
      <c r="F63" s="31" t="s">
        <v>60</v>
      </c>
      <c r="G63" s="63">
        <v>2022680010044</v>
      </c>
      <c r="H63" s="5" t="s">
        <v>98</v>
      </c>
      <c r="I63" s="30"/>
      <c r="J63" s="15">
        <v>44927</v>
      </c>
      <c r="K63" s="15">
        <v>45291</v>
      </c>
      <c r="L63" s="125">
        <v>0</v>
      </c>
      <c r="M63" s="127">
        <v>0</v>
      </c>
      <c r="N63" s="123" t="str">
        <f>IFERROR(IF(M63/L63&gt;100%,100%,M63/L63),"-")</f>
        <v>-</v>
      </c>
      <c r="O63" s="68" t="s">
        <v>116</v>
      </c>
      <c r="P63" s="50">
        <v>797105879.33000004</v>
      </c>
      <c r="Q63" s="28"/>
      <c r="R63" s="28"/>
      <c r="S63" s="28"/>
      <c r="T63" s="52"/>
      <c r="U63" s="106">
        <f>SUM(P63:T64)</f>
        <v>962003286.83000004</v>
      </c>
      <c r="V63" s="28">
        <v>797105879.33000004</v>
      </c>
      <c r="W63" s="28"/>
      <c r="X63" s="28"/>
      <c r="Y63" s="28"/>
      <c r="Z63" s="29"/>
      <c r="AA63" s="106">
        <f>SUM(V63:Z64)</f>
        <v>797105879.33000004</v>
      </c>
      <c r="AB63" s="109">
        <f>IFERROR(AA63/U63,"-")</f>
        <v>0.82858955914446919</v>
      </c>
      <c r="AC63" s="121"/>
      <c r="AD63" s="115" t="s">
        <v>36</v>
      </c>
      <c r="AE63" s="118" t="s">
        <v>37</v>
      </c>
    </row>
    <row r="64" spans="1:31" s="43" customFormat="1" ht="41.4" x14ac:dyDescent="0.25">
      <c r="A64" s="8">
        <v>216</v>
      </c>
      <c r="B64" s="3" t="s">
        <v>51</v>
      </c>
      <c r="C64" s="3" t="s">
        <v>52</v>
      </c>
      <c r="D64" s="3" t="s">
        <v>56</v>
      </c>
      <c r="E64" s="4" t="s">
        <v>59</v>
      </c>
      <c r="F64" s="31" t="s">
        <v>60</v>
      </c>
      <c r="G64" s="63"/>
      <c r="H64" s="5" t="s">
        <v>239</v>
      </c>
      <c r="I64" s="30"/>
      <c r="J64" s="15"/>
      <c r="K64" s="15"/>
      <c r="L64" s="126"/>
      <c r="M64" s="128"/>
      <c r="N64" s="124"/>
      <c r="O64" s="68" t="s">
        <v>243</v>
      </c>
      <c r="P64" s="50">
        <v>164897407.5</v>
      </c>
      <c r="Q64" s="28"/>
      <c r="R64" s="28"/>
      <c r="S64" s="28"/>
      <c r="T64" s="52"/>
      <c r="U64" s="108"/>
      <c r="V64" s="28"/>
      <c r="W64" s="28"/>
      <c r="X64" s="28"/>
      <c r="Y64" s="28"/>
      <c r="Z64" s="29"/>
      <c r="AA64" s="108"/>
      <c r="AB64" s="111"/>
      <c r="AC64" s="122"/>
      <c r="AD64" s="117"/>
      <c r="AE64" s="120"/>
    </row>
    <row r="65" spans="1:73" s="43" customFormat="1" ht="41.4" x14ac:dyDescent="0.25">
      <c r="A65" s="8">
        <v>219</v>
      </c>
      <c r="B65" s="3" t="s">
        <v>51</v>
      </c>
      <c r="C65" s="3" t="s">
        <v>52</v>
      </c>
      <c r="D65" s="3" t="s">
        <v>61</v>
      </c>
      <c r="E65" s="4" t="s">
        <v>62</v>
      </c>
      <c r="F65" s="31" t="s">
        <v>63</v>
      </c>
      <c r="G65" s="62"/>
      <c r="H65" s="5" t="s">
        <v>89</v>
      </c>
      <c r="I65" s="14"/>
      <c r="J65" s="15">
        <v>44927</v>
      </c>
      <c r="K65" s="15">
        <v>45291</v>
      </c>
      <c r="L65" s="42">
        <v>15</v>
      </c>
      <c r="M65" s="24">
        <v>0</v>
      </c>
      <c r="N65" s="55">
        <f>IFERROR(IF(M65/L65&gt;100%,100%,M65/L65),"-")</f>
        <v>0</v>
      </c>
      <c r="O65" s="93"/>
      <c r="P65" s="50"/>
      <c r="Q65" s="28"/>
      <c r="R65" s="26"/>
      <c r="S65" s="29"/>
      <c r="T65" s="54"/>
      <c r="U65" s="17">
        <f>SUM(P65:T65)</f>
        <v>0</v>
      </c>
      <c r="V65" s="25"/>
      <c r="W65" s="26"/>
      <c r="X65" s="26"/>
      <c r="Y65" s="26"/>
      <c r="Z65" s="29"/>
      <c r="AA65" s="17">
        <f>SUM(V65:Z65)</f>
        <v>0</v>
      </c>
      <c r="AB65" s="18" t="str">
        <f>IFERROR(AA65/U65,"-")</f>
        <v>-</v>
      </c>
      <c r="AC65" s="22"/>
      <c r="AD65" s="20" t="s">
        <v>36</v>
      </c>
      <c r="AE65" s="21" t="s">
        <v>37</v>
      </c>
    </row>
    <row r="66" spans="1:73" s="43" customFormat="1" ht="51" customHeight="1" x14ac:dyDescent="0.25">
      <c r="A66" s="8">
        <v>220</v>
      </c>
      <c r="B66" s="3" t="s">
        <v>51</v>
      </c>
      <c r="C66" s="3" t="s">
        <v>52</v>
      </c>
      <c r="D66" s="3" t="s">
        <v>61</v>
      </c>
      <c r="E66" s="4" t="s">
        <v>64</v>
      </c>
      <c r="F66" s="31" t="s">
        <v>65</v>
      </c>
      <c r="G66" s="63">
        <v>2022680010042</v>
      </c>
      <c r="H66" s="5" t="s">
        <v>99</v>
      </c>
      <c r="I66" s="14"/>
      <c r="J66" s="15">
        <v>44927</v>
      </c>
      <c r="K66" s="15">
        <v>45291</v>
      </c>
      <c r="L66" s="125">
        <v>0</v>
      </c>
      <c r="M66" s="127">
        <f>39864.56+26077</f>
        <v>65941.56</v>
      </c>
      <c r="N66" s="123" t="str">
        <f>IFERROR(IF(M66/L66&gt;100%,100%,M66/L66),"-")</f>
        <v>-</v>
      </c>
      <c r="O66" s="68" t="s">
        <v>124</v>
      </c>
      <c r="P66" s="50">
        <f>7206004473.22-336783193-807624263</f>
        <v>6061597017.2200003</v>
      </c>
      <c r="Q66" s="28"/>
      <c r="R66" s="26"/>
      <c r="S66" s="29"/>
      <c r="T66" s="54"/>
      <c r="U66" s="136">
        <f>SUM(P66:T70)</f>
        <v>27794266678.169998</v>
      </c>
      <c r="V66" s="50">
        <v>6061597017.2200003</v>
      </c>
      <c r="W66" s="26"/>
      <c r="X66" s="26"/>
      <c r="Y66" s="26"/>
      <c r="Z66" s="29"/>
      <c r="AA66" s="136">
        <f>SUM(V66:Z70)</f>
        <v>15487472173.660002</v>
      </c>
      <c r="AB66" s="109">
        <f>IFERROR(AA66/U66,"-")</f>
        <v>0.55721823327773123</v>
      </c>
      <c r="AC66" s="137"/>
      <c r="AD66" s="133" t="s">
        <v>36</v>
      </c>
      <c r="AE66" s="129" t="s">
        <v>37</v>
      </c>
    </row>
    <row r="67" spans="1:73" s="43" customFormat="1" ht="76.95" customHeight="1" x14ac:dyDescent="0.25">
      <c r="A67" s="8">
        <v>220</v>
      </c>
      <c r="B67" s="3" t="s">
        <v>51</v>
      </c>
      <c r="C67" s="3" t="s">
        <v>52</v>
      </c>
      <c r="D67" s="3" t="s">
        <v>61</v>
      </c>
      <c r="E67" s="4" t="s">
        <v>64</v>
      </c>
      <c r="F67" s="72" t="s">
        <v>65</v>
      </c>
      <c r="G67" s="63">
        <v>2022680010006</v>
      </c>
      <c r="H67" s="5" t="s">
        <v>129</v>
      </c>
      <c r="I67" s="14"/>
      <c r="J67" s="15">
        <v>44927</v>
      </c>
      <c r="K67" s="15">
        <v>45291</v>
      </c>
      <c r="L67" s="141"/>
      <c r="M67" s="142"/>
      <c r="N67" s="132"/>
      <c r="O67" s="68" t="s">
        <v>245</v>
      </c>
      <c r="P67" s="50">
        <f>807624263+500000000+350056391.98</f>
        <v>1657680654.98</v>
      </c>
      <c r="Q67" s="28"/>
      <c r="R67" s="26"/>
      <c r="S67" s="29"/>
      <c r="T67" s="54"/>
      <c r="U67" s="136"/>
      <c r="V67" s="25">
        <f>807624263+500000000</f>
        <v>1307624263</v>
      </c>
      <c r="W67" s="26"/>
      <c r="X67" s="26"/>
      <c r="Y67" s="26"/>
      <c r="Z67" s="29"/>
      <c r="AA67" s="136"/>
      <c r="AB67" s="110"/>
      <c r="AC67" s="137"/>
      <c r="AD67" s="133"/>
      <c r="AE67" s="129"/>
    </row>
    <row r="68" spans="1:73" s="43" customFormat="1" ht="76.95" customHeight="1" x14ac:dyDescent="0.25">
      <c r="A68" s="8">
        <v>220</v>
      </c>
      <c r="B68" s="3" t="s">
        <v>51</v>
      </c>
      <c r="C68" s="3" t="s">
        <v>52</v>
      </c>
      <c r="D68" s="3" t="s">
        <v>61</v>
      </c>
      <c r="E68" s="4" t="s">
        <v>64</v>
      </c>
      <c r="F68" s="72" t="s">
        <v>65</v>
      </c>
      <c r="G68" s="63">
        <v>2022680010042</v>
      </c>
      <c r="H68" s="5" t="s">
        <v>99</v>
      </c>
      <c r="I68" s="14"/>
      <c r="J68" s="15">
        <v>44927</v>
      </c>
      <c r="K68" s="15">
        <v>45291</v>
      </c>
      <c r="L68" s="141"/>
      <c r="M68" s="142"/>
      <c r="N68" s="132"/>
      <c r="O68" s="68" t="s">
        <v>171</v>
      </c>
      <c r="P68" s="50">
        <f>2813539844+750000000</f>
        <v>3563539844</v>
      </c>
      <c r="Q68" s="28">
        <v>248171667</v>
      </c>
      <c r="R68" s="26"/>
      <c r="S68" s="29"/>
      <c r="T68" s="54"/>
      <c r="U68" s="136"/>
      <c r="V68" s="50">
        <v>2813513844</v>
      </c>
      <c r="W68" s="46">
        <v>248171667</v>
      </c>
      <c r="X68" s="26"/>
      <c r="Y68" s="26"/>
      <c r="Z68" s="29"/>
      <c r="AA68" s="136"/>
      <c r="AB68" s="110"/>
      <c r="AC68" s="137"/>
      <c r="AD68" s="133"/>
      <c r="AE68" s="129"/>
    </row>
    <row r="69" spans="1:73" s="43" customFormat="1" ht="48.75" customHeight="1" x14ac:dyDescent="0.25">
      <c r="A69" s="8">
        <v>220</v>
      </c>
      <c r="B69" s="3" t="s">
        <v>51</v>
      </c>
      <c r="C69" s="3" t="s">
        <v>52</v>
      </c>
      <c r="D69" s="3" t="s">
        <v>61</v>
      </c>
      <c r="E69" s="4" t="s">
        <v>64</v>
      </c>
      <c r="F69" s="72" t="s">
        <v>65</v>
      </c>
      <c r="G69" s="63">
        <v>2022680010042</v>
      </c>
      <c r="H69" s="5" t="s">
        <v>99</v>
      </c>
      <c r="I69" s="14"/>
      <c r="J69" s="15">
        <v>44927</v>
      </c>
      <c r="K69" s="15">
        <v>45291</v>
      </c>
      <c r="L69" s="141"/>
      <c r="M69" s="142"/>
      <c r="N69" s="132"/>
      <c r="O69" s="68" t="s">
        <v>213</v>
      </c>
      <c r="P69" s="50">
        <f>1267189914.44+3789375468</f>
        <v>5056565382.4400005</v>
      </c>
      <c r="Q69" s="28"/>
      <c r="R69" s="26"/>
      <c r="S69" s="29"/>
      <c r="T69" s="54"/>
      <c r="U69" s="136"/>
      <c r="V69" s="50">
        <f>1267189914.44+3789375468</f>
        <v>5056565382.4400005</v>
      </c>
      <c r="W69" s="26"/>
      <c r="X69" s="26"/>
      <c r="Y69" s="26"/>
      <c r="Z69" s="29"/>
      <c r="AA69" s="136"/>
      <c r="AB69" s="110"/>
      <c r="AC69" s="137"/>
      <c r="AD69" s="133"/>
      <c r="AE69" s="129"/>
    </row>
    <row r="70" spans="1:73" s="43" customFormat="1" ht="41.4" x14ac:dyDescent="0.25">
      <c r="A70" s="8">
        <v>220</v>
      </c>
      <c r="B70" s="3" t="s">
        <v>51</v>
      </c>
      <c r="C70" s="3" t="s">
        <v>52</v>
      </c>
      <c r="D70" s="3" t="s">
        <v>61</v>
      </c>
      <c r="E70" s="4" t="s">
        <v>64</v>
      </c>
      <c r="F70" s="31" t="s">
        <v>65</v>
      </c>
      <c r="G70" s="63">
        <v>2022680010100</v>
      </c>
      <c r="H70" s="5" t="s">
        <v>100</v>
      </c>
      <c r="I70" s="14"/>
      <c r="J70" s="15">
        <v>44927</v>
      </c>
      <c r="K70" s="15">
        <v>45291</v>
      </c>
      <c r="L70" s="126"/>
      <c r="M70" s="128"/>
      <c r="N70" s="124"/>
      <c r="O70" s="68" t="s">
        <v>170</v>
      </c>
      <c r="P70" s="51"/>
      <c r="Q70" s="28"/>
      <c r="R70" s="26"/>
      <c r="S70" s="29"/>
      <c r="T70" s="50">
        <f>3518324333+7688387779.53</f>
        <v>11206712112.529999</v>
      </c>
      <c r="U70" s="136"/>
      <c r="V70" s="25"/>
      <c r="W70" s="26"/>
      <c r="X70" s="26"/>
      <c r="Y70" s="26"/>
      <c r="Z70" s="29"/>
      <c r="AA70" s="136"/>
      <c r="AB70" s="111"/>
      <c r="AC70" s="137"/>
      <c r="AD70" s="133"/>
      <c r="AE70" s="129"/>
    </row>
    <row r="71" spans="1:73" s="43" customFormat="1" ht="41.4" x14ac:dyDescent="0.25">
      <c r="A71" s="8">
        <v>221</v>
      </c>
      <c r="B71" s="3" t="s">
        <v>51</v>
      </c>
      <c r="C71" s="3" t="s">
        <v>52</v>
      </c>
      <c r="D71" s="3" t="s">
        <v>61</v>
      </c>
      <c r="E71" s="4" t="s">
        <v>66</v>
      </c>
      <c r="F71" s="31" t="s">
        <v>67</v>
      </c>
      <c r="G71" s="63">
        <v>2021680010038</v>
      </c>
      <c r="H71" s="5" t="s">
        <v>101</v>
      </c>
      <c r="I71" s="14"/>
      <c r="J71" s="15">
        <v>44927</v>
      </c>
      <c r="K71" s="15">
        <v>45291</v>
      </c>
      <c r="L71" s="88">
        <v>1350</v>
      </c>
      <c r="M71" s="89">
        <v>798</v>
      </c>
      <c r="N71" s="87">
        <f>IFERROR(IF(M71/L71&gt;100%,100%,M71/L71),"-")</f>
        <v>0.59111111111111114</v>
      </c>
      <c r="O71" s="68" t="s">
        <v>230</v>
      </c>
      <c r="P71" s="50">
        <f>730760868+29827348+2126619580+546000000</f>
        <v>3433207796</v>
      </c>
      <c r="Q71" s="28"/>
      <c r="R71" s="26"/>
      <c r="S71" s="29"/>
      <c r="T71" s="54"/>
      <c r="U71" s="86">
        <f>SUM(P71:T71)</f>
        <v>3433207796</v>
      </c>
      <c r="V71" s="50">
        <v>3433194113</v>
      </c>
      <c r="W71" s="26"/>
      <c r="X71" s="26"/>
      <c r="Y71" s="29"/>
      <c r="Z71" s="26"/>
      <c r="AA71" s="86">
        <f>SUM(V71:Z71)</f>
        <v>3433194113</v>
      </c>
      <c r="AB71" s="18">
        <f>IFERROR(AA71/U71,"-")</f>
        <v>0.99999601451446785</v>
      </c>
      <c r="AC71" s="22"/>
      <c r="AD71" s="20" t="s">
        <v>36</v>
      </c>
      <c r="AE71" s="21" t="s">
        <v>37</v>
      </c>
    </row>
    <row r="72" spans="1:73" s="44" customFormat="1" ht="30.75" customHeight="1" x14ac:dyDescent="0.25">
      <c r="A72" s="8">
        <v>222</v>
      </c>
      <c r="B72" s="3" t="s">
        <v>51</v>
      </c>
      <c r="C72" s="3" t="s">
        <v>52</v>
      </c>
      <c r="D72" s="3" t="s">
        <v>61</v>
      </c>
      <c r="E72" s="4" t="s">
        <v>109</v>
      </c>
      <c r="F72" s="31" t="s">
        <v>110</v>
      </c>
      <c r="G72" s="61"/>
      <c r="H72" s="5" t="s">
        <v>108</v>
      </c>
      <c r="I72" s="14"/>
      <c r="J72" s="15">
        <v>44927</v>
      </c>
      <c r="K72" s="15">
        <v>45291</v>
      </c>
      <c r="L72" s="42">
        <v>0</v>
      </c>
      <c r="M72" s="24">
        <v>0</v>
      </c>
      <c r="N72" s="55" t="str">
        <f>IFERROR(IF(M72/L72&gt;100%,100%,M72/L72),"-")</f>
        <v>-</v>
      </c>
      <c r="O72" s="94"/>
      <c r="P72" s="25"/>
      <c r="Q72" s="26"/>
      <c r="R72" s="29"/>
      <c r="S72" s="52"/>
      <c r="T72" s="60"/>
      <c r="U72" s="17">
        <f>SUM(P72:T72)</f>
        <v>0</v>
      </c>
      <c r="V72" s="25"/>
      <c r="W72" s="26"/>
      <c r="X72" s="26"/>
      <c r="Y72" s="29"/>
      <c r="Z72" s="26"/>
      <c r="AA72" s="17">
        <f>SUM(V72:Z72)</f>
        <v>0</v>
      </c>
      <c r="AB72" s="18" t="str">
        <f>IFERROR(AA72/U72,"-")</f>
        <v>-</v>
      </c>
      <c r="AC72" s="22"/>
      <c r="AD72" s="20" t="s">
        <v>36</v>
      </c>
      <c r="AE72" s="21" t="s">
        <v>37</v>
      </c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</row>
    <row r="73" spans="1:73" s="43" customFormat="1" ht="110.4" x14ac:dyDescent="0.25">
      <c r="A73" s="8">
        <v>223</v>
      </c>
      <c r="B73" s="3" t="s">
        <v>51</v>
      </c>
      <c r="C73" s="3" t="s">
        <v>52</v>
      </c>
      <c r="D73" s="84" t="s">
        <v>68</v>
      </c>
      <c r="E73" s="4" t="s">
        <v>69</v>
      </c>
      <c r="F73" s="31" t="s">
        <v>70</v>
      </c>
      <c r="G73" s="63">
        <v>2022680010038</v>
      </c>
      <c r="H73" s="5" t="s">
        <v>102</v>
      </c>
      <c r="I73" s="30" t="s">
        <v>220</v>
      </c>
      <c r="J73" s="15">
        <v>44927</v>
      </c>
      <c r="K73" s="15">
        <v>45291</v>
      </c>
      <c r="L73" s="141">
        <v>1</v>
      </c>
      <c r="M73" s="142">
        <v>1</v>
      </c>
      <c r="N73" s="134">
        <f>IFERROR(IF(M73/L73&gt;100%,100%,M73/L73),"-")</f>
        <v>1</v>
      </c>
      <c r="O73" s="68" t="s">
        <v>136</v>
      </c>
      <c r="P73" s="50"/>
      <c r="Q73" s="25"/>
      <c r="R73" s="25"/>
      <c r="S73" s="29"/>
      <c r="T73" s="25">
        <v>5204586692.5900002</v>
      </c>
      <c r="U73" s="130">
        <f>SUM(P73:T88)</f>
        <v>40509473531.760002</v>
      </c>
      <c r="V73" s="25"/>
      <c r="W73" s="25"/>
      <c r="X73" s="25"/>
      <c r="Y73" s="29"/>
      <c r="Z73" s="25">
        <v>5204586692.5900002</v>
      </c>
      <c r="AA73" s="130">
        <f>SUM(V73:Z88)</f>
        <v>36563409100.240005</v>
      </c>
      <c r="AB73" s="109">
        <f>IFERROR(AA73/U73,"-")</f>
        <v>0.90258909614250538</v>
      </c>
      <c r="AC73" s="112"/>
      <c r="AD73" s="115" t="s">
        <v>36</v>
      </c>
      <c r="AE73" s="118" t="s">
        <v>37</v>
      </c>
    </row>
    <row r="74" spans="1:73" s="43" customFormat="1" ht="41.4" x14ac:dyDescent="0.25">
      <c r="A74" s="8">
        <v>223</v>
      </c>
      <c r="B74" s="3" t="s">
        <v>51</v>
      </c>
      <c r="C74" s="3" t="s">
        <v>52</v>
      </c>
      <c r="D74" s="84" t="s">
        <v>68</v>
      </c>
      <c r="E74" s="4" t="s">
        <v>69</v>
      </c>
      <c r="F74" s="31" t="s">
        <v>70</v>
      </c>
      <c r="G74" s="63" t="s">
        <v>247</v>
      </c>
      <c r="H74" s="5" t="s">
        <v>248</v>
      </c>
      <c r="I74" s="31"/>
      <c r="J74" s="15">
        <v>44927</v>
      </c>
      <c r="K74" s="15">
        <v>45291</v>
      </c>
      <c r="L74" s="141"/>
      <c r="M74" s="142"/>
      <c r="N74" s="134"/>
      <c r="O74" s="68" t="s">
        <v>237</v>
      </c>
      <c r="P74" s="50"/>
      <c r="Q74" s="25"/>
      <c r="R74" s="25"/>
      <c r="S74" s="29"/>
      <c r="T74" s="25">
        <v>1174423569</v>
      </c>
      <c r="U74" s="130"/>
      <c r="V74" s="25"/>
      <c r="W74" s="25"/>
      <c r="X74" s="25"/>
      <c r="Y74" s="29"/>
      <c r="Z74" s="25">
        <v>1174423569</v>
      </c>
      <c r="AA74" s="130"/>
      <c r="AB74" s="110"/>
      <c r="AC74" s="113"/>
      <c r="AD74" s="116"/>
      <c r="AE74" s="119"/>
    </row>
    <row r="75" spans="1:73" s="43" customFormat="1" ht="41.4" x14ac:dyDescent="0.25">
      <c r="A75" s="8">
        <v>223</v>
      </c>
      <c r="B75" s="3" t="s">
        <v>51</v>
      </c>
      <c r="C75" s="3" t="s">
        <v>52</v>
      </c>
      <c r="D75" s="84" t="s">
        <v>68</v>
      </c>
      <c r="E75" s="4" t="s">
        <v>69</v>
      </c>
      <c r="F75" s="31" t="s">
        <v>70</v>
      </c>
      <c r="G75" s="63">
        <v>2021680010134</v>
      </c>
      <c r="H75" s="5" t="s">
        <v>246</v>
      </c>
      <c r="I75" s="31"/>
      <c r="J75" s="15">
        <v>44927</v>
      </c>
      <c r="K75" s="15">
        <v>45291</v>
      </c>
      <c r="L75" s="141"/>
      <c r="M75" s="142"/>
      <c r="N75" s="134"/>
      <c r="O75" s="68" t="s">
        <v>237</v>
      </c>
      <c r="P75" s="50"/>
      <c r="Q75" s="25"/>
      <c r="R75" s="25"/>
      <c r="S75" s="29"/>
      <c r="T75" s="25">
        <v>116067333.90000001</v>
      </c>
      <c r="U75" s="130"/>
      <c r="V75" s="25"/>
      <c r="W75" s="25"/>
      <c r="X75" s="25"/>
      <c r="Y75" s="29"/>
      <c r="Z75" s="25">
        <v>116067333.90000001</v>
      </c>
      <c r="AA75" s="130"/>
      <c r="AB75" s="110"/>
      <c r="AC75" s="113"/>
      <c r="AD75" s="116"/>
      <c r="AE75" s="119"/>
    </row>
    <row r="76" spans="1:73" s="43" customFormat="1" ht="41.4" x14ac:dyDescent="0.25">
      <c r="A76" s="8">
        <v>223</v>
      </c>
      <c r="B76" s="3" t="s">
        <v>51</v>
      </c>
      <c r="C76" s="3" t="s">
        <v>52</v>
      </c>
      <c r="D76" s="84" t="s">
        <v>68</v>
      </c>
      <c r="E76" s="4" t="s">
        <v>69</v>
      </c>
      <c r="F76" s="31" t="s">
        <v>70</v>
      </c>
      <c r="G76" s="63"/>
      <c r="H76" s="5" t="s">
        <v>200</v>
      </c>
      <c r="I76" s="31"/>
      <c r="J76" s="15">
        <v>44927</v>
      </c>
      <c r="K76" s="15">
        <v>45291</v>
      </c>
      <c r="L76" s="141"/>
      <c r="M76" s="142"/>
      <c r="N76" s="134"/>
      <c r="O76" s="68" t="s">
        <v>237</v>
      </c>
      <c r="P76" s="50"/>
      <c r="Q76" s="25"/>
      <c r="R76" s="25"/>
      <c r="S76" s="29"/>
      <c r="T76" s="25">
        <v>15480031.92</v>
      </c>
      <c r="U76" s="130"/>
      <c r="V76" s="25"/>
      <c r="W76" s="25"/>
      <c r="X76" s="25"/>
      <c r="Y76" s="29"/>
      <c r="Z76" s="25"/>
      <c r="AA76" s="130"/>
      <c r="AB76" s="110"/>
      <c r="AC76" s="113"/>
      <c r="AD76" s="116"/>
      <c r="AE76" s="119"/>
    </row>
    <row r="77" spans="1:73" s="43" customFormat="1" ht="70.5" customHeight="1" x14ac:dyDescent="0.25">
      <c r="A77" s="8">
        <v>223</v>
      </c>
      <c r="B77" s="3" t="s">
        <v>51</v>
      </c>
      <c r="C77" s="3" t="s">
        <v>52</v>
      </c>
      <c r="D77" s="84" t="s">
        <v>68</v>
      </c>
      <c r="E77" s="4" t="s">
        <v>69</v>
      </c>
      <c r="F77" s="31" t="s">
        <v>70</v>
      </c>
      <c r="G77" s="63">
        <v>2022680010039</v>
      </c>
      <c r="H77" s="5" t="s">
        <v>196</v>
      </c>
      <c r="I77" s="31" t="s">
        <v>221</v>
      </c>
      <c r="J77" s="15">
        <v>44927</v>
      </c>
      <c r="K77" s="15">
        <v>45291</v>
      </c>
      <c r="L77" s="141"/>
      <c r="M77" s="142"/>
      <c r="N77" s="134"/>
      <c r="O77" s="68" t="s">
        <v>136</v>
      </c>
      <c r="P77" s="50"/>
      <c r="Q77" s="25"/>
      <c r="R77" s="25"/>
      <c r="S77" s="29"/>
      <c r="T77" s="50">
        <v>2062209169.8800001</v>
      </c>
      <c r="U77" s="130"/>
      <c r="V77" s="25"/>
      <c r="W77" s="25"/>
      <c r="X77" s="25"/>
      <c r="Y77" s="29"/>
      <c r="Z77" s="50">
        <v>2062209169.8800001</v>
      </c>
      <c r="AA77" s="130"/>
      <c r="AB77" s="110"/>
      <c r="AC77" s="113"/>
      <c r="AD77" s="116"/>
      <c r="AE77" s="119"/>
    </row>
    <row r="78" spans="1:73" s="43" customFormat="1" ht="72" customHeight="1" x14ac:dyDescent="0.25">
      <c r="A78" s="8">
        <v>223</v>
      </c>
      <c r="B78" s="3" t="s">
        <v>51</v>
      </c>
      <c r="C78" s="3" t="s">
        <v>52</v>
      </c>
      <c r="D78" s="84" t="s">
        <v>68</v>
      </c>
      <c r="E78" s="4" t="s">
        <v>69</v>
      </c>
      <c r="F78" s="31" t="s">
        <v>70</v>
      </c>
      <c r="G78" s="63">
        <v>2022680010052</v>
      </c>
      <c r="H78" s="5" t="s">
        <v>144</v>
      </c>
      <c r="I78" s="31" t="s">
        <v>222</v>
      </c>
      <c r="J78" s="15">
        <v>44927</v>
      </c>
      <c r="K78" s="15">
        <v>45291</v>
      </c>
      <c r="L78" s="141"/>
      <c r="M78" s="142"/>
      <c r="N78" s="134"/>
      <c r="O78" s="68" t="s">
        <v>136</v>
      </c>
      <c r="P78" s="50"/>
      <c r="Q78" s="25"/>
      <c r="R78" s="25"/>
      <c r="S78" s="29"/>
      <c r="T78" s="50">
        <v>3299485582.54</v>
      </c>
      <c r="U78" s="130"/>
      <c r="V78" s="25"/>
      <c r="W78" s="25"/>
      <c r="X78" s="25"/>
      <c r="Y78" s="29"/>
      <c r="Z78" s="50">
        <v>3299485582.54</v>
      </c>
      <c r="AA78" s="130"/>
      <c r="AB78" s="110"/>
      <c r="AC78" s="113"/>
      <c r="AD78" s="116"/>
      <c r="AE78" s="119"/>
    </row>
    <row r="79" spans="1:73" s="43" customFormat="1" ht="110.4" x14ac:dyDescent="0.25">
      <c r="A79" s="8">
        <v>223</v>
      </c>
      <c r="B79" s="3" t="s">
        <v>51</v>
      </c>
      <c r="C79" s="3" t="s">
        <v>52</v>
      </c>
      <c r="D79" s="84" t="s">
        <v>68</v>
      </c>
      <c r="E79" s="4" t="s">
        <v>69</v>
      </c>
      <c r="F79" s="31" t="s">
        <v>70</v>
      </c>
      <c r="G79" s="63">
        <v>2022680010083</v>
      </c>
      <c r="H79" s="5" t="s">
        <v>147</v>
      </c>
      <c r="I79" s="31" t="s">
        <v>223</v>
      </c>
      <c r="J79" s="15">
        <v>44927</v>
      </c>
      <c r="K79" s="15">
        <v>45291</v>
      </c>
      <c r="L79" s="141"/>
      <c r="M79" s="142"/>
      <c r="N79" s="134"/>
      <c r="O79" s="68" t="s">
        <v>137</v>
      </c>
      <c r="P79" s="50"/>
      <c r="Q79" s="25"/>
      <c r="R79" s="25"/>
      <c r="S79" s="29"/>
      <c r="T79" s="50">
        <v>464512725</v>
      </c>
      <c r="U79" s="130"/>
      <c r="V79" s="25"/>
      <c r="W79" s="25"/>
      <c r="X79" s="25"/>
      <c r="Y79" s="29"/>
      <c r="Z79" s="25">
        <v>464512725</v>
      </c>
      <c r="AA79" s="130"/>
      <c r="AB79" s="110"/>
      <c r="AC79" s="113"/>
      <c r="AD79" s="116"/>
      <c r="AE79" s="119"/>
    </row>
    <row r="80" spans="1:73" s="43" customFormat="1" ht="55.2" x14ac:dyDescent="0.25">
      <c r="A80" s="8">
        <v>223</v>
      </c>
      <c r="B80" s="3" t="s">
        <v>51</v>
      </c>
      <c r="C80" s="3" t="s">
        <v>52</v>
      </c>
      <c r="D80" s="84" t="s">
        <v>68</v>
      </c>
      <c r="E80" s="4" t="s">
        <v>69</v>
      </c>
      <c r="F80" s="31" t="s">
        <v>70</v>
      </c>
      <c r="G80" s="63">
        <v>2022680010084</v>
      </c>
      <c r="H80" s="5" t="s">
        <v>103</v>
      </c>
      <c r="I80" s="14" t="s">
        <v>224</v>
      </c>
      <c r="J80" s="15">
        <v>44927</v>
      </c>
      <c r="K80" s="15">
        <v>45291</v>
      </c>
      <c r="L80" s="141"/>
      <c r="M80" s="142"/>
      <c r="N80" s="134"/>
      <c r="O80" s="68" t="s">
        <v>137</v>
      </c>
      <c r="P80" s="50"/>
      <c r="Q80" s="25"/>
      <c r="R80" s="25"/>
      <c r="S80" s="29"/>
      <c r="T80" s="50">
        <v>9891096463</v>
      </c>
      <c r="U80" s="130"/>
      <c r="V80" s="25"/>
      <c r="W80" s="25"/>
      <c r="X80" s="25"/>
      <c r="Y80" s="29"/>
      <c r="Z80" s="50">
        <v>9891096463</v>
      </c>
      <c r="AA80" s="130"/>
      <c r="AB80" s="110"/>
      <c r="AC80" s="113"/>
      <c r="AD80" s="116"/>
      <c r="AE80" s="119"/>
    </row>
    <row r="81" spans="1:73" s="43" customFormat="1" ht="41.4" x14ac:dyDescent="0.25">
      <c r="A81" s="8">
        <v>223</v>
      </c>
      <c r="B81" s="3" t="s">
        <v>51</v>
      </c>
      <c r="C81" s="3" t="s">
        <v>52</v>
      </c>
      <c r="D81" s="84" t="s">
        <v>68</v>
      </c>
      <c r="E81" s="4" t="s">
        <v>69</v>
      </c>
      <c r="F81" s="31" t="s">
        <v>70</v>
      </c>
      <c r="G81" s="63"/>
      <c r="H81" s="5" t="s">
        <v>200</v>
      </c>
      <c r="I81" s="14"/>
      <c r="J81" s="15">
        <v>44927</v>
      </c>
      <c r="K81" s="15">
        <v>45291</v>
      </c>
      <c r="L81" s="141"/>
      <c r="M81" s="142"/>
      <c r="N81" s="134"/>
      <c r="O81" s="68" t="s">
        <v>137</v>
      </c>
      <c r="P81" s="50"/>
      <c r="Q81" s="25"/>
      <c r="R81" s="25"/>
      <c r="S81" s="29"/>
      <c r="T81" s="50">
        <v>865240415.13999999</v>
      </c>
      <c r="U81" s="130"/>
      <c r="V81" s="25"/>
      <c r="W81" s="25"/>
      <c r="X81" s="25"/>
      <c r="Y81" s="29"/>
      <c r="Z81" s="25">
        <v>0</v>
      </c>
      <c r="AA81" s="130"/>
      <c r="AB81" s="110"/>
      <c r="AC81" s="113"/>
      <c r="AD81" s="116"/>
      <c r="AE81" s="119"/>
    </row>
    <row r="82" spans="1:73" s="43" customFormat="1" ht="55.2" x14ac:dyDescent="0.25">
      <c r="A82" s="8">
        <v>223</v>
      </c>
      <c r="B82" s="3" t="s">
        <v>51</v>
      </c>
      <c r="C82" s="3" t="s">
        <v>52</v>
      </c>
      <c r="D82" s="84" t="s">
        <v>68</v>
      </c>
      <c r="E82" s="4" t="s">
        <v>69</v>
      </c>
      <c r="F82" s="31" t="s">
        <v>70</v>
      </c>
      <c r="G82" s="63">
        <v>2022680010090</v>
      </c>
      <c r="H82" s="5" t="s">
        <v>146</v>
      </c>
      <c r="I82" s="30" t="s">
        <v>225</v>
      </c>
      <c r="J82" s="15">
        <v>44927</v>
      </c>
      <c r="K82" s="15">
        <v>45291</v>
      </c>
      <c r="L82" s="141"/>
      <c r="M82" s="142"/>
      <c r="N82" s="134"/>
      <c r="O82" s="68" t="s">
        <v>138</v>
      </c>
      <c r="P82" s="50"/>
      <c r="Q82" s="25"/>
      <c r="R82" s="25"/>
      <c r="S82" s="29"/>
      <c r="T82" s="50">
        <v>1741151017</v>
      </c>
      <c r="U82" s="130"/>
      <c r="V82" s="25"/>
      <c r="W82" s="25"/>
      <c r="X82" s="25"/>
      <c r="Y82" s="29"/>
      <c r="Z82" s="50">
        <v>1741151017</v>
      </c>
      <c r="AA82" s="130"/>
      <c r="AB82" s="110"/>
      <c r="AC82" s="113"/>
      <c r="AD82" s="116"/>
      <c r="AE82" s="119"/>
    </row>
    <row r="83" spans="1:73" s="43" customFormat="1" ht="41.4" x14ac:dyDescent="0.25">
      <c r="A83" s="8">
        <v>223</v>
      </c>
      <c r="B83" s="3" t="s">
        <v>51</v>
      </c>
      <c r="C83" s="3" t="s">
        <v>52</v>
      </c>
      <c r="D83" s="84" t="s">
        <v>68</v>
      </c>
      <c r="E83" s="4" t="s">
        <v>69</v>
      </c>
      <c r="F83" s="31" t="s">
        <v>70</v>
      </c>
      <c r="G83" s="63"/>
      <c r="H83" s="5" t="s">
        <v>200</v>
      </c>
      <c r="I83" s="30"/>
      <c r="J83" s="15">
        <v>44927</v>
      </c>
      <c r="K83" s="15">
        <v>45291</v>
      </c>
      <c r="L83" s="141"/>
      <c r="M83" s="142"/>
      <c r="N83" s="134"/>
      <c r="O83" s="68" t="s">
        <v>233</v>
      </c>
      <c r="P83" s="50"/>
      <c r="Q83" s="25"/>
      <c r="R83" s="25"/>
      <c r="S83" s="29"/>
      <c r="T83" s="50">
        <v>101702838.86</v>
      </c>
      <c r="U83" s="130"/>
      <c r="V83" s="25"/>
      <c r="W83" s="25"/>
      <c r="X83" s="25"/>
      <c r="Y83" s="29"/>
      <c r="Z83" s="25">
        <v>0</v>
      </c>
      <c r="AA83" s="130"/>
      <c r="AB83" s="110"/>
      <c r="AC83" s="113"/>
      <c r="AD83" s="116"/>
      <c r="AE83" s="119"/>
    </row>
    <row r="84" spans="1:73" s="43" customFormat="1" ht="41.4" x14ac:dyDescent="0.25">
      <c r="A84" s="8">
        <v>223</v>
      </c>
      <c r="B84" s="3" t="s">
        <v>51</v>
      </c>
      <c r="C84" s="3" t="s">
        <v>52</v>
      </c>
      <c r="D84" s="84" t="s">
        <v>68</v>
      </c>
      <c r="E84" s="4" t="s">
        <v>69</v>
      </c>
      <c r="F84" s="31" t="s">
        <v>70</v>
      </c>
      <c r="G84" s="63">
        <v>2021680010134</v>
      </c>
      <c r="H84" s="5" t="s">
        <v>145</v>
      </c>
      <c r="I84" s="30" t="s">
        <v>226</v>
      </c>
      <c r="J84" s="15">
        <v>45017</v>
      </c>
      <c r="K84" s="15">
        <v>45076</v>
      </c>
      <c r="L84" s="141"/>
      <c r="M84" s="142"/>
      <c r="N84" s="134"/>
      <c r="O84" s="68" t="s">
        <v>184</v>
      </c>
      <c r="P84" s="50"/>
      <c r="Q84" s="25"/>
      <c r="R84" s="25"/>
      <c r="S84" s="29"/>
      <c r="T84" s="50">
        <v>35531049.75</v>
      </c>
      <c r="U84" s="130"/>
      <c r="V84" s="25"/>
      <c r="W84" s="25"/>
      <c r="X84" s="25"/>
      <c r="Y84" s="29"/>
      <c r="Z84" s="25">
        <v>35531049.75</v>
      </c>
      <c r="AA84" s="130"/>
      <c r="AB84" s="110"/>
      <c r="AC84" s="113"/>
      <c r="AD84" s="116"/>
      <c r="AE84" s="119"/>
    </row>
    <row r="85" spans="1:73" s="43" customFormat="1" ht="41.4" x14ac:dyDescent="0.25">
      <c r="A85" s="8">
        <v>223</v>
      </c>
      <c r="B85" s="3" t="s">
        <v>51</v>
      </c>
      <c r="C85" s="3" t="s">
        <v>52</v>
      </c>
      <c r="D85" s="84" t="s">
        <v>68</v>
      </c>
      <c r="E85" s="4" t="s">
        <v>69</v>
      </c>
      <c r="F85" s="31" t="s">
        <v>70</v>
      </c>
      <c r="G85" s="63"/>
      <c r="H85" s="77" t="s">
        <v>235</v>
      </c>
      <c r="I85" s="30"/>
      <c r="J85" s="15">
        <v>45017</v>
      </c>
      <c r="K85" s="15">
        <v>45076</v>
      </c>
      <c r="L85" s="141"/>
      <c r="M85" s="142"/>
      <c r="N85" s="134"/>
      <c r="O85" s="68" t="s">
        <v>234</v>
      </c>
      <c r="P85" s="50"/>
      <c r="Q85" s="25"/>
      <c r="R85" s="25"/>
      <c r="S85" s="29"/>
      <c r="T85" s="50">
        <v>171018396.15000001</v>
      </c>
      <c r="U85" s="130"/>
      <c r="V85" s="25"/>
      <c r="W85" s="25"/>
      <c r="X85" s="25"/>
      <c r="Y85" s="29"/>
      <c r="Z85" s="25">
        <v>0</v>
      </c>
      <c r="AA85" s="130"/>
      <c r="AB85" s="110"/>
      <c r="AC85" s="113"/>
      <c r="AD85" s="116"/>
      <c r="AE85" s="119"/>
    </row>
    <row r="86" spans="1:73" s="43" customFormat="1" ht="38.25" customHeight="1" x14ac:dyDescent="0.25">
      <c r="A86" s="8">
        <v>223</v>
      </c>
      <c r="B86" s="3" t="s">
        <v>51</v>
      </c>
      <c r="C86" s="3" t="s">
        <v>52</v>
      </c>
      <c r="D86" s="84" t="s">
        <v>68</v>
      </c>
      <c r="E86" s="4" t="s">
        <v>69</v>
      </c>
      <c r="F86" s="31" t="s">
        <v>70</v>
      </c>
      <c r="G86" s="63">
        <v>2023680010042</v>
      </c>
      <c r="H86" s="77" t="s">
        <v>204</v>
      </c>
      <c r="I86" s="30" t="s">
        <v>219</v>
      </c>
      <c r="J86" s="15">
        <v>45078</v>
      </c>
      <c r="K86" s="15">
        <v>45290</v>
      </c>
      <c r="L86" s="141"/>
      <c r="M86" s="142"/>
      <c r="N86" s="134"/>
      <c r="O86" s="68" t="s">
        <v>205</v>
      </c>
      <c r="P86" s="50"/>
      <c r="Q86" s="25"/>
      <c r="R86" s="25"/>
      <c r="S86" s="29"/>
      <c r="T86" s="50">
        <v>10081159300.42</v>
      </c>
      <c r="U86" s="130"/>
      <c r="V86" s="25"/>
      <c r="W86" s="25"/>
      <c r="X86" s="25"/>
      <c r="Y86" s="29"/>
      <c r="Z86" s="25">
        <v>10081159300.42</v>
      </c>
      <c r="AA86" s="130"/>
      <c r="AB86" s="110"/>
      <c r="AC86" s="113"/>
      <c r="AD86" s="116"/>
      <c r="AE86" s="119"/>
    </row>
    <row r="87" spans="1:73" s="43" customFormat="1" ht="38.25" customHeight="1" x14ac:dyDescent="0.25">
      <c r="A87" s="8">
        <v>223</v>
      </c>
      <c r="B87" s="3" t="s">
        <v>51</v>
      </c>
      <c r="C87" s="3" t="s">
        <v>52</v>
      </c>
      <c r="D87" s="84" t="s">
        <v>68</v>
      </c>
      <c r="E87" s="4" t="s">
        <v>69</v>
      </c>
      <c r="F87" s="31" t="s">
        <v>70</v>
      </c>
      <c r="G87" s="63">
        <v>2023680010045</v>
      </c>
      <c r="H87" s="77" t="s">
        <v>207</v>
      </c>
      <c r="I87" s="30" t="s">
        <v>227</v>
      </c>
      <c r="J87" s="15">
        <v>45078</v>
      </c>
      <c r="K87" s="15">
        <v>45290</v>
      </c>
      <c r="L87" s="141"/>
      <c r="M87" s="142"/>
      <c r="N87" s="134"/>
      <c r="O87" s="68" t="s">
        <v>206</v>
      </c>
      <c r="P87" s="50"/>
      <c r="Q87" s="25"/>
      <c r="R87" s="25"/>
      <c r="S87" s="29"/>
      <c r="T87" s="50">
        <v>339489356</v>
      </c>
      <c r="U87" s="130"/>
      <c r="V87" s="25"/>
      <c r="W87" s="25"/>
      <c r="X87" s="25"/>
      <c r="Y87" s="29"/>
      <c r="Z87" s="25">
        <v>339489356</v>
      </c>
      <c r="AA87" s="130"/>
      <c r="AB87" s="110"/>
      <c r="AC87" s="113"/>
      <c r="AD87" s="116"/>
      <c r="AE87" s="119"/>
    </row>
    <row r="88" spans="1:73" s="43" customFormat="1" ht="51" customHeight="1" x14ac:dyDescent="0.25">
      <c r="A88" s="8">
        <v>223</v>
      </c>
      <c r="B88" s="3" t="s">
        <v>51</v>
      </c>
      <c r="C88" s="3" t="s">
        <v>52</v>
      </c>
      <c r="D88" s="84" t="s">
        <v>68</v>
      </c>
      <c r="E88" s="4" t="s">
        <v>69</v>
      </c>
      <c r="F88" s="31" t="s">
        <v>70</v>
      </c>
      <c r="G88" s="63">
        <v>20230680010019</v>
      </c>
      <c r="H88" s="5" t="s">
        <v>197</v>
      </c>
      <c r="I88" s="83" t="s">
        <v>181</v>
      </c>
      <c r="J88" s="15">
        <v>45078</v>
      </c>
      <c r="K88" s="15">
        <v>45290</v>
      </c>
      <c r="L88" s="126"/>
      <c r="M88" s="128"/>
      <c r="N88" s="135"/>
      <c r="O88" s="68" t="s">
        <v>183</v>
      </c>
      <c r="P88" s="50"/>
      <c r="Q88" s="25"/>
      <c r="R88" s="25"/>
      <c r="S88" s="29"/>
      <c r="T88" s="50">
        <f>3056010949.19+1890308641.42</f>
        <v>4946319590.6100006</v>
      </c>
      <c r="U88" s="131"/>
      <c r="V88" s="25"/>
      <c r="W88" s="25"/>
      <c r="X88" s="25"/>
      <c r="Y88" s="29"/>
      <c r="Z88" s="25">
        <v>2153696841.1599998</v>
      </c>
      <c r="AA88" s="131"/>
      <c r="AB88" s="111"/>
      <c r="AC88" s="114"/>
      <c r="AD88" s="117"/>
      <c r="AE88" s="120"/>
    </row>
    <row r="89" spans="1:73" s="43" customFormat="1" ht="409.6" x14ac:dyDescent="0.25">
      <c r="A89" s="8">
        <v>224</v>
      </c>
      <c r="B89" s="3" t="s">
        <v>51</v>
      </c>
      <c r="C89" s="3" t="s">
        <v>52</v>
      </c>
      <c r="D89" s="84" t="s">
        <v>68</v>
      </c>
      <c r="E89" s="4" t="s">
        <v>71</v>
      </c>
      <c r="F89" s="31" t="s">
        <v>72</v>
      </c>
      <c r="G89" s="63">
        <v>2020680010029</v>
      </c>
      <c r="H89" s="5" t="s">
        <v>104</v>
      </c>
      <c r="I89" s="14"/>
      <c r="J89" s="15">
        <v>44927</v>
      </c>
      <c r="K89" s="15">
        <v>45291</v>
      </c>
      <c r="L89" s="143">
        <v>1</v>
      </c>
      <c r="M89" s="145">
        <v>0.71</v>
      </c>
      <c r="N89" s="123">
        <f>IFERROR(IF(M89/L89&gt;100%,100%,M89/L89),"-")</f>
        <v>0.71</v>
      </c>
      <c r="O89" s="68" t="s">
        <v>236</v>
      </c>
      <c r="P89" s="50"/>
      <c r="Q89" s="25"/>
      <c r="R89" s="25"/>
      <c r="S89" s="29"/>
      <c r="T89" s="50">
        <v>22452773491.450001</v>
      </c>
      <c r="U89" s="106">
        <f>SUM(P89:T92)</f>
        <v>38967802537.169998</v>
      </c>
      <c r="V89" s="25"/>
      <c r="W89" s="25"/>
      <c r="X89" s="25"/>
      <c r="Y89" s="29"/>
      <c r="Z89" s="25">
        <v>19264300624.380001</v>
      </c>
      <c r="AA89" s="106">
        <f>SUM(V89:Z92)</f>
        <v>29532708974.530003</v>
      </c>
      <c r="AB89" s="109">
        <f>IFERROR(AA89/U89,"-")</f>
        <v>0.75787463114862086</v>
      </c>
      <c r="AC89" s="112"/>
      <c r="AD89" s="115" t="s">
        <v>36</v>
      </c>
      <c r="AE89" s="118" t="s">
        <v>37</v>
      </c>
    </row>
    <row r="90" spans="1:73" s="43" customFormat="1" ht="80.25" customHeight="1" x14ac:dyDescent="0.25">
      <c r="A90" s="8">
        <v>224</v>
      </c>
      <c r="B90" s="3" t="s">
        <v>51</v>
      </c>
      <c r="C90" s="3" t="s">
        <v>52</v>
      </c>
      <c r="D90" s="84" t="s">
        <v>68</v>
      </c>
      <c r="E90" s="4" t="s">
        <v>71</v>
      </c>
      <c r="F90" s="31" t="s">
        <v>72</v>
      </c>
      <c r="G90" s="63"/>
      <c r="H90" s="5" t="s">
        <v>200</v>
      </c>
      <c r="I90" s="14"/>
      <c r="J90" s="15"/>
      <c r="K90" s="15"/>
      <c r="L90" s="169"/>
      <c r="M90" s="153"/>
      <c r="N90" s="132"/>
      <c r="O90" s="68" t="s">
        <v>199</v>
      </c>
      <c r="P90" s="50"/>
      <c r="Q90" s="25"/>
      <c r="R90" s="25"/>
      <c r="S90" s="29"/>
      <c r="T90" s="50">
        <v>6246620695.5699997</v>
      </c>
      <c r="U90" s="107"/>
      <c r="V90" s="25"/>
      <c r="W90" s="25"/>
      <c r="X90" s="25"/>
      <c r="Y90" s="29"/>
      <c r="Z90" s="25">
        <v>0</v>
      </c>
      <c r="AA90" s="107"/>
      <c r="AB90" s="110"/>
      <c r="AC90" s="113"/>
      <c r="AD90" s="116"/>
      <c r="AE90" s="119"/>
    </row>
    <row r="91" spans="1:73" s="43" customFormat="1" ht="102" customHeight="1" x14ac:dyDescent="0.25">
      <c r="A91" s="8">
        <v>224</v>
      </c>
      <c r="B91" s="3" t="s">
        <v>51</v>
      </c>
      <c r="C91" s="3" t="s">
        <v>52</v>
      </c>
      <c r="D91" s="84" t="s">
        <v>68</v>
      </c>
      <c r="E91" s="4" t="s">
        <v>71</v>
      </c>
      <c r="F91" s="31" t="s">
        <v>72</v>
      </c>
      <c r="G91" s="63">
        <v>2020680010114</v>
      </c>
      <c r="H91" s="3" t="s">
        <v>82</v>
      </c>
      <c r="I91" s="14"/>
      <c r="J91" s="15">
        <v>44927</v>
      </c>
      <c r="K91" s="15">
        <v>45291</v>
      </c>
      <c r="L91" s="169"/>
      <c r="M91" s="153"/>
      <c r="N91" s="132"/>
      <c r="O91" s="68" t="s">
        <v>198</v>
      </c>
      <c r="P91" s="50"/>
      <c r="Q91" s="25"/>
      <c r="R91" s="25"/>
      <c r="S91" s="29"/>
      <c r="T91" s="50">
        <v>10179797342.040001</v>
      </c>
      <c r="U91" s="107"/>
      <c r="V91" s="25"/>
      <c r="W91" s="25"/>
      <c r="X91" s="25"/>
      <c r="Y91" s="29"/>
      <c r="Z91" s="25">
        <v>10179797342.040001</v>
      </c>
      <c r="AA91" s="107"/>
      <c r="AB91" s="110"/>
      <c r="AC91" s="113"/>
      <c r="AD91" s="116"/>
      <c r="AE91" s="119"/>
    </row>
    <row r="92" spans="1:73" s="43" customFormat="1" ht="55.2" x14ac:dyDescent="0.25">
      <c r="A92" s="8">
        <v>224</v>
      </c>
      <c r="B92" s="3" t="s">
        <v>51</v>
      </c>
      <c r="C92" s="3" t="s">
        <v>52</v>
      </c>
      <c r="D92" s="84" t="s">
        <v>68</v>
      </c>
      <c r="E92" s="4" t="s">
        <v>71</v>
      </c>
      <c r="F92" s="31" t="s">
        <v>72</v>
      </c>
      <c r="G92" s="76">
        <v>20230680010019</v>
      </c>
      <c r="H92" s="78" t="s">
        <v>197</v>
      </c>
      <c r="I92" s="83" t="s">
        <v>181</v>
      </c>
      <c r="J92" s="15">
        <v>44927</v>
      </c>
      <c r="K92" s="15">
        <v>45291</v>
      </c>
      <c r="L92" s="144"/>
      <c r="M92" s="146"/>
      <c r="N92" s="124"/>
      <c r="O92" s="68" t="s">
        <v>208</v>
      </c>
      <c r="P92" s="50"/>
      <c r="Q92" s="25"/>
      <c r="R92" s="25"/>
      <c r="S92" s="29"/>
      <c r="T92" s="50">
        <v>88611008.109999999</v>
      </c>
      <c r="U92" s="108"/>
      <c r="V92" s="25"/>
      <c r="W92" s="25"/>
      <c r="X92" s="25"/>
      <c r="Y92" s="29"/>
      <c r="Z92" s="25">
        <v>88611008.109999999</v>
      </c>
      <c r="AA92" s="108"/>
      <c r="AB92" s="111"/>
      <c r="AC92" s="114"/>
      <c r="AD92" s="117"/>
      <c r="AE92" s="120"/>
    </row>
    <row r="93" spans="1:73" s="44" customFormat="1" ht="55.2" x14ac:dyDescent="0.25">
      <c r="A93" s="8">
        <v>225</v>
      </c>
      <c r="B93" s="5" t="s">
        <v>51</v>
      </c>
      <c r="C93" s="7" t="s">
        <v>52</v>
      </c>
      <c r="D93" s="84" t="s">
        <v>68</v>
      </c>
      <c r="E93" s="4" t="s">
        <v>111</v>
      </c>
      <c r="F93" s="31" t="s">
        <v>112</v>
      </c>
      <c r="G93" s="63"/>
      <c r="H93" s="5" t="s">
        <v>108</v>
      </c>
      <c r="I93" s="30"/>
      <c r="J93" s="15">
        <v>44927</v>
      </c>
      <c r="K93" s="15">
        <v>45291</v>
      </c>
      <c r="L93" s="41">
        <v>0</v>
      </c>
      <c r="M93" s="16">
        <v>0</v>
      </c>
      <c r="N93" s="55" t="str">
        <f>IFERROR(IF(M93/L93&gt;100%,100%,M93/L93),"-")</f>
        <v>-</v>
      </c>
      <c r="O93" s="94"/>
      <c r="P93" s="25"/>
      <c r="Q93" s="25"/>
      <c r="R93" s="29"/>
      <c r="S93" s="50"/>
      <c r="T93" s="60"/>
      <c r="U93" s="17">
        <f>SUM(P93:T93)</f>
        <v>0</v>
      </c>
      <c r="V93" s="25"/>
      <c r="W93" s="25"/>
      <c r="X93" s="25"/>
      <c r="Y93" s="29"/>
      <c r="Z93" s="25"/>
      <c r="AA93" s="17">
        <f>SUM(V93:Z93)</f>
        <v>0</v>
      </c>
      <c r="AB93" s="18" t="str">
        <f>IFERROR(AA93/U93,"-")</f>
        <v>-</v>
      </c>
      <c r="AC93" s="19"/>
      <c r="AD93" s="20" t="s">
        <v>36</v>
      </c>
      <c r="AE93" s="21" t="s">
        <v>37</v>
      </c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</row>
    <row r="94" spans="1:73" s="43" customFormat="1" ht="55.2" x14ac:dyDescent="0.25">
      <c r="A94" s="8">
        <v>226</v>
      </c>
      <c r="B94" s="5" t="s">
        <v>51</v>
      </c>
      <c r="C94" s="7" t="s">
        <v>52</v>
      </c>
      <c r="D94" s="84" t="s">
        <v>68</v>
      </c>
      <c r="E94" s="4" t="s">
        <v>73</v>
      </c>
      <c r="F94" s="31" t="s">
        <v>74</v>
      </c>
      <c r="G94" s="63"/>
      <c r="H94" s="5" t="s">
        <v>200</v>
      </c>
      <c r="I94" s="30"/>
      <c r="J94" s="15">
        <v>44927</v>
      </c>
      <c r="K94" s="15">
        <v>45291</v>
      </c>
      <c r="L94" s="42">
        <v>14209</v>
      </c>
      <c r="M94" s="24">
        <v>0</v>
      </c>
      <c r="N94" s="55">
        <f>IFERROR(IF(M94/L94&gt;100%,100%,M94/L94),"-")</f>
        <v>0</v>
      </c>
      <c r="O94" s="93"/>
      <c r="P94" s="50"/>
      <c r="Q94" s="25"/>
      <c r="R94" s="25"/>
      <c r="S94" s="29"/>
      <c r="T94" s="50"/>
      <c r="U94" s="17">
        <f>SUM(P94:T94)</f>
        <v>0</v>
      </c>
      <c r="V94" s="25"/>
      <c r="W94" s="25"/>
      <c r="X94" s="25"/>
      <c r="Y94" s="29"/>
      <c r="Z94" s="25"/>
      <c r="AA94" s="17">
        <f>SUM(V94:Z94)</f>
        <v>0</v>
      </c>
      <c r="AB94" s="18" t="str">
        <f>IFERROR(AA94/U94,"-")</f>
        <v>-</v>
      </c>
      <c r="AC94" s="19"/>
      <c r="AD94" s="20" t="s">
        <v>36</v>
      </c>
      <c r="AE94" s="21" t="s">
        <v>37</v>
      </c>
    </row>
    <row r="95" spans="1:73" s="43" customFormat="1" ht="55.2" x14ac:dyDescent="0.25">
      <c r="A95" s="8">
        <v>227</v>
      </c>
      <c r="B95" s="3" t="s">
        <v>51</v>
      </c>
      <c r="C95" s="3" t="s">
        <v>52</v>
      </c>
      <c r="D95" s="84" t="s">
        <v>68</v>
      </c>
      <c r="E95" s="4" t="s">
        <v>75</v>
      </c>
      <c r="F95" s="31" t="s">
        <v>76</v>
      </c>
      <c r="G95" s="63"/>
      <c r="H95" s="5" t="s">
        <v>200</v>
      </c>
      <c r="I95" s="73"/>
      <c r="J95" s="15">
        <v>44927</v>
      </c>
      <c r="K95" s="15">
        <v>45291</v>
      </c>
      <c r="L95" s="42">
        <v>1</v>
      </c>
      <c r="M95" s="24">
        <v>0</v>
      </c>
      <c r="N95" s="55">
        <f>IFERROR(IF(M95/L95&gt;100%,100%,M95/L95),"-")</f>
        <v>0</v>
      </c>
      <c r="O95" s="68"/>
      <c r="P95" s="50"/>
      <c r="Q95" s="25"/>
      <c r="R95" s="25"/>
      <c r="S95" s="29"/>
      <c r="T95" s="50"/>
      <c r="U95" s="17">
        <f>SUM(P95:T95)</f>
        <v>0</v>
      </c>
      <c r="V95" s="25"/>
      <c r="W95" s="25"/>
      <c r="X95" s="25"/>
      <c r="Y95" s="29"/>
      <c r="Z95" s="25"/>
      <c r="AA95" s="17">
        <f>SUM(V95:Z95)</f>
        <v>0</v>
      </c>
      <c r="AB95" s="18" t="str">
        <f>IFERROR(AA95/U95,"-")</f>
        <v>-</v>
      </c>
      <c r="AC95" s="19"/>
      <c r="AD95" s="20" t="s">
        <v>36</v>
      </c>
      <c r="AE95" s="21" t="s">
        <v>37</v>
      </c>
    </row>
    <row r="96" spans="1:73" s="44" customFormat="1" ht="55.2" x14ac:dyDescent="0.25">
      <c r="A96" s="8">
        <v>228</v>
      </c>
      <c r="B96" s="3" t="s">
        <v>51</v>
      </c>
      <c r="C96" s="3" t="s">
        <v>52</v>
      </c>
      <c r="D96" s="84" t="s">
        <v>68</v>
      </c>
      <c r="E96" s="4" t="s">
        <v>113</v>
      </c>
      <c r="F96" s="31" t="s">
        <v>114</v>
      </c>
      <c r="G96" s="63"/>
      <c r="H96" s="5" t="s">
        <v>108</v>
      </c>
      <c r="I96" s="30"/>
      <c r="J96" s="15">
        <v>44927</v>
      </c>
      <c r="K96" s="15">
        <v>45291</v>
      </c>
      <c r="L96" s="41">
        <v>0</v>
      </c>
      <c r="M96" s="16">
        <v>0</v>
      </c>
      <c r="N96" s="55" t="str">
        <f>IFERROR(IF(M96/L96&gt;100%,100%,M96/L96),"-")</f>
        <v>-</v>
      </c>
      <c r="O96" s="94"/>
      <c r="P96" s="25"/>
      <c r="Q96" s="25"/>
      <c r="R96" s="29"/>
      <c r="S96" s="50"/>
      <c r="T96" s="60"/>
      <c r="U96" s="17">
        <f>SUM(P96:T96)</f>
        <v>0</v>
      </c>
      <c r="V96" s="25"/>
      <c r="W96" s="25"/>
      <c r="X96" s="25"/>
      <c r="Y96" s="29"/>
      <c r="Z96" s="25"/>
      <c r="AA96" s="17">
        <f>SUM(V96:Z96)</f>
        <v>0</v>
      </c>
      <c r="AB96" s="18" t="str">
        <f>IFERROR(AA96/U96,"-")</f>
        <v>-</v>
      </c>
      <c r="AC96" s="19"/>
      <c r="AD96" s="20" t="s">
        <v>36</v>
      </c>
      <c r="AE96" s="21" t="s">
        <v>37</v>
      </c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</row>
    <row r="97" spans="1:31" s="43" customFormat="1" ht="69" x14ac:dyDescent="0.25">
      <c r="A97" s="8">
        <v>300</v>
      </c>
      <c r="B97" s="3" t="s">
        <v>77</v>
      </c>
      <c r="C97" s="3" t="s">
        <v>78</v>
      </c>
      <c r="D97" s="6" t="s">
        <v>79</v>
      </c>
      <c r="E97" s="4" t="s">
        <v>80</v>
      </c>
      <c r="F97" s="31" t="s">
        <v>81</v>
      </c>
      <c r="G97" s="63">
        <v>2022680010027</v>
      </c>
      <c r="H97" s="5" t="s">
        <v>105</v>
      </c>
      <c r="I97" s="32"/>
      <c r="J97" s="15">
        <v>44927</v>
      </c>
      <c r="K97" s="15">
        <v>45291</v>
      </c>
      <c r="L97" s="143">
        <v>1</v>
      </c>
      <c r="M97" s="145">
        <v>1</v>
      </c>
      <c r="N97" s="123">
        <f>IFERROR(IF(M97/L97&gt;100%,100%,M97/L97),"-")</f>
        <v>1</v>
      </c>
      <c r="O97" s="68" t="s">
        <v>125</v>
      </c>
      <c r="P97" s="50">
        <f>8044230000.67</f>
        <v>8044230000.6700001</v>
      </c>
      <c r="Q97" s="25"/>
      <c r="R97" s="25"/>
      <c r="S97" s="25"/>
      <c r="T97" s="50"/>
      <c r="U97" s="136">
        <f>SUM(P97:T98)</f>
        <v>17834324018.099998</v>
      </c>
      <c r="V97" s="25">
        <v>7968976666.3299999</v>
      </c>
      <c r="W97" s="25"/>
      <c r="X97" s="25"/>
      <c r="Y97" s="25"/>
      <c r="Z97" s="25"/>
      <c r="AA97" s="136">
        <f>SUM(V97:Z98)</f>
        <v>15999176157.33</v>
      </c>
      <c r="AB97" s="109">
        <f>IFERROR(AA97/U97,"-")</f>
        <v>0.89710022881116702</v>
      </c>
      <c r="AC97" s="137"/>
      <c r="AD97" s="133" t="s">
        <v>36</v>
      </c>
      <c r="AE97" s="129" t="s">
        <v>37</v>
      </c>
    </row>
    <row r="98" spans="1:31" s="43" customFormat="1" ht="69" x14ac:dyDescent="0.25">
      <c r="A98" s="8">
        <v>300</v>
      </c>
      <c r="B98" s="3" t="s">
        <v>77</v>
      </c>
      <c r="C98" s="3" t="s">
        <v>78</v>
      </c>
      <c r="D98" s="6" t="s">
        <v>79</v>
      </c>
      <c r="E98" s="4" t="s">
        <v>80</v>
      </c>
      <c r="F98" s="31" t="s">
        <v>81</v>
      </c>
      <c r="G98" s="63">
        <v>2021680010120</v>
      </c>
      <c r="H98" s="5" t="s">
        <v>83</v>
      </c>
      <c r="I98" s="14"/>
      <c r="J98" s="15">
        <v>44927</v>
      </c>
      <c r="K98" s="15">
        <v>45291</v>
      </c>
      <c r="L98" s="144"/>
      <c r="M98" s="146"/>
      <c r="N98" s="124"/>
      <c r="O98" s="68" t="s">
        <v>126</v>
      </c>
      <c r="P98" s="50"/>
      <c r="Q98" s="25">
        <f>6699873458+1906588092+635052889.79</f>
        <v>9241514439.7900009</v>
      </c>
      <c r="R98" s="25"/>
      <c r="S98" s="25"/>
      <c r="T98" s="50">
        <f>281529916+267049661.64</f>
        <v>548579577.63999999</v>
      </c>
      <c r="U98" s="136"/>
      <c r="V98" s="25"/>
      <c r="W98" s="25">
        <f>6602530735+812350097+615318659</f>
        <v>8030199491</v>
      </c>
      <c r="X98" s="25"/>
      <c r="Y98" s="25"/>
      <c r="Z98" s="25"/>
      <c r="AA98" s="136"/>
      <c r="AB98" s="111"/>
      <c r="AC98" s="137"/>
      <c r="AD98" s="133"/>
      <c r="AE98" s="129"/>
    </row>
    <row r="99" spans="1:31" s="43" customFormat="1" ht="60" x14ac:dyDescent="0.25">
      <c r="A99" s="8">
        <v>12</v>
      </c>
      <c r="B99" s="64" t="s">
        <v>154</v>
      </c>
      <c r="C99" s="64" t="s">
        <v>155</v>
      </c>
      <c r="D99" s="85" t="s">
        <v>156</v>
      </c>
      <c r="E99" s="4" t="s">
        <v>157</v>
      </c>
      <c r="F99" s="71" t="s">
        <v>158</v>
      </c>
      <c r="G99" s="63">
        <v>2023680010025</v>
      </c>
      <c r="H99" s="5" t="s">
        <v>167</v>
      </c>
      <c r="I99" s="14"/>
      <c r="J99" s="15">
        <v>44927</v>
      </c>
      <c r="K99" s="15">
        <v>45291</v>
      </c>
      <c r="L99" s="125">
        <v>0</v>
      </c>
      <c r="M99" s="145">
        <v>0.03</v>
      </c>
      <c r="N99" s="123" t="str">
        <f>IFERROR(IF(M99/L99&gt;100%,100%,M99/L99),"-")</f>
        <v>-</v>
      </c>
      <c r="O99" s="68" t="s">
        <v>244</v>
      </c>
      <c r="P99" s="50">
        <v>720969871</v>
      </c>
      <c r="Q99" s="25"/>
      <c r="R99" s="25"/>
      <c r="S99" s="25"/>
      <c r="T99" s="50">
        <f>11297453460</f>
        <v>11297453460</v>
      </c>
      <c r="U99" s="106">
        <f>SUM(P99:T101)</f>
        <v>84764583221</v>
      </c>
      <c r="V99" s="50">
        <v>720969871</v>
      </c>
      <c r="W99" s="25"/>
      <c r="X99" s="25"/>
      <c r="Y99" s="25"/>
      <c r="Z99" s="50">
        <f>11297453460</f>
        <v>11297453460</v>
      </c>
      <c r="AA99" s="106">
        <f>SUM(V99:Z101)</f>
        <v>84764583221</v>
      </c>
      <c r="AB99" s="109">
        <f>IFERROR(AA99/U99,"-")</f>
        <v>1</v>
      </c>
      <c r="AC99" s="112"/>
      <c r="AD99" s="115" t="s">
        <v>36</v>
      </c>
      <c r="AE99" s="118" t="s">
        <v>37</v>
      </c>
    </row>
    <row r="100" spans="1:31" s="43" customFormat="1" ht="60" x14ac:dyDescent="0.25">
      <c r="A100" s="8">
        <v>12</v>
      </c>
      <c r="B100" s="64" t="s">
        <v>154</v>
      </c>
      <c r="C100" s="64" t="s">
        <v>155</v>
      </c>
      <c r="D100" s="64" t="s">
        <v>156</v>
      </c>
      <c r="E100" s="4" t="s">
        <v>157</v>
      </c>
      <c r="F100" s="71" t="s">
        <v>158</v>
      </c>
      <c r="G100" s="63">
        <v>2023680010027</v>
      </c>
      <c r="H100" s="5" t="s">
        <v>168</v>
      </c>
      <c r="I100" s="14"/>
      <c r="J100" s="15">
        <v>44927</v>
      </c>
      <c r="K100" s="15">
        <v>45291</v>
      </c>
      <c r="L100" s="141"/>
      <c r="M100" s="153"/>
      <c r="N100" s="132"/>
      <c r="O100" s="68" t="s">
        <v>244</v>
      </c>
      <c r="P100" s="50">
        <v>1773301968</v>
      </c>
      <c r="Q100" s="25"/>
      <c r="R100" s="25"/>
      <c r="S100" s="25"/>
      <c r="T100" s="50">
        <f>25825511660</f>
        <v>25825511660</v>
      </c>
      <c r="U100" s="107"/>
      <c r="V100" s="50">
        <v>1773301968</v>
      </c>
      <c r="W100" s="25"/>
      <c r="X100" s="25"/>
      <c r="Y100" s="25"/>
      <c r="Z100" s="50">
        <f>25825511660</f>
        <v>25825511660</v>
      </c>
      <c r="AA100" s="107"/>
      <c r="AB100" s="110"/>
      <c r="AC100" s="113"/>
      <c r="AD100" s="116"/>
      <c r="AE100" s="119"/>
    </row>
    <row r="101" spans="1:31" s="43" customFormat="1" ht="60" x14ac:dyDescent="0.25">
      <c r="A101" s="8">
        <v>12</v>
      </c>
      <c r="B101" s="64" t="s">
        <v>154</v>
      </c>
      <c r="C101" s="64" t="s">
        <v>155</v>
      </c>
      <c r="D101" s="64" t="s">
        <v>156</v>
      </c>
      <c r="E101" s="4" t="s">
        <v>157</v>
      </c>
      <c r="F101" s="71" t="s">
        <v>158</v>
      </c>
      <c r="G101" s="63">
        <v>2023680010028</v>
      </c>
      <c r="H101" s="5" t="s">
        <v>169</v>
      </c>
      <c r="I101" s="14"/>
      <c r="J101" s="15">
        <v>44927</v>
      </c>
      <c r="K101" s="15">
        <v>45291</v>
      </c>
      <c r="L101" s="126"/>
      <c r="M101" s="146"/>
      <c r="N101" s="124"/>
      <c r="O101" s="68" t="s">
        <v>229</v>
      </c>
      <c r="P101" s="50">
        <f>1848032963.41+753286805.59</f>
        <v>2601319769</v>
      </c>
      <c r="Q101" s="25"/>
      <c r="R101" s="25"/>
      <c r="S101" s="25"/>
      <c r="T101" s="50">
        <v>42546026493</v>
      </c>
      <c r="U101" s="108"/>
      <c r="V101" s="50">
        <f>1848032963.41+753286805.59</f>
        <v>2601319769</v>
      </c>
      <c r="W101" s="25"/>
      <c r="X101" s="25"/>
      <c r="Y101" s="25"/>
      <c r="Z101" s="50">
        <v>42546026493</v>
      </c>
      <c r="AA101" s="108"/>
      <c r="AB101" s="111"/>
      <c r="AC101" s="114"/>
      <c r="AD101" s="117"/>
      <c r="AE101" s="120"/>
    </row>
    <row r="102" spans="1:31" s="43" customFormat="1" x14ac:dyDescent="0.25">
      <c r="A102" s="11" cm="1">
        <f t="array" ref="A102">SUM(--(FREQUENCY(A9:A101,A9:A101)&gt;0))</f>
        <v>21</v>
      </c>
      <c r="B102" s="33"/>
      <c r="C102" s="34"/>
      <c r="D102" s="34"/>
      <c r="E102" s="34"/>
      <c r="F102" s="34"/>
      <c r="G102" s="34"/>
      <c r="H102" s="34"/>
      <c r="I102" s="34"/>
      <c r="J102" s="34"/>
      <c r="K102" s="35"/>
      <c r="L102" s="36"/>
      <c r="M102" s="37" t="s">
        <v>143</v>
      </c>
      <c r="N102" s="36">
        <v>0.25693666652398617</v>
      </c>
      <c r="O102" s="38"/>
      <c r="P102" s="39">
        <f t="shared" ref="P102:AA102" si="1">SUBTOTAL(9,P9:P101)</f>
        <v>133107541600.17</v>
      </c>
      <c r="Q102" s="39">
        <f t="shared" si="1"/>
        <v>20787436669.790001</v>
      </c>
      <c r="R102" s="39">
        <f t="shared" si="1"/>
        <v>0</v>
      </c>
      <c r="S102" s="39">
        <f t="shared" si="1"/>
        <v>0</v>
      </c>
      <c r="T102" s="39">
        <f t="shared" si="1"/>
        <v>174434514482.61002</v>
      </c>
      <c r="U102" s="40">
        <f>SUBTOTAL(9,U9:U101)</f>
        <v>328329492752.56995</v>
      </c>
      <c r="V102" s="39">
        <f t="shared" si="1"/>
        <v>112346393833.97002</v>
      </c>
      <c r="W102" s="39">
        <f t="shared" si="1"/>
        <v>17614184165.150002</v>
      </c>
      <c r="X102" s="39">
        <f t="shared" si="1"/>
        <v>0</v>
      </c>
      <c r="Y102" s="39">
        <f t="shared" si="1"/>
        <v>0</v>
      </c>
      <c r="Z102" s="39">
        <f t="shared" si="1"/>
        <v>148862550173.51001</v>
      </c>
      <c r="AA102" s="40">
        <f t="shared" si="1"/>
        <v>278823128172.63</v>
      </c>
      <c r="AB102" s="170">
        <f>IFERROR(AA102/U102,"-")</f>
        <v>0.84921743043885467</v>
      </c>
      <c r="AC102" s="39">
        <f>SUBTOTAL(9,AC9:AC101)</f>
        <v>0</v>
      </c>
      <c r="AD102" s="38"/>
      <c r="AE102" s="38"/>
    </row>
    <row r="103" spans="1:31" s="43" customFormat="1" x14ac:dyDescent="0.25">
      <c r="P103" s="47"/>
      <c r="U103" s="49"/>
      <c r="AA103" s="47"/>
    </row>
    <row r="104" spans="1:31" s="43" customFormat="1" x14ac:dyDescent="0.25">
      <c r="P104" s="47"/>
      <c r="T104" s="47"/>
      <c r="U104" s="47"/>
      <c r="V104" s="47"/>
      <c r="Z104" s="47"/>
      <c r="AA104" s="74"/>
    </row>
    <row r="105" spans="1:31" s="43" customFormat="1" x14ac:dyDescent="0.25">
      <c r="P105" s="47"/>
      <c r="T105" s="47"/>
      <c r="U105" s="74"/>
      <c r="Z105" s="47"/>
      <c r="AA105" s="91"/>
    </row>
    <row r="106" spans="1:31" x14ac:dyDescent="0.25">
      <c r="O106" s="69"/>
      <c r="P106" s="57"/>
      <c r="T106" s="48"/>
      <c r="U106" s="48"/>
      <c r="Z106" s="65"/>
      <c r="AA106" s="90"/>
    </row>
    <row r="107" spans="1:31" x14ac:dyDescent="0.25">
      <c r="P107" s="57"/>
      <c r="U107" s="48"/>
      <c r="AA107" s="48"/>
    </row>
    <row r="108" spans="1:31" ht="15" customHeight="1" x14ac:dyDescent="0.25">
      <c r="P108"/>
      <c r="AA108" s="79"/>
    </row>
    <row r="109" spans="1:31" x14ac:dyDescent="0.25">
      <c r="O109" s="70"/>
      <c r="P109"/>
    </row>
    <row r="110" spans="1:31" x14ac:dyDescent="0.25">
      <c r="O110" s="70"/>
      <c r="P110"/>
    </row>
    <row r="111" spans="1:31" x14ac:dyDescent="0.25">
      <c r="O111" s="70"/>
    </row>
    <row r="112" spans="1:31" x14ac:dyDescent="0.25">
      <c r="O112" s="70"/>
    </row>
    <row r="113" spans="1:27" x14ac:dyDescent="0.25">
      <c r="AA113" s="65"/>
    </row>
    <row r="114" spans="1:27" s="80" customFormat="1" x14ac:dyDescent="0.25">
      <c r="A114" s="81"/>
      <c r="I114" s="82"/>
    </row>
  </sheetData>
  <mergeCells count="99">
    <mergeCell ref="AB99:AB101"/>
    <mergeCell ref="AC1:AE1"/>
    <mergeCell ref="AC2:AE2"/>
    <mergeCell ref="AC3:AE3"/>
    <mergeCell ref="AC4:AE4"/>
    <mergeCell ref="AE97:AE98"/>
    <mergeCell ref="AD97:AD98"/>
    <mergeCell ref="L97:L98"/>
    <mergeCell ref="M97:M98"/>
    <mergeCell ref="AB11:AB12"/>
    <mergeCell ref="AB16:AB19"/>
    <mergeCell ref="AB20:AB62"/>
    <mergeCell ref="AB63:AB64"/>
    <mergeCell ref="AB66:AB70"/>
    <mergeCell ref="AB73:AB88"/>
    <mergeCell ref="AB89:AB92"/>
    <mergeCell ref="AB97:AB98"/>
    <mergeCell ref="AE20:AE62"/>
    <mergeCell ref="U20:U62"/>
    <mergeCell ref="A6:C6"/>
    <mergeCell ref="B1:AB4"/>
    <mergeCell ref="A1:A4"/>
    <mergeCell ref="A5:C5"/>
    <mergeCell ref="D6:G6"/>
    <mergeCell ref="D5:G5"/>
    <mergeCell ref="L89:L92"/>
    <mergeCell ref="M89:M92"/>
    <mergeCell ref="N89:N92"/>
    <mergeCell ref="AD7:AE7"/>
    <mergeCell ref="L16:L19"/>
    <mergeCell ref="M16:M19"/>
    <mergeCell ref="U16:U19"/>
    <mergeCell ref="AC16:AC19"/>
    <mergeCell ref="AE16:AE19"/>
    <mergeCell ref="AB7:AB8"/>
    <mergeCell ref="AC7:AC8"/>
    <mergeCell ref="O7:U7"/>
    <mergeCell ref="AD16:AD19"/>
    <mergeCell ref="V7:AA7"/>
    <mergeCell ref="AA16:AA19"/>
    <mergeCell ref="G7:K7"/>
    <mergeCell ref="A7:F7"/>
    <mergeCell ref="L7:N7"/>
    <mergeCell ref="N16:N19"/>
    <mergeCell ref="L20:L62"/>
    <mergeCell ref="M20:M62"/>
    <mergeCell ref="N20:N62"/>
    <mergeCell ref="L11:L12"/>
    <mergeCell ref="M11:M12"/>
    <mergeCell ref="N11:N12"/>
    <mergeCell ref="U66:U70"/>
    <mergeCell ref="AA66:AA70"/>
    <mergeCell ref="AC66:AC70"/>
    <mergeCell ref="U97:U98"/>
    <mergeCell ref="AA97:AA98"/>
    <mergeCell ref="AC97:AC98"/>
    <mergeCell ref="N63:N64"/>
    <mergeCell ref="L63:L64"/>
    <mergeCell ref="M63:M64"/>
    <mergeCell ref="N97:N98"/>
    <mergeCell ref="N66:N70"/>
    <mergeCell ref="N73:N88"/>
    <mergeCell ref="L73:L88"/>
    <mergeCell ref="M73:M88"/>
    <mergeCell ref="L66:L70"/>
    <mergeCell ref="M66:M70"/>
    <mergeCell ref="N99:N101"/>
    <mergeCell ref="L99:L101"/>
    <mergeCell ref="M99:M101"/>
    <mergeCell ref="AC89:AC92"/>
    <mergeCell ref="AD89:AD92"/>
    <mergeCell ref="AE89:AE92"/>
    <mergeCell ref="U11:U12"/>
    <mergeCell ref="U63:U64"/>
    <mergeCell ref="U89:U92"/>
    <mergeCell ref="AA11:AA12"/>
    <mergeCell ref="AA63:AA64"/>
    <mergeCell ref="AA89:AA92"/>
    <mergeCell ref="AE66:AE70"/>
    <mergeCell ref="U73:U88"/>
    <mergeCell ref="AC20:AC62"/>
    <mergeCell ref="AD20:AD62"/>
    <mergeCell ref="AA73:AA88"/>
    <mergeCell ref="AA20:AA62"/>
    <mergeCell ref="AD66:AD70"/>
    <mergeCell ref="U99:U101"/>
    <mergeCell ref="AA99:AA101"/>
    <mergeCell ref="AC99:AC101"/>
    <mergeCell ref="AD99:AD101"/>
    <mergeCell ref="AE99:AE101"/>
    <mergeCell ref="AC11:AC12"/>
    <mergeCell ref="AD11:AD12"/>
    <mergeCell ref="AE11:AE12"/>
    <mergeCell ref="AC63:AC64"/>
    <mergeCell ref="AD63:AD64"/>
    <mergeCell ref="AE63:AE64"/>
    <mergeCell ref="AC73:AC88"/>
    <mergeCell ref="AD73:AD88"/>
    <mergeCell ref="AE73:AE88"/>
  </mergeCells>
  <phoneticPr fontId="5" type="noConversion"/>
  <conditionalFormatting sqref="N9:N11 N13:N18 N20 N63 N65:N66 N71:N72 N89 N93:N97">
    <cfRule type="cellIs" dxfId="5" priority="7" operator="between">
      <formula>0.66</formula>
      <formula>1</formula>
    </cfRule>
    <cfRule type="cellIs" dxfId="4" priority="8" operator="between">
      <formula>0.33</formula>
      <formula>0.66</formula>
    </cfRule>
    <cfRule type="cellIs" dxfId="3" priority="9" operator="between">
      <formula>0</formula>
      <formula>0.33</formula>
    </cfRule>
  </conditionalFormatting>
  <conditionalFormatting sqref="N99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4A1324D314E246858CCB0DBD6A20B5" ma:contentTypeVersion="2" ma:contentTypeDescription="Crear nuevo documento." ma:contentTypeScope="" ma:versionID="8d8375ddf498767435bd9f3b0e1e4576">
  <xsd:schema xmlns:xsd="http://www.w3.org/2001/XMLSchema" xmlns:xs="http://www.w3.org/2001/XMLSchema" xmlns:p="http://schemas.microsoft.com/office/2006/metadata/properties" xmlns:ns2="dac37a0c-0a8f-4d7e-a10a-8470f4d28696" targetNamespace="http://schemas.microsoft.com/office/2006/metadata/properties" ma:root="true" ma:fieldsID="96914eedc705e213edebc724d2ce31c7" ns2:_="">
    <xsd:import namespace="dac37a0c-0a8f-4d7e-a10a-8470f4d28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37a0c-0a8f-4d7e-a10a-8470f4d28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CD13F-065B-422F-A567-6DD2013FAB7F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dac37a0c-0a8f-4d7e-a10a-8470f4d2869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456D269-016D-4C36-BF5B-5004B1CF7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37a0c-0a8f-4d7e-a10a-8470f4d28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6FC9C-EDA5-446E-B4EC-E6FBB6BFDA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revision/>
  <dcterms:created xsi:type="dcterms:W3CDTF">2008-07-08T21:30:46Z</dcterms:created>
  <dcterms:modified xsi:type="dcterms:W3CDTF">2024-01-15T22:43:09Z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0x010100E54A1324D314E246858CCB0DBD6A20B5</vt:lpwstr>
  </property>
</Properties>
</file>