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hidePivotFieldList="1" defaultThemeVersion="124226"/>
  <mc:AlternateContent xmlns:mc="http://schemas.openxmlformats.org/markup-compatibility/2006">
    <mc:Choice Requires="x15">
      <x15ac:absPath xmlns:x15ac="http://schemas.microsoft.com/office/spreadsheetml/2010/11/ac" url="C:\Users\yulie\Downloads\"/>
    </mc:Choice>
  </mc:AlternateContent>
  <xr:revisionPtr revIDLastSave="0" documentId="13_ncr:1_{2A025D5A-BDDD-4E2F-A6EA-2374EE9CDDAE}" xr6:coauthVersionLast="47" xr6:coauthVersionMax="47" xr10:uidLastSave="{00000000-0000-0000-0000-000000000000}"/>
  <bookViews>
    <workbookView xWindow="-120" yWindow="-120" windowWidth="20730" windowHeight="11040" tabRatio="882" activeTab="2" xr2:uid="{00000000-000D-0000-FFFF-FFFF00000000}"/>
  </bookViews>
  <sheets>
    <sheet name="Intructivo " sheetId="21" r:id="rId1"/>
    <sheet name="CONTEXTO" sheetId="23"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s>
  <calcPr calcId="191028"/>
  <pivotCaches>
    <pivotCache cacheId="0"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6" i="1" l="1"/>
  <c r="Q66" i="1"/>
  <c r="K72" i="1"/>
  <c r="K71" i="1"/>
  <c r="K70" i="1"/>
  <c r="K69" i="1"/>
  <c r="K68" i="1"/>
  <c r="K66" i="1"/>
  <c r="L66" i="1" s="1"/>
  <c r="H66" i="1"/>
  <c r="I66" i="1" s="1"/>
  <c r="T60" i="1"/>
  <c r="Q60" i="1"/>
  <c r="K65" i="1"/>
  <c r="K64" i="1"/>
  <c r="K63" i="1"/>
  <c r="K62" i="1"/>
  <c r="K61" i="1"/>
  <c r="K60" i="1"/>
  <c r="L60" i="1" s="1"/>
  <c r="M60" i="1" s="1"/>
  <c r="H60" i="1"/>
  <c r="I60" i="1" s="1"/>
  <c r="T12" i="1"/>
  <c r="Q12" i="1"/>
  <c r="AB12" i="1" s="1"/>
  <c r="AA12" i="1" s="1"/>
  <c r="Q18" i="1"/>
  <c r="K12" i="1"/>
  <c r="L12" i="1" s="1"/>
  <c r="M12" i="1" s="1"/>
  <c r="K18" i="1"/>
  <c r="L18" i="1" s="1"/>
  <c r="I12" i="1"/>
  <c r="H12" i="1"/>
  <c r="H18" i="1"/>
  <c r="I18" i="1" s="1"/>
  <c r="X12" i="1" l="1"/>
  <c r="N66" i="1"/>
  <c r="X66" i="1"/>
  <c r="M66" i="1"/>
  <c r="AB66" i="1" s="1"/>
  <c r="AA66" i="1" s="1"/>
  <c r="AB60" i="1"/>
  <c r="AA60" i="1" s="1"/>
  <c r="X60" i="1"/>
  <c r="N60" i="1"/>
  <c r="N12" i="1"/>
  <c r="M18" i="1"/>
  <c r="AB18" i="1" s="1"/>
  <c r="AA18" i="1" s="1"/>
  <c r="N18" i="1"/>
  <c r="Y66" i="1" l="1"/>
  <c r="AC66" i="1" s="1"/>
  <c r="Z66" i="1"/>
  <c r="Y12" i="1"/>
  <c r="AC12" i="1" s="1"/>
  <c r="Z12" i="1"/>
  <c r="Y60" i="1"/>
  <c r="AC60" i="1" s="1"/>
  <c r="Z60" i="1"/>
  <c r="T45" i="1"/>
  <c r="Q42" i="1"/>
  <c r="T42" i="1"/>
  <c r="K44" i="1"/>
  <c r="Q44" i="1"/>
  <c r="T44" i="1"/>
  <c r="Q40" i="1"/>
  <c r="X41" i="1" s="1"/>
  <c r="Q38" i="1"/>
  <c r="X38" i="1" s="1"/>
  <c r="T38" i="1"/>
  <c r="Q39" i="1"/>
  <c r="T39" i="1"/>
  <c r="T40" i="1"/>
  <c r="T41" i="1"/>
  <c r="K43" i="1"/>
  <c r="Q43" i="1"/>
  <c r="T43" i="1"/>
  <c r="X40" i="1" l="1"/>
  <c r="Y40" i="1" s="1"/>
  <c r="Y38" i="1"/>
  <c r="Z38" i="1"/>
  <c r="Z41" i="1"/>
  <c r="Y41" i="1"/>
  <c r="Z40" i="1"/>
  <c r="AB41" i="1"/>
  <c r="AA41" i="1" s="1"/>
  <c r="AB40" i="1"/>
  <c r="AA40" i="1" s="1"/>
  <c r="AB39" i="1"/>
  <c r="AA39" i="1" s="1"/>
  <c r="X39" i="1"/>
  <c r="AB38" i="1"/>
  <c r="AA38" i="1" s="1"/>
  <c r="Q54" i="1"/>
  <c r="T36" i="1"/>
  <c r="Q36" i="1"/>
  <c r="H36" i="1"/>
  <c r="T26" i="1"/>
  <c r="T27" i="1"/>
  <c r="T28" i="1"/>
  <c r="T29" i="1"/>
  <c r="T30" i="1"/>
  <c r="AC40" i="1" l="1"/>
  <c r="AC38" i="1"/>
  <c r="AC41" i="1"/>
  <c r="Y39" i="1"/>
  <c r="AC39" i="1" s="1"/>
  <c r="Z39" i="1"/>
  <c r="T24" i="1"/>
  <c r="K59" i="1" l="1"/>
  <c r="K33" i="1"/>
  <c r="K19" i="1"/>
  <c r="K31" i="1"/>
  <c r="K51" i="1"/>
  <c r="K56" i="1"/>
  <c r="K32" i="1"/>
  <c r="K40" i="1"/>
  <c r="K50" i="1"/>
  <c r="K29" i="1"/>
  <c r="K37" i="1"/>
  <c r="K49" i="1"/>
  <c r="K58" i="1"/>
  <c r="K41" i="1"/>
  <c r="K26" i="1"/>
  <c r="K52" i="1"/>
  <c r="K39" i="1"/>
  <c r="K23" i="1"/>
  <c r="K21" i="1"/>
  <c r="K57" i="1"/>
  <c r="K20" i="1"/>
  <c r="K34" i="1"/>
  <c r="K28" i="1"/>
  <c r="K35" i="1"/>
  <c r="K22" i="1"/>
  <c r="K38" i="1"/>
  <c r="K25" i="1"/>
  <c r="K55" i="1"/>
  <c r="K45" i="1"/>
  <c r="K27" i="1"/>
  <c r="K53" i="1"/>
  <c r="K46" i="1"/>
  <c r="K47" i="1"/>
  <c r="F221" i="13" l="1"/>
  <c r="F211" i="13"/>
  <c r="F212" i="13"/>
  <c r="F213" i="13"/>
  <c r="F214" i="13"/>
  <c r="F215" i="13"/>
  <c r="F216" i="13"/>
  <c r="F217" i="13"/>
  <c r="F218" i="13"/>
  <c r="F219" i="13"/>
  <c r="F220" i="13"/>
  <c r="F210" i="13"/>
  <c r="B221" i="13" a="1"/>
  <c r="B221" i="13" l="1"/>
  <c r="Q49"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5" i="1" l="1"/>
  <c r="Q55" i="1"/>
  <c r="T54" i="1"/>
  <c r="H54" i="1"/>
  <c r="I54" i="1" s="1"/>
  <c r="T53" i="1"/>
  <c r="Q53" i="1"/>
  <c r="T52" i="1"/>
  <c r="Q52" i="1"/>
  <c r="T51" i="1"/>
  <c r="Q51" i="1"/>
  <c r="T50" i="1"/>
  <c r="Q50" i="1"/>
  <c r="T49" i="1"/>
  <c r="T48" i="1"/>
  <c r="Q48" i="1"/>
  <c r="H48" i="1"/>
  <c r="I48" i="1" s="1"/>
  <c r="T47" i="1"/>
  <c r="Q47" i="1"/>
  <c r="T46" i="1"/>
  <c r="Q46" i="1"/>
  <c r="Q45" i="1"/>
  <c r="X45" i="1" s="1"/>
  <c r="H42" i="1"/>
  <c r="I42" i="1" s="1"/>
  <c r="X42" i="1" s="1"/>
  <c r="I36" i="1"/>
  <c r="T35" i="1"/>
  <c r="T34" i="1"/>
  <c r="Q34" i="1"/>
  <c r="T33" i="1"/>
  <c r="Q33" i="1"/>
  <c r="T32" i="1"/>
  <c r="Q32" i="1"/>
  <c r="T31" i="1"/>
  <c r="Q31" i="1"/>
  <c r="Q30" i="1"/>
  <c r="H30" i="1"/>
  <c r="I30" i="1" s="1"/>
  <c r="Q29" i="1"/>
  <c r="Q28" i="1"/>
  <c r="Q27" i="1"/>
  <c r="Q26" i="1"/>
  <c r="T25" i="1"/>
  <c r="Q25" i="1"/>
  <c r="Q24" i="1"/>
  <c r="H24" i="1"/>
  <c r="I24" i="1" s="1"/>
  <c r="T23" i="1"/>
  <c r="Q23" i="1"/>
  <c r="T22" i="1"/>
  <c r="Q22" i="1"/>
  <c r="T21" i="1"/>
  <c r="Q21" i="1"/>
  <c r="T20" i="1"/>
  <c r="Q20" i="1"/>
  <c r="T19" i="1"/>
  <c r="Q19" i="1"/>
  <c r="T18" i="1"/>
  <c r="X18" i="1" s="1"/>
  <c r="Y18" i="1" l="1"/>
  <c r="AC18" i="1" s="1"/>
  <c r="Z18" i="1"/>
  <c r="Y45" i="1"/>
  <c r="Z45" i="1"/>
  <c r="Z42" i="1"/>
  <c r="X43" i="1" s="1"/>
  <c r="Y42" i="1"/>
  <c r="X54" i="1"/>
  <c r="X27" i="1"/>
  <c r="X46" i="1"/>
  <c r="X32" i="1"/>
  <c r="X29" i="1"/>
  <c r="X52" i="1"/>
  <c r="X35" i="1"/>
  <c r="X34" i="1"/>
  <c r="X33" i="1"/>
  <c r="X31" i="1"/>
  <c r="X30" i="1"/>
  <c r="X51" i="1"/>
  <c r="X50" i="1"/>
  <c r="X53" i="1"/>
  <c r="X24" i="1"/>
  <c r="X26" i="1"/>
  <c r="X28" i="1"/>
  <c r="X36" i="1"/>
  <c r="X47" i="1"/>
  <c r="X48" i="1"/>
  <c r="AB31" i="1"/>
  <c r="AB52" i="1"/>
  <c r="AA52" i="1" s="1"/>
  <c r="AB53" i="1"/>
  <c r="AA53" i="1" s="1"/>
  <c r="Y54" i="1" l="1"/>
  <c r="Z54" i="1"/>
  <c r="X55" i="1" s="1"/>
  <c r="Y53" i="1"/>
  <c r="Z53" i="1"/>
  <c r="Y52" i="1"/>
  <c r="Z52" i="1"/>
  <c r="Y48" i="1"/>
  <c r="Z48" i="1"/>
  <c r="X49" i="1" s="1"/>
  <c r="Y36" i="1"/>
  <c r="Z36" i="1"/>
  <c r="Y30" i="1"/>
  <c r="Z30" i="1"/>
  <c r="Z31" i="1" s="1"/>
  <c r="Y32" i="1" s="1"/>
  <c r="Y24" i="1"/>
  <c r="Z24" i="1"/>
  <c r="X19" i="1"/>
  <c r="Y43" i="1" l="1"/>
  <c r="Z43" i="1"/>
  <c r="X44" i="1" s="1"/>
  <c r="Z55" i="1"/>
  <c r="X25" i="1"/>
  <c r="Y25" i="1" s="1"/>
  <c r="Y31"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Y44" i="1" l="1"/>
  <c r="Z44" i="1"/>
  <c r="Y55" i="1"/>
  <c r="Z25" i="1"/>
  <c r="Y26" i="1" s="1"/>
  <c r="Z26" i="1"/>
  <c r="Z27" i="1" s="1"/>
  <c r="Y50" i="1"/>
  <c r="Z50" i="1"/>
  <c r="Y49" i="1"/>
  <c r="Z49" i="1"/>
  <c r="Y34" i="1"/>
  <c r="Y19" i="1"/>
  <c r="Z19" i="1"/>
  <c r="X20" i="1" s="1"/>
  <c r="Y20" i="1" s="1"/>
  <c r="Y27" i="1" l="1"/>
  <c r="Y46" i="1"/>
  <c r="Y51" i="1"/>
  <c r="Z51" i="1"/>
  <c r="Y33" i="1"/>
  <c r="Z33" i="1"/>
  <c r="Z34" i="1"/>
  <c r="Z20" i="1"/>
  <c r="X21" i="1" s="1"/>
  <c r="Y21" i="1" s="1"/>
  <c r="Z46" i="1" l="1"/>
  <c r="Y47" i="1" s="1"/>
  <c r="Y28" i="1"/>
  <c r="Z28" i="1"/>
  <c r="Y29" i="1" s="1"/>
  <c r="Y35" i="1"/>
  <c r="Z35" i="1"/>
  <c r="Z21" i="1"/>
  <c r="X22" i="1" s="1"/>
  <c r="Z22" i="1" s="1"/>
  <c r="X23" i="1" s="1"/>
  <c r="Z47" i="1" l="1"/>
  <c r="Z29" i="1"/>
  <c r="Y22" i="1"/>
  <c r="Y23" i="1"/>
  <c r="Z23" i="1"/>
  <c r="K42" i="1" l="1"/>
  <c r="L42" i="1" s="1"/>
  <c r="K30" i="1"/>
  <c r="L30" i="1" s="1"/>
  <c r="K24" i="1"/>
  <c r="L24" i="1" s="1"/>
  <c r="K54" i="1"/>
  <c r="L54" i="1" s="1"/>
  <c r="K48" i="1"/>
  <c r="L48" i="1" s="1"/>
  <c r="K36" i="1"/>
  <c r="L36"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4" i="1"/>
  <c r="AJ42" i="18"/>
  <c r="AJ18" i="18"/>
  <c r="AD26" i="18"/>
  <c r="L10" i="18"/>
  <c r="AD10" i="18"/>
  <c r="X18" i="18"/>
  <c r="AD42" i="18"/>
  <c r="L18" i="18"/>
  <c r="R10" i="18"/>
  <c r="N54"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Z30" i="18"/>
  <c r="AL38" i="18"/>
  <c r="AL14" i="18"/>
  <c r="AF6" i="18"/>
  <c r="AL22" i="18"/>
  <c r="T30" i="18"/>
  <c r="Z38" i="18"/>
  <c r="AF14" i="18"/>
  <c r="N30" i="18"/>
  <c r="N14" i="18"/>
  <c r="N22" i="18"/>
  <c r="AF38" i="18"/>
  <c r="T6" i="18"/>
  <c r="M36" i="1"/>
  <c r="X32" i="18"/>
  <c r="AD32" i="18"/>
  <c r="AJ8" i="18"/>
  <c r="L16" i="18"/>
  <c r="R32" i="18"/>
  <c r="AJ32" i="18"/>
  <c r="N36" i="1"/>
  <c r="R40" i="18"/>
  <c r="AJ40" i="18"/>
  <c r="AD24" i="18"/>
  <c r="AJ24" i="18"/>
  <c r="R24" i="18"/>
  <c r="AJ16" i="18"/>
  <c r="AD8" i="18"/>
  <c r="L32" i="18"/>
  <c r="L40" i="18"/>
  <c r="R16" i="18"/>
  <c r="L24" i="18"/>
  <c r="AD16" i="18"/>
  <c r="L8" i="18"/>
  <c r="R8" i="18"/>
  <c r="X40" i="18"/>
  <c r="X8" i="18"/>
  <c r="X16" i="18"/>
  <c r="AD40" i="18"/>
  <c r="X24" i="18"/>
  <c r="M30" i="1"/>
  <c r="J40" i="18"/>
  <c r="J16" i="18"/>
  <c r="P16" i="18"/>
  <c r="V8" i="18"/>
  <c r="J8" i="18"/>
  <c r="J24" i="18"/>
  <c r="AH16" i="18"/>
  <c r="AB16" i="18"/>
  <c r="AB40" i="18"/>
  <c r="P32" i="18"/>
  <c r="P40" i="18"/>
  <c r="AH24" i="18"/>
  <c r="AB32" i="18"/>
  <c r="J32" i="18"/>
  <c r="V16" i="18"/>
  <c r="V40" i="18"/>
  <c r="AH32" i="18"/>
  <c r="V24" i="18"/>
  <c r="V32" i="18"/>
  <c r="AH8" i="18"/>
  <c r="AB8" i="18"/>
  <c r="P8" i="18"/>
  <c r="N30" i="1"/>
  <c r="AH40" i="18"/>
  <c r="AB24" i="18"/>
  <c r="P24" i="18"/>
  <c r="AD38" i="18"/>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48" i="1"/>
  <c r="AH34" i="18"/>
  <c r="AH42" i="18"/>
  <c r="AH18" i="18"/>
  <c r="AB10" i="18"/>
  <c r="J26" i="18"/>
  <c r="V18" i="18"/>
  <c r="V42" i="18"/>
  <c r="J42" i="18"/>
  <c r="P10" i="18"/>
  <c r="AB26" i="18"/>
  <c r="J34" i="18"/>
  <c r="J18" i="18"/>
  <c r="AH10" i="18"/>
  <c r="AB34" i="18"/>
  <c r="P26" i="18"/>
  <c r="P34" i="18"/>
  <c r="V34" i="18"/>
  <c r="AH26" i="18"/>
  <c r="J10" i="18"/>
  <c r="N48" i="1"/>
  <c r="P18" i="18"/>
  <c r="AB42" i="18"/>
  <c r="V10" i="18"/>
  <c r="AB18" i="18"/>
  <c r="P42" i="18"/>
  <c r="V26" i="18"/>
  <c r="Z32" i="18"/>
  <c r="N24" i="18"/>
  <c r="AL32" i="18"/>
  <c r="AL40" i="18"/>
  <c r="N8" i="18"/>
  <c r="AF24" i="18"/>
  <c r="Z40" i="18"/>
  <c r="Z16" i="18"/>
  <c r="N32" i="18"/>
  <c r="T32" i="18"/>
  <c r="N40" i="18"/>
  <c r="T8" i="18"/>
  <c r="M42" i="1"/>
  <c r="AB42" i="1" s="1"/>
  <c r="AA42" i="1" s="1"/>
  <c r="AC42" i="1" s="1"/>
  <c r="AF32" i="18"/>
  <c r="AL8" i="18"/>
  <c r="T24" i="18"/>
  <c r="N16" i="18"/>
  <c r="T16" i="18"/>
  <c r="Z24" i="18"/>
  <c r="AF16" i="18"/>
  <c r="N42" i="1"/>
  <c r="T40" i="18"/>
  <c r="AF8" i="18"/>
  <c r="AL24" i="18"/>
  <c r="Z8" i="18"/>
  <c r="AF40" i="18"/>
  <c r="AL16" i="18"/>
  <c r="AB30" i="1" l="1"/>
  <c r="AA30" i="1" s="1"/>
  <c r="AB43" i="1"/>
  <c r="AB54" i="1"/>
  <c r="AB24" i="1"/>
  <c r="AB48" i="1"/>
  <c r="AB36" i="1"/>
  <c r="AA43" i="1" l="1"/>
  <c r="AC43" i="1" s="1"/>
  <c r="AB44" i="1"/>
  <c r="AA44" i="1" s="1"/>
  <c r="AC44" i="1" s="1"/>
  <c r="AA54" i="1"/>
  <c r="AB33" i="19" s="1"/>
  <c r="AB55" i="1"/>
  <c r="AA55" i="1" s="1"/>
  <c r="AB21" i="19"/>
  <c r="AA36" i="1"/>
  <c r="AH20" i="19" s="1"/>
  <c r="AA48" i="1"/>
  <c r="V22" i="19" s="1"/>
  <c r="AB49" i="1"/>
  <c r="AA49" i="1" s="1"/>
  <c r="AA24" i="1"/>
  <c r="J28" i="19" s="1"/>
  <c r="AB25" i="1"/>
  <c r="AA25" i="1" s="1"/>
  <c r="J47" i="19"/>
  <c r="AB19" i="1"/>
  <c r="AB20" i="1" s="1"/>
  <c r="J21" i="19"/>
  <c r="V51" i="19"/>
  <c r="AB26" i="1"/>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H23" i="19"/>
  <c r="AB53" i="19"/>
  <c r="AH13" i="19"/>
  <c r="P33" i="19"/>
  <c r="P2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45" i="1"/>
  <c r="AA45" i="1" s="1"/>
  <c r="AB50" i="1"/>
  <c r="AA50" i="1" s="1"/>
  <c r="AB51" i="1"/>
  <c r="AA51" i="1" s="1"/>
  <c r="AA31" i="1"/>
  <c r="AB32" i="1"/>
  <c r="AH53" i="19" l="1"/>
  <c r="J53" i="19"/>
  <c r="V13" i="19"/>
  <c r="J33" i="19"/>
  <c r="V33" i="19"/>
  <c r="AB23" i="19"/>
  <c r="V43" i="19"/>
  <c r="V23" i="19"/>
  <c r="P43" i="19"/>
  <c r="AC54" i="1"/>
  <c r="V53" i="19"/>
  <c r="P53" i="19"/>
  <c r="J43" i="19"/>
  <c r="J23" i="19"/>
  <c r="P20" i="19"/>
  <c r="AB13" i="19"/>
  <c r="AH33" i="19"/>
  <c r="J13" i="19"/>
  <c r="AH43" i="19"/>
  <c r="P13" i="19"/>
  <c r="AB43" i="19"/>
  <c r="AH10" i="19"/>
  <c r="AB20" i="19"/>
  <c r="V30" i="19"/>
  <c r="J31" i="19"/>
  <c r="AB10" i="19"/>
  <c r="P11" i="19"/>
  <c r="AB30" i="19"/>
  <c r="AB40" i="19"/>
  <c r="V40" i="19"/>
  <c r="V10" i="19"/>
  <c r="J10" i="19"/>
  <c r="P50" i="19"/>
  <c r="J50" i="19"/>
  <c r="V20" i="19"/>
  <c r="J40" i="19"/>
  <c r="P40" i="19"/>
  <c r="AC36" i="1"/>
  <c r="AH40" i="19"/>
  <c r="V50" i="19"/>
  <c r="AB50" i="19"/>
  <c r="J30" i="19"/>
  <c r="J20" i="19"/>
  <c r="AH50" i="19"/>
  <c r="AH30" i="19"/>
  <c r="P30" i="19"/>
  <c r="P10" i="19"/>
  <c r="J18" i="19"/>
  <c r="AH8" i="19"/>
  <c r="AB8" i="19"/>
  <c r="P51" i="19"/>
  <c r="V11" i="19"/>
  <c r="P48" i="19"/>
  <c r="AH38" i="19"/>
  <c r="P21" i="19"/>
  <c r="AH18" i="19"/>
  <c r="AC24" i="1"/>
  <c r="J8" i="19"/>
  <c r="AB18" i="19"/>
  <c r="J48" i="19"/>
  <c r="P38" i="19"/>
  <c r="J41" i="19"/>
  <c r="AB11" i="19"/>
  <c r="P41" i="19"/>
  <c r="J11" i="19"/>
  <c r="V18" i="19"/>
  <c r="AH28" i="19"/>
  <c r="AB48" i="19"/>
  <c r="J38" i="19"/>
  <c r="V48" i="19"/>
  <c r="AH48" i="19"/>
  <c r="V8" i="19"/>
  <c r="AB28" i="19"/>
  <c r="J51" i="19"/>
  <c r="V41" i="19"/>
  <c r="AB41" i="19"/>
  <c r="AH11" i="19"/>
  <c r="AH31" i="19"/>
  <c r="AH21" i="19"/>
  <c r="AB51" i="19"/>
  <c r="AH41" i="19"/>
  <c r="P31" i="19"/>
  <c r="AH51" i="19"/>
  <c r="V21" i="19"/>
  <c r="V31" i="19"/>
  <c r="AB31" i="19"/>
  <c r="P18" i="19"/>
  <c r="P8" i="19"/>
  <c r="AB38" i="19"/>
  <c r="V38" i="19"/>
  <c r="P28" i="19"/>
  <c r="V28" i="19"/>
  <c r="P7" i="19"/>
  <c r="AH17" i="19"/>
  <c r="P47" i="19"/>
  <c r="V27" i="19"/>
  <c r="V37" i="19"/>
  <c r="J7" i="19"/>
  <c r="AB17" i="19"/>
  <c r="P17" i="19"/>
  <c r="AH32" i="19"/>
  <c r="AB52" i="19"/>
  <c r="J32" i="19"/>
  <c r="V12" i="19"/>
  <c r="J42" i="19"/>
  <c r="J12" i="19"/>
  <c r="J22" i="19"/>
  <c r="AB12" i="19"/>
  <c r="AC48"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21" i="1"/>
  <c r="AA20" i="1"/>
  <c r="AA32" i="1"/>
  <c r="AB33"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B47" i="1"/>
  <c r="AA47" i="1" s="1"/>
  <c r="AB46" i="1"/>
  <c r="AA46" i="1" s="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G39" i="19" l="1"/>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P14" i="19"/>
  <c r="AB14" i="19"/>
  <c r="AH34" i="19"/>
  <c r="AH14" i="19"/>
  <c r="J44" i="19"/>
  <c r="P44" i="19"/>
  <c r="AB44" i="19"/>
  <c r="V54" i="19"/>
  <c r="V44" i="19"/>
  <c r="AH54" i="19"/>
  <c r="P34" i="19"/>
  <c r="AB24" i="19"/>
  <c r="J14" i="19"/>
  <c r="AH24" i="19"/>
  <c r="AB54" i="19"/>
  <c r="J24" i="19"/>
  <c r="P24" i="19"/>
  <c r="P54" i="19"/>
  <c r="V24" i="19"/>
  <c r="J34" i="19"/>
  <c r="V34" i="19"/>
  <c r="V14" i="19"/>
  <c r="AH44" i="19"/>
  <c r="AB34" i="19"/>
  <c r="J54"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<sst xmlns="http://schemas.openxmlformats.org/spreadsheetml/2006/main" count="580" uniqueCount="352">
  <si>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</si>
  <si>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</si>
  <si>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</si>
  <si>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</si>
  <si>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</si>
  <si>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</si>
  <si>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</si>
  <si>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</si>
  <si>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</si>
  <si>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</si>
  <si>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</si>
  <si>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</si>
  <si>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</si>
  <si>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</si>
  <si>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</si>
  <si>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</si>
  <si>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</si>
  <si>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</si>
  <si>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</si>
  <si>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</si>
  <si>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</si>
  <si>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</si>
  <si>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</si>
  <si>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</si>
  <si>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</si>
  <si>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</si>
  <si>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</si>
  <si>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</si>
  <si>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</si>
  <si>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</si>
  <si>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</si>
  <si>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</si>
  <si>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</si>
  <si>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</si>
  <si>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</si>
  <si>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</si>
  <si>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</si>
  <si>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</si>
  <si>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</si>
  <si>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</si>
  <si>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</si>
  <si>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</si>
  <si>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</si>
  <si>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</si>
  <si>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</si>
  <si>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</si>
  <si>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</si>
  <si>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</si>
  <si>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</si>
  <si>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</si>
  <si>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</si>
  <si>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</si>
  <si>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</si>
  <si>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</si>
  <si>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</si>
  <si>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</si>
  <si>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</si>
  <si>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</si>
  <si>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</si>
  <si>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</si>
  <si>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</si>
  <si>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</si>
  <si>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</si>
  <si>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</si>
  <si>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</si>
  <si>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</si>
  <si>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</si>
  <si>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</si>
  <si>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</si>
  <si>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</si>
  <si>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</si>
  <si>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</si>
  <si>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</si>
  <si>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</si>
  <si>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</si>
  <si>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</si>
  <si>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</si>
  <si>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</si>
  <si>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ALCANCE:</t>
  </si>
  <si>
    <t>Este proceso inicia desde la identificación y revisión de las fuentes de ingresos del Municipio, su rediseño si se requiere, con lo cual, estructura los recursos disponibles para financiar el gasto público; realiza la administración y gestión de estos y termina con una ejecución fiscal sana.</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</si>
  <si>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</si>
  <si>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</si>
  <si>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</si>
  <si>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</si>
  <si>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</si>
  <si>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Dirigir la política fiscal del Municipio de Bucaramanga, a través de la administración y control de los tributos, del presupuesto general de rentas y gastos, así mismo llevar el registro de la contabilidad pública y operaciones de tesorería, con el propósito de garantizar la viabilidad y sostenibilidad financiera del ente territorial</t>
  </si>
  <si>
    <t xml:space="preserve">Proyecto de acuerdo de Presupuesto General de Rentas y gastos para la vigencia (anual)
PAC de la vigencia.
Cumplimiento del Pago
Actos Administrativos (Estatutos tributario, calendario tributario, formulario de declaraciones privadas entre otros)
Cartera recuperada.
Estados financieros de la administración central
Liquidaciones oficiales del impuesto predial unificado.
Declaraciones tributarias recepcionadas.
Registros actualizados de contribuyentes responsables y agentes retenedores y programa
de fiscalización ejecutado.
Recaudo de impuestos realizado     </t>
  </si>
  <si>
    <t>Cobro persuasivo y coactivo por parte de la tesorería municipal.
Depuración de partidas conciliatorias pendientes.
Procedimiento para resolución de revocatoria directa.
Procedimiento para resolución recurso de reconsideración ICA.
Procedimiento para rendir informes sobre movimientos de ingresos y egresos en los sistemas de información.
Proceso de transmisión de los formularios de Programación y Ejecución de ingresos y gastos.</t>
  </si>
  <si>
    <t>MATRIZ DOFA</t>
  </si>
  <si>
    <t>DEBILIDADES</t>
  </si>
  <si>
    <t>AMENAZAS</t>
  </si>
  <si>
    <t>Cobro persuasivo y coactivo por parte de la tesorería municipal.</t>
  </si>
  <si>
    <t>Insuficiencia de estrategias o directrices nacionales para el trato de cartera</t>
  </si>
  <si>
    <t>Depuración de partidas conciliatorias pendientes</t>
  </si>
  <si>
    <t xml:space="preserve">Cambios en la normatividad territorial </t>
  </si>
  <si>
    <t>Procedimiento para rendir informes sobre movimientos de ingresos y egresos en los sistemas de información.</t>
  </si>
  <si>
    <t>Cambios de normatividad en los sistemas de información compuesto por; nomenclatura, definiciones y atributos del catálogo de clasificación presupuestal CCPTE.</t>
  </si>
  <si>
    <t>Proceso de transmisión de los formularios de Programación y Ejecución de ingresos y gastos.</t>
  </si>
  <si>
    <t>Falta de comunicación con las entidades que ponen el servicio de sistemas de información presupuestales para la implementación de la nueva normativida</t>
  </si>
  <si>
    <t>Incumplimiento de la normatividad archivística en los documentos emanados de la Secretaría de Hacienda</t>
  </si>
  <si>
    <t>Cambio de Normatividad Archivistica</t>
  </si>
  <si>
    <t xml:space="preserve">Vulneración y deficiencia en la supervision contractual </t>
  </si>
  <si>
    <t xml:space="preserve">Cambios  en la normatividad de Politicas contables </t>
  </si>
  <si>
    <t xml:space="preserve">Vulneración del principio archivistico </t>
  </si>
  <si>
    <t xml:space="preserve">Desactualizacion de Manual de Politicas contables desactualzado </t>
  </si>
  <si>
    <t>FORTALEZAS</t>
  </si>
  <si>
    <t>OPORTUNIDADES</t>
  </si>
  <si>
    <t>Asesoría y atención personalizada a contribuyentes para un efectivo recaudo.</t>
  </si>
  <si>
    <t>Cultura de pago de los contribuyentes, de acuerdo con las facilidades de pago de la administración central.</t>
  </si>
  <si>
    <t>Equipo de trabajo interdisciplinario, para cumplir con los objetivos pactados.</t>
  </si>
  <si>
    <t>Estrategias de recaudo para el fortalecimiento de los ingresos.</t>
  </si>
  <si>
    <t xml:space="preserve">Estrategias y campañas de cobro persuasivo y resultados de la cartera objeto de cobro. </t>
  </si>
  <si>
    <t>Confianza de la ciudadanía en la Administración.</t>
  </si>
  <si>
    <t>Planeación del desarrollo territorial.</t>
  </si>
  <si>
    <t>Apoyo del Departamento Administrativo de la Función Pública, Contaduría General de la República y Contraloría General de la República</t>
  </si>
  <si>
    <t>Cumplimiento en el seguimiento al plan de desarrollo en sus líneas de acción.</t>
  </si>
  <si>
    <t>Página web para peticiones, quejas y reclamos.</t>
  </si>
  <si>
    <t xml:space="preserve">Implementación y mejoramiento del modelo integrado de planeación y gestión- MIPG.      </t>
  </si>
  <si>
    <t>La gestión preventiva que realiza la oficina de control interno de gestión.</t>
  </si>
  <si>
    <t>Políticas de transferencias de recursos</t>
  </si>
  <si>
    <t xml:space="preserve">Capacidad de personal para realizar seguimientos que garanticen el cumplimiento de las obligaciones. </t>
  </si>
  <si>
    <t>Matriz Mapa Riesgos de Gestión</t>
  </si>
  <si>
    <t>Código: F-DPM-1210-238,37-013</t>
  </si>
  <si>
    <t>Versión: 3.0</t>
  </si>
  <si>
    <t>Fecha Aprobación: Octubre-19-2021</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</si>
  <si>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</si>
  <si>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</si>
  <si>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</si>
  <si>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</si>
  <si>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</si>
  <si>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</si>
  <si>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</si>
  <si>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</si>
  <si>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</si>
  <si>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</si>
  <si>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</si>
  <si>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</si>
  <si>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</si>
  <si>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</si>
  <si>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</si>
  <si>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</si>
  <si>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</si>
  <si>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</si>
  <si>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</si>
  <si>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</si>
  <si>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</si>
  <si>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</si>
  <si>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</si>
  <si>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</si>
  <si>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</si>
  <si>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</si>
  <si>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</si>
  <si>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</si>
  <si>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</si>
  <si>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</si>
  <si>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</si>
  <si>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</si>
  <si>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</si>
  <si>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</si>
  <si>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Disminución de ingresos e investigaciones por los entes de control.</t>
  </si>
  <si>
    <t>Ejecucion y Administracion de procesos</t>
  </si>
  <si>
    <t xml:space="preserve">     Mayor a 500 SMLMV </t>
  </si>
  <si>
    <t>Preventivo</t>
  </si>
  <si>
    <t>Manual</t>
  </si>
  <si>
    <t>Documentado</t>
  </si>
  <si>
    <t>Continua</t>
  </si>
  <si>
    <t>Con Registro</t>
  </si>
  <si>
    <t>Reducir (mitigar)</t>
  </si>
  <si>
    <t>Reputacional</t>
  </si>
  <si>
    <t>Investigaciones por los entes de control</t>
  </si>
  <si>
    <t>Falta de control y  Seguimiento  a las partidas conciliatorias y a los conceptos de ingresos y egresos que afectan los movimientos bancarios  para que exista concordancia entre libros vs extractos bancarios.</t>
  </si>
  <si>
    <t>Posibilidad de afectación reputacional por posibles investigaciones de los entes de control debido a la falta de control y  Seguimiento  a las partidas conciliatorias y a los conceptos de ingresos y egresos que afectan los movimientos bancarios  para que exista concordancia entre libros Vs extractos bancarios.</t>
  </si>
  <si>
    <t xml:space="preserve">     El riesgo afecta la imagen de la entidad con algunos usuarios de relevancia frente al logro de los objetivos</t>
  </si>
  <si>
    <t>El Área de Contabilidad de la Secretaría de Hacienda del municipio revisa el proceso de verificación, elaboración de ficha, registro contable del SOC (sostenibilidad contable), con el fin de dejar saneada cada cuenta a depurar.</t>
  </si>
  <si>
    <t>Profesional Especializado - Area de Contabilidad</t>
  </si>
  <si>
    <t>El profesional Especializado del Área de Contabilidad del municipio verifica en Comité de Sostenibilidad Contable con las secretarias involucradas el envío de la información necesaria para la realización del proceso de depuración contable, dejando mediante acta los compromisos pactados.</t>
  </si>
  <si>
    <t>Debido a que la herramienta tecnológica existente genera un sistema de alarmas que limita el seguimiento de los Recursos de Reconsideración y Revocatoria Directa, desde el momento en que se produzca el acuse de recibo en el Municipio de Bucaramanga hasta el final de los términos de respuesta y notificación en el tiempo establecido por ley.</t>
  </si>
  <si>
    <t>Posibilidad de afectación económica y reputacional por disminución de ingresos e investigaciones por los entes de control, debido a que la herramienta tecnológica existente genera un sistema de alarmas que limita el seguimiento de los Recursos de Reconsideración y Revocatoria Directa, desde el momento en que se produzca el acuse de recibo en el Municipio de Bucaramanga hasta el final de los términos de respuesta y notificación en el tiempo establecido por ley.</t>
  </si>
  <si>
    <t xml:space="preserve">     Entre 10 y 50 SMLMV </t>
  </si>
  <si>
    <t xml:space="preserve">Oficina Jurídica de la Secretaría de Hacienda - Subsecretaria de Hacienda </t>
  </si>
  <si>
    <t xml:space="preserve">El profesional asignado para sustanciar los recursos de reconsideración y/o solicitud de revocatoria directa, verifica y aplica el procedimiento establecido para elaborar y presentar el proyecto de Resolución con tres meses de antelación al vencimiento de los términos. </t>
  </si>
  <si>
    <t xml:space="preserve">Oficina Jurídica de la Secretaría de Hacienda </t>
  </si>
  <si>
    <t>Posibles investigaciones por los entes de control</t>
  </si>
  <si>
    <t>Errores de registro en los sistemas de información  (CHIP y SIA CONTRALORÍA), por desconocimiento de las actualizaciones que alteran el catálogo de clasificación presupuestal y la falta del desarrollo de un módulo en el software del Sistema de Informacion Financiero - SIF, bajo los parametros exigidos por los entes de control.</t>
  </si>
  <si>
    <t>Profesional Especializado del Area de Presupuesto</t>
  </si>
  <si>
    <t>Investigaciones disciplinarias y sanciones por entes de control.</t>
  </si>
  <si>
    <t>Posibilidad de afectación reputacional por posibles investigaciones y sanciones disciplinarias por entes de control, debido al incumplimiento de la Ley 594 del 2000 en los documentos emanados por la Secretaría de Hacienda</t>
  </si>
  <si>
    <t>El profesional asignado al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</si>
  <si>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Profesionales encargados</t>
  </si>
  <si>
    <t xml:space="preserve">Profesional del area de Presupuesto </t>
  </si>
  <si>
    <t>Profesional del area de Contabilidad</t>
  </si>
  <si>
    <t xml:space="preserve">Elaborar y socializar un procedimiento para el manejo de cheques </t>
  </si>
  <si>
    <t xml:space="preserve">Profesional de Tesoreria </t>
  </si>
  <si>
    <t xml:space="preserve">     El riesgo afecta la imagen de de la entidad con efecto publicitario sostenido a nivel de sector administrativo, nivel departamental o municipal</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</si>
  <si>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</si>
  <si>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</si>
  <si>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</si>
  <si>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</si>
  <si>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</si>
  <si>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</si>
  <si>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</si>
  <si>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</si>
  <si>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</si>
  <si>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</si>
  <si>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</si>
  <si>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</si>
  <si>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</si>
  <si>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</si>
  <si>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</si>
  <si>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</si>
  <si>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</si>
  <si>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</si>
  <si>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</si>
  <si>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</si>
  <si>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</si>
  <si>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</si>
  <si>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</si>
  <si>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</si>
  <si>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</si>
  <si>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</si>
  <si>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</si>
  <si>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</si>
  <si>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</si>
  <si>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</si>
  <si>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</si>
  <si>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</si>
  <si>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</si>
  <si>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</si>
  <si>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</si>
  <si>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</si>
  <si>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</si>
  <si>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</si>
  <si>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</si>
  <si>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</si>
  <si>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</si>
  <si>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</si>
  <si>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</si>
  <si>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</si>
  <si>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</si>
  <si>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</si>
  <si>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</si>
  <si>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</si>
  <si>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</si>
  <si>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</si>
  <si>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</si>
  <si>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</si>
  <si>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</si>
  <si>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</si>
  <si>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</si>
  <si>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</si>
  <si>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</si>
  <si>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</si>
  <si>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</si>
  <si>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</si>
  <si>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</si>
  <si>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</si>
  <si>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</si>
  <si>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</si>
  <si>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</si>
  <si>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</si>
  <si>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</si>
  <si>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</si>
  <si>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</si>
  <si>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</si>
  <si>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</si>
  <si>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</si>
  <si>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</si>
  <si>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</si>
  <si>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</si>
  <si>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</si>
  <si>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</si>
  <si>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</si>
  <si>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</si>
  <si>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</si>
  <si>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</si>
  <si>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</si>
  <si>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</si>
  <si>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</si>
  <si>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</si>
  <si>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</si>
  <si>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</si>
  <si>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</si>
  <si>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</si>
  <si>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</si>
  <si>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</si>
  <si>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</si>
  <si>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</si>
  <si>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</si>
  <si>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</si>
  <si>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</si>
  <si>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</si>
  <si>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</si>
  <si>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</si>
  <si>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</si>
  <si>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</si>
  <si>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</si>
  <si>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</si>
  <si>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</si>
  <si>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</si>
  <si>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</si>
  <si>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</si>
  <si>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</si>
  <si>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</si>
  <si>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Realizar un (1) informe bimestral del proceso de verificación, elaboración de ficha, registro contable del SOC (Sostenibilidad contable) de las cuentas saneadas.</t>
  </si>
  <si>
    <t>Realizar un (1) informe de seguimiento semestral al 100% de proyectos de Resolución de Recursos de Reconsideración y/o Revocatoria Directa dentro de los términos.</t>
  </si>
  <si>
    <t xml:space="preserve">Realizar las Transferencias documentales de la Secretaría de Hacienda en los tiempos establecidos en el cronograma del  Archivo Central. </t>
  </si>
  <si>
    <t>El Secretario de Hacienda valida la justificación de la solicitud de reserva presupuestal remitida por los ordenadores de gasto, para la expedición del acto administrativo de constitución de reservas presupuestales.</t>
  </si>
  <si>
    <t>Realizar una (1) socialización en el tercer trimestre, referente a la constitución de reservas presupuestales y la debida justificación de las mismas.</t>
  </si>
  <si>
    <t xml:space="preserve">Realizar un (1) cronograma de las actividades a seguir para establecer la cuentas por cobrar que sean objeto de depuración </t>
  </si>
  <si>
    <t xml:space="preserve">GESTIÓN DE LA FINANZAS PÚBLICAS </t>
  </si>
  <si>
    <t>Realizar un (1) Comité bimestral de Sostenibilidad Contable, involucrando a las Secretarías con responsabilidad dentro del proceso de depuración contable, dejando como constancia actas.</t>
  </si>
  <si>
    <t>El Servidor Público a cargo verifica en el tablero de control, mediante una herramienta funcional que genere avisos para dar respuesta y notificar los Recursos de Reconsideración y/o Resoluciones de Revocatoria Directa, dentro de los términos de acuerdo con los procedimientos establecidos.</t>
  </si>
  <si>
    <t>Realizar una socialización semestral de los procedimientos para Clasificación de PQRSD - P-GFP-3100-170-039 (Donde se establecen tiempos para resolver actos administrativos) - procedimiento Resolución Recurso de Reconsideración P-GFP-3100-170-035 y Procedimiento Resolución Revocatoria Directa P-GFP-3100-170-034, a los abogados de la oficina jurídica de la Secretaría de Hacienda.</t>
  </si>
  <si>
    <t>Posibilidad de afectación reputacional por posibles investigaciones de los entes de control, debido a errores de registro en los sistemas de información  (CHIP y SIA CONTRALORÍA), por desconocimiento de las actualizaciones que alteran el catálogo de clasificación presupuestal y la falta del desarrollo de un módulo en el software del Sistema de Información Financiero - SIF, bajo los parámetros exigidos por los entes de control.</t>
  </si>
  <si>
    <t>Posibilidad de afectación reputacional por investigaciones y sanciones por parte de los Órganos de Control, debido a debilidades en la supervisión de los contratos en la constitución, verificación, control y seguimiento a la ejecución de Reservas Presupuestales, Ejecución de cuentas por pagar y pasivos exigibles.</t>
  </si>
  <si>
    <t>Debilidades en la supervisión de los contratos en la constitución, verificación, control y seguimiento a la ejecución de Reservas Presupuestales, Ejecución de cuentas por pagar y pasivos exigibles.</t>
  </si>
  <si>
    <t xml:space="preserve">Investigaciones y Sanciones por parte de los Órganos de Control </t>
  </si>
  <si>
    <t>El Servidor Público encargado del área de presupuesto verifica la ejecución de los contratos constituidos como reservas presupuestales y solicita a los ordenadores de gasto el cumplimiento de acuerdo con el Decreto 1068 de 2015 en su artículo 2.8.1.7.3.3.</t>
  </si>
  <si>
    <t>El Servidor Público encargado del área de presupuesto verifica la ejecución de los contratos constituidos como pasivos exigibles y solicita a los ordenadores de gasto con el apoyo de los supervisores, realizar la liquidación de contrato.</t>
  </si>
  <si>
    <t>Realizar un seguimiento mensual a la ejecución de Reservas presupuestales generadas por las Secretarias con copia a la OCIG.</t>
  </si>
  <si>
    <t>Realizar un seguimiento mensual a la ejecución de Pasivos Exigibles generadas por las Secretarias con copia a la OCIG.</t>
  </si>
  <si>
    <t>Posibilidad de afectación económica y reputacional por Investigaciones y Sanciones por parte de los Órganos de Control, debido a la falta de depuración, conciliación y saneamiento contable de las cuentas bienes muebles y enseres, construcciones en curso que afecta la Razonabilidad en la información financiera.</t>
  </si>
  <si>
    <t>Falta de depuración, conciliación y saneamiento contable de las cuentas bienes muebles y enseres, construcciones en curso que afecta la Razonabilidad en la información financiera.</t>
  </si>
  <si>
    <t>Investigaciones y Sanciones por parte de los Órganos de Control.</t>
  </si>
  <si>
    <t>El Servidor Público encargado del área de Contabilidad verifica que la información de bienes muebles reportada por la Subsecretaría de Bienes y Servicios y la información de construcciones en curso entregada por la Secretaria de Infraestructura, esté razonablemente con el fin de realizar la conciliación contable.</t>
  </si>
  <si>
    <t>Realizar una conciliación de forma trimestral de la información entregada por la oficina de Bienes y servicios e infraestructura.</t>
  </si>
  <si>
    <t>Posibilidad de afectación reputacional por investigaciones y sanciones por parte de los órganos de control, debido a la falta de razonabilidad en la Información Financiera dado que no cumple con las características cualitativas previstas en los Marcos Normativos del régimen de la contabilidad pública - Partidas Pendientes por Depurar.</t>
  </si>
  <si>
    <t>Falta de razonabilidad en la Información Financiera dado que no cumple con las características cualitativas previstas en los Marcos Normativos del régimen de la contabilidad pública - Partidas Pendientes por Depurar.</t>
  </si>
  <si>
    <t>Investigaciones y Sanciones por parte de los órganos de Control.</t>
  </si>
  <si>
    <t>El Servidor Público a cargo del área de Contabilidad depura las cuentas por cobrar que no corresponde a un derecho cierto de acuerdo con la información reportada por cada dependencia a través de PQRSD o COCI (Consecutivo de Contabilidad de comunicación interna).</t>
  </si>
  <si>
    <t>El Profesional a cargo del área de Tesorería verifica los requisitos para el manejo de cheques con el fin de evitar al máximo la anulación y acumulación de los mismos, de acuerdo con las actividades establecidas.</t>
  </si>
  <si>
    <t>Investigaciones disciplinarias y/o administrativas</t>
  </si>
  <si>
    <t>Deficiencia en la planeación presupuestal relacionadas con las modificaciones en los recursos asignados a los proyectos de inversión.</t>
  </si>
  <si>
    <t>Posibilidad de afectación económico por posibles investigaciones disciplinarias y/o administrativas, debido a deficiencia en la planeación presupuestal relacionadas con las modificaciones en los recursos asignados a los proyectos de inversión.</t>
  </si>
  <si>
    <t>Actualizar el procedimiento para adicionar el presupuesto general del municipio P-GFP-3400-170-005</t>
  </si>
  <si>
    <t>Profesional Especializado - Area de Presupuesto</t>
  </si>
  <si>
    <t>Sanciones e investigaciones disciplinarias  de entes de control y deficiente  inversion de  los recursos en la Administración Central.</t>
  </si>
  <si>
    <t>mala planeación al momento de realizar la contratación sin tener en cuenta los tiempos de la ejecución del mismo, contituyedo reservas presupuestales</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</si>
  <si>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</si>
  <si>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Realizar 1 seguimiento trimestral a la planeación contractual programada para la vigencia, mediante una mesa de trabajo y la matriz de contratación de la Dependencia.</t>
  </si>
  <si>
    <t>Profesional encargado</t>
  </si>
  <si>
    <t>El ordenador del gasto, el profesional líder de contratación y el profesional encargado de presupuesto en la Secretaría de Hacienda, realizarán el seguimiento al presupuesto en materia de contratación, conforme al principio de planeación, con el fin de evitar la constitución de reservas presupuestales a través del sistema financiero.</t>
  </si>
  <si>
    <t>El profesional especializado encargado del área de presupuesto de la Secretaria de Hacienda en mesa de trabajo con banco de proyectos de la Secretaria de Planeación hará la actualización del procedimiento para realizar adiciones al presupuesto general del municipio.</t>
  </si>
  <si>
    <t>falta de control en la ejecución de los recursos</t>
  </si>
  <si>
    <t>desconocimiento y correcta aplicación del procedimiento del fondo gestión del riesgo</t>
  </si>
  <si>
    <t>Posibilidad de afectación reputacional por falta de control en la ejecución de los recursos debido al desconocimiento y correcta aplicación del procedimiento del fondo gestión del riesgo</t>
  </si>
  <si>
    <t>El ordenador del gasto, la secretaría gestora y la secretaría ejecutora, verifican la correcta aplicación del procedimiento del fondo gestión del riesgo.</t>
  </si>
  <si>
    <t>Realizar 1 informe semestral de seguimiento a la correcta aplicación del procedimiento del fondo gestión del riesgo.</t>
  </si>
  <si>
    <t xml:space="preserve">GESTIÓN DE LA FINANZAS PUBLICAS </t>
  </si>
  <si>
    <t>Realizar una (1) socialización a las dependencias ordenadoras del gasto, del catálogo de clasificación presupuestal, cada vez que se haga una actualización por parte de la Contaduría General de la Nación CGN.</t>
  </si>
  <si>
    <t>El Profesional Especializado del Área de Presupuesto, verifica las actualizaciones emitidas por el Centro de Estudios Fiscales de la CGN sobre el catálogo de clasificación presupuestal en los sistemas de información (CHIP y SIA CONTRALORÍA) y socializa con las Dependencias ordenadoras del gasto.</t>
  </si>
  <si>
    <t>Realizar 1 procedimiento transverval con las áreas involucradas donde se definan las responsabilidades y alcances para la ejecución del fondo de gestión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</si>
</sst>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5"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11"/>
      <color rgb="FFFF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s>
  <cellStyleXfs count="5">
    <xf numFmtId="0" fontId="0" fillId="0" borderId="0"/>
    <xf numFmtId="9" fontId="13" fillId="0" borderId="0" applyFont="0" applyFill="0" applyBorder="0" applyAlignment="0" applyProtection="0"/>
    <xf numFmtId="0" fontId="45" fillId="0" borderId="0"/>
    <xf numFmtId="0" fontId="46" fillId="0" borderId="0"/>
    <xf numFmtId="0" fontId="5" fillId="0" borderId="0"/>
  </cellStyleXfs>
  <cellXfs count="567">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7" fillId="0" borderId="0" xfId="0" applyFont="1" applyAlignment="1">
      <alignment horizontal="center" vertical="center" wrapText="1"/>
    </xf>
    <xf numFmtId="0" fontId="8" fillId="6" borderId="0" xfId="0" applyFont="1" applyFill="1" applyAlignment="1">
      <alignment horizontal="center" vertical="center" wrapText="1" readingOrder="1"/>
    </xf>
    <xf numFmtId="0" fontId="9" fillId="5" borderId="11" xfId="0" applyFont="1" applyFill="1" applyBorder="1" applyAlignment="1">
      <alignment horizontal="center" vertical="center" wrapText="1" readingOrder="1"/>
    </xf>
    <xf numFmtId="0" fontId="9" fillId="0" borderId="11" xfId="0" applyFont="1" applyBorder="1" applyAlignment="1">
      <alignment horizontal="justify" vertical="center" wrapText="1" readingOrder="1"/>
    </xf>
    <xf numFmtId="9" fontId="9" fillId="0" borderId="11" xfId="0" applyNumberFormat="1" applyFont="1" applyBorder="1" applyAlignment="1">
      <alignment horizontal="center" vertical="center" wrapText="1" readingOrder="1"/>
    </xf>
    <xf numFmtId="0" fontId="9" fillId="7" borderId="1" xfId="0" applyFont="1" applyFill="1" applyBorder="1" applyAlignment="1">
      <alignment horizontal="center" vertical="center" wrapText="1" readingOrder="1"/>
    </xf>
    <xf numFmtId="0" fontId="9" fillId="0" borderId="1" xfId="0" applyFont="1" applyBorder="1" applyAlignment="1">
      <alignment horizontal="justify" vertical="center" wrapText="1" readingOrder="1"/>
    </xf>
    <xf numFmtId="9" fontId="9" fillId="0" borderId="1" xfId="0" applyNumberFormat="1" applyFont="1" applyBorder="1" applyAlignment="1">
      <alignment horizontal="center" vertical="center" wrapText="1" readingOrder="1"/>
    </xf>
    <xf numFmtId="0" fontId="9" fillId="4" borderId="1" xfId="0" applyFont="1" applyFill="1" applyBorder="1" applyAlignment="1">
      <alignment horizontal="center" vertical="center" wrapText="1" readingOrder="1"/>
    </xf>
    <xf numFmtId="0" fontId="9" fillId="8" borderId="1" xfId="0" applyFont="1" applyFill="1" applyBorder="1" applyAlignment="1">
      <alignment horizontal="center" vertical="center" wrapText="1" readingOrder="1"/>
    </xf>
    <xf numFmtId="0" fontId="10" fillId="9" borderId="1" xfId="0" applyFont="1" applyFill="1" applyBorder="1" applyAlignment="1">
      <alignment horizontal="center" vertical="center" wrapText="1" readingOrder="1"/>
    </xf>
    <xf numFmtId="0" fontId="14" fillId="0" borderId="0" xfId="0" applyFont="1"/>
    <xf numFmtId="0" fontId="12"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6" fillId="0" borderId="0" xfId="0" applyFont="1" applyAlignment="1">
      <alignment vertical="center"/>
    </xf>
    <xf numFmtId="0" fontId="27" fillId="0" borderId="0" xfId="0" applyFont="1"/>
    <xf numFmtId="0" fontId="25" fillId="0" borderId="0" xfId="0" applyFont="1"/>
    <xf numFmtId="0" fontId="0" fillId="0" borderId="0" xfId="0" pivotButton="1"/>
    <xf numFmtId="0" fontId="11" fillId="0" borderId="0" xfId="0" applyFont="1" applyAlignment="1">
      <alignment horizontal="justify" vertical="center" wrapText="1" readingOrder="1"/>
    </xf>
    <xf numFmtId="0" fontId="28" fillId="0" borderId="0" xfId="0" applyFont="1"/>
    <xf numFmtId="0" fontId="30" fillId="6" borderId="0" xfId="0" applyFont="1" applyFill="1" applyAlignment="1">
      <alignment horizontal="center" vertical="center" wrapText="1" readingOrder="1"/>
    </xf>
    <xf numFmtId="0" fontId="31" fillId="0" borderId="11" xfId="0" applyFont="1" applyBorder="1" applyAlignment="1">
      <alignment horizontal="justify" vertical="center" wrapText="1" readingOrder="1"/>
    </xf>
    <xf numFmtId="0" fontId="31" fillId="0" borderId="1" xfId="0" applyFont="1" applyBorder="1" applyAlignment="1">
      <alignment horizontal="justify" vertical="center" wrapText="1" readingOrder="1"/>
    </xf>
    <xf numFmtId="0" fontId="31" fillId="5" borderId="11" xfId="0" applyFont="1" applyFill="1" applyBorder="1" applyAlignment="1">
      <alignment horizontal="center" vertical="center" wrapText="1" readingOrder="1"/>
    </xf>
    <xf numFmtId="0" fontId="31" fillId="7" borderId="1" xfId="0" applyFont="1" applyFill="1" applyBorder="1" applyAlignment="1">
      <alignment horizontal="center" vertical="center" wrapText="1" readingOrder="1"/>
    </xf>
    <xf numFmtId="0" fontId="31" fillId="4" borderId="1" xfId="0" applyFont="1" applyFill="1" applyBorder="1" applyAlignment="1">
      <alignment horizontal="center" vertical="center" wrapText="1" readingOrder="1"/>
    </xf>
    <xf numFmtId="0" fontId="31" fillId="8" borderId="1"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1" fillId="0" borderId="11"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0" fontId="18" fillId="11" borderId="12" xfId="0" applyFont="1" applyFill="1" applyBorder="1" applyAlignment="1" applyProtection="1">
      <alignment horizontal="center" vertical="center" wrapText="1" readingOrder="1"/>
      <protection hidden="1"/>
    </xf>
    <xf numFmtId="0" fontId="18" fillId="11" borderId="19" xfId="0" applyFont="1" applyFill="1" applyBorder="1" applyAlignment="1" applyProtection="1">
      <alignment horizontal="center" vertical="center" wrapText="1" readingOrder="1"/>
      <protection hidden="1"/>
    </xf>
    <xf numFmtId="0" fontId="18" fillId="11" borderId="13" xfId="0" applyFont="1" applyFill="1" applyBorder="1" applyAlignment="1" applyProtection="1">
      <alignment horizontal="center" vertic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19" xfId="0" applyFont="1" applyFill="1" applyBorder="1" applyAlignment="1" applyProtection="1">
      <alignment horizontal="center" wrapText="1" readingOrder="1"/>
      <protection hidden="1"/>
    </xf>
    <xf numFmtId="0" fontId="18" fillId="12" borderId="13" xfId="0" applyFont="1" applyFill="1" applyBorder="1" applyAlignment="1" applyProtection="1">
      <alignment horizontal="center" wrapText="1" readingOrder="1"/>
      <protection hidden="1"/>
    </xf>
    <xf numFmtId="0" fontId="18" fillId="11" borderId="14"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15" xfId="0" applyFont="1" applyFill="1" applyBorder="1" applyAlignment="1" applyProtection="1">
      <alignment horizontal="center" vertical="center" wrapText="1" readingOrder="1"/>
      <protection hidden="1"/>
    </xf>
    <xf numFmtId="0" fontId="18" fillId="12" borderId="1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15" xfId="0" applyFont="1" applyFill="1" applyBorder="1" applyAlignment="1" applyProtection="1">
      <alignment horizontal="center" wrapText="1" readingOrder="1"/>
      <protection hidden="1"/>
    </xf>
    <xf numFmtId="0" fontId="18" fillId="11" borderId="16" xfId="0" applyFont="1" applyFill="1" applyBorder="1" applyAlignment="1" applyProtection="1">
      <alignment horizontal="center" vertical="center" wrapText="1" readingOrder="1"/>
      <protection hidden="1"/>
    </xf>
    <xf numFmtId="0" fontId="18" fillId="11" borderId="18" xfId="0" applyFont="1" applyFill="1" applyBorder="1" applyAlignment="1" applyProtection="1">
      <alignment horizontal="center" vertical="center" wrapText="1" readingOrder="1"/>
      <protection hidden="1"/>
    </xf>
    <xf numFmtId="0" fontId="18" fillId="11" borderId="17" xfId="0" applyFont="1" applyFill="1" applyBorder="1" applyAlignment="1" applyProtection="1">
      <alignment horizontal="center" vertical="center" wrapText="1" readingOrder="1"/>
      <protection hidden="1"/>
    </xf>
    <xf numFmtId="0" fontId="18" fillId="12" borderId="16" xfId="0" applyFont="1" applyFill="1" applyBorder="1" applyAlignment="1" applyProtection="1">
      <alignment horizontal="center" wrapText="1" readingOrder="1"/>
      <protection hidden="1"/>
    </xf>
    <xf numFmtId="0" fontId="18" fillId="12" borderId="18" xfId="0" applyFont="1" applyFill="1" applyBorder="1" applyAlignment="1" applyProtection="1">
      <alignment horizontal="center" wrapText="1" readingOrder="1"/>
      <protection hidden="1"/>
    </xf>
    <xf numFmtId="0" fontId="18" fillId="12" borderId="17"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19" xfId="0" applyFont="1" applyFill="1" applyBorder="1" applyAlignment="1" applyProtection="1">
      <alignment horizontal="center" wrapText="1" readingOrder="1"/>
      <protection hidden="1"/>
    </xf>
    <xf numFmtId="0" fontId="18" fillId="13" borderId="13" xfId="0" applyFont="1" applyFill="1" applyBorder="1" applyAlignment="1" applyProtection="1">
      <alignment horizontal="center" wrapText="1" readingOrder="1"/>
      <protection hidden="1"/>
    </xf>
    <xf numFmtId="0" fontId="18" fillId="13" borderId="1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15" xfId="0" applyFont="1" applyFill="1" applyBorder="1" applyAlignment="1" applyProtection="1">
      <alignment horizontal="center" wrapText="1" readingOrder="1"/>
      <protection hidden="1"/>
    </xf>
    <xf numFmtId="0" fontId="18" fillId="13" borderId="16" xfId="0" applyFont="1" applyFill="1" applyBorder="1" applyAlignment="1" applyProtection="1">
      <alignment horizontal="center" wrapText="1" readingOrder="1"/>
      <protection hidden="1"/>
    </xf>
    <xf numFmtId="0" fontId="18" fillId="13" borderId="18" xfId="0" applyFont="1" applyFill="1" applyBorder="1" applyAlignment="1" applyProtection="1">
      <alignment horizontal="center" wrapText="1" readingOrder="1"/>
      <protection hidden="1"/>
    </xf>
    <xf numFmtId="0" fontId="18" fillId="13" borderId="17"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19" xfId="0" applyFont="1" applyFill="1" applyBorder="1" applyAlignment="1" applyProtection="1">
      <alignment horizontal="center" wrapText="1" readingOrder="1"/>
      <protection hidden="1"/>
    </xf>
    <xf numFmtId="0" fontId="18" fillId="5" borderId="13" xfId="0" applyFont="1" applyFill="1" applyBorder="1" applyAlignment="1" applyProtection="1">
      <alignment horizontal="center" wrapText="1" readingOrder="1"/>
      <protection hidden="1"/>
    </xf>
    <xf numFmtId="0" fontId="18" fillId="5" borderId="14"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15" xfId="0" applyFont="1" applyFill="1" applyBorder="1" applyAlignment="1" applyProtection="1">
      <alignment horizontal="center" wrapText="1" readingOrder="1"/>
      <protection hidden="1"/>
    </xf>
    <xf numFmtId="0" fontId="18" fillId="5" borderId="16" xfId="0" applyFont="1" applyFill="1" applyBorder="1" applyAlignment="1" applyProtection="1">
      <alignment horizontal="center" wrapText="1" readingOrder="1"/>
      <protection hidden="1"/>
    </xf>
    <xf numFmtId="0" fontId="18" fillId="5" borderId="18" xfId="0" applyFont="1" applyFill="1" applyBorder="1" applyAlignment="1" applyProtection="1">
      <alignment horizontal="center" wrapText="1" readingOrder="1"/>
      <protection hidden="1"/>
    </xf>
    <xf numFmtId="0" fontId="18" fillId="5" borderId="17" xfId="0" applyFont="1" applyFill="1" applyBorder="1" applyAlignment="1" applyProtection="1">
      <alignment horizontal="center" wrapText="1" readingOrder="1"/>
      <protection hidden="1"/>
    </xf>
    <xf numFmtId="0" fontId="22" fillId="13" borderId="19" xfId="0" applyFont="1" applyFill="1" applyBorder="1" applyAlignment="1" applyProtection="1">
      <alignment horizontal="center" wrapText="1" readingOrder="1"/>
      <protection hidden="1"/>
    </xf>
    <xf numFmtId="0" fontId="0" fillId="3" borderId="0" xfId="0" applyFill="1"/>
    <xf numFmtId="0" fontId="15" fillId="3" borderId="0" xfId="0" applyFont="1" applyFill="1" applyAlignment="1">
      <alignment vertical="center"/>
    </xf>
    <xf numFmtId="0" fontId="5" fillId="3" borderId="0" xfId="0" applyFont="1" applyFill="1"/>
    <xf numFmtId="0" fontId="34" fillId="3" borderId="0" xfId="0" applyFont="1" applyFill="1"/>
    <xf numFmtId="0" fontId="35" fillId="3" borderId="34" xfId="0" applyFont="1" applyFill="1" applyBorder="1" applyAlignment="1">
      <alignment horizontal="center" vertical="center" wrapText="1" readingOrder="1"/>
    </xf>
    <xf numFmtId="0" fontId="36" fillId="3" borderId="34" xfId="0" applyFont="1" applyFill="1" applyBorder="1" applyAlignment="1">
      <alignment horizontal="justify" vertical="center" wrapText="1" readingOrder="1"/>
    </xf>
    <xf numFmtId="9" fontId="35" fillId="3" borderId="43" xfId="0" applyNumberFormat="1" applyFont="1" applyFill="1" applyBorder="1" applyAlignment="1">
      <alignment horizontal="center" vertical="center" wrapText="1" readingOrder="1"/>
    </xf>
    <xf numFmtId="0" fontId="35" fillId="3" borderId="33" xfId="0" applyFont="1" applyFill="1" applyBorder="1" applyAlignment="1">
      <alignment horizontal="center" vertical="center" wrapText="1" readingOrder="1"/>
    </xf>
    <xf numFmtId="0" fontId="36" fillId="3" borderId="33" xfId="0" applyFont="1" applyFill="1" applyBorder="1" applyAlignment="1">
      <alignment horizontal="justify" vertical="center" wrapText="1" readingOrder="1"/>
    </xf>
    <xf numFmtId="9" fontId="35" fillId="3" borderId="38" xfId="0" applyNumberFormat="1" applyFont="1" applyFill="1" applyBorder="1" applyAlignment="1">
      <alignment horizontal="center" vertical="center" wrapText="1" readingOrder="1"/>
    </xf>
    <xf numFmtId="0" fontId="36" fillId="3" borderId="38" xfId="0" applyFont="1" applyFill="1" applyBorder="1" applyAlignment="1">
      <alignment horizontal="center" vertical="center" wrapText="1" readingOrder="1"/>
    </xf>
    <xf numFmtId="0" fontId="35" fillId="3" borderId="40" xfId="0" applyFont="1" applyFill="1" applyBorder="1" applyAlignment="1">
      <alignment horizontal="center" vertical="center" wrapText="1" readingOrder="1"/>
    </xf>
    <xf numFmtId="0" fontId="36" fillId="3" borderId="40" xfId="0" applyFont="1" applyFill="1" applyBorder="1" applyAlignment="1">
      <alignment horizontal="justify" vertical="center" wrapText="1" readingOrder="1"/>
    </xf>
    <xf numFmtId="0" fontId="36" fillId="3" borderId="41" xfId="0" applyFont="1" applyFill="1" applyBorder="1" applyAlignment="1">
      <alignment horizontal="center" vertical="center" wrapText="1" readingOrder="1"/>
    </xf>
    <xf numFmtId="0" fontId="44" fillId="3" borderId="0" xfId="0" applyFont="1" applyFill="1"/>
    <xf numFmtId="0" fontId="35" fillId="14" borderId="45" xfId="0" applyFont="1" applyFill="1" applyBorder="1" applyAlignment="1">
      <alignment horizontal="center" vertical="center" wrapText="1" readingOrder="1"/>
    </xf>
    <xf numFmtId="0" fontId="35" fillId="14" borderId="46" xfId="0" applyFont="1" applyFill="1" applyBorder="1" applyAlignment="1">
      <alignment horizontal="center" vertical="center" wrapText="1" readingOrder="1"/>
    </xf>
    <xf numFmtId="0" fontId="12" fillId="3" borderId="0" xfId="0" applyFont="1" applyFill="1"/>
    <xf numFmtId="0" fontId="29" fillId="3" borderId="0" xfId="0" applyFont="1" applyFill="1" applyAlignment="1">
      <alignment horizontal="center" vertical="center" wrapText="1"/>
    </xf>
    <xf numFmtId="0" fontId="11" fillId="3" borderId="0" xfId="0" applyFont="1" applyFill="1" applyAlignment="1">
      <alignment horizontal="justify" vertical="center" wrapText="1" readingOrder="1"/>
    </xf>
    <xf numFmtId="0" fontId="4" fillId="3" borderId="0" xfId="0" applyFont="1" applyFill="1" applyAlignment="1">
      <alignment vertical="center"/>
    </xf>
    <xf numFmtId="0" fontId="14"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47" fillId="3" borderId="51" xfId="2" applyFont="1" applyFill="1" applyBorder="1"/>
    <xf numFmtId="0" fontId="47" fillId="3" borderId="52" xfId="2" applyFont="1" applyFill="1" applyBorder="1"/>
    <xf numFmtId="0" fontId="47" fillId="3" borderId="53" xfId="2" applyFont="1" applyFill="1" applyBorder="1"/>
    <xf numFmtId="0" fontId="0" fillId="3" borderId="15" xfId="0" applyFill="1" applyBorder="1"/>
    <xf numFmtId="0" fontId="49" fillId="3" borderId="0" xfId="2" quotePrefix="1" applyFont="1" applyFill="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75" xfId="2" quotePrefix="1" applyFont="1" applyFill="1" applyBorder="1" applyAlignment="1">
      <alignment horizontal="left" vertical="top" wrapText="1"/>
    </xf>
    <xf numFmtId="0" fontId="47" fillId="0" borderId="75" xfId="2" quotePrefix="1" applyFont="1" applyBorder="1" applyAlignment="1">
      <alignment horizontal="left" vertical="top" wrapText="1"/>
    </xf>
    <xf numFmtId="0" fontId="51" fillId="3" borderId="0" xfId="2" quotePrefix="1" applyFont="1" applyFill="1" applyAlignment="1">
      <alignment horizontal="left" vertical="top" wrapText="1"/>
    </xf>
    <xf numFmtId="0" fontId="51" fillId="3" borderId="86" xfId="2" quotePrefix="1" applyFont="1" applyFill="1" applyBorder="1" applyAlignment="1">
      <alignment horizontal="left" vertical="top" wrapText="1"/>
    </xf>
    <xf numFmtId="0" fontId="51" fillId="3" borderId="75" xfId="2" quotePrefix="1" applyFont="1" applyFill="1" applyBorder="1" applyAlignment="1">
      <alignment horizontal="left" vertical="top" wrapText="1"/>
    </xf>
    <xf numFmtId="0" fontId="47" fillId="3" borderId="86" xfId="2" applyFont="1" applyFill="1" applyBorder="1"/>
    <xf numFmtId="0" fontId="47" fillId="3" borderId="0" xfId="2" applyFont="1" applyFill="1"/>
    <xf numFmtId="0" fontId="47" fillId="3" borderId="75" xfId="2" applyFont="1" applyFill="1" applyBorder="1"/>
    <xf numFmtId="0" fontId="47" fillId="3" borderId="15" xfId="2" applyFont="1" applyFill="1" applyBorder="1"/>
    <xf numFmtId="0" fontId="47" fillId="3" borderId="14" xfId="2" applyFont="1" applyFill="1" applyBorder="1"/>
    <xf numFmtId="0" fontId="52" fillId="3" borderId="0" xfId="0" applyFont="1" applyFill="1" applyAlignment="1">
      <alignment horizontal="left" vertical="center" wrapText="1"/>
    </xf>
    <xf numFmtId="0" fontId="53" fillId="3" borderId="0" xfId="0" applyFont="1" applyFill="1" applyAlignment="1">
      <alignment horizontal="left" vertical="top" wrapText="1"/>
    </xf>
    <xf numFmtId="0" fontId="47" fillId="3" borderId="0" xfId="2" applyFont="1" applyFill="1" applyAlignment="1">
      <alignment horizontal="left" vertical="top" wrapText="1"/>
    </xf>
    <xf numFmtId="0" fontId="47" fillId="3" borderId="14" xfId="2" applyFont="1" applyFill="1" applyBorder="1" applyAlignment="1">
      <alignment horizontal="left" vertical="top" wrapText="1"/>
    </xf>
    <xf numFmtId="0" fontId="47" fillId="3" borderId="15" xfId="2" applyFont="1" applyFill="1" applyBorder="1" applyAlignment="1">
      <alignment horizontal="left" vertical="top" wrapText="1"/>
    </xf>
    <xf numFmtId="0" fontId="47" fillId="3" borderId="16" xfId="2" applyFont="1" applyFill="1" applyBorder="1"/>
    <xf numFmtId="0" fontId="47" fillId="3" borderId="18" xfId="2" applyFont="1" applyFill="1" applyBorder="1"/>
    <xf numFmtId="0" fontId="47" fillId="3" borderId="17" xfId="2" applyFont="1" applyFill="1" applyBorder="1"/>
    <xf numFmtId="0" fontId="14" fillId="16" borderId="0" xfId="0" applyFont="1" applyFill="1" applyAlignment="1">
      <alignment horizontal="left" vertical="top" wrapText="1"/>
    </xf>
    <xf numFmtId="0" fontId="45" fillId="3" borderId="95" xfId="0" applyFont="1" applyFill="1" applyBorder="1" applyAlignment="1">
      <alignment vertical="center" wrapText="1"/>
    </xf>
    <xf numFmtId="0" fontId="45" fillId="3" borderId="97" xfId="0" applyFont="1" applyFill="1" applyBorder="1" applyAlignment="1">
      <alignment vertical="center" wrapText="1"/>
    </xf>
    <xf numFmtId="0" fontId="14" fillId="16" borderId="0" xfId="0" applyFont="1" applyFill="1" applyAlignment="1">
      <alignment wrapText="1"/>
    </xf>
    <xf numFmtId="0" fontId="5" fillId="0" borderId="0" xfId="0" applyFont="1" applyAlignment="1">
      <alignment vertical="top" wrapText="1"/>
    </xf>
    <xf numFmtId="0" fontId="60" fillId="0" borderId="0" xfId="0" applyFont="1" applyAlignment="1">
      <alignment horizontal="center" vertical="center" wrapText="1"/>
    </xf>
    <xf numFmtId="0" fontId="61" fillId="0" borderId="0" xfId="0" applyFont="1" applyAlignment="1">
      <alignment vertical="center" wrapText="1"/>
    </xf>
    <xf numFmtId="0" fontId="42" fillId="17" borderId="98" xfId="0" applyFont="1" applyFill="1" applyBorder="1" applyAlignment="1">
      <alignment horizontal="left" vertical="center" wrapText="1" indent="1"/>
    </xf>
    <xf numFmtId="0" fontId="42" fillId="17" borderId="100" xfId="0" applyFont="1" applyFill="1" applyBorder="1" applyAlignment="1">
      <alignment horizontal="left" vertical="center" wrapText="1" indent="1"/>
    </xf>
    <xf numFmtId="0" fontId="55" fillId="17" borderId="47" xfId="0" applyFont="1" applyFill="1" applyBorder="1" applyAlignment="1">
      <alignment horizontal="center" vertical="center" wrapText="1"/>
    </xf>
    <xf numFmtId="0" fontId="56" fillId="0" borderId="45" xfId="0" applyFont="1" applyBorder="1" applyAlignment="1">
      <alignment horizontal="center" vertical="center" wrapText="1"/>
    </xf>
    <xf numFmtId="0" fontId="56" fillId="0" borderId="104" xfId="0" applyFont="1" applyBorder="1" applyAlignment="1">
      <alignment horizontal="center" vertical="center" wrapText="1"/>
    </xf>
    <xf numFmtId="0" fontId="56" fillId="0" borderId="47" xfId="0" applyFont="1" applyBorder="1" applyAlignment="1">
      <alignment horizontal="center" vertical="center" wrapText="1"/>
    </xf>
    <xf numFmtId="0" fontId="59" fillId="0" borderId="0" xfId="0" applyFont="1" applyAlignment="1">
      <alignment horizontal="center" vertical="center"/>
    </xf>
    <xf numFmtId="0" fontId="62" fillId="0" borderId="0" xfId="0" applyFont="1" applyAlignment="1">
      <alignment horizontal="center" vertical="center"/>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5" fillId="17" borderId="104"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pplyProtection="1">
      <alignment horizontal="center" vertical="center"/>
      <protection hidden="1"/>
    </xf>
    <xf numFmtId="0" fontId="1" fillId="0" borderId="2" xfId="0" applyFont="1" applyBorder="1" applyAlignment="1" applyProtection="1">
      <alignment horizontal="justify" vertical="center" wrapText="1"/>
      <protection locked="0"/>
    </xf>
    <xf numFmtId="0" fontId="4" fillId="0" borderId="4"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protection hidden="1"/>
    </xf>
    <xf numFmtId="14" fontId="63" fillId="0" borderId="0" xfId="0" applyNumberFormat="1" applyFont="1" applyAlignment="1">
      <alignment horizontal="center" vertical="center"/>
    </xf>
    <xf numFmtId="0" fontId="1" fillId="3" borderId="2" xfId="0" applyFont="1" applyFill="1" applyBorder="1" applyAlignment="1" applyProtection="1">
      <alignment horizontal="justify" vertical="center" wrapText="1"/>
      <protection locked="0"/>
    </xf>
    <xf numFmtId="0" fontId="2" fillId="0" borderId="2" xfId="0" applyFont="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52" fillId="15" borderId="76" xfId="3" applyFont="1" applyFill="1" applyBorder="1" applyAlignment="1">
      <alignment horizontal="center" vertical="center" wrapText="1"/>
    </xf>
    <xf numFmtId="0" fontId="52" fillId="15" borderId="77" xfId="3" applyFont="1" applyFill="1" applyBorder="1" applyAlignment="1">
      <alignment horizontal="center" vertical="center" wrapText="1"/>
    </xf>
    <xf numFmtId="0" fontId="52" fillId="15" borderId="54" xfId="2" applyFont="1" applyFill="1" applyBorder="1" applyAlignment="1">
      <alignment horizontal="center" vertical="center"/>
    </xf>
    <xf numFmtId="0" fontId="52" fillId="15" borderId="55" xfId="2" applyFont="1" applyFill="1" applyBorder="1" applyAlignment="1">
      <alignment horizontal="center" vertical="center"/>
    </xf>
    <xf numFmtId="0" fontId="48" fillId="15" borderId="48" xfId="2" applyFont="1" applyFill="1" applyBorder="1" applyAlignment="1">
      <alignment horizontal="center" vertical="center" wrapText="1"/>
    </xf>
    <xf numFmtId="0" fontId="48" fillId="15" borderId="49" xfId="2" applyFont="1" applyFill="1" applyBorder="1" applyAlignment="1">
      <alignment horizontal="center" vertical="center" wrapText="1"/>
    </xf>
    <xf numFmtId="0" fontId="48" fillId="15" borderId="50" xfId="2" applyFont="1" applyFill="1" applyBorder="1" applyAlignment="1">
      <alignment horizontal="center" vertical="center" wrapText="1"/>
    </xf>
    <xf numFmtId="0" fontId="47" fillId="0" borderId="14" xfId="2" quotePrefix="1" applyFont="1" applyBorder="1" applyAlignment="1">
      <alignment horizontal="left" vertical="center" wrapText="1"/>
    </xf>
    <xf numFmtId="0" fontId="47" fillId="0" borderId="0" xfId="2" quotePrefix="1" applyFont="1" applyAlignment="1">
      <alignment horizontal="left" vertical="center" wrapText="1"/>
    </xf>
    <xf numFmtId="0" fontId="47" fillId="0" borderId="15" xfId="2" quotePrefix="1" applyFont="1" applyBorder="1" applyAlignment="1">
      <alignment horizontal="left" vertical="center" wrapText="1"/>
    </xf>
    <xf numFmtId="0" fontId="47" fillId="0" borderId="66" xfId="2" quotePrefix="1" applyFont="1" applyBorder="1" applyAlignment="1">
      <alignment horizontal="left" vertical="center" wrapText="1"/>
    </xf>
    <xf numFmtId="0" fontId="47" fillId="0" borderId="67" xfId="2" quotePrefix="1" applyFont="1" applyBorder="1" applyAlignment="1">
      <alignment horizontal="left" vertical="center" wrapText="1"/>
    </xf>
    <xf numFmtId="0" fontId="47" fillId="0" borderId="68" xfId="2" quotePrefix="1" applyFont="1" applyBorder="1" applyAlignment="1">
      <alignment horizontal="left" vertical="center" wrapText="1"/>
    </xf>
    <xf numFmtId="0" fontId="49" fillId="3" borderId="52" xfId="2" quotePrefix="1" applyFont="1" applyFill="1" applyBorder="1" applyAlignment="1">
      <alignment horizontal="left" vertical="top" wrapText="1"/>
    </xf>
    <xf numFmtId="0" fontId="50" fillId="3" borderId="52" xfId="2" quotePrefix="1" applyFont="1" applyFill="1" applyBorder="1" applyAlignment="1">
      <alignment horizontal="left" vertical="top" wrapText="1"/>
    </xf>
    <xf numFmtId="0" fontId="50"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47" fillId="3" borderId="0" xfId="2" quotePrefix="1" applyFont="1" applyFill="1" applyAlignment="1">
      <alignment horizontal="left" vertical="top" wrapText="1"/>
    </xf>
    <xf numFmtId="0" fontId="47" fillId="3" borderId="75" xfId="2" quotePrefix="1" applyFont="1" applyFill="1" applyBorder="1" applyAlignment="1">
      <alignment horizontal="left" vertical="top" wrapText="1"/>
    </xf>
    <xf numFmtId="0" fontId="52" fillId="3" borderId="56" xfId="3" applyFont="1" applyFill="1" applyBorder="1" applyAlignment="1">
      <alignment horizontal="left" vertical="top" wrapText="1" readingOrder="1"/>
    </xf>
    <xf numFmtId="0" fontId="52" fillId="3" borderId="78" xfId="3" applyFont="1" applyFill="1" applyBorder="1" applyAlignment="1">
      <alignment horizontal="left" vertical="top" wrapText="1" readingOrder="1"/>
    </xf>
    <xf numFmtId="0" fontId="53" fillId="3" borderId="79" xfId="2" applyFont="1" applyFill="1" applyBorder="1" applyAlignment="1">
      <alignment horizontal="justify" vertical="center" wrapText="1"/>
    </xf>
    <xf numFmtId="0" fontId="53" fillId="3" borderId="80" xfId="2" applyFont="1" applyFill="1" applyBorder="1" applyAlignment="1">
      <alignment horizontal="justify" vertical="center" wrapText="1"/>
    </xf>
    <xf numFmtId="0" fontId="52" fillId="3" borderId="92" xfId="3" applyFont="1" applyFill="1" applyBorder="1" applyAlignment="1">
      <alignment horizontal="left" vertical="top" wrapText="1" readingOrder="1"/>
    </xf>
    <xf numFmtId="0" fontId="52" fillId="3" borderId="57" xfId="3" applyFont="1" applyFill="1" applyBorder="1" applyAlignment="1">
      <alignment horizontal="left" vertical="top" wrapText="1" readingOrder="1"/>
    </xf>
    <xf numFmtId="0" fontId="53" fillId="3" borderId="93" xfId="2" applyFont="1" applyFill="1" applyBorder="1" applyAlignment="1">
      <alignment horizontal="justify" vertical="center" wrapText="1"/>
    </xf>
    <xf numFmtId="0" fontId="53" fillId="3" borderId="81" xfId="2" applyFont="1" applyFill="1" applyBorder="1" applyAlignment="1">
      <alignment horizontal="justify" vertical="center" wrapText="1"/>
    </xf>
    <xf numFmtId="0" fontId="52" fillId="3" borderId="82" xfId="3" applyFont="1" applyFill="1" applyBorder="1" applyAlignment="1">
      <alignment horizontal="left" vertical="top" wrapText="1" readingOrder="1"/>
    </xf>
    <xf numFmtId="0" fontId="52" fillId="3" borderId="83" xfId="3" applyFont="1" applyFill="1" applyBorder="1" applyAlignment="1">
      <alignment horizontal="left" vertical="top" wrapText="1" readingOrder="1"/>
    </xf>
    <xf numFmtId="0" fontId="53" fillId="3" borderId="84" xfId="2" applyFont="1" applyFill="1" applyBorder="1" applyAlignment="1">
      <alignment horizontal="justify" vertical="center" wrapText="1"/>
    </xf>
    <xf numFmtId="0" fontId="53" fillId="3" borderId="85" xfId="2" applyFont="1" applyFill="1" applyBorder="1" applyAlignment="1">
      <alignment horizontal="justify" vertical="center" wrapText="1"/>
    </xf>
    <xf numFmtId="0" fontId="51" fillId="3" borderId="14" xfId="2" quotePrefix="1" applyFont="1" applyFill="1" applyBorder="1" applyAlignment="1">
      <alignment horizontal="center" vertical="top" wrapText="1"/>
    </xf>
    <xf numFmtId="0" fontId="51" fillId="3" borderId="0" xfId="2" quotePrefix="1" applyFont="1" applyFill="1" applyAlignment="1">
      <alignment horizontal="center" vertical="top" wrapText="1"/>
    </xf>
    <xf numFmtId="0" fontId="51" fillId="3" borderId="75" xfId="2" quotePrefix="1" applyFont="1" applyFill="1" applyBorder="1" applyAlignment="1">
      <alignment horizontal="center" vertical="top" wrapText="1"/>
    </xf>
    <xf numFmtId="0" fontId="52" fillId="15" borderId="87" xfId="3" applyFont="1" applyFill="1" applyBorder="1" applyAlignment="1">
      <alignment horizontal="center" vertical="center" wrapText="1"/>
    </xf>
    <xf numFmtId="0" fontId="52" fillId="3" borderId="88" xfId="3" applyFont="1" applyFill="1" applyBorder="1" applyAlignment="1">
      <alignment horizontal="left" vertical="top" wrapText="1" readingOrder="1"/>
    </xf>
    <xf numFmtId="0" fontId="52" fillId="3" borderId="89" xfId="3" applyFont="1" applyFill="1" applyBorder="1" applyAlignment="1">
      <alignment horizontal="left" vertical="top" wrapText="1" readingOrder="1"/>
    </xf>
    <xf numFmtId="0" fontId="53" fillId="3" borderId="90" xfId="2" applyFont="1" applyFill="1" applyBorder="1" applyAlignment="1">
      <alignment horizontal="justify" vertical="center" wrapText="1"/>
    </xf>
    <xf numFmtId="0" fontId="53" fillId="3" borderId="91" xfId="2" applyFont="1" applyFill="1" applyBorder="1" applyAlignment="1">
      <alignment horizontal="justify" vertical="center" wrapText="1"/>
    </xf>
    <xf numFmtId="0" fontId="53" fillId="3" borderId="58" xfId="2" applyFont="1" applyFill="1" applyBorder="1" applyAlignment="1">
      <alignment horizontal="justify" vertical="center" wrapText="1"/>
    </xf>
    <xf numFmtId="0" fontId="53" fillId="3" borderId="59" xfId="2" applyFont="1" applyFill="1" applyBorder="1" applyAlignment="1">
      <alignment horizontal="justify" vertical="center" wrapText="1"/>
    </xf>
    <xf numFmtId="0" fontId="52" fillId="3" borderId="70" xfId="0" applyFont="1" applyFill="1" applyBorder="1" applyAlignment="1">
      <alignment horizontal="left" vertical="center" wrapText="1"/>
    </xf>
    <xf numFmtId="0" fontId="52" fillId="3" borderId="61" xfId="0" applyFont="1" applyFill="1" applyBorder="1" applyAlignment="1">
      <alignment horizontal="left" vertical="center" wrapText="1"/>
    </xf>
    <xf numFmtId="0" fontId="53" fillId="3" borderId="62" xfId="2" applyFont="1" applyFill="1" applyBorder="1" applyAlignment="1">
      <alignment horizontal="justify" vertical="center" wrapText="1"/>
    </xf>
    <xf numFmtId="0" fontId="53" fillId="3" borderId="63" xfId="2" applyFont="1" applyFill="1" applyBorder="1" applyAlignment="1">
      <alignment horizontal="justify" vertical="center" wrapText="1"/>
    </xf>
    <xf numFmtId="0" fontId="52" fillId="3" borderId="60" xfId="0" applyFont="1" applyFill="1" applyBorder="1" applyAlignment="1">
      <alignment horizontal="left" vertical="center" wrapText="1"/>
    </xf>
    <xf numFmtId="0" fontId="52" fillId="3" borderId="69" xfId="0" applyFont="1" applyFill="1" applyBorder="1" applyAlignment="1">
      <alignment horizontal="left" vertical="center" wrapText="1"/>
    </xf>
    <xf numFmtId="0" fontId="52" fillId="3" borderId="71" xfId="0" applyFont="1" applyFill="1" applyBorder="1" applyAlignment="1">
      <alignment horizontal="left" vertical="center" wrapText="1"/>
    </xf>
    <xf numFmtId="0" fontId="52" fillId="3" borderId="72" xfId="0" applyFont="1" applyFill="1" applyBorder="1" applyAlignment="1">
      <alignment horizontal="left" vertical="center" wrapText="1"/>
    </xf>
    <xf numFmtId="0" fontId="53" fillId="3" borderId="64" xfId="0" applyFont="1" applyFill="1" applyBorder="1" applyAlignment="1">
      <alignment horizontal="justify" vertical="center" wrapText="1"/>
    </xf>
    <xf numFmtId="0" fontId="53" fillId="3" borderId="65" xfId="0" applyFont="1" applyFill="1" applyBorder="1" applyAlignment="1">
      <alignment horizontal="justify"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1" fillId="0" borderId="107" xfId="0" applyFont="1" applyBorder="1" applyAlignment="1">
      <alignment horizontal="left" vertical="center"/>
    </xf>
    <xf numFmtId="0" fontId="1" fillId="0" borderId="106" xfId="0" applyFont="1" applyBorder="1" applyAlignment="1">
      <alignment horizontal="left" vertical="center"/>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59" fillId="0" borderId="12"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0" xfId="0" applyFont="1" applyAlignment="1">
      <alignment horizontal="center" vertical="center" wrapText="1"/>
    </xf>
    <xf numFmtId="0" fontId="59" fillId="0" borderId="16" xfId="0" applyFont="1" applyBorder="1" applyAlignment="1">
      <alignment horizontal="center" vertical="center" wrapText="1"/>
    </xf>
    <xf numFmtId="0" fontId="59" fillId="0" borderId="18" xfId="0" applyFont="1" applyBorder="1" applyAlignment="1">
      <alignment horizontal="center" vertical="center" wrapText="1"/>
    </xf>
    <xf numFmtId="0" fontId="42" fillId="18" borderId="99" xfId="0" applyFont="1" applyFill="1" applyBorder="1" applyAlignment="1">
      <alignment horizontal="left" vertical="center" wrapText="1" indent="1"/>
    </xf>
    <xf numFmtId="0" fontId="42" fillId="18" borderId="49" xfId="0" applyFont="1" applyFill="1" applyBorder="1" applyAlignment="1">
      <alignment horizontal="left" vertical="center" wrapText="1" indent="1"/>
    </xf>
    <xf numFmtId="0" fontId="42" fillId="18" borderId="50" xfId="0" applyFont="1" applyFill="1" applyBorder="1" applyAlignment="1">
      <alignment horizontal="left" vertical="center" wrapText="1" indent="1"/>
    </xf>
    <xf numFmtId="0" fontId="56" fillId="18" borderId="101" xfId="0" applyFont="1" applyFill="1" applyBorder="1" applyAlignment="1">
      <alignment horizontal="left" vertical="center" wrapText="1" indent="1"/>
    </xf>
    <xf numFmtId="0" fontId="56" fillId="18" borderId="102" xfId="0" applyFont="1" applyFill="1" applyBorder="1" applyAlignment="1">
      <alignment horizontal="left" vertical="center" wrapText="1" indent="1"/>
    </xf>
    <xf numFmtId="0" fontId="56" fillId="18" borderId="103" xfId="0" applyFont="1" applyFill="1" applyBorder="1" applyAlignment="1">
      <alignment horizontal="left" vertical="center" wrapText="1" indent="1"/>
    </xf>
    <xf numFmtId="0" fontId="35" fillId="19" borderId="0" xfId="0" applyFont="1" applyFill="1" applyAlignment="1">
      <alignment horizontal="center" vertical="center" wrapText="1"/>
    </xf>
    <xf numFmtId="0" fontId="42" fillId="17" borderId="12" xfId="0" applyFont="1" applyFill="1" applyBorder="1" applyAlignment="1">
      <alignment horizontal="center" vertical="center" wrapText="1"/>
    </xf>
    <xf numFmtId="0" fontId="42" fillId="17" borderId="19" xfId="0" applyFont="1" applyFill="1" applyBorder="1" applyAlignment="1">
      <alignment horizontal="center" vertical="center" wrapText="1"/>
    </xf>
    <xf numFmtId="0" fontId="42" fillId="17" borderId="13" xfId="0" applyFont="1" applyFill="1" applyBorder="1" applyAlignment="1">
      <alignment horizontal="center" vertical="center" wrapText="1"/>
    </xf>
    <xf numFmtId="0" fontId="55" fillId="17" borderId="35" xfId="0" applyFont="1" applyFill="1" applyBorder="1" applyAlignment="1">
      <alignment horizontal="center" vertical="center" wrapText="1"/>
    </xf>
    <xf numFmtId="0" fontId="55" fillId="17" borderId="104" xfId="0" applyFont="1" applyFill="1" applyBorder="1" applyAlignment="1">
      <alignment horizontal="center" vertical="center" wrapText="1"/>
    </xf>
    <xf numFmtId="0" fontId="56" fillId="0" borderId="35" xfId="0" applyFont="1" applyBorder="1" applyAlignment="1">
      <alignment horizontal="left" vertical="center" wrapText="1"/>
    </xf>
    <xf numFmtId="0" fontId="56" fillId="0" borderId="36" xfId="0" applyFont="1" applyBorder="1" applyAlignment="1">
      <alignment horizontal="left" vertical="center" wrapText="1"/>
    </xf>
    <xf numFmtId="0" fontId="60" fillId="0" borderId="0" xfId="0" applyFont="1" applyAlignment="1">
      <alignment horizontal="center" vertical="center"/>
    </xf>
    <xf numFmtId="0" fontId="42" fillId="20" borderId="12" xfId="0" applyFont="1" applyFill="1" applyBorder="1" applyAlignment="1">
      <alignment horizontal="center" vertical="center" wrapText="1"/>
    </xf>
    <xf numFmtId="0" fontId="42" fillId="20" borderId="19" xfId="0" applyFont="1" applyFill="1" applyBorder="1" applyAlignment="1">
      <alignment horizontal="center" vertical="center" wrapText="1"/>
    </xf>
    <xf numFmtId="0" fontId="42" fillId="20" borderId="13" xfId="0" applyFont="1" applyFill="1" applyBorder="1" applyAlignment="1">
      <alignment horizontal="center" vertical="center" wrapText="1"/>
    </xf>
    <xf numFmtId="0" fontId="63" fillId="0" borderId="110" xfId="0" applyFont="1" applyBorder="1" applyAlignment="1">
      <alignment horizontal="left" vertical="center" wrapText="1"/>
    </xf>
    <xf numFmtId="0" fontId="63" fillId="0" borderId="38" xfId="0" applyFont="1" applyBorder="1" applyAlignment="1">
      <alignment horizontal="left" vertical="center" wrapText="1"/>
    </xf>
    <xf numFmtId="0" fontId="1" fillId="3" borderId="37" xfId="0" applyFont="1" applyFill="1" applyBorder="1" applyAlignment="1">
      <alignment horizontal="left" vertical="center" wrapText="1"/>
    </xf>
    <xf numFmtId="0" fontId="1" fillId="3" borderId="79" xfId="0" applyFont="1" applyFill="1" applyBorder="1" applyAlignment="1">
      <alignment horizontal="left" vertical="center" wrapText="1"/>
    </xf>
    <xf numFmtId="0" fontId="1" fillId="3" borderId="109" xfId="0" applyFont="1" applyFill="1" applyBorder="1" applyAlignment="1">
      <alignment horizontal="left" vertical="center" wrapText="1"/>
    </xf>
    <xf numFmtId="0" fontId="1" fillId="0" borderId="110" xfId="0" applyFont="1" applyBorder="1" applyAlignment="1">
      <alignment horizontal="left" vertical="center" wrapText="1"/>
    </xf>
    <xf numFmtId="0" fontId="1" fillId="0" borderId="38" xfId="0" applyFont="1" applyBorder="1" applyAlignment="1">
      <alignment horizontal="left" vertical="center" wrapText="1"/>
    </xf>
    <xf numFmtId="0" fontId="63" fillId="3" borderId="37" xfId="0" applyFont="1" applyFill="1" applyBorder="1" applyAlignment="1">
      <alignment horizontal="left" wrapText="1"/>
    </xf>
    <xf numFmtId="0" fontId="63" fillId="3" borderId="33" xfId="0" applyFont="1" applyFill="1" applyBorder="1" applyAlignment="1">
      <alignment horizontal="left" wrapText="1"/>
    </xf>
    <xf numFmtId="0" fontId="63" fillId="3" borderId="38" xfId="0" applyFont="1" applyFill="1" applyBorder="1" applyAlignment="1">
      <alignment horizontal="left" wrapText="1"/>
    </xf>
    <xf numFmtId="0" fontId="1" fillId="3" borderId="108" xfId="0" applyFont="1" applyFill="1" applyBorder="1" applyAlignment="1">
      <alignment horizontal="left" vertical="center"/>
    </xf>
    <xf numFmtId="0" fontId="1" fillId="3" borderId="79" xfId="0" applyFont="1" applyFill="1" applyBorder="1" applyAlignment="1">
      <alignment horizontal="left" vertical="center"/>
    </xf>
    <xf numFmtId="0" fontId="1" fillId="3" borderId="109" xfId="0" applyFont="1" applyFill="1" applyBorder="1" applyAlignment="1">
      <alignment horizontal="left" vertical="center"/>
    </xf>
    <xf numFmtId="0" fontId="1" fillId="0" borderId="79" xfId="0" applyFont="1" applyBorder="1" applyAlignment="1">
      <alignment horizontal="left" vertical="center" wrapText="1"/>
    </xf>
    <xf numFmtId="0" fontId="1" fillId="0" borderId="109" xfId="0" applyFont="1" applyBorder="1" applyAlignment="1">
      <alignment horizontal="left" vertical="center"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1" fillId="0" borderId="37" xfId="0" applyFont="1" applyBorder="1" applyAlignment="1">
      <alignment horizontal="left" vertical="center" wrapText="1"/>
    </xf>
    <xf numFmtId="0" fontId="1" fillId="0" borderId="33" xfId="0" applyFont="1" applyBorder="1" applyAlignment="1">
      <alignment horizontal="left" vertical="center" wrapText="1"/>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63" fillId="0" borderId="110" xfId="0" applyFont="1" applyBorder="1" applyAlignment="1">
      <alignment horizontal="left" vertical="center"/>
    </xf>
    <xf numFmtId="0" fontId="63" fillId="0" borderId="38" xfId="0" applyFont="1" applyBorder="1" applyAlignment="1">
      <alignment horizontal="left" vertical="center"/>
    </xf>
    <xf numFmtId="0" fontId="63" fillId="0" borderId="108" xfId="0" applyFont="1" applyBorder="1" applyAlignment="1">
      <alignment horizontal="left" vertical="center"/>
    </xf>
    <xf numFmtId="0" fontId="63" fillId="0" borderId="109"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3" fillId="0" borderId="111" xfId="0" applyFont="1" applyBorder="1" applyAlignment="1">
      <alignment horizontal="left" wrapText="1"/>
    </xf>
    <xf numFmtId="0" fontId="63" fillId="0" borderId="41" xfId="0" applyFont="1" applyBorder="1" applyAlignment="1">
      <alignment horizontal="left" wrapText="1"/>
    </xf>
    <xf numFmtId="0" fontId="42" fillId="20" borderId="14" xfId="0" applyFont="1" applyFill="1" applyBorder="1" applyAlignment="1">
      <alignment horizontal="center" vertical="center" wrapText="1"/>
    </xf>
    <xf numFmtId="0" fontId="42" fillId="20" borderId="0" xfId="0" applyFont="1" applyFill="1" applyAlignment="1">
      <alignment horizontal="center" vertical="center" wrapText="1"/>
    </xf>
    <xf numFmtId="0" fontId="42" fillId="20" borderId="35" xfId="0" applyFont="1" applyFill="1" applyBorder="1" applyAlignment="1">
      <alignment horizontal="center" vertical="center" wrapText="1"/>
    </xf>
    <xf numFmtId="0" fontId="42" fillId="20" borderId="47"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Border="1" applyAlignment="1">
      <alignment horizontal="left" vertical="center" wrapText="1"/>
    </xf>
    <xf numFmtId="0" fontId="63" fillId="0" borderId="98" xfId="0" applyFont="1" applyBorder="1" applyAlignment="1">
      <alignment horizontal="left" wrapText="1"/>
    </xf>
    <xf numFmtId="0" fontId="63" fillId="0" borderId="106" xfId="0" applyFont="1" applyBorder="1" applyAlignment="1">
      <alignment horizontal="left" wrapText="1"/>
    </xf>
    <xf numFmtId="0" fontId="1" fillId="0" borderId="37" xfId="0" applyFont="1" applyBorder="1" applyAlignment="1">
      <alignment horizontal="left" wrapText="1"/>
    </xf>
    <xf numFmtId="0" fontId="1" fillId="0" borderId="33" xfId="0" applyFont="1" applyBorder="1" applyAlignment="1">
      <alignment horizontal="left" wrapText="1"/>
    </xf>
    <xf numFmtId="0" fontId="1" fillId="0" borderId="38" xfId="0" applyFont="1" applyBorder="1" applyAlignment="1">
      <alignment horizontal="left" wrapText="1"/>
    </xf>
    <xf numFmtId="0" fontId="63" fillId="0" borderId="37" xfId="0" applyFont="1" applyBorder="1" applyAlignment="1">
      <alignment horizontal="left" vertical="center" wrapText="1"/>
    </xf>
    <xf numFmtId="0" fontId="63" fillId="0" borderId="33" xfId="0" applyFont="1" applyBorder="1" applyAlignment="1">
      <alignment horizontal="left" vertical="center" wrapText="1"/>
    </xf>
    <xf numFmtId="0" fontId="63" fillId="0" borderId="37" xfId="0" applyFont="1" applyBorder="1" applyAlignment="1">
      <alignment horizontal="left" wrapText="1"/>
    </xf>
    <xf numFmtId="0" fontId="63" fillId="0" borderId="38" xfId="0" applyFont="1" applyBorder="1" applyAlignment="1">
      <alignment horizontal="left" wrapText="1"/>
    </xf>
    <xf numFmtId="0" fontId="63" fillId="0" borderId="39" xfId="0" applyFont="1" applyBorder="1" applyAlignment="1">
      <alignment horizontal="left" vertical="center" wrapText="1"/>
    </xf>
    <xf numFmtId="0" fontId="63" fillId="0" borderId="40" xfId="0" applyFont="1" applyBorder="1" applyAlignment="1">
      <alignment horizontal="left" vertical="center" wrapText="1"/>
    </xf>
    <xf numFmtId="0" fontId="63"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164" fontId="1" fillId="0" borderId="4" xfId="1" applyNumberFormat="1" applyFont="1" applyBorder="1" applyAlignment="1">
      <alignment horizontal="center" vertical="center"/>
    </xf>
    <xf numFmtId="164" fontId="1" fillId="0" borderId="5" xfId="1" applyNumberFormat="1" applyFont="1" applyBorder="1" applyAlignment="1">
      <alignment horizontal="center" vertical="center"/>
    </xf>
    <xf numFmtId="0" fontId="4" fillId="0" borderId="4"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justify" vertical="center" wrapText="1"/>
      <protection locked="0"/>
    </xf>
    <xf numFmtId="0" fontId="1" fillId="0" borderId="5" xfId="0" applyFont="1" applyBorder="1" applyAlignment="1" applyProtection="1">
      <alignment horizontal="justify" vertical="center" wrapText="1"/>
      <protection locked="0"/>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1" fillId="0" borderId="8" xfId="0" applyFont="1" applyBorder="1" applyAlignment="1">
      <alignment horizontal="center" vertical="center"/>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4" xfId="0" applyFont="1" applyFill="1" applyBorder="1" applyAlignment="1">
      <alignment horizontal="center" vertical="center" textRotation="90"/>
    </xf>
    <xf numFmtId="0" fontId="4"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1" fillId="3" borderId="6"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0" xfId="0" applyFont="1" applyFill="1" applyAlignment="1">
      <alignment horizontal="center" vertical="center"/>
    </xf>
    <xf numFmtId="0" fontId="4" fillId="3" borderId="113"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6"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50" fillId="2" borderId="6" xfId="0" applyFont="1" applyFill="1" applyBorder="1" applyAlignment="1">
      <alignment horizontal="left" vertical="center"/>
    </xf>
    <xf numFmtId="0" fontId="64" fillId="2" borderId="7" xfId="0" applyFont="1" applyFill="1" applyBorder="1" applyAlignment="1">
      <alignment horizontal="left" vertical="center"/>
    </xf>
    <xf numFmtId="0" fontId="50" fillId="2" borderId="7" xfId="0" applyFont="1" applyFill="1" applyBorder="1" applyAlignment="1">
      <alignment horizontal="left" vertical="center"/>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1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 fillId="3" borderId="0" xfId="0" applyFont="1" applyFill="1" applyAlignment="1">
      <alignment horizontal="left" vertical="center"/>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4" fillId="0" borderId="0" xfId="0" applyFont="1" applyAlignment="1">
      <alignment horizontal="center" vertical="center" wrapText="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7" fillId="10" borderId="0" xfId="0" applyFont="1" applyFill="1" applyAlignment="1">
      <alignment horizontal="center" vertical="center" wrapText="1" readingOrder="1"/>
    </xf>
    <xf numFmtId="0" fontId="16" fillId="0" borderId="12" xfId="0" applyFont="1" applyBorder="1" applyAlignment="1">
      <alignment horizontal="center" vertical="center" wrapText="1"/>
    </xf>
    <xf numFmtId="0" fontId="16" fillId="0" borderId="19"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0" xfId="0" applyFont="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8"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wrapText="1"/>
    </xf>
    <xf numFmtId="0" fontId="17" fillId="10" borderId="0" xfId="0" applyFont="1" applyFill="1" applyAlignment="1">
      <alignment horizontal="center" vertical="center" textRotation="90" wrapText="1" readingOrder="1"/>
    </xf>
    <xf numFmtId="0" fontId="17" fillId="10" borderId="15" xfId="0" applyFont="1" applyFill="1" applyBorder="1" applyAlignment="1">
      <alignment horizontal="center" vertical="center" textRotation="90" wrapText="1" readingOrder="1"/>
    </xf>
    <xf numFmtId="0" fontId="20" fillId="12" borderId="20" xfId="0" applyFont="1" applyFill="1" applyBorder="1" applyAlignment="1">
      <alignment horizontal="center" vertical="center" wrapText="1" readingOrder="1"/>
    </xf>
    <xf numFmtId="0" fontId="20" fillId="12" borderId="21" xfId="0" applyFont="1" applyFill="1" applyBorder="1" applyAlignment="1">
      <alignment horizontal="center" vertical="center" wrapText="1" readingOrder="1"/>
    </xf>
    <xf numFmtId="0" fontId="20" fillId="12" borderId="22" xfId="0" applyFont="1" applyFill="1" applyBorder="1" applyAlignment="1">
      <alignment horizontal="center" vertical="center" wrapText="1" readingOrder="1"/>
    </xf>
    <xf numFmtId="0" fontId="20" fillId="12" borderId="23" xfId="0" applyFont="1" applyFill="1" applyBorder="1" applyAlignment="1">
      <alignment horizontal="center" vertical="center" wrapText="1" readingOrder="1"/>
    </xf>
    <xf numFmtId="0" fontId="20" fillId="12" borderId="0" xfId="0" applyFont="1" applyFill="1" applyAlignment="1">
      <alignment horizontal="center" vertical="center" wrapText="1" readingOrder="1"/>
    </xf>
    <xf numFmtId="0" fontId="20" fillId="12" borderId="24" xfId="0" applyFont="1" applyFill="1" applyBorder="1" applyAlignment="1">
      <alignment horizontal="center" vertical="center" wrapText="1" readingOrder="1"/>
    </xf>
    <xf numFmtId="0" fontId="20" fillId="12" borderId="25" xfId="0" applyFont="1" applyFill="1" applyBorder="1" applyAlignment="1">
      <alignment horizontal="center" vertical="center" wrapText="1" readingOrder="1"/>
    </xf>
    <xf numFmtId="0" fontId="20" fillId="12" borderId="26" xfId="0" applyFont="1" applyFill="1" applyBorder="1" applyAlignment="1">
      <alignment horizontal="center" vertical="center" wrapText="1" readingOrder="1"/>
    </xf>
    <xf numFmtId="0" fontId="20" fillId="12" borderId="27" xfId="0" applyFont="1" applyFill="1" applyBorder="1" applyAlignment="1">
      <alignment horizontal="center" vertical="center" wrapText="1" readingOrder="1"/>
    </xf>
    <xf numFmtId="0" fontId="20" fillId="11" borderId="20" xfId="0" applyFont="1" applyFill="1" applyBorder="1" applyAlignment="1">
      <alignment horizontal="center" vertical="center" wrapText="1" readingOrder="1"/>
    </xf>
    <xf numFmtId="0" fontId="20" fillId="11" borderId="21" xfId="0" applyFont="1" applyFill="1" applyBorder="1" applyAlignment="1">
      <alignment horizontal="center" vertical="center" wrapText="1" readingOrder="1"/>
    </xf>
    <xf numFmtId="0" fontId="20" fillId="11" borderId="22" xfId="0" applyFont="1" applyFill="1" applyBorder="1" applyAlignment="1">
      <alignment horizontal="center" vertical="center" wrapText="1" readingOrder="1"/>
    </xf>
    <xf numFmtId="0" fontId="20" fillId="11" borderId="23" xfId="0" applyFont="1" applyFill="1" applyBorder="1" applyAlignment="1">
      <alignment horizontal="center" vertical="center" wrapText="1" readingOrder="1"/>
    </xf>
    <xf numFmtId="0" fontId="20" fillId="11" borderId="0" xfId="0" applyFont="1" applyFill="1" applyAlignment="1">
      <alignment horizontal="center" vertical="center" wrapText="1" readingOrder="1"/>
    </xf>
    <xf numFmtId="0" fontId="20" fillId="11" borderId="24" xfId="0" applyFont="1" applyFill="1" applyBorder="1" applyAlignment="1">
      <alignment horizontal="center" vertical="center" wrapText="1" readingOrder="1"/>
    </xf>
    <xf numFmtId="0" fontId="20" fillId="11" borderId="25" xfId="0" applyFont="1" applyFill="1" applyBorder="1" applyAlignment="1">
      <alignment horizontal="center" vertical="center" wrapText="1" readingOrder="1"/>
    </xf>
    <xf numFmtId="0" fontId="20" fillId="11" borderId="26" xfId="0" applyFont="1" applyFill="1" applyBorder="1" applyAlignment="1">
      <alignment horizontal="center" vertical="center" wrapText="1" readingOrder="1"/>
    </xf>
    <xf numFmtId="0" fontId="20" fillId="11" borderId="27" xfId="0" applyFont="1" applyFill="1" applyBorder="1" applyAlignment="1">
      <alignment horizontal="center" vertical="center" wrapText="1" readingOrder="1"/>
    </xf>
    <xf numFmtId="0" fontId="20" fillId="13" borderId="20" xfId="0" applyFont="1" applyFill="1" applyBorder="1" applyAlignment="1">
      <alignment horizontal="center" vertical="center" wrapText="1" readingOrder="1"/>
    </xf>
    <xf numFmtId="0" fontId="20" fillId="13" borderId="21" xfId="0" applyFont="1" applyFill="1" applyBorder="1" applyAlignment="1">
      <alignment horizontal="center" vertical="center" wrapText="1" readingOrder="1"/>
    </xf>
    <xf numFmtId="0" fontId="20" fillId="13" borderId="22" xfId="0" applyFont="1" applyFill="1" applyBorder="1" applyAlignment="1">
      <alignment horizontal="center" vertical="center" wrapText="1" readingOrder="1"/>
    </xf>
    <xf numFmtId="0" fontId="20" fillId="13" borderId="23" xfId="0" applyFont="1" applyFill="1" applyBorder="1" applyAlignment="1">
      <alignment horizontal="center" vertical="center" wrapText="1" readingOrder="1"/>
    </xf>
    <xf numFmtId="0" fontId="20" fillId="13" borderId="0" xfId="0" applyFont="1" applyFill="1" applyAlignment="1">
      <alignment horizontal="center" vertical="center" wrapText="1" readingOrder="1"/>
    </xf>
    <xf numFmtId="0" fontId="20" fillId="13" borderId="24" xfId="0" applyFont="1" applyFill="1" applyBorder="1" applyAlignment="1">
      <alignment horizontal="center" vertical="center" wrapText="1" readingOrder="1"/>
    </xf>
    <xf numFmtId="0" fontId="20" fillId="13" borderId="25" xfId="0" applyFont="1" applyFill="1" applyBorder="1" applyAlignment="1">
      <alignment horizontal="center" vertical="center" wrapText="1" readingOrder="1"/>
    </xf>
    <xf numFmtId="0" fontId="20" fillId="13" borderId="26" xfId="0" applyFont="1" applyFill="1" applyBorder="1" applyAlignment="1">
      <alignment horizontal="center" vertical="center" wrapText="1" readingOrder="1"/>
    </xf>
    <xf numFmtId="0" fontId="20" fillId="13" borderId="27" xfId="0" applyFont="1" applyFill="1" applyBorder="1" applyAlignment="1">
      <alignment horizontal="center" vertical="center" wrapText="1" readingOrder="1"/>
    </xf>
    <xf numFmtId="0" fontId="20" fillId="5" borderId="20" xfId="0" applyFont="1" applyFill="1" applyBorder="1" applyAlignment="1">
      <alignment horizontal="center" vertical="center" wrapText="1" readingOrder="1"/>
    </xf>
    <xf numFmtId="0" fontId="20" fillId="5" borderId="21" xfId="0" applyFont="1" applyFill="1" applyBorder="1" applyAlignment="1">
      <alignment horizontal="center" vertical="center" wrapText="1" readingOrder="1"/>
    </xf>
    <xf numFmtId="0" fontId="20" fillId="5" borderId="22" xfId="0" applyFont="1" applyFill="1" applyBorder="1" applyAlignment="1">
      <alignment horizontal="center" vertical="center" wrapText="1" readingOrder="1"/>
    </xf>
    <xf numFmtId="0" fontId="20" fillId="5" borderId="23" xfId="0" applyFont="1" applyFill="1" applyBorder="1" applyAlignment="1">
      <alignment horizontal="center" vertical="center" wrapText="1" readingOrder="1"/>
    </xf>
    <xf numFmtId="0" fontId="20" fillId="5" borderId="0" xfId="0" applyFont="1" applyFill="1" applyAlignment="1">
      <alignment horizontal="center" vertical="center" wrapText="1" readingOrder="1"/>
    </xf>
    <xf numFmtId="0" fontId="20" fillId="5" borderId="24" xfId="0" applyFont="1" applyFill="1" applyBorder="1" applyAlignment="1">
      <alignment horizontal="center" vertical="center" wrapText="1" readingOrder="1"/>
    </xf>
    <xf numFmtId="0" fontId="20" fillId="5" borderId="25" xfId="0" applyFont="1" applyFill="1" applyBorder="1" applyAlignment="1">
      <alignment horizontal="center" vertical="center" wrapText="1" readingOrder="1"/>
    </xf>
    <xf numFmtId="0" fontId="20" fillId="5" borderId="26" xfId="0" applyFont="1" applyFill="1" applyBorder="1" applyAlignment="1">
      <alignment horizontal="center" vertical="center" wrapText="1" readingOrder="1"/>
    </xf>
    <xf numFmtId="0" fontId="20" fillId="5" borderId="27" xfId="0" applyFont="1" applyFill="1" applyBorder="1" applyAlignment="1">
      <alignment horizontal="center" vertical="center" wrapText="1" readingOrder="1"/>
    </xf>
    <xf numFmtId="0" fontId="41" fillId="0" borderId="12" xfId="0" applyFont="1" applyBorder="1" applyAlignment="1">
      <alignment horizontal="center" vertical="center" wrapText="1"/>
    </xf>
    <xf numFmtId="0" fontId="41" fillId="0" borderId="19" xfId="0" applyFont="1" applyBorder="1" applyAlignment="1">
      <alignment horizontal="center" vertical="center"/>
    </xf>
    <xf numFmtId="0" fontId="41" fillId="0" borderId="13" xfId="0" applyFont="1" applyBorder="1" applyAlignment="1">
      <alignment horizontal="center" vertical="center"/>
    </xf>
    <xf numFmtId="0" fontId="41" fillId="0" borderId="14" xfId="0" applyFont="1" applyBorder="1" applyAlignment="1">
      <alignment horizontal="center" vertical="center"/>
    </xf>
    <xf numFmtId="0" fontId="41" fillId="0" borderId="0" xfId="0" applyFont="1" applyAlignment="1">
      <alignment horizontal="center" vertical="center"/>
    </xf>
    <xf numFmtId="0" fontId="41" fillId="0" borderId="15" xfId="0" applyFont="1" applyBorder="1" applyAlignment="1">
      <alignment horizontal="center" vertical="center"/>
    </xf>
    <xf numFmtId="0" fontId="41" fillId="0" borderId="16" xfId="0" applyFont="1" applyBorder="1" applyAlignment="1">
      <alignment horizontal="center" vertical="center"/>
    </xf>
    <xf numFmtId="0" fontId="41" fillId="0" borderId="18" xfId="0" applyFont="1" applyBorder="1" applyAlignment="1">
      <alignment horizontal="center" vertical="center"/>
    </xf>
    <xf numFmtId="0" fontId="41" fillId="0" borderId="17" xfId="0" applyFont="1" applyBorder="1" applyAlignment="1">
      <alignment horizontal="center" vertical="center"/>
    </xf>
    <xf numFmtId="0" fontId="41" fillId="0" borderId="19" xfId="0" applyFont="1" applyBorder="1" applyAlignment="1">
      <alignment horizontal="center" vertical="center" wrapText="1"/>
    </xf>
    <xf numFmtId="0" fontId="40" fillId="11" borderId="20" xfId="0" applyFont="1" applyFill="1" applyBorder="1" applyAlignment="1">
      <alignment horizontal="center" vertical="center" wrapText="1" readingOrder="1"/>
    </xf>
    <xf numFmtId="0" fontId="40" fillId="11" borderId="21" xfId="0" applyFont="1" applyFill="1" applyBorder="1" applyAlignment="1">
      <alignment horizontal="center" vertical="center" wrapText="1" readingOrder="1"/>
    </xf>
    <xf numFmtId="0" fontId="40" fillId="11" borderId="22" xfId="0" applyFont="1" applyFill="1" applyBorder="1" applyAlignment="1">
      <alignment horizontal="center" vertical="center" wrapText="1" readingOrder="1"/>
    </xf>
    <xf numFmtId="0" fontId="40" fillId="11" borderId="23" xfId="0" applyFont="1" applyFill="1" applyBorder="1" applyAlignment="1">
      <alignment horizontal="center" vertical="center" wrapText="1" readingOrder="1"/>
    </xf>
    <xf numFmtId="0" fontId="40" fillId="11" borderId="0" xfId="0" applyFont="1" applyFill="1" applyAlignment="1">
      <alignment horizontal="center" vertical="center" wrapText="1" readingOrder="1"/>
    </xf>
    <xf numFmtId="0" fontId="40" fillId="11" borderId="24" xfId="0" applyFont="1" applyFill="1" applyBorder="1" applyAlignment="1">
      <alignment horizontal="center" vertical="center" wrapText="1" readingOrder="1"/>
    </xf>
    <xf numFmtId="0" fontId="40" fillId="11" borderId="25" xfId="0" applyFont="1" applyFill="1" applyBorder="1" applyAlignment="1">
      <alignment horizontal="center" vertical="center" wrapText="1" readingOrder="1"/>
    </xf>
    <xf numFmtId="0" fontId="40" fillId="11" borderId="26" xfId="0" applyFont="1" applyFill="1" applyBorder="1" applyAlignment="1">
      <alignment horizontal="center" vertical="center" wrapText="1" readingOrder="1"/>
    </xf>
    <xf numFmtId="0" fontId="40" fillId="11" borderId="27" xfId="0" applyFont="1" applyFill="1" applyBorder="1" applyAlignment="1">
      <alignment horizontal="center" vertical="center" wrapText="1" readingOrder="1"/>
    </xf>
    <xf numFmtId="0" fontId="41" fillId="0" borderId="14" xfId="0" applyFont="1" applyBorder="1" applyAlignment="1">
      <alignment horizontal="center" vertical="center" wrapText="1"/>
    </xf>
    <xf numFmtId="0" fontId="40" fillId="12" borderId="20" xfId="0" applyFont="1" applyFill="1" applyBorder="1" applyAlignment="1">
      <alignment horizontal="center" vertical="center" wrapText="1" readingOrder="1"/>
    </xf>
    <xf numFmtId="0" fontId="40" fillId="12" borderId="21" xfId="0" applyFont="1" applyFill="1" applyBorder="1" applyAlignment="1">
      <alignment horizontal="center" vertical="center" wrapText="1" readingOrder="1"/>
    </xf>
    <xf numFmtId="0" fontId="40" fillId="12" borderId="22" xfId="0" applyFont="1" applyFill="1" applyBorder="1" applyAlignment="1">
      <alignment horizontal="center" vertical="center" wrapText="1" readingOrder="1"/>
    </xf>
    <xf numFmtId="0" fontId="40" fillId="12" borderId="23" xfId="0" applyFont="1" applyFill="1" applyBorder="1" applyAlignment="1">
      <alignment horizontal="center" vertical="center" wrapText="1" readingOrder="1"/>
    </xf>
    <xf numFmtId="0" fontId="40" fillId="12" borderId="0" xfId="0" applyFont="1" applyFill="1" applyAlignment="1">
      <alignment horizontal="center" vertical="center" wrapText="1" readingOrder="1"/>
    </xf>
    <xf numFmtId="0" fontId="40" fillId="12" borderId="24" xfId="0" applyFont="1" applyFill="1" applyBorder="1" applyAlignment="1">
      <alignment horizontal="center" vertical="center" wrapText="1" readingOrder="1"/>
    </xf>
    <xf numFmtId="0" fontId="40" fillId="12" borderId="25" xfId="0" applyFont="1" applyFill="1" applyBorder="1" applyAlignment="1">
      <alignment horizontal="center" vertical="center" wrapText="1" readingOrder="1"/>
    </xf>
    <xf numFmtId="0" fontId="40" fillId="12" borderId="26" xfId="0" applyFont="1" applyFill="1" applyBorder="1" applyAlignment="1">
      <alignment horizontal="center" vertical="center" wrapText="1" readingOrder="1"/>
    </xf>
    <xf numFmtId="0" fontId="40" fillId="12" borderId="27" xfId="0" applyFont="1" applyFill="1" applyBorder="1" applyAlignment="1">
      <alignment horizontal="center" vertical="center" wrapText="1" readingOrder="1"/>
    </xf>
    <xf numFmtId="0" fontId="39" fillId="0" borderId="0" xfId="0" applyFont="1" applyAlignment="1">
      <alignment horizontal="center" vertical="center" wrapText="1"/>
    </xf>
    <xf numFmtId="0" fontId="21" fillId="0" borderId="0" xfId="0" applyFont="1" applyAlignment="1">
      <alignment horizontal="center" vertical="center" wrapText="1"/>
    </xf>
    <xf numFmtId="0" fontId="40" fillId="5" borderId="20" xfId="0" applyFont="1" applyFill="1" applyBorder="1" applyAlignment="1">
      <alignment horizontal="center" vertical="center" wrapText="1" readingOrder="1"/>
    </xf>
    <xf numFmtId="0" fontId="40" fillId="5" borderId="21" xfId="0" applyFont="1" applyFill="1" applyBorder="1" applyAlignment="1">
      <alignment horizontal="center" vertical="center" wrapText="1" readingOrder="1"/>
    </xf>
    <xf numFmtId="0" fontId="40" fillId="5" borderId="22" xfId="0" applyFont="1" applyFill="1" applyBorder="1" applyAlignment="1">
      <alignment horizontal="center" vertical="center" wrapText="1" readingOrder="1"/>
    </xf>
    <xf numFmtId="0" fontId="40" fillId="5" borderId="23" xfId="0" applyFont="1" applyFill="1" applyBorder="1" applyAlignment="1">
      <alignment horizontal="center" vertical="center" wrapText="1" readingOrder="1"/>
    </xf>
    <xf numFmtId="0" fontId="40" fillId="5" borderId="0" xfId="0" applyFont="1" applyFill="1" applyAlignment="1">
      <alignment horizontal="center" vertical="center" wrapText="1" readingOrder="1"/>
    </xf>
    <xf numFmtId="0" fontId="40" fillId="5" borderId="24" xfId="0" applyFont="1" applyFill="1" applyBorder="1" applyAlignment="1">
      <alignment horizontal="center" vertical="center" wrapText="1" readingOrder="1"/>
    </xf>
    <xf numFmtId="0" fontId="40" fillId="5" borderId="25" xfId="0" applyFont="1" applyFill="1" applyBorder="1" applyAlignment="1">
      <alignment horizontal="center" vertical="center" wrapText="1" readingOrder="1"/>
    </xf>
    <xf numFmtId="0" fontId="40" fillId="5" borderId="26" xfId="0" applyFont="1" applyFill="1" applyBorder="1" applyAlignment="1">
      <alignment horizontal="center" vertical="center" wrapText="1" readingOrder="1"/>
    </xf>
    <xf numFmtId="0" fontId="40" fillId="5" borderId="27" xfId="0" applyFont="1" applyFill="1" applyBorder="1" applyAlignment="1">
      <alignment horizontal="center" vertical="center" wrapText="1" readingOrder="1"/>
    </xf>
    <xf numFmtId="0" fontId="40" fillId="13" borderId="20" xfId="0" applyFont="1" applyFill="1" applyBorder="1" applyAlignment="1">
      <alignment horizontal="center" vertical="center" wrapText="1" readingOrder="1"/>
    </xf>
    <xf numFmtId="0" fontId="40" fillId="13" borderId="21" xfId="0" applyFont="1" applyFill="1" applyBorder="1" applyAlignment="1">
      <alignment horizontal="center" vertical="center" wrapText="1" readingOrder="1"/>
    </xf>
    <xf numFmtId="0" fontId="40" fillId="13" borderId="22" xfId="0" applyFont="1" applyFill="1" applyBorder="1" applyAlignment="1">
      <alignment horizontal="center" vertical="center" wrapText="1" readingOrder="1"/>
    </xf>
    <xf numFmtId="0" fontId="40" fillId="13" borderId="23" xfId="0" applyFont="1" applyFill="1" applyBorder="1" applyAlignment="1">
      <alignment horizontal="center" vertical="center" wrapText="1" readingOrder="1"/>
    </xf>
    <xf numFmtId="0" fontId="40" fillId="13" borderId="0" xfId="0" applyFont="1" applyFill="1" applyAlignment="1">
      <alignment horizontal="center" vertical="center" wrapText="1" readingOrder="1"/>
    </xf>
    <xf numFmtId="0" fontId="40" fillId="13" borderId="24" xfId="0" applyFont="1" applyFill="1" applyBorder="1" applyAlignment="1">
      <alignment horizontal="center" vertical="center" wrapText="1" readingOrder="1"/>
    </xf>
    <xf numFmtId="0" fontId="40" fillId="13" borderId="25" xfId="0" applyFont="1" applyFill="1" applyBorder="1" applyAlignment="1">
      <alignment horizontal="center" vertical="center" wrapText="1" readingOrder="1"/>
    </xf>
    <xf numFmtId="0" fontId="40" fillId="13" borderId="26" xfId="0" applyFont="1" applyFill="1" applyBorder="1" applyAlignment="1">
      <alignment horizontal="center" vertical="center" wrapText="1" readingOrder="1"/>
    </xf>
    <xf numFmtId="0" fontId="40" fillId="13" borderId="27" xfId="0" applyFont="1" applyFill="1" applyBorder="1" applyAlignment="1">
      <alignment horizontal="center" vertical="center" wrapText="1" readingOrder="1"/>
    </xf>
    <xf numFmtId="0" fontId="23" fillId="0" borderId="0" xfId="0" applyFont="1" applyAlignment="1">
      <alignment horizontal="center" vertical="center"/>
    </xf>
    <xf numFmtId="0" fontId="43" fillId="0" borderId="0" xfId="0" applyFont="1" applyAlignment="1">
      <alignment horizontal="center" vertical="center"/>
    </xf>
    <xf numFmtId="0" fontId="38" fillId="14" borderId="35" xfId="0" applyFont="1" applyFill="1" applyBorder="1" applyAlignment="1">
      <alignment horizontal="center" vertical="center" wrapText="1" readingOrder="1"/>
    </xf>
    <xf numFmtId="0" fontId="38" fillId="14" borderId="36" xfId="0" applyFont="1" applyFill="1" applyBorder="1" applyAlignment="1">
      <alignment horizontal="center" vertical="center" wrapText="1" readingOrder="1"/>
    </xf>
    <xf numFmtId="0" fontId="38" fillId="14" borderId="47" xfId="0" applyFont="1" applyFill="1" applyBorder="1" applyAlignment="1">
      <alignment horizontal="center" vertical="center" wrapText="1" readingOrder="1"/>
    </xf>
    <xf numFmtId="0" fontId="33" fillId="3" borderId="0" xfId="0" applyFont="1" applyFill="1" applyAlignment="1">
      <alignment horizontal="justify" vertical="center" wrapText="1"/>
    </xf>
    <xf numFmtId="0" fontId="35" fillId="14" borderId="44" xfId="0" applyFont="1" applyFill="1" applyBorder="1" applyAlignment="1">
      <alignment horizontal="center" vertical="center" wrapText="1" readingOrder="1"/>
    </xf>
    <xf numFmtId="0" fontId="35" fillId="14" borderId="45" xfId="0" applyFont="1" applyFill="1" applyBorder="1" applyAlignment="1">
      <alignment horizontal="center" vertical="center" wrapText="1" readingOrder="1"/>
    </xf>
    <xf numFmtId="0" fontId="35" fillId="3" borderId="42" xfId="0" applyFont="1" applyFill="1" applyBorder="1" applyAlignment="1">
      <alignment horizontal="center" vertical="center" wrapText="1" readingOrder="1"/>
    </xf>
    <xf numFmtId="0" fontId="35" fillId="3" borderId="37" xfId="0" applyFont="1" applyFill="1" applyBorder="1" applyAlignment="1">
      <alignment horizontal="center" vertical="center" wrapText="1" readingOrder="1"/>
    </xf>
    <xf numFmtId="0" fontId="35" fillId="3" borderId="34" xfId="0" applyFont="1" applyFill="1" applyBorder="1" applyAlignment="1">
      <alignment horizontal="center" vertical="center" wrapText="1" readingOrder="1"/>
    </xf>
    <xf numFmtId="0" fontId="35" fillId="3" borderId="33" xfId="0" applyFont="1" applyFill="1" applyBorder="1" applyAlignment="1">
      <alignment horizontal="center" vertical="center" wrapText="1" readingOrder="1"/>
    </xf>
    <xf numFmtId="0" fontId="35" fillId="3" borderId="39" xfId="0" applyFont="1" applyFill="1" applyBorder="1" applyAlignment="1">
      <alignment horizontal="center" vertical="center" wrapText="1" readingOrder="1"/>
    </xf>
    <xf numFmtId="0" fontId="35"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5">
    <dxf>
      <fill>
        <patternFill>
          <bgColor rgb="FFC00000"/>
        </patternFill>
      </fill>
    </dxf>
    <dxf>
      <fill>
        <patternFill>
          <bgColor theme="9" tint="-0.24994659260841701"/>
        </patternFill>
      </fill>
    </dxf>
    <dxf>
      <fill>
        <patternFill>
          <bgColor rgb="FFFFFF00"/>
        </patternFill>
      </fill>
    </dxf>
    <dxf>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EE64A21B-025E-4FE3-B1A5-29FD7EACF7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560" y="295171"/>
          <a:ext cx="624674" cy="536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PAS/MRG/DADEP/MRG%202024%20DAD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14" dataDxfId="113">
  <autoFilter ref="B209:C219" xr:uid="{00000000-0009-0000-0100-000001000000}"/>
  <tableColumns count="2">
    <tableColumn id="1" xr3:uid="{00000000-0010-0000-0000-000001000000}" name="Criterios" dataDxfId="112"/>
    <tableColumn id="2" xr3:uid="{00000000-0010-0000-0000-000002000000}" name="Subcriterios" dataDxfId="11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opLeftCell="B21" zoomScale="120" zoomScaleNormal="120" workbookViewId="0">
      <selection activeCell="E27" sqref="E27:F27"/>
    </sheetView>
  </sheetViews>
  <sheetFormatPr baseColWidth="10" defaultColWidth="11.42578125" defaultRowHeight="15" x14ac:dyDescent="0.25"/>
  <cols>
    <col min="1" max="1" width="2.7109375" style="81" customWidth="1" collapsed="1"/>
    <col min="2" max="3" width="24.7109375" style="81" customWidth="1" collapsed="1"/>
    <col min="4" max="4" width="16" style="81" customWidth="1" collapsed="1"/>
    <col min="5" max="5" width="24.7109375" style="81" customWidth="1" collapsed="1"/>
    <col min="6" max="6" width="27.7109375" style="81" customWidth="1" collapsed="1"/>
    <col min="7" max="8" width="24.7109375" style="81" customWidth="1" collapsed="1"/>
    <col min="9" max="16384" width="11.42578125" style="81" collapsed="1"/>
  </cols>
  <sheetData>
    <row r="1" spans="1:8" ht="15.75" thickBot="1" x14ac:dyDescent="0.3"/>
    <row r="2" spans="1:8" ht="18" x14ac:dyDescent="0.25">
      <c r="B2" s="185" t="s">
        <v>0</v>
      </c>
      <c r="C2" s="186"/>
      <c r="D2" s="186"/>
      <c r="E2" s="186"/>
      <c r="F2" s="186"/>
      <c r="G2" s="186"/>
      <c r="H2" s="187"/>
    </row>
    <row r="3" spans="1:8" x14ac:dyDescent="0.25">
      <c r="B3" s="116"/>
      <c r="C3" s="117"/>
      <c r="D3" s="117"/>
      <c r="E3" s="117"/>
      <c r="F3" s="117"/>
      <c r="G3" s="117"/>
      <c r="H3" s="118"/>
    </row>
    <row r="4" spans="1:8" ht="63" customHeight="1" x14ac:dyDescent="0.25">
      <c r="B4" s="188" t="s">
        <v>1</v>
      </c>
      <c r="C4" s="189"/>
      <c r="D4" s="189"/>
      <c r="E4" s="189"/>
      <c r="F4" s="189"/>
      <c r="G4" s="189"/>
      <c r="H4" s="190"/>
    </row>
    <row r="5" spans="1:8" ht="63" customHeight="1" x14ac:dyDescent="0.25">
      <c r="B5" s="191"/>
      <c r="C5" s="192"/>
      <c r="D5" s="192"/>
      <c r="E5" s="192"/>
      <c r="F5" s="192"/>
      <c r="G5" s="192"/>
      <c r="H5" s="193"/>
    </row>
    <row r="6" spans="1:8" ht="16.5" x14ac:dyDescent="0.25">
      <c r="A6" s="119"/>
      <c r="B6" s="194" t="s">
        <v>2</v>
      </c>
      <c r="C6" s="195"/>
      <c r="D6" s="195"/>
      <c r="E6" s="195"/>
      <c r="F6" s="195"/>
      <c r="G6" s="195"/>
      <c r="H6" s="196"/>
    </row>
    <row r="7" spans="1:8" ht="95.25" customHeight="1" x14ac:dyDescent="0.25">
      <c r="A7" s="119"/>
      <c r="B7" s="197" t="s">
        <v>3</v>
      </c>
      <c r="C7" s="197"/>
      <c r="D7" s="197"/>
      <c r="E7" s="197"/>
      <c r="F7" s="197"/>
      <c r="G7" s="197"/>
      <c r="H7" s="198"/>
    </row>
    <row r="8" spans="1:8" ht="16.5" x14ac:dyDescent="0.25">
      <c r="A8" s="119"/>
      <c r="B8" s="120"/>
      <c r="C8" s="121"/>
      <c r="D8" s="121"/>
      <c r="E8" s="121"/>
      <c r="F8" s="121"/>
      <c r="G8" s="121"/>
      <c r="H8" s="122"/>
    </row>
    <row r="9" spans="1:8" ht="16.5" customHeight="1" x14ac:dyDescent="0.25">
      <c r="A9" s="119"/>
      <c r="B9" s="199" t="s">
        <v>4</v>
      </c>
      <c r="C9" s="199"/>
      <c r="D9" s="199"/>
      <c r="E9" s="199"/>
      <c r="F9" s="199"/>
      <c r="G9" s="199"/>
      <c r="H9" s="200"/>
    </row>
    <row r="10" spans="1:8" ht="16.5" customHeight="1" x14ac:dyDescent="0.25">
      <c r="A10" s="119"/>
      <c r="B10" s="199"/>
      <c r="C10" s="199"/>
      <c r="D10" s="199"/>
      <c r="E10" s="199"/>
      <c r="F10" s="199"/>
      <c r="G10" s="199"/>
      <c r="H10" s="200"/>
    </row>
    <row r="11" spans="1:8" ht="11.65" customHeight="1" x14ac:dyDescent="0.25">
      <c r="A11" s="119"/>
      <c r="B11" s="199"/>
      <c r="C11" s="199"/>
      <c r="D11" s="199"/>
      <c r="E11" s="199"/>
      <c r="F11" s="199"/>
      <c r="G11" s="199"/>
      <c r="H11" s="200"/>
    </row>
    <row r="12" spans="1:8" ht="11.65" customHeight="1" thickBot="1" x14ac:dyDescent="0.3">
      <c r="A12" s="119"/>
      <c r="B12" s="123"/>
      <c r="C12" s="123"/>
      <c r="D12" s="123"/>
      <c r="E12" s="123"/>
      <c r="F12" s="123"/>
      <c r="G12" s="123"/>
      <c r="H12" s="124"/>
    </row>
    <row r="13" spans="1:8" ht="15.4" customHeight="1" thickTop="1" x14ac:dyDescent="0.25">
      <c r="A13" s="119"/>
      <c r="B13" s="123"/>
      <c r="C13" s="181" t="s">
        <v>5</v>
      </c>
      <c r="D13" s="182"/>
      <c r="E13" s="183" t="s">
        <v>6</v>
      </c>
      <c r="F13" s="184"/>
      <c r="G13" s="123"/>
      <c r="H13" s="124"/>
    </row>
    <row r="14" spans="1:8" ht="11.65" customHeight="1" x14ac:dyDescent="0.25">
      <c r="A14" s="119"/>
      <c r="B14" s="123"/>
      <c r="C14" s="201" t="s">
        <v>7</v>
      </c>
      <c r="D14" s="202"/>
      <c r="E14" s="203" t="s">
        <v>8</v>
      </c>
      <c r="F14" s="204"/>
      <c r="G14" s="123"/>
      <c r="H14" s="124"/>
    </row>
    <row r="15" spans="1:8" ht="11.65" customHeight="1" x14ac:dyDescent="0.25">
      <c r="A15" s="119"/>
      <c r="B15" s="123"/>
      <c r="C15" s="201" t="s">
        <v>9</v>
      </c>
      <c r="D15" s="202"/>
      <c r="E15" s="203" t="s">
        <v>10</v>
      </c>
      <c r="F15" s="204"/>
      <c r="G15" s="123"/>
      <c r="H15" s="124"/>
    </row>
    <row r="16" spans="1:8" ht="11.65" customHeight="1" x14ac:dyDescent="0.25">
      <c r="A16" s="119"/>
      <c r="B16" s="123"/>
      <c r="C16" s="201" t="s">
        <v>11</v>
      </c>
      <c r="D16" s="202"/>
      <c r="E16" s="203" t="s">
        <v>12</v>
      </c>
      <c r="F16" s="204"/>
      <c r="G16" s="123"/>
      <c r="H16" s="124"/>
    </row>
    <row r="17" spans="1:8" ht="13.5" customHeight="1" x14ac:dyDescent="0.25">
      <c r="A17" s="119"/>
      <c r="B17" s="123"/>
      <c r="C17" s="201" t="s">
        <v>13</v>
      </c>
      <c r="D17" s="202"/>
      <c r="E17" s="203" t="s">
        <v>14</v>
      </c>
      <c r="F17" s="204"/>
      <c r="G17" s="123"/>
      <c r="H17" s="125"/>
    </row>
    <row r="18" spans="1:8" ht="12.4" customHeight="1" x14ac:dyDescent="0.25">
      <c r="A18" s="119"/>
      <c r="B18" s="123"/>
      <c r="C18" s="201" t="s">
        <v>15</v>
      </c>
      <c r="D18" s="202"/>
      <c r="E18" s="208" t="s">
        <v>16</v>
      </c>
      <c r="F18" s="204"/>
      <c r="G18" s="123"/>
      <c r="H18" s="124"/>
    </row>
    <row r="19" spans="1:8" ht="24" customHeight="1" thickBot="1" x14ac:dyDescent="0.3">
      <c r="A19" s="119"/>
      <c r="B19" s="123"/>
      <c r="C19" s="209" t="s">
        <v>17</v>
      </c>
      <c r="D19" s="210"/>
      <c r="E19" s="211" t="s">
        <v>18</v>
      </c>
      <c r="F19" s="212"/>
      <c r="G19" s="123"/>
      <c r="H19" s="124"/>
    </row>
    <row r="20" spans="1:8" ht="11.65" customHeight="1" thickTop="1" x14ac:dyDescent="0.25">
      <c r="A20" s="119"/>
      <c r="B20" s="123"/>
      <c r="C20" s="126"/>
      <c r="D20" s="126"/>
      <c r="E20" s="126"/>
      <c r="F20" s="126"/>
      <c r="G20" s="123"/>
      <c r="H20" s="124"/>
    </row>
    <row r="21" spans="1:8" ht="27.4" customHeight="1" thickBot="1" x14ac:dyDescent="0.3">
      <c r="A21" s="119"/>
      <c r="B21" s="213" t="s">
        <v>19</v>
      </c>
      <c r="C21" s="214"/>
      <c r="D21" s="214"/>
      <c r="E21" s="214"/>
      <c r="F21" s="214"/>
      <c r="G21" s="214"/>
      <c r="H21" s="215"/>
    </row>
    <row r="22" spans="1:8" ht="15.75" thickTop="1" x14ac:dyDescent="0.25">
      <c r="A22" s="119"/>
      <c r="B22" s="127"/>
      <c r="C22" s="216" t="s">
        <v>5</v>
      </c>
      <c r="D22" s="182"/>
      <c r="E22" s="183" t="s">
        <v>6</v>
      </c>
      <c r="F22" s="184"/>
      <c r="G22" s="126"/>
      <c r="H22" s="128"/>
    </row>
    <row r="23" spans="1:8" ht="13.5" customHeight="1" x14ac:dyDescent="0.25">
      <c r="A23" s="119"/>
      <c r="B23" s="129"/>
      <c r="C23" s="217" t="s">
        <v>7</v>
      </c>
      <c r="D23" s="218"/>
      <c r="E23" s="219" t="s">
        <v>8</v>
      </c>
      <c r="F23" s="220"/>
      <c r="G23" s="130"/>
      <c r="H23" s="131"/>
    </row>
    <row r="24" spans="1:8" ht="13.5" customHeight="1" x14ac:dyDescent="0.25">
      <c r="A24" s="119"/>
      <c r="B24" s="129"/>
      <c r="C24" s="205" t="s">
        <v>20</v>
      </c>
      <c r="D24" s="206"/>
      <c r="E24" s="207" t="s">
        <v>14</v>
      </c>
      <c r="F24" s="204"/>
      <c r="G24" s="130"/>
      <c r="H24" s="131"/>
    </row>
    <row r="25" spans="1:8" ht="13.5" customHeight="1" x14ac:dyDescent="0.25">
      <c r="A25" s="119"/>
      <c r="B25" s="129"/>
      <c r="C25" s="205" t="s">
        <v>9</v>
      </c>
      <c r="D25" s="206"/>
      <c r="E25" s="207" t="s">
        <v>10</v>
      </c>
      <c r="F25" s="204"/>
      <c r="G25" s="130"/>
      <c r="H25" s="131"/>
    </row>
    <row r="26" spans="1:8" ht="22.9" customHeight="1" x14ac:dyDescent="0.25">
      <c r="A26" s="119"/>
      <c r="B26" s="129"/>
      <c r="C26" s="205" t="s">
        <v>21</v>
      </c>
      <c r="D26" s="206"/>
      <c r="E26" s="221" t="s">
        <v>22</v>
      </c>
      <c r="F26" s="222"/>
      <c r="G26" s="130"/>
      <c r="H26" s="131"/>
    </row>
    <row r="27" spans="1:8" ht="69.75" customHeight="1" x14ac:dyDescent="0.25">
      <c r="A27" s="119"/>
      <c r="B27" s="129"/>
      <c r="C27" s="223" t="s">
        <v>23</v>
      </c>
      <c r="D27" s="224"/>
      <c r="E27" s="225" t="s">
        <v>24</v>
      </c>
      <c r="F27" s="226"/>
      <c r="G27" s="130"/>
      <c r="H27" s="132"/>
    </row>
    <row r="28" spans="1:8" ht="34.5" customHeight="1" x14ac:dyDescent="0.25">
      <c r="B28" s="133"/>
      <c r="C28" s="227" t="s">
        <v>25</v>
      </c>
      <c r="D28" s="224"/>
      <c r="E28" s="225" t="s">
        <v>26</v>
      </c>
      <c r="F28" s="226"/>
      <c r="G28" s="130"/>
      <c r="H28" s="132"/>
    </row>
    <row r="29" spans="1:8" ht="27.75" customHeight="1" x14ac:dyDescent="0.25">
      <c r="B29" s="133"/>
      <c r="C29" s="227" t="s">
        <v>27</v>
      </c>
      <c r="D29" s="224"/>
      <c r="E29" s="225" t="s">
        <v>28</v>
      </c>
      <c r="F29" s="226"/>
      <c r="G29" s="130"/>
      <c r="H29" s="132"/>
    </row>
    <row r="30" spans="1:8" ht="28.5" customHeight="1" x14ac:dyDescent="0.25">
      <c r="B30" s="133"/>
      <c r="C30" s="227" t="s">
        <v>29</v>
      </c>
      <c r="D30" s="224"/>
      <c r="E30" s="225" t="s">
        <v>30</v>
      </c>
      <c r="F30" s="226"/>
      <c r="G30" s="130"/>
      <c r="H30" s="132"/>
    </row>
    <row r="31" spans="1:8" ht="72.75" customHeight="1" x14ac:dyDescent="0.25">
      <c r="B31" s="133"/>
      <c r="C31" s="227" t="s">
        <v>31</v>
      </c>
      <c r="D31" s="224"/>
      <c r="E31" s="225" t="s">
        <v>32</v>
      </c>
      <c r="F31" s="226"/>
      <c r="G31" s="130"/>
      <c r="H31" s="132"/>
    </row>
    <row r="32" spans="1:8" ht="64.5" customHeight="1" x14ac:dyDescent="0.25">
      <c r="B32" s="133"/>
      <c r="C32" s="227" t="s">
        <v>33</v>
      </c>
      <c r="D32" s="224"/>
      <c r="E32" s="225" t="s">
        <v>34</v>
      </c>
      <c r="F32" s="226"/>
      <c r="G32" s="130"/>
      <c r="H32" s="132"/>
    </row>
    <row r="33" spans="2:8" ht="71.25" customHeight="1" x14ac:dyDescent="0.25">
      <c r="B33" s="133"/>
      <c r="C33" s="228" t="s">
        <v>35</v>
      </c>
      <c r="D33" s="223"/>
      <c r="E33" s="225" t="s">
        <v>36</v>
      </c>
      <c r="F33" s="226"/>
      <c r="G33" s="130"/>
      <c r="H33" s="132"/>
    </row>
    <row r="34" spans="2:8" ht="55.5" customHeight="1" x14ac:dyDescent="0.25">
      <c r="B34" s="133"/>
      <c r="C34" s="228" t="s">
        <v>37</v>
      </c>
      <c r="D34" s="223"/>
      <c r="E34" s="225" t="s">
        <v>38</v>
      </c>
      <c r="F34" s="226"/>
      <c r="G34" s="130"/>
      <c r="H34" s="132"/>
    </row>
    <row r="35" spans="2:8" ht="42" customHeight="1" x14ac:dyDescent="0.25">
      <c r="B35" s="133"/>
      <c r="C35" s="228" t="s">
        <v>39</v>
      </c>
      <c r="D35" s="223"/>
      <c r="E35" s="225" t="s">
        <v>40</v>
      </c>
      <c r="F35" s="226"/>
      <c r="G35" s="130"/>
      <c r="H35" s="132"/>
    </row>
    <row r="36" spans="2:8" ht="59.25" customHeight="1" x14ac:dyDescent="0.25">
      <c r="B36" s="133"/>
      <c r="C36" s="228" t="s">
        <v>41</v>
      </c>
      <c r="D36" s="223"/>
      <c r="E36" s="225" t="s">
        <v>42</v>
      </c>
      <c r="F36" s="226"/>
      <c r="G36" s="130"/>
      <c r="H36" s="132"/>
    </row>
    <row r="37" spans="2:8" ht="23.25" customHeight="1" x14ac:dyDescent="0.25">
      <c r="B37" s="133"/>
      <c r="C37" s="228" t="s">
        <v>43</v>
      </c>
      <c r="D37" s="223"/>
      <c r="E37" s="225" t="s">
        <v>44</v>
      </c>
      <c r="F37" s="226"/>
      <c r="G37" s="130"/>
      <c r="H37" s="132"/>
    </row>
    <row r="38" spans="2:8" ht="30.75" customHeight="1" x14ac:dyDescent="0.25">
      <c r="B38" s="133"/>
      <c r="C38" s="228" t="s">
        <v>45</v>
      </c>
      <c r="D38" s="223"/>
      <c r="E38" s="225" t="s">
        <v>46</v>
      </c>
      <c r="F38" s="226"/>
      <c r="G38" s="130"/>
      <c r="H38" s="132"/>
    </row>
    <row r="39" spans="2:8" ht="35.25" customHeight="1" x14ac:dyDescent="0.25">
      <c r="B39" s="133"/>
      <c r="C39" s="228" t="s">
        <v>45</v>
      </c>
      <c r="D39" s="223"/>
      <c r="E39" s="225" t="s">
        <v>46</v>
      </c>
      <c r="F39" s="226"/>
      <c r="G39" s="130"/>
      <c r="H39" s="132"/>
    </row>
    <row r="40" spans="2:8" ht="33" customHeight="1" x14ac:dyDescent="0.25">
      <c r="B40" s="133"/>
      <c r="C40" s="228" t="s">
        <v>47</v>
      </c>
      <c r="D40" s="223"/>
      <c r="E40" s="225" t="s">
        <v>48</v>
      </c>
      <c r="F40" s="226"/>
      <c r="G40" s="130"/>
      <c r="H40" s="132"/>
    </row>
    <row r="41" spans="2:8" ht="30" customHeight="1" x14ac:dyDescent="0.25">
      <c r="B41" s="133"/>
      <c r="C41" s="228" t="s">
        <v>49</v>
      </c>
      <c r="D41" s="223"/>
      <c r="E41" s="225" t="s">
        <v>50</v>
      </c>
      <c r="F41" s="226"/>
      <c r="G41" s="130"/>
      <c r="H41" s="132"/>
    </row>
    <row r="42" spans="2:8" ht="35.25" customHeight="1" x14ac:dyDescent="0.25">
      <c r="B42" s="133"/>
      <c r="C42" s="228" t="s">
        <v>51</v>
      </c>
      <c r="D42" s="223"/>
      <c r="E42" s="225" t="s">
        <v>52</v>
      </c>
      <c r="F42" s="226"/>
      <c r="G42" s="130"/>
      <c r="H42" s="132"/>
    </row>
    <row r="43" spans="2:8" ht="31.5" customHeight="1" x14ac:dyDescent="0.25">
      <c r="B43" s="133"/>
      <c r="C43" s="228" t="s">
        <v>53</v>
      </c>
      <c r="D43" s="223"/>
      <c r="E43" s="225" t="s">
        <v>54</v>
      </c>
      <c r="F43" s="226"/>
      <c r="G43" s="130"/>
      <c r="H43" s="132"/>
    </row>
    <row r="44" spans="2:8" ht="54" customHeight="1" x14ac:dyDescent="0.25">
      <c r="B44" s="133"/>
      <c r="C44" s="228" t="s">
        <v>55</v>
      </c>
      <c r="D44" s="223"/>
      <c r="E44" s="225" t="s">
        <v>56</v>
      </c>
      <c r="F44" s="226"/>
      <c r="G44" s="130"/>
      <c r="H44" s="132"/>
    </row>
    <row r="45" spans="2:8" ht="59.25" customHeight="1" x14ac:dyDescent="0.25">
      <c r="B45" s="133"/>
      <c r="C45" s="228" t="s">
        <v>57</v>
      </c>
      <c r="D45" s="223"/>
      <c r="E45" s="225" t="s">
        <v>58</v>
      </c>
      <c r="F45" s="226"/>
      <c r="G45" s="130"/>
      <c r="H45" s="132"/>
    </row>
    <row r="46" spans="2:8" ht="84" customHeight="1" x14ac:dyDescent="0.25">
      <c r="B46" s="133"/>
      <c r="C46" s="228" t="s">
        <v>59</v>
      </c>
      <c r="D46" s="223"/>
      <c r="E46" s="225" t="s">
        <v>60</v>
      </c>
      <c r="F46" s="226"/>
      <c r="G46" s="130"/>
      <c r="H46" s="132"/>
    </row>
    <row r="47" spans="2:8" ht="82.5" customHeight="1" x14ac:dyDescent="0.25">
      <c r="B47" s="133"/>
      <c r="C47" s="228" t="s">
        <v>61</v>
      </c>
      <c r="D47" s="223"/>
      <c r="E47" s="225" t="s">
        <v>62</v>
      </c>
      <c r="F47" s="226"/>
      <c r="G47" s="130"/>
      <c r="H47" s="132"/>
    </row>
    <row r="48" spans="2:8" ht="46.5" customHeight="1" thickBot="1" x14ac:dyDescent="0.3">
      <c r="B48" s="133"/>
      <c r="C48" s="229"/>
      <c r="D48" s="230"/>
      <c r="E48" s="231"/>
      <c r="F48" s="232"/>
      <c r="G48" s="130"/>
      <c r="H48" s="132"/>
    </row>
    <row r="49" spans="2:8" ht="6.75" customHeight="1" thickTop="1" x14ac:dyDescent="0.25">
      <c r="B49" s="133"/>
      <c r="C49" s="134"/>
      <c r="D49" s="134"/>
      <c r="E49" s="135"/>
      <c r="F49" s="135"/>
      <c r="G49" s="130"/>
      <c r="H49" s="132"/>
    </row>
    <row r="50" spans="2:8" x14ac:dyDescent="0.25">
      <c r="B50" s="133"/>
      <c r="C50" s="136"/>
      <c r="D50" s="136"/>
      <c r="E50" s="136"/>
      <c r="F50" s="136"/>
      <c r="G50" s="130"/>
      <c r="H50" s="132"/>
    </row>
    <row r="51" spans="2:8" ht="21" customHeight="1" x14ac:dyDescent="0.25">
      <c r="B51" s="137" t="s">
        <v>63</v>
      </c>
      <c r="C51" s="136"/>
      <c r="D51" s="136"/>
      <c r="E51" s="136"/>
      <c r="F51" s="136"/>
      <c r="G51" s="136"/>
      <c r="H51" s="138"/>
    </row>
    <row r="52" spans="2:8" ht="20.25" customHeight="1" x14ac:dyDescent="0.25">
      <c r="B52" s="137" t="s">
        <v>64</v>
      </c>
      <c r="C52" s="136"/>
      <c r="D52" s="136"/>
      <c r="E52" s="136"/>
      <c r="F52" s="136"/>
      <c r="G52" s="136"/>
      <c r="H52" s="138"/>
    </row>
    <row r="53" spans="2:8" ht="20.25" customHeight="1" x14ac:dyDescent="0.25">
      <c r="B53" s="137" t="s">
        <v>65</v>
      </c>
      <c r="C53" s="136"/>
      <c r="D53" s="136"/>
      <c r="E53" s="136"/>
      <c r="F53" s="136"/>
      <c r="G53" s="136"/>
      <c r="H53" s="138"/>
    </row>
    <row r="54" spans="2:8" ht="20.25" customHeight="1" x14ac:dyDescent="0.25">
      <c r="B54" s="137" t="s">
        <v>66</v>
      </c>
      <c r="C54" s="136"/>
      <c r="D54" s="136"/>
      <c r="E54" s="136"/>
      <c r="F54" s="136"/>
      <c r="G54" s="136"/>
      <c r="H54" s="138"/>
    </row>
    <row r="55" spans="2:8" ht="14.65" customHeight="1" x14ac:dyDescent="0.25">
      <c r="B55" s="137" t="s">
        <v>67</v>
      </c>
      <c r="C55" s="136"/>
      <c r="D55" s="136"/>
      <c r="E55" s="136"/>
      <c r="F55" s="136"/>
      <c r="G55" s="136"/>
      <c r="H55" s="138"/>
    </row>
    <row r="56" spans="2:8" ht="15.75" thickBot="1" x14ac:dyDescent="0.3">
      <c r="B56" s="139"/>
      <c r="C56" s="140"/>
      <c r="D56" s="140"/>
      <c r="E56" s="140"/>
      <c r="F56" s="140"/>
      <c r="G56" s="140"/>
      <c r="H56" s="141"/>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162</v>
      </c>
    </row>
    <row r="4" spans="1:1" x14ac:dyDescent="0.2">
      <c r="A4" s="9" t="s">
        <v>267</v>
      </c>
    </row>
    <row r="5" spans="1:1" x14ac:dyDescent="0.2">
      <c r="A5" s="9" t="s">
        <v>269</v>
      </c>
    </row>
    <row r="6" spans="1:1" x14ac:dyDescent="0.2">
      <c r="A6" s="9" t="s">
        <v>271</v>
      </c>
    </row>
    <row r="7" spans="1:1" x14ac:dyDescent="0.2">
      <c r="A7" s="9" t="s">
        <v>163</v>
      </c>
    </row>
    <row r="8" spans="1:1" x14ac:dyDescent="0.2">
      <c r="A8" s="9" t="s">
        <v>164</v>
      </c>
    </row>
    <row r="9" spans="1:1" x14ac:dyDescent="0.2">
      <c r="A9" s="9" t="s">
        <v>277</v>
      </c>
    </row>
    <row r="10" spans="1:1" x14ac:dyDescent="0.2">
      <c r="A10" s="9" t="s">
        <v>165</v>
      </c>
    </row>
    <row r="11" spans="1:1" x14ac:dyDescent="0.2">
      <c r="A11" s="9" t="s">
        <v>280</v>
      </c>
    </row>
    <row r="12" spans="1:1" x14ac:dyDescent="0.2">
      <c r="A12" s="9" t="s">
        <v>299</v>
      </c>
    </row>
    <row r="13" spans="1:1" x14ac:dyDescent="0.2">
      <c r="A13" s="9" t="s">
        <v>300</v>
      </c>
    </row>
    <row r="14" spans="1:1" x14ac:dyDescent="0.2">
      <c r="A14" s="9" t="s">
        <v>301</v>
      </c>
    </row>
    <row r="16" spans="1:1" x14ac:dyDescent="0.2">
      <c r="A16" s="9" t="s">
        <v>302</v>
      </c>
    </row>
    <row r="17" spans="1:1" x14ac:dyDescent="0.2">
      <c r="A17" s="9" t="s">
        <v>286</v>
      </c>
    </row>
    <row r="18" spans="1:1" x14ac:dyDescent="0.2">
      <c r="A18" s="9" t="s">
        <v>288</v>
      </c>
    </row>
    <row r="20" spans="1:1" x14ac:dyDescent="0.2">
      <c r="A20" s="9" t="s">
        <v>291</v>
      </c>
    </row>
    <row r="21" spans="1:1" x14ac:dyDescent="0.2">
      <c r="A21" s="9"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3"/>
  <sheetViews>
    <sheetView showGridLines="0" zoomScale="91" zoomScaleNormal="91" workbookViewId="0">
      <selection activeCell="C8" sqref="C8:F8"/>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2" t="s">
        <v>68</v>
      </c>
    </row>
    <row r="2" spans="2:52" ht="18" customHeight="1" thickBot="1" x14ac:dyDescent="0.3">
      <c r="B2" s="238"/>
      <c r="C2" s="241" t="s">
        <v>69</v>
      </c>
      <c r="D2" s="242"/>
      <c r="E2" s="242"/>
      <c r="F2" s="143" t="s">
        <v>70</v>
      </c>
      <c r="AZ2" s="142" t="s">
        <v>71</v>
      </c>
    </row>
    <row r="3" spans="2:52" ht="18" customHeight="1" thickBot="1" x14ac:dyDescent="0.3">
      <c r="B3" s="239"/>
      <c r="C3" s="243"/>
      <c r="D3" s="244"/>
      <c r="E3" s="244"/>
      <c r="F3" s="144" t="s">
        <v>72</v>
      </c>
      <c r="AZ3" s="142" t="s">
        <v>73</v>
      </c>
    </row>
    <row r="4" spans="2:52" ht="18" customHeight="1" thickBot="1" x14ac:dyDescent="0.3">
      <c r="B4" s="239"/>
      <c r="C4" s="243"/>
      <c r="D4" s="244"/>
      <c r="E4" s="244"/>
      <c r="F4" s="144" t="s">
        <v>74</v>
      </c>
      <c r="AZ4" s="142" t="s">
        <v>75</v>
      </c>
    </row>
    <row r="5" spans="2:52" ht="18" customHeight="1" thickBot="1" x14ac:dyDescent="0.3">
      <c r="B5" s="240"/>
      <c r="C5" s="245"/>
      <c r="D5" s="246"/>
      <c r="E5" s="246"/>
      <c r="F5" s="144" t="s">
        <v>76</v>
      </c>
      <c r="AZ5" s="145"/>
    </row>
    <row r="6" spans="2:52" ht="18" customHeight="1" thickBot="1" x14ac:dyDescent="0.3">
      <c r="B6" s="146"/>
      <c r="C6" s="147"/>
      <c r="D6" s="147"/>
      <c r="E6" s="147"/>
      <c r="F6" s="148"/>
      <c r="AZ6" s="145"/>
    </row>
    <row r="7" spans="2:52" ht="33.4" customHeight="1" x14ac:dyDescent="0.25">
      <c r="B7" s="149" t="s">
        <v>77</v>
      </c>
      <c r="C7" s="247" t="s">
        <v>309</v>
      </c>
      <c r="D7" s="248"/>
      <c r="E7" s="248"/>
      <c r="F7" s="249"/>
      <c r="AZ7" s="145"/>
    </row>
    <row r="8" spans="2:52" ht="43.5" customHeight="1" thickBot="1" x14ac:dyDescent="0.3">
      <c r="B8" s="150" t="s">
        <v>78</v>
      </c>
      <c r="C8" s="250" t="s">
        <v>79</v>
      </c>
      <c r="D8" s="251"/>
      <c r="E8" s="251"/>
      <c r="F8" s="252"/>
      <c r="AZ8" s="145"/>
    </row>
    <row r="9" spans="2:52" ht="16.5" thickBot="1" x14ac:dyDescent="0.3">
      <c r="B9" s="253"/>
      <c r="C9" s="253"/>
      <c r="D9" s="253"/>
      <c r="E9" s="253"/>
      <c r="F9" s="253"/>
    </row>
    <row r="10" spans="2:52" ht="15.6" customHeight="1" thickBot="1" x14ac:dyDescent="0.3">
      <c r="B10" s="254" t="s">
        <v>69</v>
      </c>
      <c r="C10" s="255"/>
      <c r="D10" s="255"/>
      <c r="E10" s="255"/>
      <c r="F10" s="256"/>
    </row>
    <row r="11" spans="2:52" ht="32.25" thickBot="1" x14ac:dyDescent="0.3">
      <c r="B11" s="257" t="s">
        <v>80</v>
      </c>
      <c r="C11" s="258"/>
      <c r="D11" s="171" t="s">
        <v>81</v>
      </c>
      <c r="E11" s="171" t="s">
        <v>82</v>
      </c>
      <c r="F11" s="151" t="s">
        <v>83</v>
      </c>
    </row>
    <row r="12" spans="2:52" ht="342" customHeight="1" thickBot="1" x14ac:dyDescent="0.3">
      <c r="B12" s="259" t="s">
        <v>84</v>
      </c>
      <c r="C12" s="260"/>
      <c r="D12" s="152" t="s">
        <v>85</v>
      </c>
      <c r="E12" s="153" t="s">
        <v>86</v>
      </c>
      <c r="F12" s="154" t="s">
        <v>87</v>
      </c>
    </row>
    <row r="14" spans="2:52" ht="18" x14ac:dyDescent="0.25">
      <c r="B14" s="261" t="s">
        <v>88</v>
      </c>
      <c r="C14" s="261"/>
      <c r="D14" s="261"/>
      <c r="E14" s="261"/>
      <c r="F14" s="261"/>
    </row>
    <row r="15" spans="2:52" ht="15.75" x14ac:dyDescent="0.25">
      <c r="B15" s="155"/>
    </row>
    <row r="16" spans="2:52" ht="15.75" thickBot="1" x14ac:dyDescent="0.3">
      <c r="B16" s="156"/>
    </row>
    <row r="17" spans="2:6" ht="16.5" thickBot="1" x14ac:dyDescent="0.3">
      <c r="B17" s="262" t="s">
        <v>89</v>
      </c>
      <c r="C17" s="263"/>
      <c r="D17" s="264"/>
      <c r="E17" s="262" t="s">
        <v>90</v>
      </c>
      <c r="F17" s="264"/>
    </row>
    <row r="18" spans="2:6" ht="15" customHeight="1" x14ac:dyDescent="0.25">
      <c r="B18" s="233" t="s">
        <v>91</v>
      </c>
      <c r="C18" s="234"/>
      <c r="D18" s="235"/>
      <c r="E18" s="236" t="s">
        <v>92</v>
      </c>
      <c r="F18" s="237"/>
    </row>
    <row r="19" spans="2:6" ht="15" customHeight="1" x14ac:dyDescent="0.25">
      <c r="B19" s="275" t="s">
        <v>93</v>
      </c>
      <c r="C19" s="276"/>
      <c r="D19" s="277"/>
      <c r="E19" s="265" t="s">
        <v>94</v>
      </c>
      <c r="F19" s="266"/>
    </row>
    <row r="20" spans="2:6" ht="41.25" customHeight="1" x14ac:dyDescent="0.25">
      <c r="B20" s="267" t="s">
        <v>95</v>
      </c>
      <c r="C20" s="268"/>
      <c r="D20" s="269"/>
      <c r="E20" s="265" t="s">
        <v>96</v>
      </c>
      <c r="F20" s="266"/>
    </row>
    <row r="21" spans="2:6" ht="27.75" customHeight="1" x14ac:dyDescent="0.25">
      <c r="B21" s="267" t="s">
        <v>97</v>
      </c>
      <c r="C21" s="268"/>
      <c r="D21" s="269"/>
      <c r="E21" s="270" t="s">
        <v>98</v>
      </c>
      <c r="F21" s="271"/>
    </row>
    <row r="22" spans="2:6" ht="15" customHeight="1" x14ac:dyDescent="0.3">
      <c r="B22" s="272" t="s">
        <v>99</v>
      </c>
      <c r="C22" s="273"/>
      <c r="D22" s="274"/>
      <c r="E22" s="270" t="s">
        <v>100</v>
      </c>
      <c r="F22" s="271"/>
    </row>
    <row r="23" spans="2:6" ht="15" customHeight="1" x14ac:dyDescent="0.3">
      <c r="B23" s="272" t="s">
        <v>101</v>
      </c>
      <c r="C23" s="273"/>
      <c r="D23" s="274"/>
      <c r="E23" s="278" t="s">
        <v>102</v>
      </c>
      <c r="F23" s="279"/>
    </row>
    <row r="24" spans="2:6" ht="15" customHeight="1" x14ac:dyDescent="0.25">
      <c r="B24" s="280" t="s">
        <v>103</v>
      </c>
      <c r="C24" s="281"/>
      <c r="D24" s="282"/>
      <c r="E24" s="265"/>
      <c r="F24" s="266"/>
    </row>
    <row r="25" spans="2:6" ht="15.75" customHeight="1" x14ac:dyDescent="0.25">
      <c r="B25" s="283" t="s">
        <v>104</v>
      </c>
      <c r="C25" s="284"/>
      <c r="D25" s="271"/>
      <c r="E25" s="270"/>
      <c r="F25" s="271"/>
    </row>
    <row r="26" spans="2:6" ht="16.5" x14ac:dyDescent="0.25">
      <c r="B26" s="280"/>
      <c r="C26" s="281"/>
      <c r="D26" s="282"/>
      <c r="E26" s="285"/>
      <c r="F26" s="286"/>
    </row>
    <row r="27" spans="2:6" ht="15" customHeight="1" x14ac:dyDescent="0.25">
      <c r="B27" s="267"/>
      <c r="C27" s="287"/>
      <c r="D27" s="288"/>
      <c r="E27" s="289"/>
      <c r="F27" s="290"/>
    </row>
    <row r="28" spans="2:6" ht="15" customHeight="1" x14ac:dyDescent="0.25">
      <c r="B28" s="280"/>
      <c r="C28" s="281"/>
      <c r="D28" s="282"/>
      <c r="E28" s="289"/>
      <c r="F28" s="290"/>
    </row>
    <row r="29" spans="2:6" ht="15" customHeight="1" x14ac:dyDescent="0.25">
      <c r="B29" s="280"/>
      <c r="C29" s="281"/>
      <c r="D29" s="282"/>
      <c r="E29" s="289"/>
      <c r="F29" s="290"/>
    </row>
    <row r="30" spans="2:6" ht="15" customHeight="1" x14ac:dyDescent="0.25">
      <c r="B30" s="280"/>
      <c r="C30" s="281"/>
      <c r="D30" s="282"/>
      <c r="E30" s="291"/>
      <c r="F30" s="292"/>
    </row>
    <row r="31" spans="2:6" ht="15" customHeight="1" thickBot="1" x14ac:dyDescent="0.35">
      <c r="B31" s="293"/>
      <c r="C31" s="294"/>
      <c r="D31" s="295"/>
      <c r="E31" s="296"/>
      <c r="F31" s="297"/>
    </row>
    <row r="32" spans="2:6" ht="15" customHeight="1" thickBot="1" x14ac:dyDescent="0.3">
      <c r="B32" s="298" t="s">
        <v>105</v>
      </c>
      <c r="C32" s="299"/>
      <c r="D32" s="299"/>
      <c r="E32" s="300" t="s">
        <v>106</v>
      </c>
      <c r="F32" s="301"/>
    </row>
    <row r="33" spans="2:6" ht="31.5" customHeight="1" x14ac:dyDescent="0.3">
      <c r="B33" s="302" t="s">
        <v>107</v>
      </c>
      <c r="C33" s="303"/>
      <c r="D33" s="304"/>
      <c r="E33" s="305" t="s">
        <v>108</v>
      </c>
      <c r="F33" s="306"/>
    </row>
    <row r="34" spans="2:6" ht="16.5" x14ac:dyDescent="0.3">
      <c r="B34" s="307" t="s">
        <v>109</v>
      </c>
      <c r="C34" s="308"/>
      <c r="D34" s="309"/>
      <c r="E34" s="283" t="s">
        <v>110</v>
      </c>
      <c r="F34" s="271"/>
    </row>
    <row r="35" spans="2:6" ht="16.5" x14ac:dyDescent="0.25">
      <c r="B35" s="283" t="s">
        <v>111</v>
      </c>
      <c r="C35" s="284"/>
      <c r="D35" s="271"/>
      <c r="E35" s="310" t="s">
        <v>112</v>
      </c>
      <c r="F35" s="266"/>
    </row>
    <row r="36" spans="2:6" ht="29.25" customHeight="1" x14ac:dyDescent="0.3">
      <c r="B36" s="310" t="s">
        <v>113</v>
      </c>
      <c r="C36" s="311"/>
      <c r="D36" s="266"/>
      <c r="E36" s="312" t="s">
        <v>114</v>
      </c>
      <c r="F36" s="313"/>
    </row>
    <row r="37" spans="2:6" ht="16.5" x14ac:dyDescent="0.3">
      <c r="B37" s="310" t="s">
        <v>115</v>
      </c>
      <c r="C37" s="311"/>
      <c r="D37" s="266"/>
      <c r="E37" s="307" t="s">
        <v>116</v>
      </c>
      <c r="F37" s="309"/>
    </row>
    <row r="38" spans="2:6" ht="18" customHeight="1" x14ac:dyDescent="0.25">
      <c r="B38" s="310" t="s">
        <v>117</v>
      </c>
      <c r="C38" s="311"/>
      <c r="D38" s="266"/>
      <c r="E38" s="310" t="s">
        <v>118</v>
      </c>
      <c r="F38" s="266"/>
    </row>
    <row r="39" spans="2:6" ht="18.75" customHeight="1" x14ac:dyDescent="0.25">
      <c r="B39" s="310"/>
      <c r="C39" s="311"/>
      <c r="D39" s="266"/>
      <c r="E39" s="283" t="s">
        <v>119</v>
      </c>
      <c r="F39" s="271"/>
    </row>
    <row r="40" spans="2:6" ht="21" customHeight="1" x14ac:dyDescent="0.25">
      <c r="B40" s="310"/>
      <c r="C40" s="311"/>
      <c r="D40" s="266"/>
      <c r="E40" s="283" t="s">
        <v>120</v>
      </c>
      <c r="F40" s="271"/>
    </row>
    <row r="41" spans="2:6" ht="16.5" x14ac:dyDescent="0.25">
      <c r="B41" s="283"/>
      <c r="C41" s="284"/>
      <c r="D41" s="271"/>
      <c r="E41" s="283"/>
      <c r="F41" s="271"/>
    </row>
    <row r="42" spans="2:6" ht="16.5" x14ac:dyDescent="0.3">
      <c r="B42" s="319"/>
      <c r="C42" s="320"/>
      <c r="D42" s="321"/>
      <c r="E42" s="319"/>
      <c r="F42" s="321"/>
    </row>
    <row r="43" spans="2:6" ht="17.25" thickBot="1" x14ac:dyDescent="0.35">
      <c r="B43" s="314"/>
      <c r="C43" s="315"/>
      <c r="D43" s="316"/>
      <c r="E43" s="317"/>
      <c r="F43" s="318"/>
    </row>
  </sheetData>
  <mergeCells count="63">
    <mergeCell ref="B38:D38"/>
    <mergeCell ref="E38:F38"/>
    <mergeCell ref="B39:D39"/>
    <mergeCell ref="E39:F39"/>
    <mergeCell ref="B43:D43"/>
    <mergeCell ref="E43:F43"/>
    <mergeCell ref="B40:D40"/>
    <mergeCell ref="E40:F40"/>
    <mergeCell ref="B41:D41"/>
    <mergeCell ref="E41:F41"/>
    <mergeCell ref="B42:D42"/>
    <mergeCell ref="E42:F42"/>
    <mergeCell ref="B35:D35"/>
    <mergeCell ref="E35:F35"/>
    <mergeCell ref="B36:D36"/>
    <mergeCell ref="E36:F36"/>
    <mergeCell ref="B37:D37"/>
    <mergeCell ref="E37:F37"/>
    <mergeCell ref="B32:D32"/>
    <mergeCell ref="E32:F32"/>
    <mergeCell ref="B33:D33"/>
    <mergeCell ref="E33:F33"/>
    <mergeCell ref="B34:D34"/>
    <mergeCell ref="E34:F34"/>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E19:F19"/>
    <mergeCell ref="B21:D21"/>
    <mergeCell ref="E21:F21"/>
    <mergeCell ref="B22:D22"/>
    <mergeCell ref="E22:F22"/>
    <mergeCell ref="B20:D20"/>
    <mergeCell ref="E20:F20"/>
    <mergeCell ref="B19:D19"/>
    <mergeCell ref="B18:D18"/>
    <mergeCell ref="E18:F18"/>
    <mergeCell ref="B2:B5"/>
    <mergeCell ref="C2:E5"/>
    <mergeCell ref="C7:F7"/>
    <mergeCell ref="C8:F8"/>
    <mergeCell ref="B9:F9"/>
    <mergeCell ref="B10:F10"/>
    <mergeCell ref="B11:C11"/>
    <mergeCell ref="B12:C12"/>
    <mergeCell ref="B14:F14"/>
    <mergeCell ref="B17:D17"/>
    <mergeCell ref="E17:F17"/>
  </mergeCells>
  <dataValidations count="1">
    <dataValidation type="list" allowBlank="1" showInputMessage="1" showErrorMessage="1" sqref="B12:C12" xr:uid="{00000000-0002-0000-0100-000000000000}">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Q75"/>
  <sheetViews>
    <sheetView tabSelected="1" topLeftCell="R28" zoomScaleNormal="100" workbookViewId="0">
      <selection activeCell="AF31" sqref="AF31"/>
    </sheetView>
  </sheetViews>
  <sheetFormatPr baseColWidth="10" defaultColWidth="11.42578125" defaultRowHeight="16.5" x14ac:dyDescent="0.3"/>
  <cols>
    <col min="1" max="1" width="4" style="2" bestFit="1" customWidth="1"/>
    <col min="2" max="2" width="14.140625" style="2" customWidth="1"/>
    <col min="3" max="3" width="19.28515625" style="2" customWidth="1"/>
    <col min="4" max="4" width="31.42578125" style="2" customWidth="1"/>
    <col min="5" max="5" width="37.85546875" style="1" customWidth="1"/>
    <col min="6" max="6" width="19" style="4"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70"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9.85546875" style="1" customWidth="1"/>
    <col min="32" max="32" width="18.8554687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385"/>
      <c r="B1" s="386"/>
      <c r="C1" s="386"/>
      <c r="D1" s="387"/>
      <c r="E1" s="406" t="s">
        <v>121</v>
      </c>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8"/>
      <c r="AJ1" s="372" t="s">
        <v>122</v>
      </c>
      <c r="AK1" s="373"/>
    </row>
    <row r="2" spans="1:69" ht="15" customHeight="1" x14ac:dyDescent="0.3">
      <c r="A2" s="388"/>
      <c r="B2" s="389"/>
      <c r="C2" s="389"/>
      <c r="D2" s="390"/>
      <c r="E2" s="366"/>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10"/>
      <c r="AJ2" s="403" t="s">
        <v>123</v>
      </c>
      <c r="AK2" s="404"/>
    </row>
    <row r="3" spans="1:69" ht="15" customHeight="1" x14ac:dyDescent="0.3">
      <c r="A3" s="388"/>
      <c r="B3" s="389"/>
      <c r="C3" s="389"/>
      <c r="D3" s="390"/>
      <c r="E3" s="366"/>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10"/>
      <c r="AJ3" s="403" t="s">
        <v>124</v>
      </c>
      <c r="AK3" s="405"/>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15" customHeight="1" x14ac:dyDescent="0.3">
      <c r="A4" s="391"/>
      <c r="B4" s="392"/>
      <c r="C4" s="392"/>
      <c r="D4" s="393"/>
      <c r="E4" s="411"/>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3"/>
      <c r="AJ4" s="372" t="s">
        <v>125</v>
      </c>
      <c r="AK4" s="373"/>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16.5" customHeight="1" x14ac:dyDescent="0.3">
      <c r="A5" s="26"/>
      <c r="B5" s="27"/>
      <c r="C5" s="26"/>
      <c r="D5" s="26"/>
      <c r="E5" s="7"/>
      <c r="F5" s="25"/>
      <c r="G5" s="7"/>
      <c r="H5" s="7"/>
      <c r="I5" s="7"/>
      <c r="J5" s="7"/>
      <c r="K5" s="7"/>
      <c r="L5" s="7"/>
      <c r="M5" s="7"/>
      <c r="N5" s="7"/>
      <c r="O5" s="7"/>
      <c r="P5" s="169"/>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26.25" customHeight="1" x14ac:dyDescent="0.3">
      <c r="A6" s="372" t="s">
        <v>126</v>
      </c>
      <c r="B6" s="373"/>
      <c r="C6" s="394" t="s">
        <v>348</v>
      </c>
      <c r="D6" s="395"/>
      <c r="E6" s="395"/>
      <c r="F6" s="395"/>
      <c r="G6" s="395"/>
      <c r="H6" s="395"/>
      <c r="I6" s="395"/>
      <c r="J6" s="395"/>
      <c r="K6" s="395"/>
      <c r="L6" s="395"/>
      <c r="M6" s="395"/>
      <c r="N6" s="396"/>
      <c r="O6" s="414"/>
      <c r="P6" s="414"/>
      <c r="Q6" s="414"/>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ht="45" customHeight="1" x14ac:dyDescent="0.3">
      <c r="A7" s="372" t="s">
        <v>127</v>
      </c>
      <c r="B7" s="373"/>
      <c r="C7" s="379" t="s">
        <v>85</v>
      </c>
      <c r="D7" s="380"/>
      <c r="E7" s="380"/>
      <c r="F7" s="380"/>
      <c r="G7" s="380"/>
      <c r="H7" s="380"/>
      <c r="I7" s="380"/>
      <c r="J7" s="380"/>
      <c r="K7" s="380"/>
      <c r="L7" s="380"/>
      <c r="M7" s="380"/>
      <c r="N7" s="381"/>
      <c r="O7" s="7"/>
      <c r="P7" s="169"/>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45" customHeight="1" x14ac:dyDescent="0.3">
      <c r="A8" s="372" t="s">
        <v>128</v>
      </c>
      <c r="B8" s="373"/>
      <c r="C8" s="379" t="s">
        <v>79</v>
      </c>
      <c r="D8" s="380"/>
      <c r="E8" s="380"/>
      <c r="F8" s="380"/>
      <c r="G8" s="380"/>
      <c r="H8" s="380"/>
      <c r="I8" s="380"/>
      <c r="J8" s="380"/>
      <c r="K8" s="380"/>
      <c r="L8" s="380"/>
      <c r="M8" s="380"/>
      <c r="N8" s="381"/>
      <c r="O8" s="7"/>
      <c r="P8" s="169"/>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x14ac:dyDescent="0.3">
      <c r="A9" s="397" t="s">
        <v>129</v>
      </c>
      <c r="B9" s="398"/>
      <c r="C9" s="398"/>
      <c r="D9" s="398"/>
      <c r="E9" s="398"/>
      <c r="F9" s="398"/>
      <c r="G9" s="399"/>
      <c r="H9" s="397" t="s">
        <v>130</v>
      </c>
      <c r="I9" s="398"/>
      <c r="J9" s="398"/>
      <c r="K9" s="398"/>
      <c r="L9" s="398"/>
      <c r="M9" s="398"/>
      <c r="N9" s="399"/>
      <c r="O9" s="397" t="s">
        <v>131</v>
      </c>
      <c r="P9" s="398"/>
      <c r="Q9" s="398"/>
      <c r="R9" s="398"/>
      <c r="S9" s="398"/>
      <c r="T9" s="398"/>
      <c r="U9" s="398"/>
      <c r="V9" s="398"/>
      <c r="W9" s="399"/>
      <c r="X9" s="397" t="s">
        <v>132</v>
      </c>
      <c r="Y9" s="398"/>
      <c r="Z9" s="398"/>
      <c r="AA9" s="398"/>
      <c r="AB9" s="398"/>
      <c r="AC9" s="398"/>
      <c r="AD9" s="399"/>
      <c r="AE9" s="397" t="s">
        <v>133</v>
      </c>
      <c r="AF9" s="398"/>
      <c r="AG9" s="398"/>
      <c r="AH9" s="398"/>
      <c r="AI9" s="398"/>
      <c r="AJ9" s="398"/>
      <c r="AK9" s="399"/>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ht="16.5" customHeight="1" x14ac:dyDescent="0.3">
      <c r="A10" s="374" t="s">
        <v>134</v>
      </c>
      <c r="B10" s="367" t="s">
        <v>23</v>
      </c>
      <c r="C10" s="361" t="s">
        <v>25</v>
      </c>
      <c r="D10" s="361" t="s">
        <v>27</v>
      </c>
      <c r="E10" s="376" t="s">
        <v>29</v>
      </c>
      <c r="F10" s="368" t="s">
        <v>31</v>
      </c>
      <c r="G10" s="361" t="s">
        <v>135</v>
      </c>
      <c r="H10" s="363" t="s">
        <v>136</v>
      </c>
      <c r="I10" s="364" t="s">
        <v>137</v>
      </c>
      <c r="J10" s="368" t="s">
        <v>138</v>
      </c>
      <c r="K10" s="368" t="s">
        <v>139</v>
      </c>
      <c r="L10" s="366" t="s">
        <v>140</v>
      </c>
      <c r="M10" s="364" t="s">
        <v>137</v>
      </c>
      <c r="N10" s="361" t="s">
        <v>37</v>
      </c>
      <c r="O10" s="377" t="s">
        <v>141</v>
      </c>
      <c r="P10" s="362" t="s">
        <v>39</v>
      </c>
      <c r="Q10" s="368" t="s">
        <v>41</v>
      </c>
      <c r="R10" s="362" t="s">
        <v>142</v>
      </c>
      <c r="S10" s="362"/>
      <c r="T10" s="362"/>
      <c r="U10" s="362"/>
      <c r="V10" s="362"/>
      <c r="W10" s="362"/>
      <c r="X10" s="360" t="s">
        <v>143</v>
      </c>
      <c r="Y10" s="360" t="s">
        <v>144</v>
      </c>
      <c r="Z10" s="360" t="s">
        <v>137</v>
      </c>
      <c r="AA10" s="360" t="s">
        <v>145</v>
      </c>
      <c r="AB10" s="360" t="s">
        <v>137</v>
      </c>
      <c r="AC10" s="360" t="s">
        <v>146</v>
      </c>
      <c r="AD10" s="377" t="s">
        <v>57</v>
      </c>
      <c r="AE10" s="362" t="s">
        <v>133</v>
      </c>
      <c r="AF10" s="362" t="s">
        <v>147</v>
      </c>
      <c r="AG10" s="362" t="s">
        <v>148</v>
      </c>
      <c r="AH10" s="368" t="s">
        <v>149</v>
      </c>
      <c r="AI10" s="362" t="s">
        <v>150</v>
      </c>
      <c r="AJ10" s="362" t="s">
        <v>151</v>
      </c>
      <c r="AK10" s="362" t="s">
        <v>61</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3" customFormat="1" ht="94.5" customHeight="1" x14ac:dyDescent="0.25">
      <c r="A11" s="375"/>
      <c r="B11" s="367"/>
      <c r="C11" s="362"/>
      <c r="D11" s="362"/>
      <c r="E11" s="367"/>
      <c r="F11" s="361"/>
      <c r="G11" s="362"/>
      <c r="H11" s="361"/>
      <c r="I11" s="365"/>
      <c r="J11" s="361"/>
      <c r="K11" s="361"/>
      <c r="L11" s="365"/>
      <c r="M11" s="365"/>
      <c r="N11" s="362"/>
      <c r="O11" s="378"/>
      <c r="P11" s="362"/>
      <c r="Q11" s="361"/>
      <c r="R11" s="6" t="s">
        <v>152</v>
      </c>
      <c r="S11" s="6" t="s">
        <v>153</v>
      </c>
      <c r="T11" s="6" t="s">
        <v>154</v>
      </c>
      <c r="U11" s="6" t="s">
        <v>155</v>
      </c>
      <c r="V11" s="6" t="s">
        <v>156</v>
      </c>
      <c r="W11" s="6" t="s">
        <v>157</v>
      </c>
      <c r="X11" s="360"/>
      <c r="Y11" s="360"/>
      <c r="Z11" s="360"/>
      <c r="AA11" s="360"/>
      <c r="AB11" s="360"/>
      <c r="AC11" s="360"/>
      <c r="AD11" s="378"/>
      <c r="AE11" s="362"/>
      <c r="AF11" s="362"/>
      <c r="AG11" s="362"/>
      <c r="AH11" s="361"/>
      <c r="AI11" s="362"/>
      <c r="AJ11" s="362"/>
      <c r="AK11" s="362"/>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row>
    <row r="12" spans="1:69" s="3" customFormat="1" ht="99.75" customHeight="1" x14ac:dyDescent="0.25">
      <c r="A12" s="335">
        <v>1</v>
      </c>
      <c r="B12" s="341" t="s">
        <v>287</v>
      </c>
      <c r="C12" s="341" t="s">
        <v>331</v>
      </c>
      <c r="D12" s="341" t="s">
        <v>332</v>
      </c>
      <c r="E12" s="357" t="s">
        <v>333</v>
      </c>
      <c r="F12" s="341" t="s">
        <v>160</v>
      </c>
      <c r="G12" s="344">
        <v>41</v>
      </c>
      <c r="H12" s="347" t="str">
        <f>IF(G12&lt;=0,"",IF(G12&lt;=2,"Muy Baja",IF(G12&lt;=24,"Baja",IF(G12&lt;=500,"Media",IF(G12&lt;=5000,"Alta","Muy Alta")))))</f>
        <v>Media</v>
      </c>
      <c r="I12" s="350">
        <f>IF(H12="","",IF(H12="Muy Baja",0.2,IF(H12="Baja",0.4,IF(H12="Media",0.6,IF(H12="Alta",0.8,IF(H12="Muy Alta",1,))))))</f>
        <v>0.6</v>
      </c>
      <c r="J12" s="354" t="s">
        <v>161</v>
      </c>
      <c r="K12" s="350" t="str">
        <f>IF(NOT(ISERROR(MATCH(J12,'Tabla Impacto'!$B$221:$B$223,0))),'Tabla Impacto'!$F$223&amp;"Por favor no seleccionar los criterios de impacto(Afectación Económica o presupuestal y Pérdida Reputacional)",J12)</f>
        <v xml:space="preserve">     Mayor a 500 SMLMV </v>
      </c>
      <c r="L12" s="347" t="str">
        <f>IF(OR(K12='Tabla Impacto'!$C$11,K12='Tabla Impacto'!$D$11),"Leve",IF(OR(K12='Tabla Impacto'!$C$12,K12='Tabla Impacto'!$D$12),"Menor",IF(OR(K12='Tabla Impacto'!$C$13,K12='Tabla Impacto'!$D$13),"Moderado",IF(OR(K12='Tabla Impacto'!$C$14,K12='Tabla Impacto'!$D$14),"Mayor",IF(OR(K12='Tabla Impacto'!$C$15,K12='Tabla Impacto'!$D$15),"Catastrófico","")))))</f>
        <v>Catastrófico</v>
      </c>
      <c r="M12" s="350">
        <f>IF(L12="","",IF(L12="Leve",0.2,IF(L12="Menor",0.4,IF(L12="Moderado",0.6,IF(L12="Mayor",0.8,IF(L12="Catastrófico",1,))))))</f>
        <v>1</v>
      </c>
      <c r="N12" s="382"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Extremo</v>
      </c>
      <c r="O12" s="172">
        <v>1</v>
      </c>
      <c r="P12" s="174" t="s">
        <v>342</v>
      </c>
      <c r="Q12" s="173" t="str">
        <f>IF(OR(R12="Preventivo",R12="Detectivo"),"Probabilidad",IF(R12="Correctivo","Impacto",""))</f>
        <v>Probabilidad</v>
      </c>
      <c r="R12" s="167" t="s">
        <v>162</v>
      </c>
      <c r="S12" s="167" t="s">
        <v>163</v>
      </c>
      <c r="T12" s="163" t="str">
        <f>IF(AND(R12="Preventivo",S12="Automático"),"50%",IF(AND(R12="Preventivo",S12="Manual"),"40%",IF(AND(R12="Detectivo",S12="Automático"),"40%",IF(AND(R12="Detectivo",S12="Manual"),"30%",IF(AND(R12="Correctivo",S12="Automático"),"35%",IF(AND(R12="Correctivo",S12="Manual"),"25%",""))))))</f>
        <v>40%</v>
      </c>
      <c r="U12" s="167" t="s">
        <v>164</v>
      </c>
      <c r="V12" s="167" t="s">
        <v>165</v>
      </c>
      <c r="W12" s="167" t="s">
        <v>166</v>
      </c>
      <c r="X12" s="165">
        <f>IFERROR(IF(Q12="Probabilidad",(I12-(+I12*T12)),IF(Q12="Impacto",I12,"")),"")</f>
        <v>0.36</v>
      </c>
      <c r="Y12" s="175" t="str">
        <f>IFERROR(IF(X12="","",IF(X12&lt;=0.2,"Muy Baja",IF(X12&lt;=0.4,"Baja",IF(X12&lt;=0.6,"Media",IF(X12&lt;=0.8,"Alta","Muy Alta"))))),"")</f>
        <v>Baja</v>
      </c>
      <c r="Z12" s="165">
        <f>+X12</f>
        <v>0.36</v>
      </c>
      <c r="AA12" s="175" t="str">
        <f>IFERROR(IF(AB12="","",IF(AB12&lt;=0.2,"Leve",IF(AB12&lt;=0.4,"Menor",IF(AB12&lt;=0.6,"Moderado",IF(AB12&lt;=0.8,"Mayor","Catastrófico"))))),"")</f>
        <v>Catastrófico</v>
      </c>
      <c r="AB12" s="165">
        <f>IFERROR(IF(Q12="Impacto",(M12-(+M12*T12)),IF(Q12="Probabilidad",M12,"")),"")</f>
        <v>1</v>
      </c>
      <c r="AC12" s="176"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Extremo</v>
      </c>
      <c r="AD12" s="167" t="s">
        <v>167</v>
      </c>
      <c r="AE12" s="159" t="s">
        <v>334</v>
      </c>
      <c r="AF12" s="159" t="s">
        <v>335</v>
      </c>
      <c r="AG12" s="161">
        <v>45373</v>
      </c>
      <c r="AH12" s="161">
        <v>45642</v>
      </c>
      <c r="AI12" s="113"/>
      <c r="AJ12" s="113"/>
      <c r="AK12" s="113"/>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row>
    <row r="13" spans="1:69" ht="18" customHeight="1" x14ac:dyDescent="0.3">
      <c r="A13" s="353"/>
      <c r="B13" s="342"/>
      <c r="C13" s="342"/>
      <c r="D13" s="342"/>
      <c r="E13" s="358"/>
      <c r="F13" s="342"/>
      <c r="G13" s="345"/>
      <c r="H13" s="348"/>
      <c r="I13" s="351"/>
      <c r="J13" s="355"/>
      <c r="K13" s="351"/>
      <c r="L13" s="348"/>
      <c r="M13" s="351"/>
      <c r="N13" s="383"/>
      <c r="O13" s="5">
        <v>2</v>
      </c>
      <c r="P13" s="174"/>
      <c r="Q13" s="158"/>
      <c r="R13" s="162"/>
      <c r="S13" s="162"/>
      <c r="T13" s="163"/>
      <c r="U13" s="162"/>
      <c r="V13" s="162"/>
      <c r="W13" s="162"/>
      <c r="X13" s="157"/>
      <c r="Y13" s="164"/>
      <c r="Z13" s="165"/>
      <c r="AA13" s="164"/>
      <c r="AB13" s="165"/>
      <c r="AC13" s="166"/>
      <c r="AD13" s="167"/>
      <c r="AE13" s="159"/>
      <c r="AF13" s="159"/>
      <c r="AG13" s="161"/>
      <c r="AH13" s="161"/>
      <c r="AI13" s="161"/>
      <c r="AJ13" s="113"/>
      <c r="AK13" s="160"/>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18" customHeight="1" x14ac:dyDescent="0.3">
      <c r="A14" s="353"/>
      <c r="B14" s="342"/>
      <c r="C14" s="342"/>
      <c r="D14" s="342"/>
      <c r="E14" s="358"/>
      <c r="F14" s="342"/>
      <c r="G14" s="345"/>
      <c r="H14" s="348"/>
      <c r="I14" s="351"/>
      <c r="J14" s="355"/>
      <c r="K14" s="351"/>
      <c r="L14" s="348"/>
      <c r="M14" s="351"/>
      <c r="N14" s="383"/>
      <c r="O14" s="104">
        <v>3</v>
      </c>
      <c r="P14" s="168"/>
      <c r="Q14" s="105"/>
      <c r="R14" s="106"/>
      <c r="S14" s="106"/>
      <c r="T14" s="107"/>
      <c r="U14" s="106"/>
      <c r="V14" s="106"/>
      <c r="W14" s="106"/>
      <c r="X14" s="108"/>
      <c r="Y14" s="109"/>
      <c r="Z14" s="110"/>
      <c r="AA14" s="109"/>
      <c r="AB14" s="110"/>
      <c r="AC14" s="111"/>
      <c r="AD14" s="112"/>
      <c r="AE14" s="113"/>
      <c r="AF14" s="114"/>
      <c r="AG14" s="115"/>
      <c r="AH14" s="115"/>
      <c r="AI14" s="115"/>
      <c r="AJ14" s="113"/>
      <c r="AK14" s="114"/>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18" customHeight="1" x14ac:dyDescent="0.3">
      <c r="A15" s="353"/>
      <c r="B15" s="342"/>
      <c r="C15" s="342"/>
      <c r="D15" s="342"/>
      <c r="E15" s="358"/>
      <c r="F15" s="342"/>
      <c r="G15" s="345"/>
      <c r="H15" s="348"/>
      <c r="I15" s="351"/>
      <c r="J15" s="355"/>
      <c r="K15" s="351"/>
      <c r="L15" s="348"/>
      <c r="M15" s="351"/>
      <c r="N15" s="383"/>
      <c r="O15" s="104">
        <v>4</v>
      </c>
      <c r="P15" s="174"/>
      <c r="Q15" s="105"/>
      <c r="R15" s="106"/>
      <c r="S15" s="106"/>
      <c r="T15" s="107"/>
      <c r="U15" s="106"/>
      <c r="V15" s="106"/>
      <c r="W15" s="106"/>
      <c r="X15" s="108"/>
      <c r="Y15" s="109"/>
      <c r="Z15" s="110"/>
      <c r="AA15" s="109"/>
      <c r="AB15" s="110"/>
      <c r="AC15" s="111"/>
      <c r="AD15" s="112"/>
      <c r="AE15" s="113"/>
      <c r="AF15" s="114"/>
      <c r="AG15" s="115"/>
      <c r="AH15" s="115"/>
      <c r="AI15" s="115"/>
      <c r="AJ15" s="113"/>
      <c r="AK15" s="114"/>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18" customHeight="1" x14ac:dyDescent="0.3">
      <c r="A16" s="353"/>
      <c r="B16" s="342"/>
      <c r="C16" s="342"/>
      <c r="D16" s="342"/>
      <c r="E16" s="358"/>
      <c r="F16" s="342"/>
      <c r="G16" s="345"/>
      <c r="H16" s="348"/>
      <c r="I16" s="351"/>
      <c r="J16" s="355"/>
      <c r="K16" s="351"/>
      <c r="L16" s="348"/>
      <c r="M16" s="351"/>
      <c r="N16" s="383"/>
      <c r="O16" s="104">
        <v>5</v>
      </c>
      <c r="P16" s="174"/>
      <c r="Q16" s="105"/>
      <c r="R16" s="106"/>
      <c r="S16" s="106"/>
      <c r="T16" s="107"/>
      <c r="U16" s="106"/>
      <c r="V16" s="106"/>
      <c r="W16" s="106"/>
      <c r="X16" s="108"/>
      <c r="Y16" s="109"/>
      <c r="Z16" s="110"/>
      <c r="AA16" s="109"/>
      <c r="AB16" s="110"/>
      <c r="AC16" s="111"/>
      <c r="AD16" s="112"/>
      <c r="AE16" s="113"/>
      <c r="AF16" s="114"/>
      <c r="AG16" s="115"/>
      <c r="AH16" s="115"/>
      <c r="AI16" s="115"/>
      <c r="AJ16" s="113"/>
      <c r="AK16" s="114"/>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8" customHeight="1" x14ac:dyDescent="0.3">
      <c r="A17" s="336"/>
      <c r="B17" s="343"/>
      <c r="C17" s="343"/>
      <c r="D17" s="343"/>
      <c r="E17" s="359"/>
      <c r="F17" s="343"/>
      <c r="G17" s="346"/>
      <c r="H17" s="349"/>
      <c r="I17" s="352"/>
      <c r="J17" s="356"/>
      <c r="K17" s="352"/>
      <c r="L17" s="349"/>
      <c r="M17" s="352"/>
      <c r="N17" s="384"/>
      <c r="O17" s="104">
        <v>6</v>
      </c>
      <c r="P17" s="174"/>
      <c r="Q17" s="105"/>
      <c r="R17" s="106"/>
      <c r="S17" s="106"/>
      <c r="T17" s="107"/>
      <c r="U17" s="106"/>
      <c r="V17" s="106"/>
      <c r="W17" s="106"/>
      <c r="X17" s="108"/>
      <c r="Y17" s="109"/>
      <c r="Z17" s="110"/>
      <c r="AA17" s="109"/>
      <c r="AB17" s="110"/>
      <c r="AC17" s="111"/>
      <c r="AD17" s="112"/>
      <c r="AE17" s="113"/>
      <c r="AF17" s="114"/>
      <c r="AG17" s="115"/>
      <c r="AH17" s="115"/>
      <c r="AI17" s="115"/>
      <c r="AJ17" s="113"/>
      <c r="AK17" s="114"/>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83.25" customHeight="1" x14ac:dyDescent="0.3">
      <c r="A18" s="335">
        <v>2</v>
      </c>
      <c r="B18" s="341" t="s">
        <v>168</v>
      </c>
      <c r="C18" s="341" t="s">
        <v>169</v>
      </c>
      <c r="D18" s="341" t="s">
        <v>170</v>
      </c>
      <c r="E18" s="369" t="s">
        <v>171</v>
      </c>
      <c r="F18" s="341" t="s">
        <v>160</v>
      </c>
      <c r="G18" s="344">
        <v>262</v>
      </c>
      <c r="H18" s="347" t="str">
        <f>IF(G18&lt;=0,"",IF(G18&lt;=2,"Muy Baja",IF(G18&lt;=24,"Baja",IF(G18&lt;=500,"Media",IF(G18&lt;=5000,"Alta","Muy Alta")))))</f>
        <v>Media</v>
      </c>
      <c r="I18" s="350">
        <f>IF(H18="","",IF(H18="Muy Baja",0.2,IF(H18="Baja",0.4,IF(H18="Media",0.6,IF(H18="Alta",0.8,IF(H18="Muy Alta",1,))))))</f>
        <v>0.6</v>
      </c>
      <c r="J18" s="354" t="s">
        <v>172</v>
      </c>
      <c r="K18" s="350"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47" t="str">
        <f>IF(OR(K18='Tabla Impacto'!$C$11,K18='Tabla Impacto'!$D$11),"Leve",IF(OR(K18='Tabla Impacto'!$C$12,K18='Tabla Impacto'!$D$12),"Menor",IF(OR(K18='Tabla Impacto'!$C$13,K18='Tabla Impacto'!$D$13),"Moderado",IF(OR(K18='Tabla Impacto'!$C$14,K18='Tabla Impacto'!$D$14),"Mayor",IF(OR(K18='Tabla Impacto'!$C$15,K18='Tabla Impacto'!$D$15),"Catastrófico","")))))</f>
        <v>Moderado</v>
      </c>
      <c r="M18" s="350">
        <f>IF(L18="","",IF(L18="Leve",0.2,IF(L18="Menor",0.4,IF(L18="Moderado",0.6,IF(L18="Mayor",0.8,IF(L18="Catastrófico",1,))))))</f>
        <v>0.6</v>
      </c>
      <c r="N18" s="382"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04">
        <v>1</v>
      </c>
      <c r="P18" s="174" t="s">
        <v>173</v>
      </c>
      <c r="Q18" s="158" t="str">
        <f>IF(OR(R18="Preventivo",R18="Detectivo"),"Probabilidad",IF(R18="Correctivo","Impacto",""))</f>
        <v>Probabilidad</v>
      </c>
      <c r="R18" s="162" t="s">
        <v>162</v>
      </c>
      <c r="S18" s="162" t="s">
        <v>163</v>
      </c>
      <c r="T18" s="163" t="str">
        <f>IF(AND(R18="Preventivo",S18="Automático"),"50%",IF(AND(R18="Preventivo",S18="Manual"),"40%",IF(AND(R18="Detectivo",S18="Automático"),"40%",IF(AND(R18="Detectivo",S18="Manual"),"30%",IF(AND(R18="Correctivo",S18="Automático"),"35%",IF(AND(R18="Correctivo",S18="Manual"),"25%",""))))))</f>
        <v>40%</v>
      </c>
      <c r="U18" s="162" t="s">
        <v>164</v>
      </c>
      <c r="V18" s="162" t="s">
        <v>165</v>
      </c>
      <c r="W18" s="162" t="s">
        <v>166</v>
      </c>
      <c r="X18" s="157">
        <f>IFERROR(IF(Q18="Probabilidad",(I18-(+I18*T18)),IF(Q18="Impacto",I18,"")),"")</f>
        <v>0.36</v>
      </c>
      <c r="Y18" s="164" t="str">
        <f>IFERROR(IF(X18="","",IF(X18&lt;=0.2,"Muy Baja",IF(X18&lt;=0.4,"Baja",IF(X18&lt;=0.6,"Media",IF(X18&lt;=0.8,"Alta","Muy Alta"))))),"")</f>
        <v>Baja</v>
      </c>
      <c r="Z18" s="165">
        <f>+X18</f>
        <v>0.36</v>
      </c>
      <c r="AA18" s="164" t="str">
        <f>IFERROR(IF(AB18="","",IF(AB18&lt;=0.2,"Leve",IF(AB18&lt;=0.4,"Menor",IF(AB18&lt;=0.6,"Moderado",IF(AB18&lt;=0.8,"Mayor","Catastrófico"))))),"")</f>
        <v>Moderado</v>
      </c>
      <c r="AB18" s="165">
        <f>IFERROR(IF(Q18="Impacto",(M18-(+M18*T18)),IF(Q18="Probabilidad",M18,"")),"")</f>
        <v>0.6</v>
      </c>
      <c r="AC18" s="166"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67" t="s">
        <v>167</v>
      </c>
      <c r="AE18" s="159" t="s">
        <v>303</v>
      </c>
      <c r="AF18" s="159" t="s">
        <v>174</v>
      </c>
      <c r="AG18" s="161">
        <v>45352</v>
      </c>
      <c r="AH18" s="161">
        <v>45642</v>
      </c>
      <c r="AI18" s="115"/>
      <c r="AJ18" s="113"/>
      <c r="AK18" s="114"/>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99.75" customHeight="1" x14ac:dyDescent="0.3">
      <c r="A19" s="353"/>
      <c r="B19" s="342"/>
      <c r="C19" s="342"/>
      <c r="D19" s="342"/>
      <c r="E19" s="370"/>
      <c r="F19" s="342"/>
      <c r="G19" s="345"/>
      <c r="H19" s="348"/>
      <c r="I19" s="351"/>
      <c r="J19" s="355"/>
      <c r="K19" s="351">
        <f>IF(NOT(ISERROR(MATCH(J19,_xlfn.ANCHORARRAY(E30),0))),I32&amp;"Por favor no seleccionar los criterios de impacto",J19)</f>
        <v>0</v>
      </c>
      <c r="L19" s="348"/>
      <c r="M19" s="351"/>
      <c r="N19" s="383"/>
      <c r="O19" s="104">
        <v>2</v>
      </c>
      <c r="P19" s="174" t="s">
        <v>175</v>
      </c>
      <c r="Q19" s="158" t="str">
        <f>IF(OR(R19="Preventivo",R19="Detectivo"),"Probabilidad",IF(R19="Correctivo","Impacto",""))</f>
        <v>Probabilidad</v>
      </c>
      <c r="R19" s="162" t="s">
        <v>162</v>
      </c>
      <c r="S19" s="162" t="s">
        <v>163</v>
      </c>
      <c r="T19" s="163" t="str">
        <f t="shared" ref="T19:T23" si="0">IF(AND(R19="Preventivo",S19="Automático"),"50%",IF(AND(R19="Preventivo",S19="Manual"),"40%",IF(AND(R19="Detectivo",S19="Automático"),"40%",IF(AND(R19="Detectivo",S19="Manual"),"30%",IF(AND(R19="Correctivo",S19="Automático"),"35%",IF(AND(R19="Correctivo",S19="Manual"),"25%",""))))))</f>
        <v>40%</v>
      </c>
      <c r="U19" s="162" t="s">
        <v>164</v>
      </c>
      <c r="V19" s="162" t="s">
        <v>165</v>
      </c>
      <c r="W19" s="162" t="s">
        <v>166</v>
      </c>
      <c r="X19" s="157">
        <f>IFERROR(IF(AND(Q18="Probabilidad",Q19="Probabilidad"),(Z18-(+Z18*T19)),IF(Q19="Probabilidad",(I18-(+I18*T19)),IF(Q19="Impacto",Z18,""))),"")</f>
        <v>0.216</v>
      </c>
      <c r="Y19" s="164" t="str">
        <f t="shared" ref="Y19:Y55" si="1">IFERROR(IF(X19="","",IF(X19&lt;=0.2,"Muy Baja",IF(X19&lt;=0.4,"Baja",IF(X19&lt;=0.6,"Media",IF(X19&lt;=0.8,"Alta","Muy Alta"))))),"")</f>
        <v>Baja</v>
      </c>
      <c r="Z19" s="165">
        <f t="shared" ref="Z19:Z23" si="2">+X19</f>
        <v>0.216</v>
      </c>
      <c r="AA19" s="164" t="str">
        <f t="shared" ref="AA19:AA55" si="3">IFERROR(IF(AB19="","",IF(AB19&lt;=0.2,"Leve",IF(AB19&lt;=0.4,"Menor",IF(AB19&lt;=0.6,"Moderado",IF(AB19&lt;=0.8,"Mayor","Catastrófico"))))),"")</f>
        <v>Moderado</v>
      </c>
      <c r="AB19" s="165">
        <f>IFERROR(IF(AND(Q18="Impacto",Q19="Impacto"),(AB18-(+AB18*T19)),IF(Q19="Impacto",(M18-(+M18*T19)),IF(Q19="Probabilidad",AB18,""))),"")</f>
        <v>0.6</v>
      </c>
      <c r="AC19" s="166" t="str">
        <f t="shared" ref="AC19:AC20" si="4">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167" t="s">
        <v>167</v>
      </c>
      <c r="AE19" s="159" t="s">
        <v>310</v>
      </c>
      <c r="AF19" s="159" t="s">
        <v>174</v>
      </c>
      <c r="AG19" s="177">
        <v>45352</v>
      </c>
      <c r="AH19" s="161">
        <v>45642</v>
      </c>
      <c r="AI19" s="115"/>
      <c r="AJ19" s="113"/>
      <c r="AK19" s="114"/>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8" customHeight="1" x14ac:dyDescent="0.3">
      <c r="A20" s="353"/>
      <c r="B20" s="342"/>
      <c r="C20" s="342"/>
      <c r="D20" s="342"/>
      <c r="E20" s="370"/>
      <c r="F20" s="342"/>
      <c r="G20" s="345"/>
      <c r="H20" s="348"/>
      <c r="I20" s="351"/>
      <c r="J20" s="355"/>
      <c r="K20" s="351">
        <f>IF(NOT(ISERROR(MATCH(J20,_xlfn.ANCHORARRAY(E31),0))),I33&amp;"Por favor no seleccionar los criterios de impacto",J20)</f>
        <v>0</v>
      </c>
      <c r="L20" s="348"/>
      <c r="M20" s="351"/>
      <c r="N20" s="383"/>
      <c r="O20" s="104">
        <v>3</v>
      </c>
      <c r="P20" s="168"/>
      <c r="Q20" s="158" t="str">
        <f>IF(OR(R20="Preventivo",R20="Detectivo"),"Probabilidad",IF(R20="Correctivo","Impacto",""))</f>
        <v/>
      </c>
      <c r="R20" s="162"/>
      <c r="S20" s="162"/>
      <c r="T20" s="163" t="str">
        <f t="shared" si="0"/>
        <v/>
      </c>
      <c r="U20" s="162"/>
      <c r="V20" s="162"/>
      <c r="W20" s="162"/>
      <c r="X20" s="157" t="str">
        <f>IFERROR(IF(AND(Q19="Probabilidad",Q20="Probabilidad"),(Z19-(+Z19*T20)),IF(AND(Q19="Impacto",Q20="Probabilidad"),(Z18-(+Z18*T20)),IF(Q20="Impacto",Z19,""))),"")</f>
        <v/>
      </c>
      <c r="Y20" s="164" t="str">
        <f t="shared" si="1"/>
        <v/>
      </c>
      <c r="Z20" s="165" t="str">
        <f t="shared" si="2"/>
        <v/>
      </c>
      <c r="AA20" s="164" t="str">
        <f t="shared" si="3"/>
        <v/>
      </c>
      <c r="AB20" s="165" t="str">
        <f>IFERROR(IF(AND(Q19="Impacto",Q20="Impacto"),(AB19-(+AB19*T20)),IF(AND(Q19="Probabilidad",Q20="Impacto"),(AB18-(+AB18*T20)),IF(Q20="Probabilidad",AB19,""))),"")</f>
        <v/>
      </c>
      <c r="AC20" s="166" t="str">
        <f t="shared" si="4"/>
        <v/>
      </c>
      <c r="AD20" s="167"/>
      <c r="AE20" s="159"/>
      <c r="AF20" s="160"/>
      <c r="AG20" s="161"/>
      <c r="AH20" s="161"/>
      <c r="AI20" s="115"/>
      <c r="AJ20" s="113"/>
      <c r="AK20" s="114"/>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8" customHeight="1" x14ac:dyDescent="0.3">
      <c r="A21" s="353"/>
      <c r="B21" s="342"/>
      <c r="C21" s="342"/>
      <c r="D21" s="342"/>
      <c r="E21" s="370"/>
      <c r="F21" s="342"/>
      <c r="G21" s="345"/>
      <c r="H21" s="348"/>
      <c r="I21" s="351"/>
      <c r="J21" s="355"/>
      <c r="K21" s="351">
        <f>IF(NOT(ISERROR(MATCH(J21,_xlfn.ANCHORARRAY(E32),0))),I34&amp;"Por favor no seleccionar los criterios de impacto",J21)</f>
        <v>0</v>
      </c>
      <c r="L21" s="348"/>
      <c r="M21" s="351"/>
      <c r="N21" s="383"/>
      <c r="O21" s="104">
        <v>4</v>
      </c>
      <c r="P21" s="174"/>
      <c r="Q21" s="105" t="str">
        <f t="shared" ref="Q21:Q23" si="5">IF(OR(R21="Preventivo",R21="Detectivo"),"Probabilidad",IF(R21="Correctivo","Impacto",""))</f>
        <v/>
      </c>
      <c r="R21" s="106"/>
      <c r="S21" s="106"/>
      <c r="T21" s="107" t="str">
        <f t="shared" si="0"/>
        <v/>
      </c>
      <c r="U21" s="106"/>
      <c r="V21" s="106"/>
      <c r="W21" s="106"/>
      <c r="X21" s="108" t="str">
        <f t="shared" ref="X21:X23" si="6">IFERROR(IF(AND(Q20="Probabilidad",Q21="Probabilidad"),(Z20-(+Z20*T21)),IF(AND(Q20="Impacto",Q21="Probabilidad"),(Z19-(+Z19*T21)),IF(Q21="Impacto",Z20,""))),"")</f>
        <v/>
      </c>
      <c r="Y21" s="109" t="str">
        <f t="shared" si="1"/>
        <v/>
      </c>
      <c r="Z21" s="110" t="str">
        <f t="shared" si="2"/>
        <v/>
      </c>
      <c r="AA21" s="109" t="str">
        <f t="shared" si="3"/>
        <v/>
      </c>
      <c r="AB21" s="110" t="str">
        <f t="shared" ref="AB21:AB23" si="7">IFERROR(IF(AND(Q20="Impacto",Q21="Impacto"),(AB20-(+AB20*T21)),IF(AND(Q20="Probabilidad",Q21="Impacto"),(AB19-(+AB19*T21)),IF(Q21="Probabilidad",AB20,""))),"")</f>
        <v/>
      </c>
      <c r="AC21" s="111"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2"/>
      <c r="AE21" s="113"/>
      <c r="AF21" s="114"/>
      <c r="AG21" s="115"/>
      <c r="AH21" s="115"/>
      <c r="AI21" s="115"/>
      <c r="AJ21" s="113"/>
      <c r="AK21" s="114"/>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8" customHeight="1" x14ac:dyDescent="0.3">
      <c r="A22" s="353"/>
      <c r="B22" s="342"/>
      <c r="C22" s="342"/>
      <c r="D22" s="342"/>
      <c r="E22" s="370"/>
      <c r="F22" s="342"/>
      <c r="G22" s="345"/>
      <c r="H22" s="348"/>
      <c r="I22" s="351"/>
      <c r="J22" s="355"/>
      <c r="K22" s="351">
        <f>IF(NOT(ISERROR(MATCH(J22,_xlfn.ANCHORARRAY(E33),0))),I35&amp;"Por favor no seleccionar los criterios de impacto",J22)</f>
        <v>0</v>
      </c>
      <c r="L22" s="348"/>
      <c r="M22" s="351"/>
      <c r="N22" s="383"/>
      <c r="O22" s="104">
        <v>5</v>
      </c>
      <c r="P22" s="174"/>
      <c r="Q22" s="105" t="str">
        <f t="shared" si="5"/>
        <v/>
      </c>
      <c r="R22" s="106"/>
      <c r="S22" s="106"/>
      <c r="T22" s="107" t="str">
        <f t="shared" si="0"/>
        <v/>
      </c>
      <c r="U22" s="106"/>
      <c r="V22" s="106"/>
      <c r="W22" s="106"/>
      <c r="X22" s="108" t="str">
        <f t="shared" si="6"/>
        <v/>
      </c>
      <c r="Y22" s="109" t="str">
        <f t="shared" si="1"/>
        <v/>
      </c>
      <c r="Z22" s="110" t="str">
        <f t="shared" si="2"/>
        <v/>
      </c>
      <c r="AA22" s="109" t="str">
        <f t="shared" si="3"/>
        <v/>
      </c>
      <c r="AB22" s="110" t="str">
        <f t="shared" si="7"/>
        <v/>
      </c>
      <c r="AC22" s="111" t="str">
        <f t="shared" ref="AC22:AC23" si="8">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2"/>
      <c r="AE22" s="113"/>
      <c r="AF22" s="114"/>
      <c r="AG22" s="115"/>
      <c r="AH22" s="115"/>
      <c r="AI22" s="115"/>
      <c r="AJ22" s="113"/>
      <c r="AK22" s="114"/>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8" customHeight="1" x14ac:dyDescent="0.3">
      <c r="A23" s="336"/>
      <c r="B23" s="343"/>
      <c r="C23" s="343"/>
      <c r="D23" s="343"/>
      <c r="E23" s="371"/>
      <c r="F23" s="343"/>
      <c r="G23" s="346"/>
      <c r="H23" s="349"/>
      <c r="I23" s="352"/>
      <c r="J23" s="356"/>
      <c r="K23" s="352">
        <f>IF(NOT(ISERROR(MATCH(J23,_xlfn.ANCHORARRAY(E34),0))),I36&amp;"Por favor no seleccionar los criterios de impacto",J23)</f>
        <v>0</v>
      </c>
      <c r="L23" s="349"/>
      <c r="M23" s="352"/>
      <c r="N23" s="384"/>
      <c r="O23" s="104">
        <v>6</v>
      </c>
      <c r="P23" s="174"/>
      <c r="Q23" s="105" t="str">
        <f t="shared" si="5"/>
        <v/>
      </c>
      <c r="R23" s="106"/>
      <c r="S23" s="106"/>
      <c r="T23" s="107" t="str">
        <f t="shared" si="0"/>
        <v/>
      </c>
      <c r="U23" s="106"/>
      <c r="V23" s="106"/>
      <c r="W23" s="106"/>
      <c r="X23" s="108" t="str">
        <f t="shared" si="6"/>
        <v/>
      </c>
      <c r="Y23" s="109" t="str">
        <f t="shared" si="1"/>
        <v/>
      </c>
      <c r="Z23" s="110" t="str">
        <f t="shared" si="2"/>
        <v/>
      </c>
      <c r="AA23" s="109" t="str">
        <f t="shared" si="3"/>
        <v/>
      </c>
      <c r="AB23" s="110" t="str">
        <f t="shared" si="7"/>
        <v/>
      </c>
      <c r="AC23" s="111" t="str">
        <f t="shared" si="8"/>
        <v/>
      </c>
      <c r="AD23" s="112"/>
      <c r="AE23" s="113"/>
      <c r="AF23" s="114"/>
      <c r="AG23" s="115"/>
      <c r="AH23" s="115"/>
      <c r="AI23" s="115"/>
      <c r="AJ23" s="113"/>
      <c r="AK23" s="114"/>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150" customHeight="1" x14ac:dyDescent="0.3">
      <c r="A24" s="335">
        <v>3</v>
      </c>
      <c r="B24" s="341" t="s">
        <v>158</v>
      </c>
      <c r="C24" s="341" t="s">
        <v>159</v>
      </c>
      <c r="D24" s="341" t="s">
        <v>176</v>
      </c>
      <c r="E24" s="369" t="s">
        <v>177</v>
      </c>
      <c r="F24" s="341" t="s">
        <v>160</v>
      </c>
      <c r="G24" s="344">
        <v>25</v>
      </c>
      <c r="H24" s="347" t="str">
        <f>IF(G24&lt;=0,"",IF(G24&lt;=2,"Muy Baja",IF(G24&lt;=24,"Baja",IF(G24&lt;=500,"Media",IF(G24&lt;=5000,"Alta","Muy Alta")))))</f>
        <v>Media</v>
      </c>
      <c r="I24" s="350">
        <f>IF(H24="","",IF(H24="Muy Baja",0.2,IF(H24="Baja",0.4,IF(H24="Media",0.6,IF(H24="Alta",0.8,IF(H24="Muy Alta",1,))))))</f>
        <v>0.6</v>
      </c>
      <c r="J24" s="354" t="s">
        <v>178</v>
      </c>
      <c r="K24" s="350" t="str">
        <f>IF(NOT(ISERROR(MATCH(J24,'Tabla Impacto'!$B$221:$B$223,0))),'Tabla Impacto'!$F$223&amp;"Por favor no seleccionar los criterios de impacto(Afectación Económica o presupuestal y Pérdida Reputacional)",J24)</f>
        <v xml:space="preserve">     Entre 10 y 50 SMLMV </v>
      </c>
      <c r="L24" s="347" t="str">
        <f>IF(OR(K24='Tabla Impacto'!$C$11,K24='Tabla Impacto'!$D$11),"Leve",IF(OR(K24='Tabla Impacto'!$C$12,K24='Tabla Impacto'!$D$12),"Menor",IF(OR(K24='Tabla Impacto'!$C$13,K24='Tabla Impacto'!$D$13),"Moderado",IF(OR(K24='Tabla Impacto'!$C$14,K24='Tabla Impacto'!$D$14),"Mayor",IF(OR(K24='Tabla Impacto'!$C$15,K24='Tabla Impacto'!$D$15),"Catastrófico","")))))</f>
        <v>Menor</v>
      </c>
      <c r="M24" s="350">
        <f>IF(L24="","",IF(L24="Leve",0.2,IF(L24="Menor",0.4,IF(L24="Moderado",0.6,IF(L24="Mayor",0.8,IF(L24="Catastrófico",1,))))))</f>
        <v>0.4</v>
      </c>
      <c r="N24" s="382"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104">
        <v>1</v>
      </c>
      <c r="P24" s="174" t="s">
        <v>311</v>
      </c>
      <c r="Q24" s="158" t="str">
        <f>IF(OR(R24="Preventivo",R24="Detectivo"),"Probabilidad",IF(R24="Correctivo","Impacto",""))</f>
        <v>Probabilidad</v>
      </c>
      <c r="R24" s="162" t="s">
        <v>162</v>
      </c>
      <c r="S24" s="162" t="s">
        <v>163</v>
      </c>
      <c r="T24" s="163" t="str">
        <f>IF(AND(R24="Preventivo",S24="Automático"),"50%",IF(AND(R24="Preventivo",S24="Manual"),"40%",IF(AND(R24="Detectivo",S24="Automático"),"40%",IF(AND(R24="Detectivo",S24="Manual"),"30%",IF(AND(R24="Correctivo",S24="Automático"),"35%",IF(AND(R24="Correctivo",S24="Manual"),"25%",""))))))</f>
        <v>40%</v>
      </c>
      <c r="U24" s="162" t="s">
        <v>164</v>
      </c>
      <c r="V24" s="162" t="s">
        <v>165</v>
      </c>
      <c r="W24" s="162" t="s">
        <v>166</v>
      </c>
      <c r="X24" s="157">
        <f>IFERROR(IF(Q24="Probabilidad",(I24-(+I24*T24)),IF(Q24="Impacto",I24,"")),"")</f>
        <v>0.36</v>
      </c>
      <c r="Y24" s="164" t="str">
        <f>IFERROR(IF(X24="","",IF(X24&lt;=0.2,"Muy Baja",IF(X24&lt;=0.4,"Baja",IF(X24&lt;=0.6,"Media",IF(X24&lt;=0.8,"Alta","Muy Alta"))))),"")</f>
        <v>Baja</v>
      </c>
      <c r="Z24" s="165">
        <f>+X24</f>
        <v>0.36</v>
      </c>
      <c r="AA24" s="164" t="str">
        <f>IFERROR(IF(AB24="","",IF(AB24&lt;=0.2,"Leve",IF(AB24&lt;=0.4,"Menor",IF(AB24&lt;=0.6,"Moderado",IF(AB24&lt;=0.8,"Mayor","Catastrófico"))))),"")</f>
        <v>Menor</v>
      </c>
      <c r="AB24" s="165">
        <f>IFERROR(IF(Q24="Impacto",(M24-(+M24*T24)),IF(Q24="Probabilidad",M24,"")),"")</f>
        <v>0.4</v>
      </c>
      <c r="AC24" s="166"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67" t="s">
        <v>167</v>
      </c>
      <c r="AE24" s="159" t="s">
        <v>312</v>
      </c>
      <c r="AF24" s="159" t="s">
        <v>179</v>
      </c>
      <c r="AG24" s="161">
        <v>45373</v>
      </c>
      <c r="AH24" s="161">
        <v>45642</v>
      </c>
      <c r="AI24" s="115"/>
      <c r="AJ24" s="113"/>
      <c r="AK24" s="114"/>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99.75" customHeight="1" x14ac:dyDescent="0.3">
      <c r="A25" s="353"/>
      <c r="B25" s="342"/>
      <c r="C25" s="342"/>
      <c r="D25" s="342"/>
      <c r="E25" s="370"/>
      <c r="F25" s="342"/>
      <c r="G25" s="345"/>
      <c r="H25" s="348"/>
      <c r="I25" s="351"/>
      <c r="J25" s="355"/>
      <c r="K25" s="351">
        <f>IF(NOT(ISERROR(MATCH(J25,_xlfn.ANCHORARRAY(E36),0))),I38&amp;"Por favor no seleccionar los criterios de impacto",J25)</f>
        <v>0</v>
      </c>
      <c r="L25" s="348"/>
      <c r="M25" s="351"/>
      <c r="N25" s="383"/>
      <c r="O25" s="104">
        <v>2</v>
      </c>
      <c r="P25" s="174" t="s">
        <v>180</v>
      </c>
      <c r="Q25" s="105" t="str">
        <f>IF(OR(R25="Preventivo",R25="Detectivo"),"Probabilidad",IF(R25="Correctivo","Impacto",""))</f>
        <v>Probabilidad</v>
      </c>
      <c r="R25" s="162" t="s">
        <v>162</v>
      </c>
      <c r="S25" s="162" t="s">
        <v>163</v>
      </c>
      <c r="T25" s="163" t="str">
        <f t="shared" ref="T25:T30" si="9">IF(AND(R25="Preventivo",S25="Automático"),"50%",IF(AND(R25="Preventivo",S25="Manual"),"40%",IF(AND(R25="Detectivo",S25="Automático"),"40%",IF(AND(R25="Detectivo",S25="Manual"),"30%",IF(AND(R25="Correctivo",S25="Automático"),"35%",IF(AND(R25="Correctivo",S25="Manual"),"25%",""))))))</f>
        <v>40%</v>
      </c>
      <c r="U25" s="162" t="s">
        <v>164</v>
      </c>
      <c r="V25" s="162" t="s">
        <v>165</v>
      </c>
      <c r="W25" s="162" t="s">
        <v>166</v>
      </c>
      <c r="X25" s="157">
        <f>IFERROR(IF(AND(Q24="Probabilidad",Q25="Probabilidad"),(Z24-(+Z24*T25)),IF(Q25="Probabilidad",(I24-(+I24*T25)),IF(Q25="Impacto",Z24,""))),"")</f>
        <v>0.216</v>
      </c>
      <c r="Y25" s="164" t="str">
        <f t="shared" si="1"/>
        <v>Baja</v>
      </c>
      <c r="Z25" s="165">
        <f t="shared" ref="Z25:Z29" si="10">+X25</f>
        <v>0.216</v>
      </c>
      <c r="AA25" s="164" t="str">
        <f t="shared" si="3"/>
        <v>Menor</v>
      </c>
      <c r="AB25" s="165">
        <f>IFERROR(IF(AND(Q24="Impacto",Q25="Impacto"),(AB24-(+AB24*T25)),IF(Q25="Impacto",(M24-(+M24*T25)),IF(Q25="Probabilidad",AB24,""))),"")</f>
        <v>0.4</v>
      </c>
      <c r="AC25" s="166" t="str">
        <f t="shared" ref="AC25:AC26" si="11">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167" t="s">
        <v>167</v>
      </c>
      <c r="AE25" s="159" t="s">
        <v>304</v>
      </c>
      <c r="AF25" s="159" t="s">
        <v>181</v>
      </c>
      <c r="AG25" s="161">
        <v>45373</v>
      </c>
      <c r="AH25" s="161">
        <v>45642</v>
      </c>
      <c r="AI25" s="115"/>
      <c r="AJ25" s="113"/>
      <c r="AK25" s="114"/>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8" customHeight="1" x14ac:dyDescent="0.3">
      <c r="A26" s="353"/>
      <c r="B26" s="342"/>
      <c r="C26" s="342"/>
      <c r="D26" s="342"/>
      <c r="E26" s="370"/>
      <c r="F26" s="342"/>
      <c r="G26" s="345"/>
      <c r="H26" s="348"/>
      <c r="I26" s="351"/>
      <c r="J26" s="355"/>
      <c r="K26" s="351">
        <f>IF(NOT(ISERROR(MATCH(J26,_xlfn.ANCHORARRAY(E37),0))),I39&amp;"Por favor no seleccionar los criterios de impacto",J26)</f>
        <v>0</v>
      </c>
      <c r="L26" s="348"/>
      <c r="M26" s="351"/>
      <c r="N26" s="383"/>
      <c r="O26" s="104">
        <v>3</v>
      </c>
      <c r="P26" s="168"/>
      <c r="Q26" s="105" t="str">
        <f>IF(OR(R26="Preventivo",R26="Detectivo"),"Probabilidad",IF(R26="Correctivo","Impacto",""))</f>
        <v/>
      </c>
      <c r="R26" s="106"/>
      <c r="S26" s="106"/>
      <c r="T26" s="163" t="str">
        <f t="shared" si="9"/>
        <v/>
      </c>
      <c r="U26" s="106"/>
      <c r="V26" s="106"/>
      <c r="W26" s="106"/>
      <c r="X26" s="108" t="str">
        <f>IFERROR(IF(AND(Q25="Probabilidad",Q26="Probabilidad"),(Z25-(+Z25*T26)),IF(AND(Q25="Impacto",Q26="Probabilidad"),(Z24-(+Z24*T26)),IF(Q26="Impacto",Z25,""))),"")</f>
        <v/>
      </c>
      <c r="Y26" s="109" t="str">
        <f t="shared" si="1"/>
        <v/>
      </c>
      <c r="Z26" s="110" t="str">
        <f t="shared" si="10"/>
        <v/>
      </c>
      <c r="AA26" s="109" t="str">
        <f t="shared" si="3"/>
        <v/>
      </c>
      <c r="AB26" s="110" t="str">
        <f>IFERROR(IF(AND(Q25="Impacto",Q26="Impacto"),(AB25-(+AB25*T26)),IF(AND(Q25="Probabilidad",Q26="Impacto"),(AB24-(+AB24*T26)),IF(Q26="Probabilidad",AB25,""))),"")</f>
        <v/>
      </c>
      <c r="AC26" s="111" t="str">
        <f t="shared" si="11"/>
        <v/>
      </c>
      <c r="AD26" s="112"/>
      <c r="AE26" s="113"/>
      <c r="AF26" s="114"/>
      <c r="AG26" s="115"/>
      <c r="AH26" s="115"/>
      <c r="AI26" s="115"/>
      <c r="AJ26" s="113"/>
      <c r="AK26" s="114"/>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8" customHeight="1" x14ac:dyDescent="0.3">
      <c r="A27" s="353"/>
      <c r="B27" s="342"/>
      <c r="C27" s="342"/>
      <c r="D27" s="342"/>
      <c r="E27" s="370"/>
      <c r="F27" s="342"/>
      <c r="G27" s="345"/>
      <c r="H27" s="348"/>
      <c r="I27" s="351"/>
      <c r="J27" s="355"/>
      <c r="K27" s="351">
        <f>IF(NOT(ISERROR(MATCH(J27,_xlfn.ANCHORARRAY(E38),0))),I40&amp;"Por favor no seleccionar los criterios de impacto",J27)</f>
        <v>0</v>
      </c>
      <c r="L27" s="348"/>
      <c r="M27" s="351"/>
      <c r="N27" s="383"/>
      <c r="O27" s="104">
        <v>4</v>
      </c>
      <c r="P27" s="174"/>
      <c r="Q27" s="105" t="str">
        <f t="shared" ref="Q27:Q29" si="12">IF(OR(R27="Preventivo",R27="Detectivo"),"Probabilidad",IF(R27="Correctivo","Impacto",""))</f>
        <v/>
      </c>
      <c r="R27" s="106"/>
      <c r="S27" s="106"/>
      <c r="T27" s="163" t="str">
        <f t="shared" si="9"/>
        <v/>
      </c>
      <c r="U27" s="106"/>
      <c r="V27" s="106"/>
      <c r="W27" s="106"/>
      <c r="X27" s="108" t="str">
        <f t="shared" ref="X27:X29" si="13">IFERROR(IF(AND(Q26="Probabilidad",Q27="Probabilidad"),(Z26-(+Z26*T27)),IF(AND(Q26="Impacto",Q27="Probabilidad"),(Z25-(+Z25*T27)),IF(Q27="Impacto",Z26,""))),"")</f>
        <v/>
      </c>
      <c r="Y27" s="109" t="str">
        <f t="shared" si="1"/>
        <v/>
      </c>
      <c r="Z27" s="110" t="str">
        <f t="shared" si="10"/>
        <v/>
      </c>
      <c r="AA27" s="109" t="str">
        <f t="shared" si="3"/>
        <v/>
      </c>
      <c r="AB27" s="110" t="str">
        <f t="shared" ref="AB27:AB29" si="14">IFERROR(IF(AND(Q26="Impacto",Q27="Impacto"),(AB26-(+AB26*T27)),IF(AND(Q26="Probabilidad",Q27="Impacto"),(AB25-(+AB25*T27)),IF(Q27="Probabilidad",AB26,""))),"")</f>
        <v/>
      </c>
      <c r="AC27" s="111"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12"/>
      <c r="AE27" s="113"/>
      <c r="AF27" s="114"/>
      <c r="AG27" s="115"/>
      <c r="AH27" s="115"/>
      <c r="AI27" s="115"/>
      <c r="AJ27" s="113"/>
      <c r="AK27" s="114"/>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8" customHeight="1" x14ac:dyDescent="0.3">
      <c r="A28" s="353"/>
      <c r="B28" s="342"/>
      <c r="C28" s="342"/>
      <c r="D28" s="342"/>
      <c r="E28" s="370"/>
      <c r="F28" s="342"/>
      <c r="G28" s="345"/>
      <c r="H28" s="348"/>
      <c r="I28" s="351"/>
      <c r="J28" s="355"/>
      <c r="K28" s="351">
        <f>IF(NOT(ISERROR(MATCH(J28,_xlfn.ANCHORARRAY(E39),0))),I41&amp;"Por favor no seleccionar los criterios de impacto",J28)</f>
        <v>0</v>
      </c>
      <c r="L28" s="348"/>
      <c r="M28" s="351"/>
      <c r="N28" s="383"/>
      <c r="O28" s="104">
        <v>5</v>
      </c>
      <c r="P28" s="174"/>
      <c r="Q28" s="105" t="str">
        <f t="shared" si="12"/>
        <v/>
      </c>
      <c r="R28" s="106"/>
      <c r="S28" s="106"/>
      <c r="T28" s="163" t="str">
        <f t="shared" si="9"/>
        <v/>
      </c>
      <c r="U28" s="106"/>
      <c r="V28" s="106"/>
      <c r="W28" s="106"/>
      <c r="X28" s="108" t="str">
        <f t="shared" si="13"/>
        <v/>
      </c>
      <c r="Y28" s="109" t="str">
        <f t="shared" si="1"/>
        <v/>
      </c>
      <c r="Z28" s="110" t="str">
        <f t="shared" si="10"/>
        <v/>
      </c>
      <c r="AA28" s="109" t="str">
        <f t="shared" si="3"/>
        <v/>
      </c>
      <c r="AB28" s="110" t="str">
        <f t="shared" si="14"/>
        <v/>
      </c>
      <c r="AC28" s="111" t="str">
        <f t="shared" ref="AC28:AC29" si="15">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2"/>
      <c r="AE28" s="113"/>
      <c r="AF28" s="114"/>
      <c r="AG28" s="115"/>
      <c r="AH28" s="115"/>
      <c r="AI28" s="115"/>
      <c r="AJ28" s="113"/>
      <c r="AK28" s="114"/>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8" customHeight="1" x14ac:dyDescent="0.3">
      <c r="A29" s="336"/>
      <c r="B29" s="343"/>
      <c r="C29" s="343"/>
      <c r="D29" s="343"/>
      <c r="E29" s="371"/>
      <c r="F29" s="343"/>
      <c r="G29" s="346"/>
      <c r="H29" s="349"/>
      <c r="I29" s="352"/>
      <c r="J29" s="356"/>
      <c r="K29" s="352">
        <f>IF(NOT(ISERROR(MATCH(J29,_xlfn.ANCHORARRAY(E40),0))),I42&amp;"Por favor no seleccionar los criterios de impacto",J29)</f>
        <v>0</v>
      </c>
      <c r="L29" s="349"/>
      <c r="M29" s="352"/>
      <c r="N29" s="384"/>
      <c r="O29" s="104">
        <v>6</v>
      </c>
      <c r="P29" s="174"/>
      <c r="Q29" s="105" t="str">
        <f t="shared" si="12"/>
        <v/>
      </c>
      <c r="R29" s="106"/>
      <c r="S29" s="106"/>
      <c r="T29" s="163" t="str">
        <f t="shared" si="9"/>
        <v/>
      </c>
      <c r="U29" s="106"/>
      <c r="V29" s="106"/>
      <c r="W29" s="106"/>
      <c r="X29" s="108" t="str">
        <f t="shared" si="13"/>
        <v/>
      </c>
      <c r="Y29" s="109" t="str">
        <f t="shared" si="1"/>
        <v/>
      </c>
      <c r="Z29" s="110" t="str">
        <f t="shared" si="10"/>
        <v/>
      </c>
      <c r="AA29" s="109" t="str">
        <f t="shared" si="3"/>
        <v/>
      </c>
      <c r="AB29" s="110" t="str">
        <f t="shared" si="14"/>
        <v/>
      </c>
      <c r="AC29" s="111" t="str">
        <f t="shared" si="15"/>
        <v/>
      </c>
      <c r="AD29" s="112"/>
      <c r="AE29" s="113"/>
      <c r="AF29" s="114"/>
      <c r="AG29" s="115"/>
      <c r="AH29" s="115"/>
      <c r="AI29" s="115"/>
      <c r="AJ29" s="113"/>
      <c r="AK29" s="114"/>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14" customHeight="1" x14ac:dyDescent="0.3">
      <c r="A30" s="335">
        <v>4</v>
      </c>
      <c r="B30" s="341" t="s">
        <v>168</v>
      </c>
      <c r="C30" s="341" t="s">
        <v>182</v>
      </c>
      <c r="D30" s="341" t="s">
        <v>183</v>
      </c>
      <c r="E30" s="369" t="s">
        <v>313</v>
      </c>
      <c r="F30" s="341" t="s">
        <v>160</v>
      </c>
      <c r="G30" s="344">
        <v>4</v>
      </c>
      <c r="H30" s="347" t="str">
        <f>IF(G30&lt;=0,"",IF(G30&lt;=2,"Muy Baja",IF(G30&lt;=24,"Baja",IF(G30&lt;=500,"Media",IF(G30&lt;=5000,"Alta","Muy Alta")))))</f>
        <v>Baja</v>
      </c>
      <c r="I30" s="350">
        <f>IF(H30="","",IF(H30="Muy Baja",0.2,IF(H30="Baja",0.4,IF(H30="Media",0.6,IF(H30="Alta",0.8,IF(H30="Muy Alta",1,))))))</f>
        <v>0.4</v>
      </c>
      <c r="J30" s="354" t="s">
        <v>172</v>
      </c>
      <c r="K30" s="350" t="str">
        <f>IF(NOT(ISERROR(MATCH(J30,'Tabla Impacto'!$B$221:$B$223,0))),'Tabla Impacto'!$F$223&amp;"Por favor no seleccionar los criterios de impacto(Afectación Económica o presupuestal y Pérdida Reputacional)",J30)</f>
        <v xml:space="preserve">     El riesgo afecta la imagen de la entidad con algunos usuarios de relevancia frente al logro de los objetivos</v>
      </c>
      <c r="L30" s="347" t="str">
        <f>IF(OR(K30='Tabla Impacto'!$C$11,K30='Tabla Impacto'!$D$11),"Leve",IF(OR(K30='Tabla Impacto'!$C$12,K30='Tabla Impacto'!$D$12),"Menor",IF(OR(K30='Tabla Impacto'!$C$13,K30='Tabla Impacto'!$D$13),"Moderado",IF(OR(K30='Tabla Impacto'!$C$14,K30='Tabla Impacto'!$D$14),"Mayor",IF(OR(K30='Tabla Impacto'!$C$15,K30='Tabla Impacto'!$D$15),"Catastrófico","")))))</f>
        <v>Moderado</v>
      </c>
      <c r="M30" s="350">
        <f>IF(L30="","",IF(L30="Leve",0.2,IF(L30="Menor",0.4,IF(L30="Moderado",0.6,IF(L30="Mayor",0.8,IF(L30="Catastrófico",1,))))))</f>
        <v>0.6</v>
      </c>
      <c r="N30" s="382"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Moderado</v>
      </c>
      <c r="O30" s="104">
        <v>1</v>
      </c>
      <c r="P30" s="174" t="s">
        <v>350</v>
      </c>
      <c r="Q30" s="158" t="str">
        <f>IF(OR(R30="Preventivo",R30="Detectivo"),"Probabilidad",IF(R30="Correctivo","Impacto",""))</f>
        <v>Probabilidad</v>
      </c>
      <c r="R30" s="162" t="s">
        <v>162</v>
      </c>
      <c r="S30" s="162" t="s">
        <v>163</v>
      </c>
      <c r="T30" s="163" t="str">
        <f t="shared" si="9"/>
        <v>40%</v>
      </c>
      <c r="U30" s="162" t="s">
        <v>164</v>
      </c>
      <c r="V30" s="162" t="s">
        <v>165</v>
      </c>
      <c r="W30" s="162" t="s">
        <v>166</v>
      </c>
      <c r="X30" s="157">
        <f>IFERROR(IF(Q30="Probabilidad",(I30-(+I30*T30)),IF(Q30="Impacto",I30,"")),"")</f>
        <v>0.24</v>
      </c>
      <c r="Y30" s="164" t="str">
        <f>IFERROR(IF(X30="","",IF(X30&lt;=0.2,"Muy Baja",IF(X30&lt;=0.4,"Baja",IF(X30&lt;=0.6,"Media",IF(X30&lt;=0.8,"Alta","Muy Alta"))))),"")</f>
        <v>Baja</v>
      </c>
      <c r="Z30" s="165">
        <f>+X30</f>
        <v>0.24</v>
      </c>
      <c r="AA30" s="164" t="str">
        <f>IFERROR(IF(AB30="","",IF(AB30&lt;=0.2,"Leve",IF(AB30&lt;=0.4,"Menor",IF(AB30&lt;=0.6,"Moderado",IF(AB30&lt;=0.8,"Mayor","Catastrófico"))))),"")</f>
        <v>Moderado</v>
      </c>
      <c r="AB30" s="165">
        <f>IFERROR(IF(Q30="Impacto",(M30-(+M30*T30)),IF(Q30="Probabilidad",M30,"")),"")</f>
        <v>0.6</v>
      </c>
      <c r="AC30" s="166"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Moderado</v>
      </c>
      <c r="AD30" s="167" t="s">
        <v>167</v>
      </c>
      <c r="AE30" s="159" t="s">
        <v>349</v>
      </c>
      <c r="AF30" s="159" t="s">
        <v>184</v>
      </c>
      <c r="AG30" s="161">
        <v>45373</v>
      </c>
      <c r="AH30" s="161">
        <v>45642</v>
      </c>
      <c r="AI30" s="115"/>
      <c r="AJ30" s="113"/>
      <c r="AK30" s="114"/>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8" customHeight="1" x14ac:dyDescent="0.3">
      <c r="A31" s="353"/>
      <c r="B31" s="342"/>
      <c r="C31" s="342"/>
      <c r="D31" s="342"/>
      <c r="E31" s="370"/>
      <c r="F31" s="342"/>
      <c r="G31" s="345"/>
      <c r="H31" s="348"/>
      <c r="I31" s="351"/>
      <c r="J31" s="355"/>
      <c r="K31" s="351">
        <f>IF(NOT(ISERROR(MATCH(J31,_xlfn.ANCHORARRAY(E42),0))),I44&amp;"Por favor no seleccionar los criterios de impacto",J31)</f>
        <v>0</v>
      </c>
      <c r="L31" s="348"/>
      <c r="M31" s="351"/>
      <c r="N31" s="383"/>
      <c r="O31" s="104">
        <v>2</v>
      </c>
      <c r="P31" s="174"/>
      <c r="Q31" s="105" t="str">
        <f>IF(OR(R31="Preventivo",R31="Detectivo"),"Probabilidad",IF(R31="Correctivo","Impacto",""))</f>
        <v/>
      </c>
      <c r="R31" s="106"/>
      <c r="S31" s="106"/>
      <c r="T31" s="107" t="str">
        <f t="shared" ref="T31:T36" si="16">IF(AND(R31="Preventivo",S31="Automático"),"50%",IF(AND(R31="Preventivo",S31="Manual"),"40%",IF(AND(R31="Detectivo",S31="Automático"),"40%",IF(AND(R31="Detectivo",S31="Manual"),"30%",IF(AND(R31="Correctivo",S31="Automático"),"35%",IF(AND(R31="Correctivo",S31="Manual"),"25%",""))))))</f>
        <v/>
      </c>
      <c r="U31" s="106"/>
      <c r="V31" s="106"/>
      <c r="W31" s="106"/>
      <c r="X31" s="108" t="str">
        <f>IFERROR(IF(AND(Q30="Probabilidad",Q31="Probabilidad"),(Z30-(+Z30*T31)),IF(Q31="Probabilidad",(I30-(+I30*T31)),IF(Q31="Impacto",Z30,""))),"")</f>
        <v/>
      </c>
      <c r="Y31" s="109" t="str">
        <f t="shared" si="1"/>
        <v/>
      </c>
      <c r="Z31" s="110" t="str">
        <f t="shared" ref="Z31:Z35" si="17">+X31</f>
        <v/>
      </c>
      <c r="AA31" s="109" t="str">
        <f t="shared" si="3"/>
        <v/>
      </c>
      <c r="AB31" s="110" t="str">
        <f>IFERROR(IF(AND(Q30="Impacto",Q31="Impacto"),(AB30-(+AB30*T31)),IF(Q31="Impacto",(M30-(+M30*T31)),IF(Q31="Probabilidad",AB30,""))),"")</f>
        <v/>
      </c>
      <c r="AC31" s="111" t="str">
        <f t="shared" ref="AC31:AC32" si="18">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12"/>
      <c r="AE31" s="113"/>
      <c r="AF31" s="114"/>
      <c r="AG31" s="115"/>
      <c r="AH31" s="115"/>
      <c r="AI31" s="115"/>
      <c r="AJ31" s="113"/>
      <c r="AK31" s="114"/>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8" customHeight="1" x14ac:dyDescent="0.3">
      <c r="A32" s="353"/>
      <c r="B32" s="342"/>
      <c r="C32" s="342"/>
      <c r="D32" s="342"/>
      <c r="E32" s="370"/>
      <c r="F32" s="342"/>
      <c r="G32" s="345"/>
      <c r="H32" s="348"/>
      <c r="I32" s="351"/>
      <c r="J32" s="355"/>
      <c r="K32" s="351">
        <f>IF(NOT(ISERROR(MATCH(J32,_xlfn.ANCHORARRAY(E43),0))),I45&amp;"Por favor no seleccionar los criterios de impacto",J32)</f>
        <v>0</v>
      </c>
      <c r="L32" s="348"/>
      <c r="M32" s="351"/>
      <c r="N32" s="383"/>
      <c r="O32" s="104">
        <v>3</v>
      </c>
      <c r="P32" s="168"/>
      <c r="Q32" s="105" t="str">
        <f>IF(OR(R32="Preventivo",R32="Detectivo"),"Probabilidad",IF(R32="Correctivo","Impacto",""))</f>
        <v/>
      </c>
      <c r="R32" s="106"/>
      <c r="S32" s="106"/>
      <c r="T32" s="107" t="str">
        <f t="shared" si="16"/>
        <v/>
      </c>
      <c r="U32" s="106"/>
      <c r="V32" s="106"/>
      <c r="W32" s="106"/>
      <c r="X32" s="108" t="str">
        <f>IFERROR(IF(AND(Q31="Probabilidad",Q32="Probabilidad"),(Z31-(+Z31*T32)),IF(AND(Q31="Impacto",Q32="Probabilidad"),(Z30-(+Z30*T32)),IF(Q32="Impacto",Z31,""))),"")</f>
        <v/>
      </c>
      <c r="Y32" s="109" t="str">
        <f t="shared" si="1"/>
        <v/>
      </c>
      <c r="Z32" s="110" t="str">
        <f t="shared" si="17"/>
        <v/>
      </c>
      <c r="AA32" s="109" t="str">
        <f t="shared" si="3"/>
        <v/>
      </c>
      <c r="AB32" s="110" t="str">
        <f>IFERROR(IF(AND(Q31="Impacto",Q32="Impacto"),(AB31-(+AB31*T32)),IF(AND(Q31="Probabilidad",Q32="Impacto"),(AB30-(+AB30*T32)),IF(Q32="Probabilidad",AB31,""))),"")</f>
        <v/>
      </c>
      <c r="AC32" s="111" t="str">
        <f t="shared" si="18"/>
        <v/>
      </c>
      <c r="AD32" s="112"/>
      <c r="AE32" s="113"/>
      <c r="AF32" s="114"/>
      <c r="AG32" s="115"/>
      <c r="AH32" s="115"/>
      <c r="AI32" s="115"/>
      <c r="AJ32" s="113"/>
      <c r="AK32" s="114"/>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8" customHeight="1" x14ac:dyDescent="0.3">
      <c r="A33" s="353"/>
      <c r="B33" s="342"/>
      <c r="C33" s="342"/>
      <c r="D33" s="342"/>
      <c r="E33" s="370"/>
      <c r="F33" s="342"/>
      <c r="G33" s="345"/>
      <c r="H33" s="348"/>
      <c r="I33" s="351"/>
      <c r="J33" s="355"/>
      <c r="K33" s="351">
        <f>IF(NOT(ISERROR(MATCH(J33,_xlfn.ANCHORARRAY(E44),0))),I46&amp;"Por favor no seleccionar los criterios de impacto",J33)</f>
        <v>0</v>
      </c>
      <c r="L33" s="348"/>
      <c r="M33" s="351"/>
      <c r="N33" s="383"/>
      <c r="O33" s="104">
        <v>4</v>
      </c>
      <c r="P33" s="174"/>
      <c r="Q33" s="105" t="str">
        <f t="shared" ref="Q33:Q36" si="19">IF(OR(R33="Preventivo",R33="Detectivo"),"Probabilidad",IF(R33="Correctivo","Impacto",""))</f>
        <v/>
      </c>
      <c r="R33" s="106"/>
      <c r="S33" s="106"/>
      <c r="T33" s="107" t="str">
        <f t="shared" si="16"/>
        <v/>
      </c>
      <c r="U33" s="106"/>
      <c r="V33" s="106"/>
      <c r="W33" s="106"/>
      <c r="X33" s="108" t="str">
        <f t="shared" ref="X33:X35" si="20">IFERROR(IF(AND(Q32="Probabilidad",Q33="Probabilidad"),(Z32-(+Z32*T33)),IF(AND(Q32="Impacto",Q33="Probabilidad"),(Z31-(+Z31*T33)),IF(Q33="Impacto",Z32,""))),"")</f>
        <v/>
      </c>
      <c r="Y33" s="109" t="str">
        <f t="shared" si="1"/>
        <v/>
      </c>
      <c r="Z33" s="110" t="str">
        <f t="shared" si="17"/>
        <v/>
      </c>
      <c r="AA33" s="109" t="str">
        <f t="shared" si="3"/>
        <v/>
      </c>
      <c r="AB33" s="110" t="str">
        <f t="shared" ref="AB33:AB35" si="21">IFERROR(IF(AND(Q32="Impacto",Q33="Impacto"),(AB32-(+AB32*T33)),IF(AND(Q32="Probabilidad",Q33="Impacto"),(AB31-(+AB31*T33)),IF(Q33="Probabilidad",AB32,""))),"")</f>
        <v/>
      </c>
      <c r="AC33" s="111"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2"/>
      <c r="AE33" s="113"/>
      <c r="AF33" s="114"/>
      <c r="AG33" s="115"/>
      <c r="AH33" s="115"/>
      <c r="AI33" s="115"/>
      <c r="AJ33" s="113"/>
      <c r="AK33" s="114"/>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8" customHeight="1" x14ac:dyDescent="0.3">
      <c r="A34" s="353"/>
      <c r="B34" s="342"/>
      <c r="C34" s="342"/>
      <c r="D34" s="342"/>
      <c r="E34" s="370"/>
      <c r="F34" s="342"/>
      <c r="G34" s="345"/>
      <c r="H34" s="348"/>
      <c r="I34" s="351"/>
      <c r="J34" s="355"/>
      <c r="K34" s="351">
        <f>IF(NOT(ISERROR(MATCH(J34,_xlfn.ANCHORARRAY(E45),0))),I47&amp;"Por favor no seleccionar los criterios de impacto",J34)</f>
        <v>0</v>
      </c>
      <c r="L34" s="348"/>
      <c r="M34" s="351"/>
      <c r="N34" s="383"/>
      <c r="O34" s="104">
        <v>5</v>
      </c>
      <c r="P34" s="174"/>
      <c r="Q34" s="105" t="str">
        <f t="shared" si="19"/>
        <v/>
      </c>
      <c r="R34" s="106"/>
      <c r="S34" s="106"/>
      <c r="T34" s="107" t="str">
        <f t="shared" si="16"/>
        <v/>
      </c>
      <c r="U34" s="106"/>
      <c r="V34" s="106"/>
      <c r="W34" s="106"/>
      <c r="X34" s="108" t="str">
        <f t="shared" si="20"/>
        <v/>
      </c>
      <c r="Y34" s="109" t="str">
        <f>IFERROR(IF(X34="","",IF(X34&lt;=0.2,"Muy Baja",IF(X34&lt;=0.4,"Baja",IF(X34&lt;=0.6,"Media",IF(X34&lt;=0.8,"Alta","Muy Alta"))))),"")</f>
        <v/>
      </c>
      <c r="Z34" s="110" t="str">
        <f t="shared" si="17"/>
        <v/>
      </c>
      <c r="AA34" s="109" t="str">
        <f t="shared" si="3"/>
        <v/>
      </c>
      <c r="AB34" s="110" t="str">
        <f t="shared" si="21"/>
        <v/>
      </c>
      <c r="AC34" s="111" t="str">
        <f t="shared" ref="AC34:AC35" si="22">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2"/>
      <c r="AE34" s="113"/>
      <c r="AF34" s="114"/>
      <c r="AG34" s="115"/>
      <c r="AH34" s="115"/>
      <c r="AI34" s="115"/>
      <c r="AJ34" s="113"/>
      <c r="AK34" s="114"/>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8" customHeight="1" x14ac:dyDescent="0.3">
      <c r="A35" s="336"/>
      <c r="B35" s="343"/>
      <c r="C35" s="343"/>
      <c r="D35" s="343"/>
      <c r="E35" s="371"/>
      <c r="F35" s="343"/>
      <c r="G35" s="346"/>
      <c r="H35" s="349"/>
      <c r="I35" s="352"/>
      <c r="J35" s="356"/>
      <c r="K35" s="352">
        <f>IF(NOT(ISERROR(MATCH(J35,_xlfn.ANCHORARRAY(E46),0))),I48&amp;"Por favor no seleccionar los criterios de impacto",J35)</f>
        <v>0</v>
      </c>
      <c r="L35" s="349"/>
      <c r="M35" s="352"/>
      <c r="N35" s="384"/>
      <c r="O35" s="104">
        <v>6</v>
      </c>
      <c r="P35" s="174"/>
      <c r="Q35" s="105"/>
      <c r="R35" s="106"/>
      <c r="S35" s="106"/>
      <c r="T35" s="107" t="str">
        <f t="shared" si="16"/>
        <v/>
      </c>
      <c r="U35" s="106"/>
      <c r="V35" s="106"/>
      <c r="W35" s="106"/>
      <c r="X35" s="108" t="str">
        <f t="shared" si="20"/>
        <v/>
      </c>
      <c r="Y35" s="109" t="str">
        <f t="shared" si="1"/>
        <v/>
      </c>
      <c r="Z35" s="110" t="str">
        <f t="shared" si="17"/>
        <v/>
      </c>
      <c r="AA35" s="109" t="str">
        <f t="shared" si="3"/>
        <v/>
      </c>
      <c r="AB35" s="110" t="str">
        <f t="shared" si="21"/>
        <v/>
      </c>
      <c r="AC35" s="111" t="str">
        <f t="shared" si="22"/>
        <v/>
      </c>
      <c r="AD35" s="112"/>
      <c r="AE35" s="113"/>
      <c r="AF35" s="114"/>
      <c r="AG35" s="115"/>
      <c r="AH35" s="115"/>
      <c r="AI35" s="115"/>
      <c r="AJ35" s="113"/>
      <c r="AK35" s="114"/>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28.25" customHeight="1" x14ac:dyDescent="0.3">
      <c r="A36" s="335">
        <v>5</v>
      </c>
      <c r="B36" s="341" t="s">
        <v>168</v>
      </c>
      <c r="C36" s="341" t="s">
        <v>185</v>
      </c>
      <c r="D36" s="341" t="s">
        <v>99</v>
      </c>
      <c r="E36" s="369" t="s">
        <v>186</v>
      </c>
      <c r="F36" s="341" t="s">
        <v>160</v>
      </c>
      <c r="G36" s="344">
        <v>360</v>
      </c>
      <c r="H36" s="347" t="str">
        <f>IF(G36&lt;=0,"",IF(G36&lt;=2,"Muy Baja",IF(G36&lt;=24,"Baja",IF(G36&lt;=500,"Media",IF(G36&lt;=5000,"Alta","Muy Alta")))))</f>
        <v>Media</v>
      </c>
      <c r="I36" s="350">
        <f>IF(H36="","",IF(H36="Muy Baja",0.2,IF(H36="Baja",0.4,IF(H36="Media",0.6,IF(H36="Alta",0.8,IF(H36="Muy Alta",1,))))))</f>
        <v>0.6</v>
      </c>
      <c r="J36" s="354" t="s">
        <v>172</v>
      </c>
      <c r="K36" s="400" t="str">
        <f>IF(NOT(ISERROR(MATCH(J36,'Tabla Impacto'!$B$221:$B$223,0))),'Tabla Impacto'!$F$223&amp;"Por favor no seleccionar los criterios de impacto(Afectación Económica o presupuestal y Pérdida Reputacional)",J36)</f>
        <v xml:space="preserve">     El riesgo afecta la imagen de la entidad con algunos usuarios de relevancia frente al logro de los objetivos</v>
      </c>
      <c r="L36" s="347" t="str">
        <f>IF(OR(K36='Tabla Impacto'!$C$11,K36='Tabla Impacto'!$D$11),"Leve",IF(OR(K36='Tabla Impacto'!$C$12,K36='Tabla Impacto'!$D$12),"Menor",IF(OR(K36='Tabla Impacto'!$C$13,K36='Tabla Impacto'!$D$13),"Moderado",IF(OR(K36='Tabla Impacto'!$C$14,K36='Tabla Impacto'!$D$14),"Mayor",IF(OR(K36='Tabla Impacto'!$C$15,K36='Tabla Impacto'!$D$15),"Catastrófico","")))))</f>
        <v>Moderado</v>
      </c>
      <c r="M36" s="350">
        <f>IF(L36="","",IF(L36="Leve",0.2,IF(L36="Menor",0.4,IF(L36="Moderado",0.6,IF(L36="Mayor",0.8,IF(L36="Catastrófico",1,))))))</f>
        <v>0.6</v>
      </c>
      <c r="N36" s="382"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Moderado</v>
      </c>
      <c r="O36" s="104">
        <v>1</v>
      </c>
      <c r="P36" s="174" t="s">
        <v>187</v>
      </c>
      <c r="Q36" s="158" t="str">
        <f t="shared" si="19"/>
        <v>Probabilidad</v>
      </c>
      <c r="R36" s="162" t="s">
        <v>162</v>
      </c>
      <c r="S36" s="162" t="s">
        <v>163</v>
      </c>
      <c r="T36" s="163" t="str">
        <f t="shared" si="16"/>
        <v>40%</v>
      </c>
      <c r="U36" s="162" t="s">
        <v>164</v>
      </c>
      <c r="V36" s="162" t="s">
        <v>165</v>
      </c>
      <c r="W36" s="162" t="s">
        <v>166</v>
      </c>
      <c r="X36" s="157">
        <f>IFERROR(IF(Q36="Probabilidad",(I36-(+I36*T36)),IF(Q36="Impacto",I36,"")),"")</f>
        <v>0.36</v>
      </c>
      <c r="Y36" s="164" t="str">
        <f>IFERROR(IF(X36="","",IF(X36&lt;=0.2,"Muy Baja",IF(X36&lt;=0.4,"Baja",IF(X36&lt;=0.6,"Media",IF(X36&lt;=0.8,"Alta","Muy Alta"))))),"")</f>
        <v>Baja</v>
      </c>
      <c r="Z36" s="165">
        <f>+X36</f>
        <v>0.36</v>
      </c>
      <c r="AA36" s="164" t="str">
        <f>IFERROR(IF(AB36="","",IF(AB36&lt;=0.2,"Leve",IF(AB36&lt;=0.4,"Menor",IF(AB36&lt;=0.6,"Moderado",IF(AB36&lt;=0.8,"Mayor","Catastrófico"))))),"")</f>
        <v>Moderado</v>
      </c>
      <c r="AB36" s="165">
        <f>IFERROR(IF(Q36="Impacto",(M36-(+M36*T36)),IF(Q36="Probabilidad",M36,"")),"")</f>
        <v>0.6</v>
      </c>
      <c r="AC36" s="166"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Moderado</v>
      </c>
      <c r="AD36" s="167" t="s">
        <v>167</v>
      </c>
      <c r="AE36" s="159" t="s">
        <v>305</v>
      </c>
      <c r="AF36" s="159" t="s">
        <v>188</v>
      </c>
      <c r="AG36" s="161">
        <v>45373</v>
      </c>
      <c r="AH36" s="161">
        <v>45443</v>
      </c>
      <c r="AI36" s="115"/>
      <c r="AJ36" s="113"/>
      <c r="AK36" s="114"/>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x14ac:dyDescent="0.3">
      <c r="A37" s="353"/>
      <c r="B37" s="342"/>
      <c r="C37" s="342"/>
      <c r="D37" s="342"/>
      <c r="E37" s="370"/>
      <c r="F37" s="342"/>
      <c r="G37" s="345"/>
      <c r="H37" s="348"/>
      <c r="I37" s="351"/>
      <c r="J37" s="355"/>
      <c r="K37" s="401">
        <f>IF(NOT(ISERROR(MATCH(J37,_xlfn.ANCHORARRAY(E48),0))),I50&amp;"Por favor no seleccionar los criterios de impacto",J37)</f>
        <v>0</v>
      </c>
      <c r="L37" s="348"/>
      <c r="M37" s="351"/>
      <c r="N37" s="383"/>
      <c r="O37" s="104">
        <v>2</v>
      </c>
      <c r="P37" s="174"/>
      <c r="Q37" s="158"/>
      <c r="R37" s="162"/>
      <c r="S37" s="162"/>
      <c r="T37" s="163"/>
      <c r="U37" s="162"/>
      <c r="V37" s="162"/>
      <c r="W37" s="162"/>
      <c r="X37" s="157"/>
      <c r="Y37" s="164"/>
      <c r="Z37" s="165"/>
      <c r="AA37" s="164"/>
      <c r="AB37" s="165"/>
      <c r="AC37" s="166"/>
      <c r="AD37" s="167"/>
      <c r="AE37" s="159"/>
      <c r="AF37" s="159"/>
      <c r="AG37" s="161"/>
      <c r="AH37" s="161"/>
      <c r="AI37" s="115"/>
      <c r="AJ37" s="113"/>
      <c r="AK37" s="114"/>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8" customHeight="1" x14ac:dyDescent="0.3">
      <c r="A38" s="353"/>
      <c r="B38" s="342"/>
      <c r="C38" s="342"/>
      <c r="D38" s="342"/>
      <c r="E38" s="370"/>
      <c r="F38" s="342"/>
      <c r="G38" s="345"/>
      <c r="H38" s="348"/>
      <c r="I38" s="351"/>
      <c r="J38" s="355"/>
      <c r="K38" s="401">
        <f>IF(NOT(ISERROR(MATCH(J38,_xlfn.ANCHORARRAY(E49),0))),I51&amp;"Por favor no seleccionar los criterios de impacto",J38)</f>
        <v>0</v>
      </c>
      <c r="L38" s="348"/>
      <c r="M38" s="351"/>
      <c r="N38" s="383"/>
      <c r="O38" s="104">
        <v>3</v>
      </c>
      <c r="P38" s="168"/>
      <c r="Q38" s="105" t="str">
        <f>IF(OR(R38="Preventivo",R38="Detectivo"),"Probabilidad",IF(R38="Correctivo","Impacto",""))</f>
        <v/>
      </c>
      <c r="R38" s="106"/>
      <c r="S38" s="106"/>
      <c r="T38" s="163" t="str">
        <f t="shared" ref="T38:T42" si="23">IF(AND(R38="Preventivo",S38="Automático"),"50%",IF(AND(R38="Preventivo",S38="Manual"),"40%",IF(AND(R38="Detectivo",S38="Automático"),"40%",IF(AND(R38="Detectivo",S38="Manual"),"30%",IF(AND(R38="Correctivo",S38="Automático"),"35%",IF(AND(R38="Correctivo",S38="Manual"),"25%",""))))))</f>
        <v/>
      </c>
      <c r="U38" s="106"/>
      <c r="V38" s="106"/>
      <c r="W38" s="106"/>
      <c r="X38" s="108" t="str">
        <f>IFERROR(IF(AND(Q37="Probabilidad",Q38="Probabilidad"),(Z37-(+Z37*T38)),IF(AND(Q37="Impacto",Q38="Probabilidad"),(Z36-(+Z36*T38)),IF(Q38="Impacto",Z37,""))),"")</f>
        <v/>
      </c>
      <c r="Y38" s="109" t="str">
        <f t="shared" si="1"/>
        <v/>
      </c>
      <c r="Z38" s="110" t="str">
        <f t="shared" ref="Z38:Z41" si="24">+X38</f>
        <v/>
      </c>
      <c r="AA38" s="109" t="str">
        <f t="shared" si="3"/>
        <v/>
      </c>
      <c r="AB38" s="110" t="str">
        <f>IFERROR(IF(AND(Q37="Impacto",Q38="Impacto"),(AB37-(+AB37*T38)),IF(AND(Q37="Probabilidad",Q38="Impacto"),(AB36-(+AB36*T38)),IF(Q38="Probabilidad",AB37,""))),"")</f>
        <v/>
      </c>
      <c r="AC38" s="111" t="str">
        <f t="shared" ref="AC38" si="25">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12"/>
      <c r="AE38" s="113"/>
      <c r="AF38" s="114"/>
      <c r="AG38" s="115"/>
      <c r="AH38" s="115"/>
      <c r="AI38" s="115"/>
      <c r="AJ38" s="113"/>
      <c r="AK38" s="114"/>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8" customHeight="1" x14ac:dyDescent="0.3">
      <c r="A39" s="353"/>
      <c r="B39" s="342"/>
      <c r="C39" s="342"/>
      <c r="D39" s="342"/>
      <c r="E39" s="370"/>
      <c r="F39" s="342"/>
      <c r="G39" s="345"/>
      <c r="H39" s="348"/>
      <c r="I39" s="351"/>
      <c r="J39" s="355"/>
      <c r="K39" s="401">
        <f>IF(NOT(ISERROR(MATCH(J39,_xlfn.ANCHORARRAY(E50),0))),I52&amp;"Por favor no seleccionar los criterios de impacto",J39)</f>
        <v>0</v>
      </c>
      <c r="L39" s="348"/>
      <c r="M39" s="351"/>
      <c r="N39" s="383"/>
      <c r="O39" s="104">
        <v>4</v>
      </c>
      <c r="P39" s="174"/>
      <c r="Q39" s="105" t="str">
        <f t="shared" ref="Q39:Q42" si="26">IF(OR(R39="Preventivo",R39="Detectivo"),"Probabilidad",IF(R39="Correctivo","Impacto",""))</f>
        <v/>
      </c>
      <c r="R39" s="106"/>
      <c r="S39" s="106"/>
      <c r="T39" s="163" t="str">
        <f t="shared" si="23"/>
        <v/>
      </c>
      <c r="U39" s="106"/>
      <c r="V39" s="106"/>
      <c r="W39" s="106"/>
      <c r="X39" s="108" t="str">
        <f t="shared" ref="X39:X41" si="27">IFERROR(IF(AND(Q38="Probabilidad",Q39="Probabilidad"),(Z38-(+Z38*T39)),IF(AND(Q38="Impacto",Q39="Probabilidad"),(Z37-(+Z37*T39)),IF(Q39="Impacto",Z38,""))),"")</f>
        <v/>
      </c>
      <c r="Y39" s="109" t="str">
        <f t="shared" si="1"/>
        <v/>
      </c>
      <c r="Z39" s="110" t="str">
        <f t="shared" si="24"/>
        <v/>
      </c>
      <c r="AA39" s="109" t="str">
        <f t="shared" si="3"/>
        <v/>
      </c>
      <c r="AB39" s="110" t="str">
        <f t="shared" ref="AB39:AB41" si="28">IFERROR(IF(AND(Q38="Impacto",Q39="Impacto"),(AB38-(+AB38*T39)),IF(AND(Q38="Probabilidad",Q39="Impacto"),(AB37-(+AB37*T39)),IF(Q39="Probabilidad",AB38,""))),"")</f>
        <v/>
      </c>
      <c r="AC39" s="111"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2"/>
      <c r="AE39" s="113"/>
      <c r="AF39" s="114"/>
      <c r="AG39" s="115"/>
      <c r="AH39" s="115"/>
      <c r="AI39" s="115"/>
      <c r="AJ39" s="113"/>
      <c r="AK39" s="114"/>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8" customHeight="1" x14ac:dyDescent="0.3">
      <c r="A40" s="353"/>
      <c r="B40" s="342"/>
      <c r="C40" s="342"/>
      <c r="D40" s="342"/>
      <c r="E40" s="370"/>
      <c r="F40" s="342"/>
      <c r="G40" s="345"/>
      <c r="H40" s="348"/>
      <c r="I40" s="351"/>
      <c r="J40" s="355"/>
      <c r="K40" s="401">
        <f>IF(NOT(ISERROR(MATCH(J40,_xlfn.ANCHORARRAY(E51),0))),I53&amp;"Por favor no seleccionar los criterios de impacto",J40)</f>
        <v>0</v>
      </c>
      <c r="L40" s="348"/>
      <c r="M40" s="351"/>
      <c r="N40" s="383"/>
      <c r="O40" s="104">
        <v>5</v>
      </c>
      <c r="P40" s="174"/>
      <c r="Q40" s="105" t="str">
        <f t="shared" si="26"/>
        <v/>
      </c>
      <c r="R40" s="106"/>
      <c r="S40" s="106"/>
      <c r="T40" s="163" t="str">
        <f t="shared" si="23"/>
        <v/>
      </c>
      <c r="U40" s="106"/>
      <c r="V40" s="106"/>
      <c r="W40" s="106"/>
      <c r="X40" s="108" t="str">
        <f t="shared" si="27"/>
        <v/>
      </c>
      <c r="Y40" s="109" t="str">
        <f t="shared" si="1"/>
        <v/>
      </c>
      <c r="Z40" s="110" t="str">
        <f t="shared" si="24"/>
        <v/>
      </c>
      <c r="AA40" s="109" t="str">
        <f t="shared" si="3"/>
        <v/>
      </c>
      <c r="AB40" s="110" t="str">
        <f t="shared" si="28"/>
        <v/>
      </c>
      <c r="AC40" s="111" t="str">
        <f t="shared" ref="AC40:AC41" si="29">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2"/>
      <c r="AE40" s="113"/>
      <c r="AF40" s="114"/>
      <c r="AG40" s="115"/>
      <c r="AH40" s="115"/>
      <c r="AI40" s="115"/>
      <c r="AJ40" s="113"/>
      <c r="AK40" s="114"/>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8" customHeight="1" x14ac:dyDescent="0.3">
      <c r="A41" s="336"/>
      <c r="B41" s="343"/>
      <c r="C41" s="343"/>
      <c r="D41" s="343"/>
      <c r="E41" s="371"/>
      <c r="F41" s="343"/>
      <c r="G41" s="346"/>
      <c r="H41" s="349"/>
      <c r="I41" s="352"/>
      <c r="J41" s="356"/>
      <c r="K41" s="402">
        <f>IF(NOT(ISERROR(MATCH(J41,_xlfn.ANCHORARRAY(E52),0))),I54&amp;"Por favor no seleccionar los criterios de impacto",J41)</f>
        <v>0</v>
      </c>
      <c r="L41" s="349"/>
      <c r="M41" s="352"/>
      <c r="N41" s="384"/>
      <c r="O41" s="104">
        <v>6</v>
      </c>
      <c r="P41" s="174"/>
      <c r="Q41" s="105"/>
      <c r="R41" s="106"/>
      <c r="S41" s="106"/>
      <c r="T41" s="163" t="str">
        <f t="shared" si="23"/>
        <v/>
      </c>
      <c r="U41" s="106"/>
      <c r="V41" s="106"/>
      <c r="W41" s="106"/>
      <c r="X41" s="108" t="str">
        <f t="shared" si="27"/>
        <v/>
      </c>
      <c r="Y41" s="109" t="str">
        <f t="shared" si="1"/>
        <v/>
      </c>
      <c r="Z41" s="110" t="str">
        <f t="shared" si="24"/>
        <v/>
      </c>
      <c r="AA41" s="109" t="str">
        <f t="shared" si="3"/>
        <v/>
      </c>
      <c r="AB41" s="110" t="str">
        <f t="shared" si="28"/>
        <v/>
      </c>
      <c r="AC41" s="111" t="str">
        <f t="shared" si="29"/>
        <v/>
      </c>
      <c r="AD41" s="112"/>
      <c r="AE41" s="113"/>
      <c r="AF41" s="114"/>
      <c r="AG41" s="115"/>
      <c r="AH41" s="115"/>
      <c r="AI41" s="115"/>
      <c r="AJ41" s="113"/>
      <c r="AK41" s="114"/>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96.75" customHeight="1" x14ac:dyDescent="0.3">
      <c r="A42" s="335">
        <v>6</v>
      </c>
      <c r="B42" s="341" t="s">
        <v>168</v>
      </c>
      <c r="C42" s="341" t="s">
        <v>316</v>
      </c>
      <c r="D42" s="341" t="s">
        <v>315</v>
      </c>
      <c r="E42" s="369" t="s">
        <v>314</v>
      </c>
      <c r="F42" s="341" t="s">
        <v>160</v>
      </c>
      <c r="G42" s="344">
        <v>360</v>
      </c>
      <c r="H42" s="347" t="str">
        <f>IF(G42&lt;=0,"",IF(G42&lt;=2,"Muy Baja",IF(G42&lt;=24,"Baja",IF(G42&lt;=500,"Media",IF(G42&lt;=5000,"Alta","Muy Alta")))))</f>
        <v>Media</v>
      </c>
      <c r="I42" s="350">
        <f>IF(H42="","",IF(H42="Muy Baja",0.2,IF(H42="Baja",0.4,IF(H42="Media",0.6,IF(H42="Alta",0.8,IF(H42="Muy Alta",1,))))))</f>
        <v>0.6</v>
      </c>
      <c r="J42" s="354" t="s">
        <v>172</v>
      </c>
      <c r="K42" s="350" t="str">
        <f>IF(NOT(ISERROR(MATCH(J42,'Tabla Impacto'!$B$221:$B$223,0))),'Tabla Impacto'!$F$223&amp;"Por favor no seleccionar los criterios de impacto(Afectación Económica o presupuestal y Pérdida Reputacional)",J42)</f>
        <v xml:space="preserve">     El riesgo afecta la imagen de la entidad con algunos usuarios de relevancia frente al logro de los objetivos</v>
      </c>
      <c r="L42" s="347" t="str">
        <f>IF(OR(K42='Tabla Impacto'!$C$11,K42='Tabla Impacto'!$D$11),"Leve",IF(OR(K42='Tabla Impacto'!$C$12,K42='Tabla Impacto'!$D$12),"Menor",IF(OR(K42='Tabla Impacto'!$C$13,K42='Tabla Impacto'!$D$13),"Moderado",IF(OR(K42='Tabla Impacto'!$C$14,K42='Tabla Impacto'!$D$14),"Mayor",IF(OR(K42='Tabla Impacto'!$C$15,K42='Tabla Impacto'!$D$15),"Catastrófico","")))))</f>
        <v>Moderado</v>
      </c>
      <c r="M42" s="350">
        <f>IF(L42="","",IF(L42="Leve",0.2,IF(L42="Menor",0.4,IF(L42="Moderado",0.6,IF(L42="Mayor",0.8,IF(L42="Catastrófico",1,))))))</f>
        <v>0.6</v>
      </c>
      <c r="N42" s="382"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Moderado</v>
      </c>
      <c r="O42" s="104">
        <v>1</v>
      </c>
      <c r="P42" s="174" t="s">
        <v>317</v>
      </c>
      <c r="Q42" s="158" t="str">
        <f t="shared" si="26"/>
        <v>Probabilidad</v>
      </c>
      <c r="R42" s="162" t="s">
        <v>162</v>
      </c>
      <c r="S42" s="162" t="s">
        <v>163</v>
      </c>
      <c r="T42" s="163" t="str">
        <f t="shared" si="23"/>
        <v>40%</v>
      </c>
      <c r="U42" s="162" t="s">
        <v>164</v>
      </c>
      <c r="V42" s="162" t="s">
        <v>165</v>
      </c>
      <c r="W42" s="162" t="s">
        <v>166</v>
      </c>
      <c r="X42" s="157">
        <f>IFERROR(IF(Q42="Probabilidad",(I42-(+I42*T42)),IF(Q42="Impacto",I42,"")),"")</f>
        <v>0.36</v>
      </c>
      <c r="Y42" s="164" t="str">
        <f>IFERROR(IF(X42="","",IF(X42&lt;=0.2,"Muy Baja",IF(X42&lt;=0.4,"Baja",IF(X42&lt;=0.6,"Media",IF(X42&lt;=0.8,"Alta","Muy Alta"))))),"")</f>
        <v>Baja</v>
      </c>
      <c r="Z42" s="165">
        <f>+X42</f>
        <v>0.36</v>
      </c>
      <c r="AA42" s="164" t="str">
        <f>IFERROR(IF(AB42="","",IF(AB42&lt;=0.2,"Leve",IF(AB42&lt;=0.4,"Menor",IF(AB42&lt;=0.6,"Moderado",IF(AB42&lt;=0.8,"Mayor","Catastrófico"))))),"")</f>
        <v>Moderado</v>
      </c>
      <c r="AB42" s="165">
        <f>IFERROR(IF(Q42="Impacto",(M42-(+M42*T42)),IF(Q42="Probabilidad",M42,"")),"")</f>
        <v>0.6</v>
      </c>
      <c r="AC42" s="166"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Moderado</v>
      </c>
      <c r="AD42" s="112" t="s">
        <v>167</v>
      </c>
      <c r="AE42" s="180" t="s">
        <v>319</v>
      </c>
      <c r="AF42" s="159" t="s">
        <v>189</v>
      </c>
      <c r="AG42" s="161">
        <v>45373</v>
      </c>
      <c r="AH42" s="161">
        <v>45642</v>
      </c>
      <c r="AI42" s="115"/>
      <c r="AJ42" s="113"/>
      <c r="AK42" s="114"/>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92.25" customHeight="1" x14ac:dyDescent="0.3">
      <c r="A43" s="353"/>
      <c r="B43" s="342"/>
      <c r="C43" s="342"/>
      <c r="D43" s="342"/>
      <c r="E43" s="370"/>
      <c r="F43" s="342"/>
      <c r="G43" s="345"/>
      <c r="H43" s="348"/>
      <c r="I43" s="351"/>
      <c r="J43" s="355"/>
      <c r="K43" s="351">
        <f>IF(NOT(ISERROR(MATCH(J43,_xlfn.ANCHORARRAY(E54),0))),I56&amp;"Por favor no seleccionar los criterios de impacto",J43)</f>
        <v>0</v>
      </c>
      <c r="L43" s="348"/>
      <c r="M43" s="351"/>
      <c r="N43" s="383"/>
      <c r="O43" s="104">
        <v>2</v>
      </c>
      <c r="P43" s="178" t="s">
        <v>318</v>
      </c>
      <c r="Q43" s="158" t="str">
        <f>IF(OR(R43="Preventivo",R43="Detectivo"),"Probabilidad",IF(R43="Correctivo","Impacto",""))</f>
        <v>Probabilidad</v>
      </c>
      <c r="R43" s="162" t="s">
        <v>162</v>
      </c>
      <c r="S43" s="162" t="s">
        <v>163</v>
      </c>
      <c r="T43" s="163" t="str">
        <f t="shared" ref="T43:T47" si="30">IF(AND(R43="Preventivo",S43="Automático"),"50%",IF(AND(R43="Preventivo",S43="Manual"),"40%",IF(AND(R43="Detectivo",S43="Automático"),"40%",IF(AND(R43="Detectivo",S43="Manual"),"30%",IF(AND(R43="Correctivo",S43="Automático"),"35%",IF(AND(R43="Correctivo",S43="Manual"),"25%",""))))))</f>
        <v>40%</v>
      </c>
      <c r="U43" s="162" t="s">
        <v>164</v>
      </c>
      <c r="V43" s="162" t="s">
        <v>165</v>
      </c>
      <c r="W43" s="162" t="s">
        <v>166</v>
      </c>
      <c r="X43" s="157">
        <f>IFERROR(IF(AND(Q42="Probabilidad",Q43="Probabilidad"),(Z42-(+Z42*T43)),IF(Q43="Probabilidad",(I42-(+I42*T43)),IF(Q43="Impacto",Z42,""))),"")</f>
        <v>0.216</v>
      </c>
      <c r="Y43" s="164" t="str">
        <f t="shared" si="1"/>
        <v>Baja</v>
      </c>
      <c r="Z43" s="165">
        <f t="shared" ref="Z43:Z47" si="31">+X43</f>
        <v>0.216</v>
      </c>
      <c r="AA43" s="164" t="str">
        <f t="shared" si="3"/>
        <v>Moderado</v>
      </c>
      <c r="AB43" s="165">
        <f>IFERROR(IF(AND(Q42="Impacto",Q43="Impacto"),(AB42-(+AB42*T43)),IF(Q43="Impacto",(M42-(+M42*T43)),IF(Q43="Probabilidad",AB42,""))),"")</f>
        <v>0.6</v>
      </c>
      <c r="AC43" s="166" t="str">
        <f t="shared" ref="AC43:AC44" si="32">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Moderado</v>
      </c>
      <c r="AD43" s="112" t="s">
        <v>167</v>
      </c>
      <c r="AE43" s="159" t="s">
        <v>320</v>
      </c>
      <c r="AF43" s="159" t="s">
        <v>189</v>
      </c>
      <c r="AG43" s="161">
        <v>45373</v>
      </c>
      <c r="AH43" s="161">
        <v>45642</v>
      </c>
      <c r="AI43" s="115"/>
      <c r="AJ43" s="113"/>
      <c r="AK43" s="114"/>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86.25" customHeight="1" x14ac:dyDescent="0.3">
      <c r="A44" s="353"/>
      <c r="B44" s="342"/>
      <c r="C44" s="342"/>
      <c r="D44" s="342"/>
      <c r="E44" s="370"/>
      <c r="F44" s="342"/>
      <c r="G44" s="345"/>
      <c r="H44" s="348"/>
      <c r="I44" s="351"/>
      <c r="J44" s="355"/>
      <c r="K44" s="351">
        <f>IF(NOT(ISERROR(MATCH(J44,_xlfn.ANCHORARRAY(E55),0))),I57&amp;"Por favor no seleccionar los criterios de impacto",J44)</f>
        <v>0</v>
      </c>
      <c r="L44" s="348"/>
      <c r="M44" s="351"/>
      <c r="N44" s="383"/>
      <c r="O44" s="104">
        <v>3</v>
      </c>
      <c r="P44" s="178" t="s">
        <v>306</v>
      </c>
      <c r="Q44" s="158" t="str">
        <f>IF(OR(R44="Preventivo",R44="Detectivo"),"Probabilidad",IF(R44="Correctivo","Impacto",""))</f>
        <v>Probabilidad</v>
      </c>
      <c r="R44" s="162" t="s">
        <v>162</v>
      </c>
      <c r="S44" s="162" t="s">
        <v>163</v>
      </c>
      <c r="T44" s="163" t="str">
        <f t="shared" si="30"/>
        <v>40%</v>
      </c>
      <c r="U44" s="162" t="s">
        <v>164</v>
      </c>
      <c r="V44" s="162" t="s">
        <v>165</v>
      </c>
      <c r="W44" s="162" t="s">
        <v>166</v>
      </c>
      <c r="X44" s="157">
        <f>IFERROR(IF(AND(Q43="Probabilidad",Q44="Probabilidad"),(Z43-(+Z43*T44)),IF(AND(Q43="Impacto",Q44="Probabilidad"),(Z42-(+Z42*T44)),IF(Q44="Impacto",Z43,""))),"")</f>
        <v>0.12959999999999999</v>
      </c>
      <c r="Y44" s="164" t="str">
        <f t="shared" si="1"/>
        <v>Muy Baja</v>
      </c>
      <c r="Z44" s="165">
        <f t="shared" si="31"/>
        <v>0.12959999999999999</v>
      </c>
      <c r="AA44" s="164" t="str">
        <f t="shared" si="3"/>
        <v>Moderado</v>
      </c>
      <c r="AB44" s="165">
        <f>IFERROR(IF(AND(Q43="Impacto",Q44="Impacto"),(AB43-(+AB43*T44)),IF(AND(Q43="Probabilidad",Q44="Impacto"),(AB42-(+AB42*T44)),IF(Q44="Probabilidad",AB43,""))),"")</f>
        <v>0.6</v>
      </c>
      <c r="AC44" s="166" t="str">
        <f t="shared" si="32"/>
        <v>Moderado</v>
      </c>
      <c r="AD44" s="167" t="s">
        <v>167</v>
      </c>
      <c r="AE44" s="159" t="s">
        <v>307</v>
      </c>
      <c r="AF44" s="159" t="s">
        <v>189</v>
      </c>
      <c r="AG44" s="161">
        <v>45373</v>
      </c>
      <c r="AH44" s="161">
        <v>45565</v>
      </c>
      <c r="AI44" s="115"/>
      <c r="AJ44" s="113"/>
      <c r="AK44" s="114"/>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8" customHeight="1" x14ac:dyDescent="0.3">
      <c r="A45" s="353"/>
      <c r="B45" s="342"/>
      <c r="C45" s="342"/>
      <c r="D45" s="342"/>
      <c r="E45" s="370"/>
      <c r="F45" s="342"/>
      <c r="G45" s="345"/>
      <c r="H45" s="348"/>
      <c r="I45" s="351"/>
      <c r="J45" s="355"/>
      <c r="K45" s="351">
        <f>IF(NOT(ISERROR(MATCH(J45,_xlfn.ANCHORARRAY(E56),0))),I58&amp;"Por favor no seleccionar los criterios de impacto",J45)</f>
        <v>0</v>
      </c>
      <c r="L45" s="348"/>
      <c r="M45" s="351"/>
      <c r="N45" s="383"/>
      <c r="O45" s="104">
        <v>4</v>
      </c>
      <c r="P45" s="174"/>
      <c r="Q45" s="105" t="str">
        <f t="shared" ref="Q45:Q47" si="33">IF(OR(R45="Preventivo",R45="Detectivo"),"Probabilidad",IF(R45="Correctivo","Impacto",""))</f>
        <v/>
      </c>
      <c r="R45" s="106"/>
      <c r="S45" s="106"/>
      <c r="T45" s="107" t="str">
        <f t="shared" si="30"/>
        <v/>
      </c>
      <c r="U45" s="106"/>
      <c r="V45" s="106"/>
      <c r="W45" s="106"/>
      <c r="X45" s="108" t="str">
        <f>IFERROR(IF(AND(Q44="Probabilidad",Q45="Probabilidad"),(Z44-(+Z44*T45)),IF(AND(Q44="Impacto",Q45="Probabilidad"),(Z43-(+Z43*T45)),IF(Q45="Impacto",Z44,""))),"")</f>
        <v/>
      </c>
      <c r="Y45" s="109" t="str">
        <f t="shared" si="1"/>
        <v/>
      </c>
      <c r="Z45" s="110" t="str">
        <f t="shared" si="31"/>
        <v/>
      </c>
      <c r="AA45" s="109" t="str">
        <f t="shared" si="3"/>
        <v/>
      </c>
      <c r="AB45" s="110" t="str">
        <f>IFERROR(IF(AND(Q44="Impacto",Q45="Impacto"),(AB44-(+AB44*T45)),IF(AND(Q44="Probabilidad",Q45="Impacto"),(AB43-(+AB43*T45)),IF(Q45="Probabilidad",AB44,""))),"")</f>
        <v/>
      </c>
      <c r="AC45" s="111"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2"/>
      <c r="AE45" s="113"/>
      <c r="AF45" s="114"/>
      <c r="AG45" s="115"/>
      <c r="AH45" s="115"/>
      <c r="AI45" s="115"/>
      <c r="AJ45" s="113"/>
      <c r="AK45" s="114"/>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8" customHeight="1" x14ac:dyDescent="0.3">
      <c r="A46" s="353"/>
      <c r="B46" s="342"/>
      <c r="C46" s="342"/>
      <c r="D46" s="342"/>
      <c r="E46" s="370"/>
      <c r="F46" s="342"/>
      <c r="G46" s="345"/>
      <c r="H46" s="348"/>
      <c r="I46" s="351"/>
      <c r="J46" s="355"/>
      <c r="K46" s="351">
        <f>IF(NOT(ISERROR(MATCH(J46,_xlfn.ANCHORARRAY(E57),0))),I59&amp;"Por favor no seleccionar los criterios de impacto",J46)</f>
        <v>0</v>
      </c>
      <c r="L46" s="348"/>
      <c r="M46" s="351"/>
      <c r="N46" s="383"/>
      <c r="O46" s="104">
        <v>5</v>
      </c>
      <c r="P46" s="174"/>
      <c r="Q46" s="105" t="str">
        <f t="shared" si="33"/>
        <v/>
      </c>
      <c r="R46" s="106"/>
      <c r="S46" s="106"/>
      <c r="T46" s="107" t="str">
        <f t="shared" si="30"/>
        <v/>
      </c>
      <c r="U46" s="106"/>
      <c r="V46" s="106"/>
      <c r="W46" s="106"/>
      <c r="X46" s="108" t="str">
        <f>IFERROR(IF(AND(Q45="Probabilidad",Q46="Probabilidad"),(Z45-(+Z45*T46)),IF(AND(Q45="Impacto",Q46="Probabilidad"),(Z44-(+Z44*T46)),IF(Q46="Impacto",Z45,""))),"")</f>
        <v/>
      </c>
      <c r="Y46" s="109" t="str">
        <f t="shared" si="1"/>
        <v/>
      </c>
      <c r="Z46" s="110" t="str">
        <f t="shared" si="31"/>
        <v/>
      </c>
      <c r="AA46" s="109" t="str">
        <f t="shared" si="3"/>
        <v/>
      </c>
      <c r="AB46" s="110" t="str">
        <f>IFERROR(IF(AND(Q45="Impacto",Q46="Impacto"),(AB45-(+AB45*T46)),IF(AND(Q45="Probabilidad",Q46="Impacto"),(AB44-(+AB44*T46)),IF(Q46="Probabilidad",AB45,""))),"")</f>
        <v/>
      </c>
      <c r="AC46" s="111" t="str">
        <f t="shared" ref="AC46" si="34">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2"/>
      <c r="AE46" s="113"/>
      <c r="AF46" s="114"/>
      <c r="AG46" s="115"/>
      <c r="AH46" s="115"/>
      <c r="AI46" s="115"/>
      <c r="AJ46" s="113"/>
      <c r="AK46" s="114"/>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8" customHeight="1" x14ac:dyDescent="0.3">
      <c r="A47" s="336"/>
      <c r="B47" s="343"/>
      <c r="C47" s="343"/>
      <c r="D47" s="343"/>
      <c r="E47" s="371"/>
      <c r="F47" s="343"/>
      <c r="G47" s="346"/>
      <c r="H47" s="349"/>
      <c r="I47" s="352"/>
      <c r="J47" s="356"/>
      <c r="K47" s="352">
        <f>IF(NOT(ISERROR(MATCH(J47,_xlfn.ANCHORARRAY(E58),0))),I60&amp;"Por favor no seleccionar los criterios de impacto",J47)</f>
        <v>0</v>
      </c>
      <c r="L47" s="349"/>
      <c r="M47" s="352"/>
      <c r="N47" s="384"/>
      <c r="O47" s="104">
        <v>6</v>
      </c>
      <c r="P47" s="174"/>
      <c r="Q47" s="105" t="str">
        <f t="shared" si="33"/>
        <v/>
      </c>
      <c r="R47" s="106"/>
      <c r="S47" s="106"/>
      <c r="T47" s="107" t="str">
        <f t="shared" si="30"/>
        <v/>
      </c>
      <c r="U47" s="106"/>
      <c r="V47" s="106"/>
      <c r="W47" s="106"/>
      <c r="X47" s="108" t="str">
        <f t="shared" ref="X47" si="35">IFERROR(IF(AND(Q46="Probabilidad",Q47="Probabilidad"),(Z46-(+Z46*T47)),IF(AND(Q46="Impacto",Q47="Probabilidad"),(Z45-(+Z45*T47)),IF(Q47="Impacto",Z46,""))),"")</f>
        <v/>
      </c>
      <c r="Y47" s="109" t="str">
        <f t="shared" si="1"/>
        <v/>
      </c>
      <c r="Z47" s="110" t="str">
        <f t="shared" si="31"/>
        <v/>
      </c>
      <c r="AA47" s="109" t="str">
        <f>IFERROR(IF(AB47="","",IF(AB47&lt;=0.2,"Leve",IF(AB47&lt;=0.4,"Menor",IF(AB47&lt;=0.6,"Moderado",IF(AB47&lt;=0.8,"Mayor","Catastrófico"))))),"")</f>
        <v/>
      </c>
      <c r="AB47" s="110" t="str">
        <f t="shared" ref="AB47" si="36">IFERROR(IF(AND(Q46="Impacto",Q47="Impacto"),(AB46-(+AB46*T47)),IF(AND(Q46="Probabilidad",Q47="Impacto"),(AB45-(+AB45*T47)),IF(Q47="Probabilidad",AB46,""))),"")</f>
        <v/>
      </c>
      <c r="AC47" s="111"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2"/>
      <c r="AE47" s="113"/>
      <c r="AF47" s="114"/>
      <c r="AG47" s="115"/>
      <c r="AH47" s="115"/>
      <c r="AI47" s="115"/>
      <c r="AJ47" s="113"/>
      <c r="AK47" s="114"/>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15.5" customHeight="1" x14ac:dyDescent="0.3">
      <c r="A48" s="335">
        <v>7</v>
      </c>
      <c r="B48" s="341" t="s">
        <v>158</v>
      </c>
      <c r="C48" s="341" t="s">
        <v>323</v>
      </c>
      <c r="D48" s="341" t="s">
        <v>322</v>
      </c>
      <c r="E48" s="369" t="s">
        <v>321</v>
      </c>
      <c r="F48" s="341" t="s">
        <v>160</v>
      </c>
      <c r="G48" s="344">
        <v>4</v>
      </c>
      <c r="H48" s="347" t="str">
        <f>IF(G48&lt;=0,"",IF(G48&lt;=2,"Muy Baja",IF(G48&lt;=24,"Baja",IF(G48&lt;=500,"Media",IF(G48&lt;=5000,"Alta","Muy Alta")))))</f>
        <v>Baja</v>
      </c>
      <c r="I48" s="350">
        <f>IF(H48="","",IF(H48="Muy Baja",0.2,IF(H48="Baja",0.4,IF(H48="Media",0.6,IF(H48="Alta",0.8,IF(H48="Muy Alta",1,))))))</f>
        <v>0.4</v>
      </c>
      <c r="J48" s="354" t="s">
        <v>172</v>
      </c>
      <c r="K48" s="350" t="str">
        <f>IF(NOT(ISERROR(MATCH(J48,'Tabla Impacto'!$B$221:$B$223,0))),'Tabla Impacto'!$F$223&amp;"Por favor no seleccionar los criterios de impacto(Afectación Económica o presupuestal y Pérdida Reputacional)",J48)</f>
        <v xml:space="preserve">     El riesgo afecta la imagen de la entidad con algunos usuarios de relevancia frente al logro de los objetivos</v>
      </c>
      <c r="L48" s="347" t="str">
        <f>IF(OR(K48='Tabla Impacto'!$C$11,K48='Tabla Impacto'!$D$11),"Leve",IF(OR(K48='Tabla Impacto'!$C$12,K48='Tabla Impacto'!$D$12),"Menor",IF(OR(K48='Tabla Impacto'!$C$13,K48='Tabla Impacto'!$D$13),"Moderado",IF(OR(K48='Tabla Impacto'!$C$14,K48='Tabla Impacto'!$D$14),"Mayor",IF(OR(K48='Tabla Impacto'!$C$15,K48='Tabla Impacto'!$D$15),"Catastrófico","")))))</f>
        <v>Moderado</v>
      </c>
      <c r="M48" s="350">
        <f>IF(L48="","",IF(L48="Leve",0.2,IF(L48="Menor",0.4,IF(L48="Moderado",0.6,IF(L48="Mayor",0.8,IF(L48="Catastrófico",1,))))))</f>
        <v>0.6</v>
      </c>
      <c r="N48" s="382"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Moderado</v>
      </c>
      <c r="O48" s="104">
        <v>1</v>
      </c>
      <c r="P48" s="174" t="s">
        <v>324</v>
      </c>
      <c r="Q48" s="158" t="str">
        <f>IF(OR(R48="Preventivo",R48="Detectivo"),"Probabilidad",IF(R48="Correctivo","Impacto",""))</f>
        <v>Probabilidad</v>
      </c>
      <c r="R48" s="162" t="s">
        <v>162</v>
      </c>
      <c r="S48" s="162" t="s">
        <v>163</v>
      </c>
      <c r="T48" s="163" t="str">
        <f>IF(AND(R48="Preventivo",S48="Automático"),"50%",IF(AND(R48="Preventivo",S48="Manual"),"40%",IF(AND(R48="Detectivo",S48="Automático"),"40%",IF(AND(R48="Detectivo",S48="Manual"),"30%",IF(AND(R48="Correctivo",S48="Automático"),"35%",IF(AND(R48="Correctivo",S48="Manual"),"25%",""))))))</f>
        <v>40%</v>
      </c>
      <c r="U48" s="162" t="s">
        <v>164</v>
      </c>
      <c r="V48" s="162" t="s">
        <v>165</v>
      </c>
      <c r="W48" s="162" t="s">
        <v>166</v>
      </c>
      <c r="X48" s="157">
        <f>IFERROR(IF(Q48="Probabilidad",(I48-(+I48*T48)),IF(Q48="Impacto",I48,"")),"")</f>
        <v>0.24</v>
      </c>
      <c r="Y48" s="164" t="str">
        <f>IFERROR(IF(X48="","",IF(X48&lt;=0.2,"Muy Baja",IF(X48&lt;=0.4,"Baja",IF(X48&lt;=0.6,"Media",IF(X48&lt;=0.8,"Alta","Muy Alta"))))),"")</f>
        <v>Baja</v>
      </c>
      <c r="Z48" s="165">
        <f>+X48</f>
        <v>0.24</v>
      </c>
      <c r="AA48" s="164" t="str">
        <f>IFERROR(IF(AB48="","",IF(AB48&lt;=0.2,"Leve",IF(AB48&lt;=0.4,"Menor",IF(AB48&lt;=0.6,"Moderado",IF(AB48&lt;=0.8,"Mayor","Catastrófico"))))),"")</f>
        <v>Moderado</v>
      </c>
      <c r="AB48" s="165">
        <f>IFERROR(IF(Q48="Impacto",(M48-(+M48*T48)),IF(Q48="Probabilidad",M48,"")),"")</f>
        <v>0.6</v>
      </c>
      <c r="AC48" s="166"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Moderado</v>
      </c>
      <c r="AD48" s="167" t="s">
        <v>167</v>
      </c>
      <c r="AE48" s="159" t="s">
        <v>325</v>
      </c>
      <c r="AF48" s="159" t="s">
        <v>190</v>
      </c>
      <c r="AG48" s="161">
        <v>45373</v>
      </c>
      <c r="AH48" s="161">
        <v>45642</v>
      </c>
      <c r="AI48" s="115"/>
      <c r="AJ48" s="113"/>
      <c r="AK48" s="114"/>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8" customHeight="1" x14ac:dyDescent="0.3">
      <c r="A49" s="353"/>
      <c r="B49" s="342"/>
      <c r="C49" s="342"/>
      <c r="D49" s="342"/>
      <c r="E49" s="370"/>
      <c r="F49" s="342"/>
      <c r="G49" s="345"/>
      <c r="H49" s="348"/>
      <c r="I49" s="351"/>
      <c r="J49" s="355"/>
      <c r="K49" s="351">
        <f>IF(NOT(ISERROR(MATCH(J49,_xlfn.ANCHORARRAY(E60),0))),I62&amp;"Por favor no seleccionar los criterios de impacto",J49)</f>
        <v>0</v>
      </c>
      <c r="L49" s="348"/>
      <c r="M49" s="351"/>
      <c r="N49" s="383"/>
      <c r="O49" s="104">
        <v>2</v>
      </c>
      <c r="P49" s="174"/>
      <c r="Q49" s="158" t="str">
        <f>IF(OR(R49="Preventivo",R49="Detectivo"),"Probabilidad",IF(R49="Correctivo","Impacto",""))</f>
        <v/>
      </c>
      <c r="R49" s="162"/>
      <c r="S49" s="162"/>
      <c r="T49" s="163" t="str">
        <f t="shared" ref="T49:T53" si="37">IF(AND(R49="Preventivo",S49="Automático"),"50%",IF(AND(R49="Preventivo",S49="Manual"),"40%",IF(AND(R49="Detectivo",S49="Automático"),"40%",IF(AND(R49="Detectivo",S49="Manual"),"30%",IF(AND(R49="Correctivo",S49="Automático"),"35%",IF(AND(R49="Correctivo",S49="Manual"),"25%",""))))))</f>
        <v/>
      </c>
      <c r="U49" s="162"/>
      <c r="V49" s="162"/>
      <c r="W49" s="162"/>
      <c r="X49" s="157" t="str">
        <f>IFERROR(IF(AND(Q48="Probabilidad",Q49="Probabilidad"),(Z48-(+Z48*T49)),IF(Q49="Probabilidad",(I48-(+I48*T49)),IF(Q49="Impacto",Z48,""))),"")</f>
        <v/>
      </c>
      <c r="Y49" s="164" t="str">
        <f t="shared" si="1"/>
        <v/>
      </c>
      <c r="Z49" s="165" t="str">
        <f t="shared" ref="Z49:Z53" si="38">+X49</f>
        <v/>
      </c>
      <c r="AA49" s="164" t="str">
        <f t="shared" si="3"/>
        <v/>
      </c>
      <c r="AB49" s="165" t="str">
        <f>IFERROR(IF(AND(Q48="Impacto",Q49="Impacto"),(AB48-(+AB48*T49)),IF(Q49="Impacto",(M48-(+M48*T49)),IF(Q49="Probabilidad",AB48,""))),"")</f>
        <v/>
      </c>
      <c r="AC49" s="166" t="str">
        <f t="shared" ref="AC49:AC50" si="39">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67"/>
      <c r="AE49" s="113"/>
      <c r="AF49" s="114"/>
      <c r="AG49" s="115"/>
      <c r="AH49" s="115"/>
      <c r="AI49" s="115"/>
      <c r="AJ49" s="113"/>
      <c r="AK49" s="114"/>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8" customHeight="1" x14ac:dyDescent="0.3">
      <c r="A50" s="353"/>
      <c r="B50" s="342"/>
      <c r="C50" s="342"/>
      <c r="D50" s="342"/>
      <c r="E50" s="370"/>
      <c r="F50" s="342"/>
      <c r="G50" s="345"/>
      <c r="H50" s="348"/>
      <c r="I50" s="351"/>
      <c r="J50" s="355"/>
      <c r="K50" s="351">
        <f>IF(NOT(ISERROR(MATCH(J50,_xlfn.ANCHORARRAY(E61),0))),I63&amp;"Por favor no seleccionar los criterios de impacto",J50)</f>
        <v>0</v>
      </c>
      <c r="L50" s="348"/>
      <c r="M50" s="351"/>
      <c r="N50" s="383"/>
      <c r="O50" s="104">
        <v>3</v>
      </c>
      <c r="P50" s="168"/>
      <c r="Q50" s="105" t="str">
        <f>IF(OR(R50="Preventivo",R50="Detectivo"),"Probabilidad",IF(R50="Correctivo","Impacto",""))</f>
        <v/>
      </c>
      <c r="R50" s="106"/>
      <c r="S50" s="106"/>
      <c r="T50" s="107" t="str">
        <f t="shared" si="37"/>
        <v/>
      </c>
      <c r="U50" s="106"/>
      <c r="V50" s="106"/>
      <c r="W50" s="106"/>
      <c r="X50" s="108" t="str">
        <f>IFERROR(IF(AND(Q49="Probabilidad",Q50="Probabilidad"),(Z49-(+Z49*T50)),IF(AND(Q49="Impacto",Q50="Probabilidad"),(Z48-(+Z48*T50)),IF(Q50="Impacto",Z49,""))),"")</f>
        <v/>
      </c>
      <c r="Y50" s="109" t="str">
        <f t="shared" si="1"/>
        <v/>
      </c>
      <c r="Z50" s="110" t="str">
        <f t="shared" si="38"/>
        <v/>
      </c>
      <c r="AA50" s="109" t="str">
        <f t="shared" si="3"/>
        <v/>
      </c>
      <c r="AB50" s="110" t="str">
        <f>IFERROR(IF(AND(Q49="Impacto",Q50="Impacto"),(AB49-(+AB49*T50)),IF(AND(Q49="Probabilidad",Q50="Impacto"),(AB48-(+AB48*T50)),IF(Q50="Probabilidad",AB49,""))),"")</f>
        <v/>
      </c>
      <c r="AC50" s="111" t="str">
        <f t="shared" si="39"/>
        <v/>
      </c>
      <c r="AD50" s="112"/>
      <c r="AE50" s="113"/>
      <c r="AF50" s="114"/>
      <c r="AG50" s="115"/>
      <c r="AH50" s="115"/>
      <c r="AI50" s="115"/>
      <c r="AJ50" s="113"/>
      <c r="AK50" s="114"/>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8" customHeight="1" x14ac:dyDescent="0.3">
      <c r="A51" s="353"/>
      <c r="B51" s="342"/>
      <c r="C51" s="342"/>
      <c r="D51" s="342"/>
      <c r="E51" s="370"/>
      <c r="F51" s="342"/>
      <c r="G51" s="345"/>
      <c r="H51" s="348"/>
      <c r="I51" s="351"/>
      <c r="J51" s="355"/>
      <c r="K51" s="351">
        <f>IF(NOT(ISERROR(MATCH(J51,_xlfn.ANCHORARRAY(E62),0))),I64&amp;"Por favor no seleccionar los criterios de impacto",J51)</f>
        <v>0</v>
      </c>
      <c r="L51" s="348"/>
      <c r="M51" s="351"/>
      <c r="N51" s="383"/>
      <c r="O51" s="104">
        <v>4</v>
      </c>
      <c r="P51" s="174"/>
      <c r="Q51" s="105" t="str">
        <f t="shared" ref="Q51:Q54" si="40">IF(OR(R51="Preventivo",R51="Detectivo"),"Probabilidad",IF(R51="Correctivo","Impacto",""))</f>
        <v/>
      </c>
      <c r="R51" s="106"/>
      <c r="S51" s="106"/>
      <c r="T51" s="107" t="str">
        <f t="shared" si="37"/>
        <v/>
      </c>
      <c r="U51" s="106"/>
      <c r="V51" s="106"/>
      <c r="W51" s="106"/>
      <c r="X51" s="108" t="str">
        <f t="shared" ref="X51:X53" si="41">IFERROR(IF(AND(Q50="Probabilidad",Q51="Probabilidad"),(Z50-(+Z50*T51)),IF(AND(Q50="Impacto",Q51="Probabilidad"),(Z49-(+Z49*T51)),IF(Q51="Impacto",Z50,""))),"")</f>
        <v/>
      </c>
      <c r="Y51" s="109" t="str">
        <f t="shared" si="1"/>
        <v/>
      </c>
      <c r="Z51" s="110" t="str">
        <f t="shared" si="38"/>
        <v/>
      </c>
      <c r="AA51" s="109" t="str">
        <f t="shared" si="3"/>
        <v/>
      </c>
      <c r="AB51" s="110" t="str">
        <f t="shared" ref="AB51:AB53" si="42">IFERROR(IF(AND(Q50="Impacto",Q51="Impacto"),(AB50-(+AB50*T51)),IF(AND(Q50="Probabilidad",Q51="Impacto"),(AB49-(+AB49*T51)),IF(Q51="Probabilidad",AB50,""))),"")</f>
        <v/>
      </c>
      <c r="AC51" s="111"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2"/>
      <c r="AE51" s="113"/>
      <c r="AF51" s="114"/>
      <c r="AG51" s="115"/>
      <c r="AH51" s="115"/>
      <c r="AI51" s="115"/>
      <c r="AJ51" s="113"/>
      <c r="AK51" s="114"/>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8" customHeight="1" x14ac:dyDescent="0.3">
      <c r="A52" s="353"/>
      <c r="B52" s="342"/>
      <c r="C52" s="342"/>
      <c r="D52" s="342"/>
      <c r="E52" s="370"/>
      <c r="F52" s="342"/>
      <c r="G52" s="345"/>
      <c r="H52" s="348"/>
      <c r="I52" s="351"/>
      <c r="J52" s="355"/>
      <c r="K52" s="351">
        <f>IF(NOT(ISERROR(MATCH(J52,_xlfn.ANCHORARRAY(E63),0))),I65&amp;"Por favor no seleccionar los criterios de impacto",J52)</f>
        <v>0</v>
      </c>
      <c r="L52" s="348"/>
      <c r="M52" s="351"/>
      <c r="N52" s="383"/>
      <c r="O52" s="104">
        <v>5</v>
      </c>
      <c r="P52" s="174"/>
      <c r="Q52" s="105" t="str">
        <f t="shared" si="40"/>
        <v/>
      </c>
      <c r="R52" s="106"/>
      <c r="S52" s="106"/>
      <c r="T52" s="107" t="str">
        <f t="shared" si="37"/>
        <v/>
      </c>
      <c r="U52" s="106"/>
      <c r="V52" s="106"/>
      <c r="W52" s="106"/>
      <c r="X52" s="108" t="str">
        <f t="shared" si="41"/>
        <v/>
      </c>
      <c r="Y52" s="109" t="str">
        <f t="shared" si="1"/>
        <v/>
      </c>
      <c r="Z52" s="110" t="str">
        <f t="shared" si="38"/>
        <v/>
      </c>
      <c r="AA52" s="109" t="str">
        <f t="shared" si="3"/>
        <v/>
      </c>
      <c r="AB52" s="110" t="str">
        <f t="shared" si="42"/>
        <v/>
      </c>
      <c r="AC52" s="111" t="str">
        <f t="shared" ref="AC52:AC53" si="43">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2"/>
      <c r="AE52" s="113"/>
      <c r="AF52" s="114"/>
      <c r="AG52" s="115"/>
      <c r="AH52" s="115"/>
      <c r="AI52" s="115"/>
      <c r="AJ52" s="113"/>
      <c r="AK52" s="114"/>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8" customHeight="1" x14ac:dyDescent="0.3">
      <c r="A53" s="336"/>
      <c r="B53" s="343"/>
      <c r="C53" s="343"/>
      <c r="D53" s="343"/>
      <c r="E53" s="371"/>
      <c r="F53" s="343"/>
      <c r="G53" s="346"/>
      <c r="H53" s="349"/>
      <c r="I53" s="352"/>
      <c r="J53" s="356"/>
      <c r="K53" s="352">
        <f>IF(NOT(ISERROR(MATCH(J53,_xlfn.ANCHORARRAY(E64),0))),I66&amp;"Por favor no seleccionar los criterios de impacto",J53)</f>
        <v>0</v>
      </c>
      <c r="L53" s="349"/>
      <c r="M53" s="352"/>
      <c r="N53" s="384"/>
      <c r="O53" s="104">
        <v>6</v>
      </c>
      <c r="P53" s="174"/>
      <c r="Q53" s="105" t="str">
        <f t="shared" si="40"/>
        <v/>
      </c>
      <c r="R53" s="106"/>
      <c r="S53" s="106"/>
      <c r="T53" s="107" t="str">
        <f t="shared" si="37"/>
        <v/>
      </c>
      <c r="U53" s="106"/>
      <c r="V53" s="106"/>
      <c r="W53" s="106"/>
      <c r="X53" s="108" t="str">
        <f t="shared" si="41"/>
        <v/>
      </c>
      <c r="Y53" s="109" t="str">
        <f t="shared" si="1"/>
        <v/>
      </c>
      <c r="Z53" s="110" t="str">
        <f t="shared" si="38"/>
        <v/>
      </c>
      <c r="AA53" s="109" t="str">
        <f t="shared" si="3"/>
        <v/>
      </c>
      <c r="AB53" s="110" t="str">
        <f t="shared" si="42"/>
        <v/>
      </c>
      <c r="AC53" s="111" t="str">
        <f t="shared" si="43"/>
        <v/>
      </c>
      <c r="AD53" s="112"/>
      <c r="AE53" s="113"/>
      <c r="AF53" s="114"/>
      <c r="AG53" s="115"/>
      <c r="AH53" s="115"/>
      <c r="AI53" s="115"/>
      <c r="AJ53" s="113"/>
      <c r="AK53" s="114"/>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99" x14ac:dyDescent="0.3">
      <c r="A54" s="335">
        <v>8</v>
      </c>
      <c r="B54" s="341" t="s">
        <v>168</v>
      </c>
      <c r="C54" s="341" t="s">
        <v>328</v>
      </c>
      <c r="D54" s="341" t="s">
        <v>327</v>
      </c>
      <c r="E54" s="369" t="s">
        <v>326</v>
      </c>
      <c r="F54" s="341" t="s">
        <v>160</v>
      </c>
      <c r="G54" s="344">
        <v>360</v>
      </c>
      <c r="H54" s="347" t="str">
        <f>IF(G54&lt;=0,"",IF(G54&lt;=2,"Muy Baja",IF(G54&lt;=24,"Baja",IF(G54&lt;=500,"Media",IF(G54&lt;=5000,"Alta","Muy Alta")))))</f>
        <v>Media</v>
      </c>
      <c r="I54" s="350">
        <f>IF(H54="","",IF(H54="Muy Baja",0.2,IF(H54="Baja",0.4,IF(H54="Media",0.6,IF(H54="Alta",0.8,IF(H54="Muy Alta",1,))))))</f>
        <v>0.6</v>
      </c>
      <c r="J54" s="354" t="s">
        <v>172</v>
      </c>
      <c r="K54" s="350" t="str">
        <f>IF(NOT(ISERROR(MATCH(J54,'Tabla Impacto'!$B$221:$B$223,0))),'Tabla Impacto'!$F$223&amp;"Por favor no seleccionar los criterios de impacto(Afectación Económica o presupuestal y Pérdida Reputacional)",J54)</f>
        <v xml:space="preserve">     El riesgo afecta la imagen de la entidad con algunos usuarios de relevancia frente al logro de los objetivos</v>
      </c>
      <c r="L54" s="347" t="str">
        <f>IF(OR(K54='Tabla Impacto'!$C$11,K54='Tabla Impacto'!$D$11),"Leve",IF(OR(K54='Tabla Impacto'!$C$12,K54='Tabla Impacto'!$D$12),"Menor",IF(OR(K54='Tabla Impacto'!$C$13,K54='Tabla Impacto'!$D$13),"Moderado",IF(OR(K54='Tabla Impacto'!$C$14,K54='Tabla Impacto'!$D$14),"Mayor",IF(OR(K54='Tabla Impacto'!$C$15,K54='Tabla Impacto'!$D$15),"Catastrófico","")))))</f>
        <v>Moderado</v>
      </c>
      <c r="M54" s="350">
        <f>IF(L54="","",IF(L54="Leve",0.2,IF(L54="Menor",0.4,IF(L54="Moderado",0.6,IF(L54="Mayor",0.8,IF(L54="Catastrófico",1,))))))</f>
        <v>0.6</v>
      </c>
      <c r="N54" s="382"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Moderado</v>
      </c>
      <c r="O54" s="104">
        <v>1</v>
      </c>
      <c r="P54" s="174" t="s">
        <v>329</v>
      </c>
      <c r="Q54" s="158" t="str">
        <f t="shared" si="40"/>
        <v>Probabilidad</v>
      </c>
      <c r="R54" s="162" t="s">
        <v>162</v>
      </c>
      <c r="S54" s="162" t="s">
        <v>163</v>
      </c>
      <c r="T54" s="163" t="str">
        <f>IF(AND(R54="Preventivo",S54="Automático"),"50%",IF(AND(R54="Preventivo",S54="Manual"),"40%",IF(AND(R54="Detectivo",S54="Automático"),"40%",IF(AND(R54="Detectivo",S54="Manual"),"30%",IF(AND(R54="Correctivo",S54="Automático"),"35%",IF(AND(R54="Correctivo",S54="Manual"),"25%",""))))))</f>
        <v>40%</v>
      </c>
      <c r="U54" s="162" t="s">
        <v>164</v>
      </c>
      <c r="V54" s="162" t="s">
        <v>165</v>
      </c>
      <c r="W54" s="162" t="s">
        <v>166</v>
      </c>
      <c r="X54" s="157">
        <f>IFERROR(IF(Q54="Probabilidad",(I54-(+I54*T54)),IF(Q54="Impacto",I54,"")),"")</f>
        <v>0.36</v>
      </c>
      <c r="Y54" s="164" t="str">
        <f>IFERROR(IF(X54="","",IF(X54&lt;=0.2,"Muy Baja",IF(X54&lt;=0.4,"Baja",IF(X54&lt;=0.6,"Media",IF(X54&lt;=0.8,"Alta","Muy Alta"))))),"")</f>
        <v>Baja</v>
      </c>
      <c r="Z54" s="165">
        <f>+X54</f>
        <v>0.36</v>
      </c>
      <c r="AA54" s="164" t="str">
        <f>IFERROR(IF(AB54="","",IF(AB54&lt;=0.2,"Leve",IF(AB54&lt;=0.4,"Menor",IF(AB54&lt;=0.6,"Moderado",IF(AB54&lt;=0.8,"Mayor","Catastrófico"))))),"")</f>
        <v>Moderado</v>
      </c>
      <c r="AB54" s="165">
        <f>IFERROR(IF(Q54="Impacto",(M54-(+M54*T54)),IF(Q54="Probabilidad",M54,"")),"")</f>
        <v>0.6</v>
      </c>
      <c r="AC54" s="166"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Moderado</v>
      </c>
      <c r="AD54" s="167" t="s">
        <v>167</v>
      </c>
      <c r="AE54" s="159" t="s">
        <v>308</v>
      </c>
      <c r="AF54" s="159" t="s">
        <v>190</v>
      </c>
      <c r="AG54" s="161">
        <v>45373</v>
      </c>
      <c r="AH54" s="161">
        <v>45642</v>
      </c>
      <c r="AI54" s="115"/>
      <c r="AJ54" s="113"/>
      <c r="AK54" s="114"/>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82.5" x14ac:dyDescent="0.3">
      <c r="A55" s="353"/>
      <c r="B55" s="342"/>
      <c r="C55" s="342"/>
      <c r="D55" s="342"/>
      <c r="E55" s="370"/>
      <c r="F55" s="342"/>
      <c r="G55" s="345"/>
      <c r="H55" s="348"/>
      <c r="I55" s="351"/>
      <c r="J55" s="355"/>
      <c r="K55" s="351">
        <f>IF(NOT(ISERROR(MATCH(J55,_xlfn.ANCHORARRAY(E66),0))),I69&amp;"Por favor no seleccionar los criterios de impacto",J55)</f>
        <v>0</v>
      </c>
      <c r="L55" s="348"/>
      <c r="M55" s="351"/>
      <c r="N55" s="383"/>
      <c r="O55" s="104">
        <v>2</v>
      </c>
      <c r="P55" s="174" t="s">
        <v>330</v>
      </c>
      <c r="Q55" s="158" t="str">
        <f>IF(OR(R55="Preventivo",R55="Detectivo"),"Probabilidad",IF(R55="Correctivo","Impacto",""))</f>
        <v>Probabilidad</v>
      </c>
      <c r="R55" s="162" t="s">
        <v>162</v>
      </c>
      <c r="S55" s="162" t="s">
        <v>163</v>
      </c>
      <c r="T55" s="163" t="str">
        <f t="shared" ref="T55" si="44">IF(AND(R55="Preventivo",S55="Automático"),"50%",IF(AND(R55="Preventivo",S55="Manual"),"40%",IF(AND(R55="Detectivo",S55="Automático"),"40%",IF(AND(R55="Detectivo",S55="Manual"),"30%",IF(AND(R55="Correctivo",S55="Automático"),"35%",IF(AND(R55="Correctivo",S55="Manual"),"25%",""))))))</f>
        <v>40%</v>
      </c>
      <c r="U55" s="162" t="s">
        <v>164</v>
      </c>
      <c r="V55" s="162" t="s">
        <v>165</v>
      </c>
      <c r="W55" s="162" t="s">
        <v>166</v>
      </c>
      <c r="X55" s="108">
        <f>IFERROR(IF(AND(Q54="Probabilidad",Q55="Probabilidad"),(Z54-(+Z54*T55)),IF(Q55="Probabilidad",(I54-(+I54*T55)),IF(Q55="Impacto",Z54,""))),"")</f>
        <v>0.216</v>
      </c>
      <c r="Y55" s="164" t="str">
        <f t="shared" si="1"/>
        <v>Baja</v>
      </c>
      <c r="Z55" s="165">
        <f t="shared" ref="Z55" si="45">+X55</f>
        <v>0.216</v>
      </c>
      <c r="AA55" s="164" t="str">
        <f t="shared" si="3"/>
        <v>Moderado</v>
      </c>
      <c r="AB55" s="165">
        <f>IFERROR(IF(AND(Q54="Impacto",Q55="Impacto"),(AB54-(+AB54*T55)),IF(Q55="Impacto",(M54-(+M54*T55)),IF(Q55="Probabilidad",AB54,""))),"")</f>
        <v>0.6</v>
      </c>
      <c r="AC55" s="166" t="str">
        <f t="shared" ref="AC55" si="46">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Moderado</v>
      </c>
      <c r="AD55" s="112" t="s">
        <v>167</v>
      </c>
      <c r="AE55" s="159" t="s">
        <v>191</v>
      </c>
      <c r="AF55" s="159" t="s">
        <v>192</v>
      </c>
      <c r="AG55" s="161">
        <v>45373</v>
      </c>
      <c r="AH55" s="161">
        <v>45642</v>
      </c>
      <c r="AI55" s="115"/>
      <c r="AJ55" s="113"/>
      <c r="AK55" s="114"/>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8" customHeight="1" x14ac:dyDescent="0.3">
      <c r="A56" s="353"/>
      <c r="B56" s="342"/>
      <c r="C56" s="342"/>
      <c r="D56" s="342"/>
      <c r="E56" s="370"/>
      <c r="F56" s="342"/>
      <c r="G56" s="345"/>
      <c r="H56" s="348"/>
      <c r="I56" s="351"/>
      <c r="J56" s="355"/>
      <c r="K56" s="351">
        <f>IF(NOT(ISERROR(MATCH(J56,_xlfn.ANCHORARRAY(E68),0))),I70&amp;"Por favor no seleccionar los criterios de impacto",J56)</f>
        <v>0</v>
      </c>
      <c r="L56" s="348"/>
      <c r="M56" s="351"/>
      <c r="N56" s="383"/>
      <c r="O56" s="104">
        <v>3</v>
      </c>
      <c r="P56" s="168"/>
      <c r="Q56" s="158"/>
      <c r="R56" s="162"/>
      <c r="S56" s="162"/>
      <c r="T56" s="163"/>
      <c r="U56" s="162"/>
      <c r="V56" s="162"/>
      <c r="W56" s="162"/>
      <c r="X56" s="108"/>
      <c r="Y56" s="164"/>
      <c r="Z56" s="165"/>
      <c r="AA56" s="164"/>
      <c r="AB56" s="165"/>
      <c r="AC56" s="166"/>
      <c r="AD56" s="112"/>
      <c r="AE56" s="113"/>
      <c r="AF56" s="114"/>
      <c r="AG56" s="115"/>
      <c r="AH56" s="115"/>
      <c r="AI56" s="115"/>
      <c r="AJ56" s="113"/>
      <c r="AK56" s="114"/>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8" customHeight="1" x14ac:dyDescent="0.3">
      <c r="A57" s="353"/>
      <c r="B57" s="342"/>
      <c r="C57" s="342"/>
      <c r="D57" s="342"/>
      <c r="E57" s="370"/>
      <c r="F57" s="342"/>
      <c r="G57" s="345"/>
      <c r="H57" s="348"/>
      <c r="I57" s="351"/>
      <c r="J57" s="355"/>
      <c r="K57" s="351">
        <f>IF(NOT(ISERROR(MATCH(J57,_xlfn.ANCHORARRAY(E69),0))),I71&amp;"Por favor no seleccionar los criterios de impacto",J57)</f>
        <v>0</v>
      </c>
      <c r="L57" s="348"/>
      <c r="M57" s="351"/>
      <c r="N57" s="383"/>
      <c r="O57" s="104">
        <v>4</v>
      </c>
      <c r="P57" s="174"/>
      <c r="Q57" s="158"/>
      <c r="R57" s="162"/>
      <c r="S57" s="162"/>
      <c r="T57" s="163"/>
      <c r="U57" s="162"/>
      <c r="V57" s="162"/>
      <c r="W57" s="162"/>
      <c r="X57" s="108"/>
      <c r="Y57" s="164"/>
      <c r="Z57" s="165"/>
      <c r="AA57" s="164"/>
      <c r="AB57" s="165"/>
      <c r="AC57" s="166"/>
      <c r="AD57" s="112"/>
      <c r="AE57" s="113"/>
      <c r="AF57" s="114"/>
      <c r="AG57" s="115"/>
      <c r="AH57" s="115"/>
      <c r="AI57" s="115"/>
      <c r="AJ57" s="113"/>
      <c r="AK57" s="114"/>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8" customHeight="1" x14ac:dyDescent="0.3">
      <c r="A58" s="353"/>
      <c r="B58" s="342"/>
      <c r="C58" s="342"/>
      <c r="D58" s="342"/>
      <c r="E58" s="370"/>
      <c r="F58" s="342"/>
      <c r="G58" s="345"/>
      <c r="H58" s="348"/>
      <c r="I58" s="351"/>
      <c r="J58" s="355"/>
      <c r="K58" s="351">
        <f>IF(NOT(ISERROR(MATCH(J58,_xlfn.ANCHORARRAY(E70),0))),I72&amp;"Por favor no seleccionar los criterios de impacto",J58)</f>
        <v>0</v>
      </c>
      <c r="L58" s="348"/>
      <c r="M58" s="351"/>
      <c r="N58" s="383"/>
      <c r="O58" s="104">
        <v>5</v>
      </c>
      <c r="P58" s="174"/>
      <c r="Q58" s="158"/>
      <c r="R58" s="162"/>
      <c r="S58" s="162"/>
      <c r="T58" s="163"/>
      <c r="U58" s="162"/>
      <c r="V58" s="162"/>
      <c r="W58" s="162"/>
      <c r="X58" s="108"/>
      <c r="Y58" s="164"/>
      <c r="Z58" s="165"/>
      <c r="AA58" s="164"/>
      <c r="AB58" s="165"/>
      <c r="AC58" s="166"/>
      <c r="AD58" s="112"/>
      <c r="AE58" s="113"/>
      <c r="AF58" s="114"/>
      <c r="AG58" s="115"/>
      <c r="AH58" s="115"/>
      <c r="AI58" s="115"/>
      <c r="AJ58" s="113"/>
      <c r="AK58" s="114"/>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8" customHeight="1" x14ac:dyDescent="0.3">
      <c r="A59" s="336"/>
      <c r="B59" s="343"/>
      <c r="C59" s="343"/>
      <c r="D59" s="343"/>
      <c r="E59" s="371"/>
      <c r="F59" s="343"/>
      <c r="G59" s="346"/>
      <c r="H59" s="349"/>
      <c r="I59" s="352"/>
      <c r="J59" s="356"/>
      <c r="K59" s="352">
        <f>IF(NOT(ISERROR(MATCH(J59,_xlfn.ANCHORARRAY(E71),0))),I73&amp;"Por favor no seleccionar los criterios de impacto",J59)</f>
        <v>0</v>
      </c>
      <c r="L59" s="349"/>
      <c r="M59" s="352"/>
      <c r="N59" s="384"/>
      <c r="O59" s="104">
        <v>6</v>
      </c>
      <c r="P59" s="174"/>
      <c r="Q59" s="158"/>
      <c r="R59" s="162"/>
      <c r="S59" s="162"/>
      <c r="T59" s="163"/>
      <c r="U59" s="162"/>
      <c r="V59" s="162"/>
      <c r="W59" s="162"/>
      <c r="X59" s="108"/>
      <c r="Y59" s="164"/>
      <c r="Z59" s="165"/>
      <c r="AA59" s="164"/>
      <c r="AB59" s="165"/>
      <c r="AC59" s="166"/>
      <c r="AD59" s="112"/>
      <c r="AE59" s="113"/>
      <c r="AF59" s="114"/>
      <c r="AG59" s="115"/>
      <c r="AH59" s="115"/>
      <c r="AI59" s="115"/>
      <c r="AJ59" s="113"/>
      <c r="AK59" s="114"/>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20.75" customHeight="1" x14ac:dyDescent="0.3">
      <c r="A60" s="335">
        <v>9</v>
      </c>
      <c r="B60" s="341" t="s">
        <v>158</v>
      </c>
      <c r="C60" s="341" t="s">
        <v>336</v>
      </c>
      <c r="D60" s="341" t="s">
        <v>337</v>
      </c>
      <c r="E60" s="369" t="s">
        <v>338</v>
      </c>
      <c r="F60" s="341" t="s">
        <v>160</v>
      </c>
      <c r="G60" s="415">
        <v>150</v>
      </c>
      <c r="H60" s="347" t="str">
        <f>IF(G60&lt;=0,"",IF(G60&lt;=2,"Muy Baja",IF(G60&lt;=24,"Baja",IF(G60&lt;=500,"Media",IF(G60&lt;=5000,"Alta","Muy Alta")))))</f>
        <v>Media</v>
      </c>
      <c r="I60" s="350">
        <f>IF(H60="","",IF(H60="Muy Baja",0.2,IF(H60="Baja",0.4,IF(H60="Media",0.6,IF(H60="Alta",0.8,IF(H60="Muy Alta",1,))))))</f>
        <v>0.6</v>
      </c>
      <c r="J60" s="354" t="s">
        <v>172</v>
      </c>
      <c r="K60" s="350" t="str">
        <f>IF(NOT(ISERROR(MATCH(J60,'[1]Tabla Impacto'!$B$221:$B$223,0))),'[1]Tabla Impacto'!$F$223&amp;"Por favor no seleccionar los criterios de impacto(Afectación Económica o presupuestal y Pérdida Reputacional)",J60)</f>
        <v xml:space="preserve">     El riesgo afecta la imagen de la entidad con algunos usuarios de relevancia frente al logro de los objetivos</v>
      </c>
      <c r="L60" s="347" t="str">
        <f>IF(OR(K60='Tabla Impacto'!$C$11,K60='Tabla Impacto'!$D$11),"Leve",IF(OR(K60='Tabla Impacto'!$C$12,K60='Tabla Impacto'!$D$12),"Menor",IF(OR(K60='Tabla Impacto'!$C$13,K60='Tabla Impacto'!$D$13),"Moderado",IF(OR(K60='Tabla Impacto'!$C$14,K60='Tabla Impacto'!$D$14),"Mayor",IF(OR(K60='Tabla Impacto'!$C$15,K60='Tabla Impacto'!$D$15),"Catastrófico","")))))</f>
        <v>Moderado</v>
      </c>
      <c r="M60" s="350">
        <f>IF(L60="","",IF(L60="Leve",0.2,IF(L60="Menor",0.4,IF(L60="Moderado",0.6,IF(L60="Mayor",0.8,IF(L60="Catastrófico",1,))))))</f>
        <v>0.6</v>
      </c>
      <c r="N60" s="382"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Moderado</v>
      </c>
      <c r="O60" s="104">
        <v>1</v>
      </c>
      <c r="P60" s="174" t="s">
        <v>341</v>
      </c>
      <c r="Q60" s="158" t="str">
        <f t="shared" ref="Q60" si="47">IF(OR(R60="Preventivo",R60="Detectivo"),"Probabilidad",IF(R60="Correctivo","Impacto",""))</f>
        <v>Probabilidad</v>
      </c>
      <c r="R60" s="162" t="s">
        <v>162</v>
      </c>
      <c r="S60" s="162" t="s">
        <v>163</v>
      </c>
      <c r="T60" s="163" t="str">
        <f t="shared" ref="T60" si="48">IF(AND(R60="Preventivo",S60="Automático"),"50%",IF(AND(R60="Preventivo",S60="Manual"),"40%",IF(AND(R60="Detectivo",S60="Automático"),"40%",IF(AND(R60="Detectivo",S60="Manual"),"30%",IF(AND(R60="Correctivo",S60="Automático"),"35%",IF(AND(R60="Correctivo",S60="Manual"),"25%",""))))))</f>
        <v>40%</v>
      </c>
      <c r="U60" s="162" t="s">
        <v>164</v>
      </c>
      <c r="V60" s="162" t="s">
        <v>165</v>
      </c>
      <c r="W60" s="162" t="s">
        <v>166</v>
      </c>
      <c r="X60" s="157">
        <f t="shared" ref="X60" si="49">IFERROR(IF(Q60="Probabilidad",(I60-(+I60*T60)),IF(Q60="Impacto",I60,"")),"")</f>
        <v>0.36</v>
      </c>
      <c r="Y60" s="164" t="str">
        <f t="shared" ref="Y60" si="50">IFERROR(IF(X60="","",IF(X60&lt;=0.2,"Muy Baja",IF(X60&lt;=0.4,"Baja",IF(X60&lt;=0.6,"Media",IF(X60&lt;=0.8,"Alta","Muy Alta"))))),"")</f>
        <v>Baja</v>
      </c>
      <c r="Z60" s="165">
        <f t="shared" ref="Z60" si="51">+X60</f>
        <v>0.36</v>
      </c>
      <c r="AA60" s="164" t="str">
        <f>IFERROR(IF(AB60="","",IF(AB60&lt;=0.2,"Leve",IF(AB60&lt;=0.4,"Menor",IF(AB60&lt;=0.6,"Moderado",IF(AB60&lt;=0.8,"Mayor","Catastrófico"))))),"")</f>
        <v>Moderado</v>
      </c>
      <c r="AB60" s="165">
        <f>IFERROR(IF(Q60="Impacto",(M60-(+M60*T60)),IF(Q60="Probabilidad",M60,"")),"")</f>
        <v>0.6</v>
      </c>
      <c r="AC60" s="166" t="str">
        <f t="shared" ref="AC60" si="52">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Moderado</v>
      </c>
      <c r="AD60" s="167" t="s">
        <v>167</v>
      </c>
      <c r="AE60" s="179" t="s">
        <v>339</v>
      </c>
      <c r="AF60" s="159" t="s">
        <v>340</v>
      </c>
      <c r="AG60" s="161">
        <v>45373</v>
      </c>
      <c r="AH60" s="161">
        <v>45642</v>
      </c>
      <c r="AI60" s="115"/>
      <c r="AJ60" s="113"/>
      <c r="AK60" s="114"/>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x14ac:dyDescent="0.3">
      <c r="A61" s="353"/>
      <c r="B61" s="342"/>
      <c r="C61" s="342"/>
      <c r="D61" s="342"/>
      <c r="E61" s="370"/>
      <c r="F61" s="342"/>
      <c r="G61" s="416"/>
      <c r="H61" s="348"/>
      <c r="I61" s="351"/>
      <c r="J61" s="355"/>
      <c r="K61" s="351">
        <f>IF(NOT(ISERROR(MATCH(J61,_xlfn.ANCHORARRAY(E73),0))),I75&amp;"Por favor no seleccionar los criterios de impacto",J61)</f>
        <v>0</v>
      </c>
      <c r="L61" s="348"/>
      <c r="M61" s="351"/>
      <c r="N61" s="383"/>
      <c r="O61" s="104"/>
      <c r="P61" s="174"/>
      <c r="Q61" s="105"/>
      <c r="R61" s="106"/>
      <c r="S61" s="106"/>
      <c r="T61" s="107"/>
      <c r="U61" s="106"/>
      <c r="V61" s="106"/>
      <c r="W61" s="106"/>
      <c r="X61" s="108"/>
      <c r="Y61" s="109"/>
      <c r="Z61" s="110"/>
      <c r="AA61" s="109"/>
      <c r="AB61" s="110"/>
      <c r="AC61" s="111"/>
      <c r="AD61" s="112"/>
      <c r="AE61" s="113"/>
      <c r="AF61" s="114"/>
      <c r="AG61" s="115"/>
      <c r="AH61" s="115"/>
      <c r="AI61" s="115"/>
      <c r="AJ61" s="113"/>
      <c r="AK61" s="114"/>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x14ac:dyDescent="0.3">
      <c r="A62" s="353"/>
      <c r="B62" s="342"/>
      <c r="C62" s="342"/>
      <c r="D62" s="342"/>
      <c r="E62" s="370"/>
      <c r="F62" s="342"/>
      <c r="G62" s="416"/>
      <c r="H62" s="348"/>
      <c r="I62" s="351"/>
      <c r="J62" s="355"/>
      <c r="K62" s="351">
        <f>IF(NOT(ISERROR(MATCH(J62,_xlfn.ANCHORARRAY(E74),0))),I76&amp;"Por favor no seleccionar los criterios de impacto",J62)</f>
        <v>0</v>
      </c>
      <c r="L62" s="348"/>
      <c r="M62" s="351"/>
      <c r="N62" s="383"/>
      <c r="O62" s="104"/>
      <c r="P62" s="168"/>
      <c r="Q62" s="105"/>
      <c r="R62" s="106"/>
      <c r="S62" s="106"/>
      <c r="T62" s="107"/>
      <c r="U62" s="106"/>
      <c r="V62" s="106"/>
      <c r="W62" s="106"/>
      <c r="X62" s="108"/>
      <c r="Y62" s="109"/>
      <c r="Z62" s="110"/>
      <c r="AA62" s="109"/>
      <c r="AB62" s="110"/>
      <c r="AC62" s="111"/>
      <c r="AD62" s="112"/>
      <c r="AE62" s="113"/>
      <c r="AF62" s="114"/>
      <c r="AG62" s="115"/>
      <c r="AH62" s="115"/>
      <c r="AI62" s="115"/>
      <c r="AJ62" s="113"/>
      <c r="AK62" s="114"/>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x14ac:dyDescent="0.3">
      <c r="A63" s="353"/>
      <c r="B63" s="342"/>
      <c r="C63" s="342"/>
      <c r="D63" s="342"/>
      <c r="E63" s="370"/>
      <c r="F63" s="342"/>
      <c r="G63" s="416"/>
      <c r="H63" s="348"/>
      <c r="I63" s="351"/>
      <c r="J63" s="355"/>
      <c r="K63" s="351">
        <f>IF(NOT(ISERROR(MATCH(J63,_xlfn.ANCHORARRAY(E75),0))),I77&amp;"Por favor no seleccionar los criterios de impacto",J63)</f>
        <v>0</v>
      </c>
      <c r="L63" s="348"/>
      <c r="M63" s="351"/>
      <c r="N63" s="383"/>
      <c r="O63" s="104"/>
      <c r="P63" s="174"/>
      <c r="Q63" s="105"/>
      <c r="R63" s="106"/>
      <c r="S63" s="106"/>
      <c r="T63" s="107"/>
      <c r="U63" s="106"/>
      <c r="V63" s="106"/>
      <c r="W63" s="106"/>
      <c r="X63" s="108"/>
      <c r="Y63" s="109"/>
      <c r="Z63" s="110"/>
      <c r="AA63" s="109"/>
      <c r="AB63" s="110"/>
      <c r="AC63" s="111"/>
      <c r="AD63" s="112"/>
      <c r="AE63" s="113"/>
      <c r="AF63" s="114"/>
      <c r="AG63" s="115"/>
      <c r="AH63" s="115"/>
      <c r="AI63" s="115"/>
      <c r="AJ63" s="113"/>
      <c r="AK63" s="114"/>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69" x14ac:dyDescent="0.3">
      <c r="A64" s="353"/>
      <c r="B64" s="342"/>
      <c r="C64" s="342"/>
      <c r="D64" s="342"/>
      <c r="E64" s="370"/>
      <c r="F64" s="342"/>
      <c r="G64" s="416"/>
      <c r="H64" s="348"/>
      <c r="I64" s="351"/>
      <c r="J64" s="355"/>
      <c r="K64" s="351">
        <f>IF(NOT(ISERROR(MATCH(J64,_xlfn.ANCHORARRAY(E76),0))),I78&amp;"Por favor no seleccionar los criterios de impacto",J64)</f>
        <v>0</v>
      </c>
      <c r="L64" s="348"/>
      <c r="M64" s="351"/>
      <c r="N64" s="383"/>
      <c r="O64" s="104"/>
      <c r="P64" s="174"/>
      <c r="Q64" s="105"/>
      <c r="R64" s="106"/>
      <c r="S64" s="106"/>
      <c r="T64" s="107"/>
      <c r="U64" s="106"/>
      <c r="V64" s="106"/>
      <c r="W64" s="106"/>
      <c r="X64" s="108"/>
      <c r="Y64" s="109"/>
      <c r="Z64" s="110"/>
      <c r="AA64" s="109"/>
      <c r="AB64" s="110"/>
      <c r="AC64" s="111"/>
      <c r="AD64" s="112"/>
      <c r="AE64" s="113"/>
      <c r="AF64" s="114"/>
      <c r="AG64" s="115"/>
      <c r="AH64" s="115"/>
      <c r="AI64" s="115"/>
      <c r="AJ64" s="113"/>
      <c r="AK64" s="114"/>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69" x14ac:dyDescent="0.3">
      <c r="A65" s="336"/>
      <c r="B65" s="343"/>
      <c r="C65" s="343"/>
      <c r="D65" s="343"/>
      <c r="E65" s="371"/>
      <c r="F65" s="343"/>
      <c r="G65" s="417"/>
      <c r="H65" s="349"/>
      <c r="I65" s="352"/>
      <c r="J65" s="356"/>
      <c r="K65" s="352">
        <f>IF(NOT(ISERROR(MATCH(J65,_xlfn.ANCHORARRAY(E77),0))),I79&amp;"Por favor no seleccionar los criterios de impacto",J65)</f>
        <v>0</v>
      </c>
      <c r="L65" s="349"/>
      <c r="M65" s="352"/>
      <c r="N65" s="384"/>
      <c r="O65" s="104"/>
      <c r="P65" s="174"/>
      <c r="Q65" s="105"/>
      <c r="R65" s="106"/>
      <c r="S65" s="106"/>
      <c r="T65" s="107"/>
      <c r="U65" s="106"/>
      <c r="V65" s="106"/>
      <c r="W65" s="106"/>
      <c r="X65" s="108"/>
      <c r="Y65" s="109"/>
      <c r="Z65" s="110"/>
      <c r="AA65" s="109"/>
      <c r="AB65" s="110"/>
      <c r="AC65" s="111"/>
      <c r="AD65" s="112"/>
      <c r="AE65" s="113"/>
      <c r="AF65" s="114"/>
      <c r="AG65" s="115"/>
      <c r="AH65" s="115"/>
      <c r="AI65" s="115"/>
      <c r="AJ65" s="113"/>
      <c r="AK65" s="114"/>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row>
    <row r="66" spans="1:69" ht="77.25" customHeight="1" x14ac:dyDescent="0.3">
      <c r="A66" s="335">
        <v>10</v>
      </c>
      <c r="B66" s="341" t="s">
        <v>168</v>
      </c>
      <c r="C66" s="341" t="s">
        <v>343</v>
      </c>
      <c r="D66" s="341" t="s">
        <v>344</v>
      </c>
      <c r="E66" s="357" t="s">
        <v>345</v>
      </c>
      <c r="F66" s="341" t="s">
        <v>160</v>
      </c>
      <c r="G66" s="344">
        <v>365</v>
      </c>
      <c r="H66" s="347" t="str">
        <f>IF(G66&lt;=0,"",IF(G66&lt;=2,"Muy Baja",IF(G66&lt;=24,"Baja",IF(G66&lt;=500,"Media",IF(G66&lt;=5000,"Alta","Muy Alta")))))</f>
        <v>Media</v>
      </c>
      <c r="I66" s="350">
        <f>IF(H66="","",IF(H66="Muy Baja",0.2,IF(H66="Baja",0.4,IF(H66="Media",0.6,IF(H66="Alta",0.8,IF(H66="Muy Alta",1,))))))</f>
        <v>0.6</v>
      </c>
      <c r="J66" s="354" t="s">
        <v>172</v>
      </c>
      <c r="K66" s="350" t="str">
        <f>IF(NOT(ISERROR(MATCH(J66,'[1]Tabla Impacto'!$B$221:$B$223,0))),'[1]Tabla Impacto'!$F$223&amp;"Por favor no seleccionar los criterios de impacto(Afectación Económica o presupuestal y Pérdida Reputacional)",J66)</f>
        <v xml:space="preserve">     El riesgo afecta la imagen de la entidad con algunos usuarios de relevancia frente al logro de los objetivos</v>
      </c>
      <c r="L66" s="347" t="str">
        <f>IF(OR(K66='Tabla Impacto'!$C$11,K66='Tabla Impacto'!$D$11),"Leve",IF(OR(K66='Tabla Impacto'!$C$12,K66='Tabla Impacto'!$D$12),"Menor",IF(OR(K66='Tabla Impacto'!$C$13,K66='Tabla Impacto'!$D$13),"Moderado",IF(OR(K66='Tabla Impacto'!$C$14,K66='Tabla Impacto'!$D$14),"Mayor",IF(OR(K66='Tabla Impacto'!$C$15,K66='Tabla Impacto'!$D$15),"Catastrófico","")))))</f>
        <v>Moderado</v>
      </c>
      <c r="M66" s="350">
        <f>IF(L66="","",IF(L66="Leve",0.2,IF(L66="Menor",0.4,IF(L66="Moderado",0.6,IF(L66="Mayor",0.8,IF(L66="Catastrófico",1,))))))</f>
        <v>0.6</v>
      </c>
      <c r="N66" s="382"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Moderado</v>
      </c>
      <c r="O66" s="335">
        <v>1</v>
      </c>
      <c r="P66" s="337" t="s">
        <v>346</v>
      </c>
      <c r="Q66" s="339" t="str">
        <f t="shared" ref="Q66" si="53">IF(OR(R66="Preventivo",R66="Detectivo"),"Probabilidad",IF(R66="Correctivo","Impacto",""))</f>
        <v>Probabilidad</v>
      </c>
      <c r="R66" s="333" t="s">
        <v>162</v>
      </c>
      <c r="S66" s="333" t="s">
        <v>163</v>
      </c>
      <c r="T66" s="329" t="str">
        <f t="shared" ref="T66" si="54">IF(AND(R66="Preventivo",S66="Automático"),"50%",IF(AND(R66="Preventivo",S66="Manual"),"40%",IF(AND(R66="Detectivo",S66="Automático"),"40%",IF(AND(R66="Detectivo",S66="Manual"),"30%",IF(AND(R66="Correctivo",S66="Automático"),"35%",IF(AND(R66="Correctivo",S66="Manual"),"25%",""))))))</f>
        <v>40%</v>
      </c>
      <c r="U66" s="333" t="s">
        <v>277</v>
      </c>
      <c r="V66" s="333" t="s">
        <v>165</v>
      </c>
      <c r="W66" s="333" t="s">
        <v>166</v>
      </c>
      <c r="X66" s="325">
        <f>IFERROR(IF(Q66="Probabilidad",(I66-(+I66*T66)),IF(Q66="Impacto",I66,"")),"")</f>
        <v>0.36</v>
      </c>
      <c r="Y66" s="327" t="str">
        <f t="shared" ref="Y66" si="55">IFERROR(IF(X66="","",IF(X66&lt;=0.2,"Muy Baja",IF(X66&lt;=0.4,"Baja",IF(X66&lt;=0.6,"Media",IF(X66&lt;=0.8,"Alta","Muy Alta"))))),"")</f>
        <v>Baja</v>
      </c>
      <c r="Z66" s="329">
        <f t="shared" ref="Z66" si="56">+X66</f>
        <v>0.36</v>
      </c>
      <c r="AA66" s="327" t="str">
        <f>IFERROR(IF(AB66="","",IF(AB66&lt;=0.2,"Leve",IF(AB66&lt;=0.4,"Menor",IF(AB66&lt;=0.6,"Moderado",IF(AB66&lt;=0.8,"Mayor","Catastrófico"))))),"")</f>
        <v>Moderado</v>
      </c>
      <c r="AB66" s="329">
        <f>IFERROR(IF(Q66="Impacto",(M66-(+M66*T66)),IF(Q66="Probabilidad",M66,"")),"")</f>
        <v>0.6</v>
      </c>
      <c r="AC66" s="331" t="str">
        <f t="shared" ref="AC66" si="57">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Moderado</v>
      </c>
      <c r="AD66" s="333" t="s">
        <v>167</v>
      </c>
      <c r="AE66" s="159" t="s">
        <v>351</v>
      </c>
      <c r="AF66" s="159" t="s">
        <v>340</v>
      </c>
      <c r="AG66" s="161">
        <v>45373</v>
      </c>
      <c r="AH66" s="161">
        <v>45504</v>
      </c>
      <c r="AI66" s="115"/>
      <c r="AJ66" s="113"/>
      <c r="AK66" s="114"/>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row>
    <row r="67" spans="1:69" ht="63" customHeight="1" x14ac:dyDescent="0.3">
      <c r="A67" s="353"/>
      <c r="B67" s="342"/>
      <c r="C67" s="342"/>
      <c r="D67" s="342"/>
      <c r="E67" s="358"/>
      <c r="F67" s="342"/>
      <c r="G67" s="345"/>
      <c r="H67" s="348"/>
      <c r="I67" s="351"/>
      <c r="J67" s="355"/>
      <c r="K67" s="351"/>
      <c r="L67" s="348"/>
      <c r="M67" s="351"/>
      <c r="N67" s="383"/>
      <c r="O67" s="336"/>
      <c r="P67" s="338"/>
      <c r="Q67" s="340"/>
      <c r="R67" s="334"/>
      <c r="S67" s="334"/>
      <c r="T67" s="330"/>
      <c r="U67" s="334"/>
      <c r="V67" s="334"/>
      <c r="W67" s="334"/>
      <c r="X67" s="326"/>
      <c r="Y67" s="328"/>
      <c r="Z67" s="330"/>
      <c r="AA67" s="328"/>
      <c r="AB67" s="330"/>
      <c r="AC67" s="332"/>
      <c r="AD67" s="334"/>
      <c r="AE67" s="159" t="s">
        <v>347</v>
      </c>
      <c r="AF67" s="159" t="s">
        <v>340</v>
      </c>
      <c r="AG67" s="161">
        <v>45373</v>
      </c>
      <c r="AH67" s="161">
        <v>45642</v>
      </c>
      <c r="AI67" s="115"/>
      <c r="AJ67" s="113"/>
      <c r="AK67" s="114"/>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row>
    <row r="68" spans="1:69" ht="18" customHeight="1" x14ac:dyDescent="0.3">
      <c r="A68" s="353"/>
      <c r="B68" s="342"/>
      <c r="C68" s="342"/>
      <c r="D68" s="342"/>
      <c r="E68" s="358"/>
      <c r="F68" s="342"/>
      <c r="G68" s="345"/>
      <c r="H68" s="348"/>
      <c r="I68" s="351"/>
      <c r="J68" s="355"/>
      <c r="K68" s="351">
        <f>IF(NOT(ISERROR(MATCH(J68,_xlfn.ANCHORARRAY(E79),0))),I81&amp;"Por favor no seleccionar los criterios de impacto",J68)</f>
        <v>0</v>
      </c>
      <c r="L68" s="348"/>
      <c r="M68" s="351"/>
      <c r="N68" s="383"/>
      <c r="O68" s="104">
        <v>2</v>
      </c>
      <c r="P68" s="174"/>
      <c r="Q68" s="105"/>
      <c r="R68" s="106"/>
      <c r="S68" s="106"/>
      <c r="T68" s="107"/>
      <c r="U68" s="106"/>
      <c r="V68" s="106"/>
      <c r="W68" s="106"/>
      <c r="X68" s="108"/>
      <c r="Y68" s="109"/>
      <c r="Z68" s="110"/>
      <c r="AA68" s="109"/>
      <c r="AB68" s="110"/>
      <c r="AC68" s="111"/>
      <c r="AD68" s="112"/>
      <c r="AE68" s="113"/>
      <c r="AF68" s="114"/>
      <c r="AG68" s="115"/>
      <c r="AH68" s="115"/>
      <c r="AI68" s="115"/>
      <c r="AJ68" s="113"/>
      <c r="AK68" s="114"/>
    </row>
    <row r="69" spans="1:69" ht="18" customHeight="1" x14ac:dyDescent="0.3">
      <c r="A69" s="353"/>
      <c r="B69" s="342"/>
      <c r="C69" s="342"/>
      <c r="D69" s="342"/>
      <c r="E69" s="358"/>
      <c r="F69" s="342"/>
      <c r="G69" s="345"/>
      <c r="H69" s="348"/>
      <c r="I69" s="351"/>
      <c r="J69" s="355"/>
      <c r="K69" s="351">
        <f>IF(NOT(ISERROR(MATCH(J69,_xlfn.ANCHORARRAY(E80),0))),I82&amp;"Por favor no seleccionar los criterios de impacto",J69)</f>
        <v>0</v>
      </c>
      <c r="L69" s="348"/>
      <c r="M69" s="351"/>
      <c r="N69" s="383"/>
      <c r="O69" s="104">
        <v>3</v>
      </c>
      <c r="P69" s="168"/>
      <c r="Q69" s="105"/>
      <c r="R69" s="106"/>
      <c r="S69" s="106"/>
      <c r="T69" s="107"/>
      <c r="U69" s="106"/>
      <c r="V69" s="106"/>
      <c r="W69" s="106"/>
      <c r="X69" s="108"/>
      <c r="Y69" s="109"/>
      <c r="Z69" s="110"/>
      <c r="AA69" s="109"/>
      <c r="AB69" s="110"/>
      <c r="AC69" s="111"/>
      <c r="AD69" s="112"/>
      <c r="AE69" s="113"/>
      <c r="AF69" s="114"/>
      <c r="AG69" s="115"/>
      <c r="AH69" s="115"/>
      <c r="AI69" s="115"/>
      <c r="AJ69" s="113"/>
      <c r="AK69" s="114"/>
    </row>
    <row r="70" spans="1:69" ht="18" customHeight="1" x14ac:dyDescent="0.3">
      <c r="A70" s="353"/>
      <c r="B70" s="342"/>
      <c r="C70" s="342"/>
      <c r="D70" s="342"/>
      <c r="E70" s="358"/>
      <c r="F70" s="342"/>
      <c r="G70" s="345"/>
      <c r="H70" s="348"/>
      <c r="I70" s="351"/>
      <c r="J70" s="355"/>
      <c r="K70" s="351">
        <f>IF(NOT(ISERROR(MATCH(J70,_xlfn.ANCHORARRAY(E81),0))),I83&amp;"Por favor no seleccionar los criterios de impacto",J70)</f>
        <v>0</v>
      </c>
      <c r="L70" s="348"/>
      <c r="M70" s="351"/>
      <c r="N70" s="383"/>
      <c r="O70" s="104">
        <v>4</v>
      </c>
      <c r="P70" s="174"/>
      <c r="Q70" s="105"/>
      <c r="R70" s="106"/>
      <c r="S70" s="106"/>
      <c r="T70" s="107"/>
      <c r="U70" s="106"/>
      <c r="V70" s="106"/>
      <c r="W70" s="106"/>
      <c r="X70" s="108"/>
      <c r="Y70" s="109"/>
      <c r="Z70" s="110"/>
      <c r="AA70" s="109"/>
      <c r="AB70" s="110"/>
      <c r="AC70" s="111"/>
      <c r="AD70" s="112"/>
      <c r="AE70" s="113"/>
      <c r="AF70" s="114"/>
      <c r="AG70" s="115"/>
      <c r="AH70" s="115"/>
      <c r="AI70" s="115"/>
      <c r="AJ70" s="113"/>
      <c r="AK70" s="114"/>
    </row>
    <row r="71" spans="1:69" ht="18" customHeight="1" x14ac:dyDescent="0.3">
      <c r="A71" s="353"/>
      <c r="B71" s="342"/>
      <c r="C71" s="342"/>
      <c r="D71" s="342"/>
      <c r="E71" s="358"/>
      <c r="F71" s="342"/>
      <c r="G71" s="345"/>
      <c r="H71" s="348"/>
      <c r="I71" s="351"/>
      <c r="J71" s="355"/>
      <c r="K71" s="351">
        <f>IF(NOT(ISERROR(MATCH(J71,_xlfn.ANCHORARRAY(E82),0))),I84&amp;"Por favor no seleccionar los criterios de impacto",J71)</f>
        <v>0</v>
      </c>
      <c r="L71" s="348"/>
      <c r="M71" s="351"/>
      <c r="N71" s="383"/>
      <c r="O71" s="104">
        <v>5</v>
      </c>
      <c r="P71" s="174"/>
      <c r="Q71" s="105"/>
      <c r="R71" s="106"/>
      <c r="S71" s="106"/>
      <c r="T71" s="107"/>
      <c r="U71" s="106"/>
      <c r="V71" s="106"/>
      <c r="W71" s="106"/>
      <c r="X71" s="108"/>
      <c r="Y71" s="109"/>
      <c r="Z71" s="110"/>
      <c r="AA71" s="109"/>
      <c r="AB71" s="110"/>
      <c r="AC71" s="111"/>
      <c r="AD71" s="112"/>
      <c r="AE71" s="113"/>
      <c r="AF71" s="114"/>
      <c r="AG71" s="115"/>
      <c r="AH71" s="115"/>
      <c r="AI71" s="115"/>
      <c r="AJ71" s="113"/>
      <c r="AK71" s="114"/>
    </row>
    <row r="72" spans="1:69" ht="18" customHeight="1" x14ac:dyDescent="0.3">
      <c r="A72" s="336"/>
      <c r="B72" s="343"/>
      <c r="C72" s="343"/>
      <c r="D72" s="343"/>
      <c r="E72" s="359"/>
      <c r="F72" s="343"/>
      <c r="G72" s="346"/>
      <c r="H72" s="349"/>
      <c r="I72" s="352"/>
      <c r="J72" s="356"/>
      <c r="K72" s="352">
        <f>IF(NOT(ISERROR(MATCH(J72,_xlfn.ANCHORARRAY(E83),0))),I85&amp;"Por favor no seleccionar los criterios de impacto",J72)</f>
        <v>0</v>
      </c>
      <c r="L72" s="349"/>
      <c r="M72" s="352"/>
      <c r="N72" s="384"/>
      <c r="O72" s="104">
        <v>6</v>
      </c>
      <c r="P72" s="174"/>
      <c r="Q72" s="105"/>
      <c r="R72" s="106"/>
      <c r="S72" s="106"/>
      <c r="T72" s="107"/>
      <c r="U72" s="106"/>
      <c r="V72" s="106"/>
      <c r="W72" s="106"/>
      <c r="X72" s="108"/>
      <c r="Y72" s="109"/>
      <c r="Z72" s="110"/>
      <c r="AA72" s="109"/>
      <c r="AB72" s="110"/>
      <c r="AC72" s="111"/>
      <c r="AD72" s="112"/>
      <c r="AE72" s="113"/>
      <c r="AF72" s="114"/>
      <c r="AG72" s="115"/>
      <c r="AH72" s="115"/>
      <c r="AI72" s="115"/>
      <c r="AJ72" s="113"/>
      <c r="AK72" s="114"/>
    </row>
    <row r="73" spans="1:69" ht="34.5" customHeight="1" x14ac:dyDescent="0.3">
      <c r="A73" s="322" t="s">
        <v>194</v>
      </c>
      <c r="B73" s="323"/>
      <c r="C73" s="323"/>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4"/>
    </row>
    <row r="75" spans="1:69" x14ac:dyDescent="0.3">
      <c r="A75" s="1"/>
      <c r="B75" s="23" t="s">
        <v>195</v>
      </c>
      <c r="C75" s="1"/>
      <c r="D75" s="1"/>
      <c r="F75" s="1"/>
    </row>
  </sheetData>
  <dataConsolidate/>
  <mergeCells count="207">
    <mergeCell ref="N12:N17"/>
    <mergeCell ref="M12:M17"/>
    <mergeCell ref="L12:L17"/>
    <mergeCell ref="A60:A65"/>
    <mergeCell ref="B60:B65"/>
    <mergeCell ref="C60:C65"/>
    <mergeCell ref="D60:D65"/>
    <mergeCell ref="E60:E65"/>
    <mergeCell ref="F60:F65"/>
    <mergeCell ref="G60:G65"/>
    <mergeCell ref="H60:H65"/>
    <mergeCell ref="I60:I65"/>
    <mergeCell ref="D48:D53"/>
    <mergeCell ref="E48:E53"/>
    <mergeCell ref="M36:M41"/>
    <mergeCell ref="N36:N41"/>
    <mergeCell ref="M42:M47"/>
    <mergeCell ref="N42:N47"/>
    <mergeCell ref="J48:J53"/>
    <mergeCell ref="K48:K53"/>
    <mergeCell ref="L48:L53"/>
    <mergeCell ref="J42:J47"/>
    <mergeCell ref="K42:K47"/>
    <mergeCell ref="L42:L47"/>
    <mergeCell ref="AJ1:AK1"/>
    <mergeCell ref="AJ2:AK2"/>
    <mergeCell ref="AJ3:AK3"/>
    <mergeCell ref="AJ4:AK4"/>
    <mergeCell ref="E1:AI4"/>
    <mergeCell ref="J66:J72"/>
    <mergeCell ref="K66:K72"/>
    <mergeCell ref="L66:L72"/>
    <mergeCell ref="M66:M72"/>
    <mergeCell ref="N66:N72"/>
    <mergeCell ref="I66:I72"/>
    <mergeCell ref="AH10:AH11"/>
    <mergeCell ref="O6:Q6"/>
    <mergeCell ref="O9:W9"/>
    <mergeCell ref="X9:AD9"/>
    <mergeCell ref="AE9:AK9"/>
    <mergeCell ref="M24:M29"/>
    <mergeCell ref="N24:N29"/>
    <mergeCell ref="J30:J35"/>
    <mergeCell ref="K30:K35"/>
    <mergeCell ref="L30:L35"/>
    <mergeCell ref="M30:M35"/>
    <mergeCell ref="N30:N35"/>
    <mergeCell ref="K18:K23"/>
    <mergeCell ref="B54:B59"/>
    <mergeCell ref="C54:C59"/>
    <mergeCell ref="D54:D59"/>
    <mergeCell ref="A1:D4"/>
    <mergeCell ref="A66:A72"/>
    <mergeCell ref="B66:B72"/>
    <mergeCell ref="C66:C72"/>
    <mergeCell ref="D66:D72"/>
    <mergeCell ref="E66:E72"/>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G36:G41"/>
    <mergeCell ref="H36:H41"/>
    <mergeCell ref="A36:A41"/>
    <mergeCell ref="B36:B41"/>
    <mergeCell ref="C36:C41"/>
    <mergeCell ref="A42:A47"/>
    <mergeCell ref="B42:B47"/>
    <mergeCell ref="C42:C47"/>
    <mergeCell ref="D42:D47"/>
    <mergeCell ref="E42:E47"/>
    <mergeCell ref="F42:F47"/>
    <mergeCell ref="D36:D41"/>
    <mergeCell ref="E36:E41"/>
    <mergeCell ref="F36:F41"/>
    <mergeCell ref="A30:A35"/>
    <mergeCell ref="B30:B35"/>
    <mergeCell ref="C30:C35"/>
    <mergeCell ref="D30:D35"/>
    <mergeCell ref="E30:E35"/>
    <mergeCell ref="F30:F35"/>
    <mergeCell ref="G30:G35"/>
    <mergeCell ref="H30:H35"/>
    <mergeCell ref="I30:I35"/>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H10:H11"/>
    <mergeCell ref="I10:I11"/>
    <mergeCell ref="L10:L11"/>
    <mergeCell ref="M10:M11"/>
    <mergeCell ref="B10:B11"/>
    <mergeCell ref="N10:N11"/>
    <mergeCell ref="J10:J11"/>
    <mergeCell ref="K10:K11"/>
    <mergeCell ref="Q10:Q11"/>
    <mergeCell ref="R10:W10"/>
    <mergeCell ref="K12:K17"/>
    <mergeCell ref="B12:B17"/>
    <mergeCell ref="A12:A17"/>
    <mergeCell ref="J12:J17"/>
    <mergeCell ref="I12:I17"/>
    <mergeCell ref="H12:H17"/>
    <mergeCell ref="G12:G17"/>
    <mergeCell ref="F12:F17"/>
    <mergeCell ref="E12:E17"/>
    <mergeCell ref="D12:D17"/>
    <mergeCell ref="C12:C17"/>
    <mergeCell ref="A73:AK73"/>
    <mergeCell ref="X66:X67"/>
    <mergeCell ref="Y66:Y67"/>
    <mergeCell ref="Z66:Z67"/>
    <mergeCell ref="AA66:AA67"/>
    <mergeCell ref="AB66:AB67"/>
    <mergeCell ref="AC66:AC67"/>
    <mergeCell ref="AD66:AD67"/>
    <mergeCell ref="O66:O67"/>
    <mergeCell ref="P66:P67"/>
    <mergeCell ref="Q66:Q67"/>
    <mergeCell ref="R66:R67"/>
    <mergeCell ref="S66:S67"/>
    <mergeCell ref="T66:T67"/>
    <mergeCell ref="U66:U67"/>
    <mergeCell ref="V66:V67"/>
    <mergeCell ref="W66:W67"/>
    <mergeCell ref="F66:F72"/>
    <mergeCell ref="G66:G72"/>
    <mergeCell ref="H66:H72"/>
  </mergeCells>
  <conditionalFormatting sqref="H12 H18">
    <cfRule type="cellIs" dxfId="110" priority="543" operator="equal">
      <formula>"Media"</formula>
    </cfRule>
    <cfRule type="cellIs" dxfId="109" priority="542" operator="equal">
      <formula>"Alta"</formula>
    </cfRule>
    <cfRule type="cellIs" dxfId="108" priority="541" operator="equal">
      <formula>"Muy Alta"</formula>
    </cfRule>
    <cfRule type="cellIs" dxfId="107" priority="544" operator="equal">
      <formula>"Baja"</formula>
    </cfRule>
    <cfRule type="cellIs" dxfId="106" priority="545" operator="equal">
      <formula>"Muy Baja"</formula>
    </cfRule>
  </conditionalFormatting>
  <conditionalFormatting sqref="H24">
    <cfRule type="cellIs" dxfId="105" priority="447" operator="equal">
      <formula>"Muy Baja"</formula>
    </cfRule>
    <cfRule type="cellIs" dxfId="104" priority="446" operator="equal">
      <formula>"Baja"</formula>
    </cfRule>
    <cfRule type="cellIs" dxfId="103" priority="445" operator="equal">
      <formula>"Media"</formula>
    </cfRule>
    <cfRule type="cellIs" dxfId="102" priority="444" operator="equal">
      <formula>"Alta"</formula>
    </cfRule>
    <cfRule type="cellIs" dxfId="101" priority="443" operator="equal">
      <formula>"Muy Alta"</formula>
    </cfRule>
  </conditionalFormatting>
  <conditionalFormatting sqref="H30 H36">
    <cfRule type="cellIs" dxfId="100" priority="415" operator="equal">
      <formula>"Muy Alta"</formula>
    </cfRule>
    <cfRule type="cellIs" dxfId="99" priority="419" operator="equal">
      <formula>"Muy Baja"</formula>
    </cfRule>
    <cfRule type="cellIs" dxfId="98" priority="418" operator="equal">
      <formula>"Baja"</formula>
    </cfRule>
    <cfRule type="cellIs" dxfId="97" priority="417" operator="equal">
      <formula>"Media"</formula>
    </cfRule>
    <cfRule type="cellIs" dxfId="96" priority="416" operator="equal">
      <formula>"Alta"</formula>
    </cfRule>
  </conditionalFormatting>
  <conditionalFormatting sqref="H42">
    <cfRule type="cellIs" dxfId="95" priority="362" operator="equal">
      <formula>"Baja"</formula>
    </cfRule>
    <cfRule type="cellIs" dxfId="94" priority="363" operator="equal">
      <formula>"Muy Baja"</formula>
    </cfRule>
    <cfRule type="cellIs" dxfId="93" priority="360" operator="equal">
      <formula>"Alta"</formula>
    </cfRule>
    <cfRule type="cellIs" dxfId="92" priority="359" operator="equal">
      <formula>"Muy Alta"</formula>
    </cfRule>
    <cfRule type="cellIs" dxfId="91" priority="361" operator="equal">
      <formula>"Media"</formula>
    </cfRule>
  </conditionalFormatting>
  <conditionalFormatting sqref="H48">
    <cfRule type="cellIs" dxfId="90" priority="333" operator="equal">
      <formula>"Media"</formula>
    </cfRule>
    <cfRule type="cellIs" dxfId="89" priority="334" operator="equal">
      <formula>"Baja"</formula>
    </cfRule>
    <cfRule type="cellIs" dxfId="88" priority="335" operator="equal">
      <formula>"Muy Baja"</formula>
    </cfRule>
    <cfRule type="cellIs" dxfId="87" priority="331" operator="equal">
      <formula>"Muy Alta"</formula>
    </cfRule>
    <cfRule type="cellIs" dxfId="86" priority="332" operator="equal">
      <formula>"Alta"</formula>
    </cfRule>
  </conditionalFormatting>
  <conditionalFormatting sqref="H54">
    <cfRule type="cellIs" dxfId="85" priority="304" operator="equal">
      <formula>"Alta"</formula>
    </cfRule>
    <cfRule type="cellIs" dxfId="84" priority="307" operator="equal">
      <formula>"Muy Baja"</formula>
    </cfRule>
    <cfRule type="cellIs" dxfId="83" priority="306" operator="equal">
      <formula>"Baja"</formula>
    </cfRule>
    <cfRule type="cellIs" dxfId="82" priority="305" operator="equal">
      <formula>"Media"</formula>
    </cfRule>
    <cfRule type="cellIs" dxfId="81" priority="303" operator="equal">
      <formula>"Muy Alta"</formula>
    </cfRule>
  </conditionalFormatting>
  <conditionalFormatting sqref="H60">
    <cfRule type="cellIs" dxfId="80" priority="41" operator="equal">
      <formula>"Baja"</formula>
    </cfRule>
    <cfRule type="cellIs" dxfId="79" priority="42" operator="equal">
      <formula>"Muy Baja"</formula>
    </cfRule>
    <cfRule type="cellIs" dxfId="78" priority="38" operator="equal">
      <formula>"Muy Alta"</formula>
    </cfRule>
    <cfRule type="cellIs" dxfId="77" priority="39" operator="equal">
      <formula>"Alta"</formula>
    </cfRule>
    <cfRule type="cellIs" dxfId="76" priority="40" operator="equal">
      <formula>"Media"</formula>
    </cfRule>
  </conditionalFormatting>
  <conditionalFormatting sqref="H66:H67">
    <cfRule type="cellIs" dxfId="75" priority="10" operator="equal">
      <formula>"Muy Alta"</formula>
    </cfRule>
    <cfRule type="cellIs" dxfId="74" priority="11" operator="equal">
      <formula>"Alta"</formula>
    </cfRule>
    <cfRule type="cellIs" dxfId="73" priority="13" operator="equal">
      <formula>"Baja"</formula>
    </cfRule>
    <cfRule type="cellIs" dxfId="72" priority="12" operator="equal">
      <formula>"Media"</formula>
    </cfRule>
    <cfRule type="cellIs" dxfId="71" priority="14" operator="equal">
      <formula>"Muy Baja"</formula>
    </cfRule>
  </conditionalFormatting>
  <conditionalFormatting sqref="K12">
    <cfRule type="containsText" dxfId="70" priority="223" operator="containsText" text="❌">
      <formula>NOT(ISERROR(SEARCH("❌",K12)))</formula>
    </cfRule>
  </conditionalFormatting>
  <conditionalFormatting sqref="K18:K72">
    <cfRule type="containsText" dxfId="69" priority="48" operator="containsText" text="❌">
      <formula>NOT(ISERROR(SEARCH("❌",K18)))</formula>
    </cfRule>
  </conditionalFormatting>
  <conditionalFormatting sqref="L12 L18 L24 L30 L36 L42 L48 L54">
    <cfRule type="cellIs" dxfId="68" priority="540" operator="equal">
      <formula>"Leve"</formula>
    </cfRule>
    <cfRule type="cellIs" dxfId="67" priority="537" operator="equal">
      <formula>"Mayor"</formula>
    </cfRule>
    <cfRule type="cellIs" dxfId="66" priority="536" operator="equal">
      <formula>"Catastrófico"</formula>
    </cfRule>
    <cfRule type="cellIs" dxfId="65" priority="539" operator="equal">
      <formula>"Menor"</formula>
    </cfRule>
    <cfRule type="cellIs" dxfId="64" priority="538" operator="equal">
      <formula>"Moderado"</formula>
    </cfRule>
  </conditionalFormatting>
  <conditionalFormatting sqref="L60">
    <cfRule type="cellIs" dxfId="63" priority="32" operator="equal">
      <formula>"Menor"</formula>
    </cfRule>
    <cfRule type="cellIs" dxfId="62" priority="31" operator="equal">
      <formula>"Moderado"</formula>
    </cfRule>
    <cfRule type="cellIs" dxfId="61" priority="29" operator="equal">
      <formula>"Catastrófico"</formula>
    </cfRule>
    <cfRule type="cellIs" dxfId="60" priority="30" operator="equal">
      <formula>"Mayor"</formula>
    </cfRule>
    <cfRule type="cellIs" dxfId="59" priority="33" operator="equal">
      <formula>"Leve"</formula>
    </cfRule>
  </conditionalFormatting>
  <conditionalFormatting sqref="L66:L67">
    <cfRule type="cellIs" dxfId="58" priority="5" operator="equal">
      <formula>"Catastrófico"</formula>
    </cfRule>
    <cfRule type="cellIs" dxfId="57" priority="6" operator="equal">
      <formula>"Mayor"</formula>
    </cfRule>
    <cfRule type="cellIs" dxfId="56" priority="7" operator="equal">
      <formula>"Moderado"</formula>
    </cfRule>
    <cfRule type="cellIs" dxfId="55" priority="9" operator="equal">
      <formula>"Leve"</formula>
    </cfRule>
    <cfRule type="cellIs" dxfId="54" priority="8" operator="equal">
      <formula>"Menor"</formula>
    </cfRule>
  </conditionalFormatting>
  <conditionalFormatting sqref="N12">
    <cfRule type="cellIs" dxfId="53" priority="534" operator="equal">
      <formula>"Moderado"</formula>
    </cfRule>
    <cfRule type="cellIs" dxfId="52" priority="535" operator="equal">
      <formula>"Bajo"</formula>
    </cfRule>
    <cfRule type="cellIs" dxfId="51" priority="532" operator="equal">
      <formula>"Extremo"</formula>
    </cfRule>
    <cfRule type="cellIs" dxfId="50" priority="533" operator="equal">
      <formula>"Alto"</formula>
    </cfRule>
  </conditionalFormatting>
  <conditionalFormatting sqref="N18">
    <cfRule type="cellIs" dxfId="49" priority="465" operator="equal">
      <formula>"Bajo"</formula>
    </cfRule>
    <cfRule type="cellIs" dxfId="48" priority="464" operator="equal">
      <formula>"Moderado"</formula>
    </cfRule>
    <cfRule type="cellIs" dxfId="47" priority="463" operator="equal">
      <formula>"Alto"</formula>
    </cfRule>
    <cfRule type="cellIs" dxfId="46" priority="462" operator="equal">
      <formula>"Extremo"</formula>
    </cfRule>
  </conditionalFormatting>
  <conditionalFormatting sqref="N24">
    <cfRule type="cellIs" dxfId="45" priority="435" operator="equal">
      <formula>"Alto"</formula>
    </cfRule>
    <cfRule type="cellIs" dxfId="44" priority="434" operator="equal">
      <formula>"Extremo"</formula>
    </cfRule>
    <cfRule type="cellIs" dxfId="43" priority="436" operator="equal">
      <formula>"Moderado"</formula>
    </cfRule>
    <cfRule type="cellIs" dxfId="42" priority="437" operator="equal">
      <formula>"Bajo"</formula>
    </cfRule>
  </conditionalFormatting>
  <conditionalFormatting sqref="N30">
    <cfRule type="cellIs" dxfId="41" priority="406" operator="equal">
      <formula>"Extremo"</formula>
    </cfRule>
    <cfRule type="cellIs" dxfId="40" priority="407" operator="equal">
      <formula>"Alto"</formula>
    </cfRule>
    <cfRule type="cellIs" dxfId="39" priority="408" operator="equal">
      <formula>"Moderado"</formula>
    </cfRule>
    <cfRule type="cellIs" dxfId="38" priority="409" operator="equal">
      <formula>"Bajo"</formula>
    </cfRule>
  </conditionalFormatting>
  <conditionalFormatting sqref="N36">
    <cfRule type="cellIs" dxfId="37" priority="380" operator="equal">
      <formula>"Moderado"</formula>
    </cfRule>
    <cfRule type="cellIs" dxfId="36" priority="378" operator="equal">
      <formula>"Extremo"</formula>
    </cfRule>
    <cfRule type="cellIs" dxfId="35" priority="379" operator="equal">
      <formula>"Alto"</formula>
    </cfRule>
    <cfRule type="cellIs" dxfId="34" priority="381" operator="equal">
      <formula>"Bajo"</formula>
    </cfRule>
  </conditionalFormatting>
  <conditionalFormatting sqref="N42">
    <cfRule type="cellIs" dxfId="33" priority="350" operator="equal">
      <formula>"Extremo"</formula>
    </cfRule>
    <cfRule type="cellIs" dxfId="32" priority="351" operator="equal">
      <formula>"Alto"</formula>
    </cfRule>
    <cfRule type="cellIs" dxfId="31" priority="352" operator="equal">
      <formula>"Moderado"</formula>
    </cfRule>
    <cfRule type="cellIs" dxfId="30" priority="353" operator="equal">
      <formula>"Bajo"</formula>
    </cfRule>
  </conditionalFormatting>
  <conditionalFormatting sqref="N48">
    <cfRule type="cellIs" dxfId="29" priority="325" operator="equal">
      <formula>"Bajo"</formula>
    </cfRule>
    <cfRule type="cellIs" dxfId="28" priority="324" operator="equal">
      <formula>"Moderado"</formula>
    </cfRule>
    <cfRule type="cellIs" dxfId="27" priority="322" operator="equal">
      <formula>"Extremo"</formula>
    </cfRule>
    <cfRule type="cellIs" dxfId="26" priority="323" operator="equal">
      <formula>"Alto"</formula>
    </cfRule>
  </conditionalFormatting>
  <conditionalFormatting sqref="N54">
    <cfRule type="cellIs" dxfId="25" priority="294" operator="equal">
      <formula>"Extremo"</formula>
    </cfRule>
    <cfRule type="cellIs" dxfId="24" priority="295" operator="equal">
      <formula>"Alto"</formula>
    </cfRule>
    <cfRule type="cellIs" dxfId="23" priority="297" operator="equal">
      <formula>"Bajo"</formula>
    </cfRule>
    <cfRule type="cellIs" dxfId="22" priority="296" operator="equal">
      <formula>"Moderado"</formula>
    </cfRule>
  </conditionalFormatting>
  <conditionalFormatting sqref="N60">
    <cfRule type="cellIs" dxfId="21" priority="34" operator="equal">
      <formula>"Extremo"</formula>
    </cfRule>
    <cfRule type="cellIs" dxfId="20" priority="37" operator="equal">
      <formula>"Bajo"</formula>
    </cfRule>
    <cfRule type="cellIs" dxfId="19" priority="35" operator="equal">
      <formula>"Alto"</formula>
    </cfRule>
    <cfRule type="cellIs" dxfId="18" priority="36" operator="equal">
      <formula>"Moderado"</formula>
    </cfRule>
  </conditionalFormatting>
  <conditionalFormatting sqref="N66:N67">
    <cfRule type="cellIs" dxfId="17" priority="1" operator="equal">
      <formula>"Extremo"</formula>
    </cfRule>
    <cfRule type="cellIs" dxfId="16" priority="4" operator="equal">
      <formula>"Bajo"</formula>
    </cfRule>
    <cfRule type="cellIs" dxfId="15" priority="3" operator="equal">
      <formula>"Moderado"</formula>
    </cfRule>
    <cfRule type="cellIs" dxfId="14" priority="2" operator="equal">
      <formula>"Alto"</formula>
    </cfRule>
  </conditionalFormatting>
  <conditionalFormatting sqref="Y12:Y66 Y68:Y72">
    <cfRule type="cellIs" dxfId="13" priority="25" operator="equal">
      <formula>"Alta"</formula>
    </cfRule>
    <cfRule type="cellIs" dxfId="12" priority="26" operator="equal">
      <formula>"Media"</formula>
    </cfRule>
    <cfRule type="cellIs" dxfId="11" priority="27" operator="equal">
      <formula>"Baja"</formula>
    </cfRule>
    <cfRule type="cellIs" dxfId="10" priority="28" operator="equal">
      <formula>"Muy Baja"</formula>
    </cfRule>
    <cfRule type="cellIs" dxfId="9" priority="24" operator="equal">
      <formula>"Muy Alta"</formula>
    </cfRule>
  </conditionalFormatting>
  <conditionalFormatting sqref="AA12:AA66 AA68:AA72">
    <cfRule type="cellIs" dxfId="8" priority="22" operator="equal">
      <formula>"Menor"</formula>
    </cfRule>
    <cfRule type="cellIs" dxfId="7" priority="21" operator="equal">
      <formula>"Moderado"</formula>
    </cfRule>
    <cfRule type="cellIs" dxfId="6" priority="20" operator="equal">
      <formula>"Mayor"</formula>
    </cfRule>
    <cfRule type="cellIs" dxfId="5" priority="19" operator="equal">
      <formula>"Catastrófico"</formula>
    </cfRule>
    <cfRule type="cellIs" dxfId="4" priority="23" operator="equal">
      <formula>"Leve"</formula>
    </cfRule>
  </conditionalFormatting>
  <conditionalFormatting sqref="AC12:AC66 AC68:AC72">
    <cfRule type="cellIs" dxfId="3" priority="18" operator="equal">
      <formula>"Bajo"</formula>
    </cfRule>
    <cfRule type="cellIs" dxfId="2" priority="17" operator="equal">
      <formula>"Moderado"</formula>
    </cfRule>
    <cfRule type="cellIs" dxfId="1" priority="16" operator="equal">
      <formula>"Alto"</formula>
    </cfRule>
    <cfRule type="cellIs" dxfId="0" priority="15" operator="equal">
      <formula>"Extremo"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F238D29B-11EA-4879-BB98-4A5ACFBD271B}">
          <x14:formula1>
            <xm:f>'Opciones Tratamiento'!$B$9:$B$10</xm:f>
          </x14:formula1>
          <xm:sqref>AK15:AK16 AK18:AK19 AK21:AK22 AK24:AK25 AK27:AK28 AK30:AK31 AK33:AK34 AK36:AK37 AK39:AK40 AK42:AK43 AK45:AK46 AK48:AK49 AK51:AK52 AK54:AK55 AK57:AK58 AK60:AK61 AK63:AK64 AK66:AK68 AK70:AK71 AK13</xm:sqref>
        </x14:dataValidation>
        <x14:dataValidation type="list" allowBlank="1" showInputMessage="1" showErrorMessage="1" xr:uid="{F4C051F1-58E8-4DB2-A066-721BB472E202}">
          <x14:formula1>
            <xm:f>'Tabla Valoración controles'!$D$4:$D$6</xm:f>
          </x14:formula1>
          <xm:sqref>R12:R66 R68:R72</xm:sqref>
        </x14:dataValidation>
        <x14:dataValidation type="list" allowBlank="1" showInputMessage="1" showErrorMessage="1" xr:uid="{0FB312C5-1BD7-44D1-B943-6B23DE8F6BA3}">
          <x14:formula1>
            <xm:f>'Tabla Valoración controles'!$D$7:$D$8</xm:f>
          </x14:formula1>
          <xm:sqref>S12:S66 S68:S72</xm:sqref>
        </x14:dataValidation>
        <x14:dataValidation type="list" allowBlank="1" showInputMessage="1" showErrorMessage="1" xr:uid="{4D95CCA4-F2D6-4955-A7FE-794775E735E6}">
          <x14:formula1>
            <xm:f>'Tabla Valoración controles'!$D$9:$D$10</xm:f>
          </x14:formula1>
          <xm:sqref>U12:U66 U68:U72</xm:sqref>
        </x14:dataValidation>
        <x14:dataValidation type="list" allowBlank="1" showInputMessage="1" showErrorMessage="1" xr:uid="{3A15AECE-B4FE-411A-8E13-C8297C13AF34}">
          <x14:formula1>
            <xm:f>'Tabla Valoración controles'!$D$11:$D$12</xm:f>
          </x14:formula1>
          <xm:sqref>V12:V66 V68:V72</xm:sqref>
        </x14:dataValidation>
        <x14:dataValidation type="list" allowBlank="1" showInputMessage="1" showErrorMessage="1" xr:uid="{F341F135-0445-43E2-B792-A10E99BF5999}">
          <x14:formula1>
            <xm:f>'Tabla Valoración controles'!$D$13:$D$14</xm:f>
          </x14:formula1>
          <xm:sqref>W12:W66 W68:W72</xm:sqref>
        </x14:dataValidation>
        <x14:dataValidation type="list" allowBlank="1" showInputMessage="1" showErrorMessage="1" xr:uid="{7A375919-C0D0-4175-8A74-4357E5E472EA}">
          <x14:formula1>
            <xm:f>'Opciones Tratamiento'!$B$2:$B$5</xm:f>
          </x14:formula1>
          <xm:sqref>AD12:AD66 AD68:AD72</xm:sqref>
        </x14:dataValidation>
        <x14:dataValidation type="custom" allowBlank="1" showInputMessage="1" showErrorMessage="1" error="Recuerde que las acciones se generan bajo la medida de mitigar el riesgo" xr:uid="{25F5A924-3589-4DEF-A454-DD18200D7B25}">
          <x14:formula1>
            <xm:f>IF(OR(AD19='Opciones Tratamiento'!$B$2,AD19='Opciones Tratamiento'!$B$3,AD19='Opciones Tratamiento'!$B$4),ISBLANK(AD19),ISTEXT(AD19))</xm:f>
          </x14:formula1>
          <xm:sqref>AE20:AE23 AE26:AE29 AE31:AE35 AE38:AE41 AE44:AE47 AE49:AE53 AE56:AE59 AE61:AE65</xm:sqref>
        </x14:dataValidation>
        <x14:dataValidation type="custom" allowBlank="1" showInputMessage="1" showErrorMessage="1" error="Recuerde que las acciones se generan bajo la medida de mitigar el riesgo" xr:uid="{ED005285-E781-49AD-ADE2-DD69CEC27B7F}">
          <x14:formula1>
            <xm:f>IF(OR(AD19='Opciones Tratamiento'!$B$2,AD19='Opciones Tratamiento'!$B$3,AD19='Opciones Tratamiento'!$B$4),ISBLANK(AD19),ISTEXT(AD19))</xm:f>
          </x14:formula1>
          <xm:sqref>AF20:AF23 AF26:AF29 AF31:AF35 AF38:AF41 AF49:AF53 AF56:AF59 AF61:AF65 AF45:AF47</xm:sqref>
        </x14:dataValidation>
        <x14:dataValidation type="custom" allowBlank="1" showInputMessage="1" showErrorMessage="1" error="Recuerde que las acciones se generan bajo la medida de mitigar el riesgo" xr:uid="{27F6BFF1-6A0B-4C20-8E1D-8C0728959215}">
          <x14:formula1>
            <xm:f>IF(OR(AD19='Opciones Tratamiento'!$B$2,AD19='Opciones Tratamiento'!$B$3,AD19='Opciones Tratamiento'!$B$4),ISBLANK(AD19),ISTEXT(AD19))</xm:f>
          </x14:formula1>
          <xm:sqref>AG20:AH23 AG26:AH29 AG31:AH35 AG38:AH41 AG44:AH47 AG49:AH53 AG56:AH59 AG61:AH65</xm:sqref>
        </x14:dataValidation>
        <x14:dataValidation type="list" allowBlank="1" showInputMessage="1" showErrorMessage="1" xr:uid="{403F9650-2BDD-46DD-9794-1ECA74B5D2C0}">
          <x14:formula1>
            <xm:f>'Tabla Impacto'!$F$210:$F$221</xm:f>
          </x14:formula1>
          <xm:sqref>J12 J18:J72</xm:sqref>
        </x14:dataValidation>
        <x14:dataValidation type="list" allowBlank="1" showInputMessage="1" showErrorMessage="1" xr:uid="{35072710-3E83-44E2-8201-082162CF9CF9}">
          <x14:formula1>
            <xm:f>'Opciones Tratamiento'!$B$13:$B$19</xm:f>
          </x14:formula1>
          <xm:sqref>F12 F18:F72</xm:sqref>
        </x14:dataValidation>
        <x14:dataValidation type="list" allowBlank="1" showInputMessage="1" showErrorMessage="1" xr:uid="{82016275-EB8F-41C4-90FF-1073D5AA785A}">
          <x14:formula1>
            <xm:f>'Opciones Tratamiento'!$E$2:$E$4</xm:f>
          </x14:formula1>
          <xm:sqref>B12 B18:B72</xm:sqref>
        </x14:dataValidation>
        <x14:dataValidation type="custom" allowBlank="1" showInputMessage="1" showErrorMessage="1" error="Recuerde que las acciones se generan bajo la medida de mitigar el riesgo" xr:uid="{1DE33184-D0A6-4739-8AFB-E9E719C19337}">
          <x14:formula1>
            <xm:f>IF(OR(#REF!='Opciones Tratamiento'!$B$2,#REF!='Opciones Tratamiento'!$B$3,#REF!='Opciones Tratamiento'!$B$4),ISBLANK(#REF!),ISTEXT(#REF!))</xm:f>
          </x14:formula1>
          <xm:sqref>AE13:AE17</xm:sqref>
        </x14:dataValidation>
        <x14:dataValidation type="custom" allowBlank="1" showInputMessage="1" showErrorMessage="1" error="Recuerde que las acciones se generan bajo la medida de mitigar el riesgo" xr:uid="{333EC34B-8C04-4A70-AA47-DA04F83ABF53}">
          <x14:formula1>
            <xm:f>IF(OR(#REF!='Opciones Tratamiento'!$B$2,#REF!='Opciones Tratamiento'!$B$3,#REF!='Opciones Tratamiento'!$B$4),ISBLANK(#REF!),ISTEXT(#REF!))</xm:f>
          </x14:formula1>
          <xm:sqref>AF13:AF17</xm:sqref>
        </x14:dataValidation>
        <x14:dataValidation type="custom" allowBlank="1" showInputMessage="1" showErrorMessage="1" error="Recuerde que las acciones se generan bajo la medida de mitigar el riesgo" xr:uid="{FA716174-96C3-49DE-975F-878EF5255DE9}">
          <x14:formula1>
            <xm:f>IF(OR(#REF!='Opciones Tratamiento'!$B$2,#REF!='Opciones Tratamiento'!$B$3,#REF!='Opciones Tratamiento'!$B$4),ISBLANK(#REF!),ISTEXT(#REF!))</xm:f>
          </x14:formula1>
          <xm:sqref>AG13:AH17</xm:sqref>
        </x14:dataValidation>
        <x14:dataValidation type="custom" allowBlank="1" showInputMessage="1" showErrorMessage="1" error="Recuerde que las acciones se generan bajo la medida de mitigar el riesgo" xr:uid="{3F81548C-E9CA-42A2-B8CC-2DB446D30DE7}">
          <x14:formula1>
            <xm:f>IF(OR(#REF!='Opciones Tratamiento'!$B$2,#REF!='Opciones Tratamiento'!$B$3,#REF!='Opciones Tratamiento'!$B$4),ISBLANK(#REF!),ISTEXT(#REF!))</xm:f>
          </x14:formula1>
          <xm:sqref>AI13:AI72</xm:sqref>
        </x14:dataValidation>
        <x14:dataValidation type="custom" allowBlank="1" showInputMessage="1" showErrorMessage="1" error="Recuerde que las acciones se generan bajo la medida de mitigar el riesgo" xr:uid="{7F3FD120-50AD-458F-BB7E-37D5765F3023}">
          <x14:formula1>
            <xm:f>IF(OR(#REF!='Opciones Tratamiento'!$B$2,#REF!='Opciones Tratamiento'!$B$3,#REF!='Opciones Tratamiento'!$B$4),ISBLANK(#REF!),ISTEXT(#REF!))</xm:f>
          </x14:formula1>
          <xm:sqref>AJ13:AJ72</xm:sqref>
        </x14:dataValidation>
        <x14:dataValidation type="custom" allowBlank="1" showInputMessage="1" showErrorMessage="1" error="Recuerde que las acciones se generan bajo la medida de mitigar el riesgo" xr:uid="{37DC16A0-B48C-4814-A336-1C7DF78F6EF6}">
          <x14:formula1>
            <xm:f>IF(OR(AD66='Opciones Tratamiento'!$B$2,AD66='Opciones Tratamiento'!$B$3,AD66='Opciones Tratamiento'!$B$4),ISBLANK(AD66),ISTEXT(AD66))</xm:f>
          </x14:formula1>
          <xm:sqref>AE68:AE72</xm:sqref>
        </x14:dataValidation>
        <x14:dataValidation type="custom" allowBlank="1" showInputMessage="1" showErrorMessage="1" error="Recuerde que las acciones se generan bajo la medida de mitigar el riesgo" xr:uid="{161AB786-6048-416C-A641-9B14123B4077}">
          <x14:formula1>
            <xm:f>IF(OR(AD66='Opciones Tratamiento'!$B$2,AD66='Opciones Tratamiento'!$B$3,AD66='Opciones Tratamiento'!$B$4),ISBLANK(AD66),ISTEXT(AD66))</xm:f>
          </x14:formula1>
          <xm:sqref>AF68:AF72</xm:sqref>
        </x14:dataValidation>
        <x14:dataValidation type="custom" allowBlank="1" showInputMessage="1" showErrorMessage="1" error="Recuerde que las acciones se generan bajo la medida de mitigar el riesgo" xr:uid="{F5F08DAE-ED2D-4889-AF68-48ED5FC254AE}">
          <x14:formula1>
            <xm:f>IF(OR(AD66='Opciones Tratamiento'!$B$2,AD66='Opciones Tratamiento'!$B$3,AD66='Opciones Tratamiento'!$B$4),ISBLANK(AD66),ISTEXT(AD66))</xm:f>
          </x14:formula1>
          <xm:sqref>AG68:AH72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6" sqref="AB6:AC7"/>
    </sheetView>
  </sheetViews>
  <sheetFormatPr baseColWidth="10" defaultColWidth="11.42578125" defaultRowHeight="15" x14ac:dyDescent="0.25"/>
  <cols>
    <col min="2" max="39" width="5.7109375" customWidth="1"/>
    <col min="41" max="46" width="5.7109375" customWidth="1"/>
  </cols>
  <sheetData>
    <row r="1" spans="1:99"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x14ac:dyDescent="0.25">
      <c r="A2" s="81"/>
      <c r="B2" s="418" t="s">
        <v>196</v>
      </c>
      <c r="C2" s="418"/>
      <c r="D2" s="418"/>
      <c r="E2" s="418"/>
      <c r="F2" s="418"/>
      <c r="G2" s="418"/>
      <c r="H2" s="418"/>
      <c r="I2" s="418"/>
      <c r="J2" s="455" t="s">
        <v>23</v>
      </c>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5" customHeight="1" x14ac:dyDescent="0.25">
      <c r="A3" s="81"/>
      <c r="B3" s="418"/>
      <c r="C3" s="418"/>
      <c r="D3" s="418"/>
      <c r="E3" s="418"/>
      <c r="F3" s="418"/>
      <c r="G3" s="418"/>
      <c r="H3" s="418"/>
      <c r="I3" s="418"/>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5" customHeight="1" x14ac:dyDescent="0.25">
      <c r="A4" s="81"/>
      <c r="B4" s="418"/>
      <c r="C4" s="418"/>
      <c r="D4" s="418"/>
      <c r="E4" s="418"/>
      <c r="F4" s="418"/>
      <c r="G4" s="418"/>
      <c r="H4" s="418"/>
      <c r="I4" s="418"/>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5" customHeight="1" x14ac:dyDescent="0.25">
      <c r="A6" s="81"/>
      <c r="B6" s="466" t="s">
        <v>197</v>
      </c>
      <c r="C6" s="466"/>
      <c r="D6" s="467"/>
      <c r="E6" s="456" t="s">
        <v>198</v>
      </c>
      <c r="F6" s="457"/>
      <c r="G6" s="457"/>
      <c r="H6" s="457"/>
      <c r="I6" s="458"/>
      <c r="J6" s="452" t="str">
        <f>IF(AND('Mapa de Riesgos'!$H$12="Muy Alta",'Mapa de Riesgos'!$L$12="Leve"),CONCATENATE("R",'Mapa de Riesgos'!$A$12),"")</f>
        <v/>
      </c>
      <c r="K6" s="453"/>
      <c r="L6" s="453" t="str">
        <f>IF(AND('Mapa de Riesgos'!$H$18="Muy Alta",'Mapa de Riesgos'!$L$18="Leve"),CONCATENATE("R",'Mapa de Riesgos'!$A$18),"")</f>
        <v/>
      </c>
      <c r="M6" s="453"/>
      <c r="N6" s="453" t="str">
        <f>IF(AND('Mapa de Riesgos'!$H$24="Muy Alta",'Mapa de Riesgos'!$L$24="Leve"),CONCATENATE("R",'Mapa de Riesgos'!$A$24),"")</f>
        <v/>
      </c>
      <c r="O6" s="454"/>
      <c r="P6" s="452" t="str">
        <f>IF(AND('Mapa de Riesgos'!$H$12="Muy Alta",'Mapa de Riesgos'!$L$12="Menor"),CONCATENATE("R",'Mapa de Riesgos'!$A$12),"")</f>
        <v/>
      </c>
      <c r="Q6" s="453"/>
      <c r="R6" s="453" t="str">
        <f>IF(AND('Mapa de Riesgos'!$H$18="Muy Alta",'Mapa de Riesgos'!$L$18="Menor"),CONCATENATE("R",'Mapa de Riesgos'!$A$18),"")</f>
        <v/>
      </c>
      <c r="S6" s="453"/>
      <c r="T6" s="453" t="str">
        <f>IF(AND('Mapa de Riesgos'!$H$24="Muy Alta",'Mapa de Riesgos'!$L$24="Menor"),CONCATENATE("R",'Mapa de Riesgos'!$A$24),"")</f>
        <v/>
      </c>
      <c r="U6" s="454"/>
      <c r="V6" s="452" t="str">
        <f>IF(AND('Mapa de Riesgos'!$H$12="Muy Alta",'Mapa de Riesgos'!$L$12="Moderado"),CONCATENATE("R",'Mapa de Riesgos'!$A$12),"")</f>
        <v/>
      </c>
      <c r="W6" s="453"/>
      <c r="X6" s="453" t="str">
        <f>IF(AND('Mapa de Riesgos'!$H$18="Muy Alta",'Mapa de Riesgos'!$L$18="Moderado"),CONCATENATE("R",'Mapa de Riesgos'!$A$18),"")</f>
        <v/>
      </c>
      <c r="Y6" s="453"/>
      <c r="Z6" s="453" t="str">
        <f>IF(AND('Mapa de Riesgos'!$H$24="Muy Alta",'Mapa de Riesgos'!$L$24="Moderado"),CONCATENATE("R",'Mapa de Riesgos'!$A$24),"")</f>
        <v/>
      </c>
      <c r="AA6" s="454"/>
      <c r="AB6" s="452" t="str">
        <f>IF(AND('Mapa de Riesgos'!$H$12="Muy Alta",'Mapa de Riesgos'!$L$12="Mayor"),CONCATENATE("R",'Mapa de Riesgos'!$A$12),"")</f>
        <v/>
      </c>
      <c r="AC6" s="453"/>
      <c r="AD6" s="453" t="str">
        <f>IF(AND('Mapa de Riesgos'!$H$18="Muy Alta",'Mapa de Riesgos'!$L$18="Mayor"),CONCATENATE("R",'Mapa de Riesgos'!$A$18),"")</f>
        <v/>
      </c>
      <c r="AE6" s="453"/>
      <c r="AF6" s="453" t="str">
        <f>IF(AND('Mapa de Riesgos'!$H$24="Muy Alta",'Mapa de Riesgos'!$L$24="Mayor"),CONCATENATE("R",'Mapa de Riesgos'!$A$24),"")</f>
        <v/>
      </c>
      <c r="AG6" s="454"/>
      <c r="AH6" s="443" t="str">
        <f>IF(AND('Mapa de Riesgos'!$H$12="Muy Alta",'Mapa de Riesgos'!$L$12="Catastrófico"),CONCATENATE("R",'Mapa de Riesgos'!$A$12),"")</f>
        <v/>
      </c>
      <c r="AI6" s="444"/>
      <c r="AJ6" s="444" t="str">
        <f>IF(AND('Mapa de Riesgos'!$H$18="Muy Alta",'Mapa de Riesgos'!$L$18="Catastrófico"),CONCATENATE("R",'Mapa de Riesgos'!$A$18),"")</f>
        <v/>
      </c>
      <c r="AK6" s="444"/>
      <c r="AL6" s="444" t="str">
        <f>IF(AND('Mapa de Riesgos'!$H$24="Muy Alta",'Mapa de Riesgos'!$L$24="Catastrófico"),CONCATENATE("R",'Mapa de Riesgos'!$A$24),"")</f>
        <v/>
      </c>
      <c r="AM6" s="445"/>
      <c r="AO6" s="468" t="s">
        <v>199</v>
      </c>
      <c r="AP6" s="469"/>
      <c r="AQ6" s="469"/>
      <c r="AR6" s="469"/>
      <c r="AS6" s="469"/>
      <c r="AT6" s="470"/>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5" customHeight="1" x14ac:dyDescent="0.25">
      <c r="A7" s="81"/>
      <c r="B7" s="466"/>
      <c r="C7" s="466"/>
      <c r="D7" s="467"/>
      <c r="E7" s="459"/>
      <c r="F7" s="460"/>
      <c r="G7" s="460"/>
      <c r="H7" s="460"/>
      <c r="I7" s="461"/>
      <c r="J7" s="446"/>
      <c r="K7" s="447"/>
      <c r="L7" s="447"/>
      <c r="M7" s="447"/>
      <c r="N7" s="447"/>
      <c r="O7" s="448"/>
      <c r="P7" s="446"/>
      <c r="Q7" s="447"/>
      <c r="R7" s="447"/>
      <c r="S7" s="447"/>
      <c r="T7" s="447"/>
      <c r="U7" s="448"/>
      <c r="V7" s="446"/>
      <c r="W7" s="447"/>
      <c r="X7" s="447"/>
      <c r="Y7" s="447"/>
      <c r="Z7" s="447"/>
      <c r="AA7" s="448"/>
      <c r="AB7" s="446"/>
      <c r="AC7" s="447"/>
      <c r="AD7" s="447"/>
      <c r="AE7" s="447"/>
      <c r="AF7" s="447"/>
      <c r="AG7" s="448"/>
      <c r="AH7" s="437"/>
      <c r="AI7" s="438"/>
      <c r="AJ7" s="438"/>
      <c r="AK7" s="438"/>
      <c r="AL7" s="438"/>
      <c r="AM7" s="439"/>
      <c r="AN7" s="81"/>
      <c r="AO7" s="471"/>
      <c r="AP7" s="472"/>
      <c r="AQ7" s="472"/>
      <c r="AR7" s="472"/>
      <c r="AS7" s="472"/>
      <c r="AT7" s="473"/>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5" customHeight="1" x14ac:dyDescent="0.25">
      <c r="A8" s="81"/>
      <c r="B8" s="466"/>
      <c r="C8" s="466"/>
      <c r="D8" s="467"/>
      <c r="E8" s="459"/>
      <c r="F8" s="460"/>
      <c r="G8" s="460"/>
      <c r="H8" s="460"/>
      <c r="I8" s="461"/>
      <c r="J8" s="446" t="str">
        <f>IF(AND('Mapa de Riesgos'!$H$30="Muy Alta",'Mapa de Riesgos'!$L$30="Leve"),CONCATENATE("R",'Mapa de Riesgos'!$A$30),"")</f>
        <v/>
      </c>
      <c r="K8" s="447"/>
      <c r="L8" s="447" t="str">
        <f>IF(AND('Mapa de Riesgos'!$H$36="Muy Alta",'Mapa de Riesgos'!$L$36="Leve"),CONCATENATE("R",'Mapa de Riesgos'!$A$36),"")</f>
        <v/>
      </c>
      <c r="M8" s="447"/>
      <c r="N8" s="447" t="str">
        <f>IF(AND('Mapa de Riesgos'!$H$42="Muy Alta",'Mapa de Riesgos'!$L$42="Leve"),CONCATENATE("R",'Mapa de Riesgos'!$A$42),"")</f>
        <v/>
      </c>
      <c r="O8" s="448"/>
      <c r="P8" s="446" t="str">
        <f>IF(AND('Mapa de Riesgos'!$H$30="Muy Alta",'Mapa de Riesgos'!$L$30="Menor"),CONCATENATE("R",'Mapa de Riesgos'!$A$30),"")</f>
        <v/>
      </c>
      <c r="Q8" s="447"/>
      <c r="R8" s="447" t="str">
        <f>IF(AND('Mapa de Riesgos'!$H$36="Muy Alta",'Mapa de Riesgos'!$L$36="Menor"),CONCATENATE("R",'Mapa de Riesgos'!$A$36),"")</f>
        <v/>
      </c>
      <c r="S8" s="447"/>
      <c r="T8" s="447" t="str">
        <f>IF(AND('Mapa de Riesgos'!$H$42="Muy Alta",'Mapa de Riesgos'!$L$42="Menor"),CONCATENATE("R",'Mapa de Riesgos'!$A$42),"")</f>
        <v/>
      </c>
      <c r="U8" s="448"/>
      <c r="V8" s="446" t="str">
        <f>IF(AND('Mapa de Riesgos'!$H$30="Muy Alta",'Mapa de Riesgos'!$L$30="Moderado"),CONCATENATE("R",'Mapa de Riesgos'!$A$30),"")</f>
        <v/>
      </c>
      <c r="W8" s="447"/>
      <c r="X8" s="447" t="str">
        <f>IF(AND('Mapa de Riesgos'!$H$36="Muy Alta",'Mapa de Riesgos'!$L$36="Moderado"),CONCATENATE("R",'Mapa de Riesgos'!$A$36),"")</f>
        <v/>
      </c>
      <c r="Y8" s="447"/>
      <c r="Z8" s="447" t="str">
        <f>IF(AND('Mapa de Riesgos'!$H$42="Muy Alta",'Mapa de Riesgos'!$L$42="Moderado"),CONCATENATE("R",'Mapa de Riesgos'!$A$42),"")</f>
        <v/>
      </c>
      <c r="AA8" s="448"/>
      <c r="AB8" s="446" t="str">
        <f>IF(AND('Mapa de Riesgos'!$H$30="Muy Alta",'Mapa de Riesgos'!$L$30="Mayor"),CONCATENATE("R",'Mapa de Riesgos'!$A$30),"")</f>
        <v/>
      </c>
      <c r="AC8" s="447"/>
      <c r="AD8" s="447" t="str">
        <f>IF(AND('Mapa de Riesgos'!$H$36="Muy Alta",'Mapa de Riesgos'!$L$36="Mayor"),CONCATENATE("R",'Mapa de Riesgos'!$A$36),"")</f>
        <v/>
      </c>
      <c r="AE8" s="447"/>
      <c r="AF8" s="447" t="str">
        <f>IF(AND('Mapa de Riesgos'!$H$42="Muy Alta",'Mapa de Riesgos'!$L$42="Mayor"),CONCATENATE("R",'Mapa de Riesgos'!$A$42),"")</f>
        <v/>
      </c>
      <c r="AG8" s="448"/>
      <c r="AH8" s="437" t="str">
        <f>IF(AND('Mapa de Riesgos'!$H$30="Muy Alta",'Mapa de Riesgos'!$L$30="Catastrófico"),CONCATENATE("R",'Mapa de Riesgos'!$A$30),"")</f>
        <v/>
      </c>
      <c r="AI8" s="438"/>
      <c r="AJ8" s="438" t="str">
        <f>IF(AND('Mapa de Riesgos'!$H$36="Muy Alta",'Mapa de Riesgos'!$L$36="Catastrófico"),CONCATENATE("R",'Mapa de Riesgos'!$A$36),"")</f>
        <v/>
      </c>
      <c r="AK8" s="438"/>
      <c r="AL8" s="438" t="str">
        <f>IF(AND('Mapa de Riesgos'!$H$42="Muy Alta",'Mapa de Riesgos'!$L$42="Catastrófico"),CONCATENATE("R",'Mapa de Riesgos'!$A$42),"")</f>
        <v/>
      </c>
      <c r="AM8" s="439"/>
      <c r="AN8" s="81"/>
      <c r="AO8" s="471"/>
      <c r="AP8" s="472"/>
      <c r="AQ8" s="472"/>
      <c r="AR8" s="472"/>
      <c r="AS8" s="472"/>
      <c r="AT8" s="473"/>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5" customHeight="1" x14ac:dyDescent="0.25">
      <c r="A9" s="81"/>
      <c r="B9" s="466"/>
      <c r="C9" s="466"/>
      <c r="D9" s="467"/>
      <c r="E9" s="459"/>
      <c r="F9" s="460"/>
      <c r="G9" s="460"/>
      <c r="H9" s="460"/>
      <c r="I9" s="461"/>
      <c r="J9" s="446"/>
      <c r="K9" s="447"/>
      <c r="L9" s="447"/>
      <c r="M9" s="447"/>
      <c r="N9" s="447"/>
      <c r="O9" s="448"/>
      <c r="P9" s="446"/>
      <c r="Q9" s="447"/>
      <c r="R9" s="447"/>
      <c r="S9" s="447"/>
      <c r="T9" s="447"/>
      <c r="U9" s="448"/>
      <c r="V9" s="446"/>
      <c r="W9" s="447"/>
      <c r="X9" s="447"/>
      <c r="Y9" s="447"/>
      <c r="Z9" s="447"/>
      <c r="AA9" s="448"/>
      <c r="AB9" s="446"/>
      <c r="AC9" s="447"/>
      <c r="AD9" s="447"/>
      <c r="AE9" s="447"/>
      <c r="AF9" s="447"/>
      <c r="AG9" s="448"/>
      <c r="AH9" s="437"/>
      <c r="AI9" s="438"/>
      <c r="AJ9" s="438"/>
      <c r="AK9" s="438"/>
      <c r="AL9" s="438"/>
      <c r="AM9" s="439"/>
      <c r="AN9" s="81"/>
      <c r="AO9" s="471"/>
      <c r="AP9" s="472"/>
      <c r="AQ9" s="472"/>
      <c r="AR9" s="472"/>
      <c r="AS9" s="472"/>
      <c r="AT9" s="473"/>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5" customHeight="1" x14ac:dyDescent="0.25">
      <c r="A10" s="81"/>
      <c r="B10" s="466"/>
      <c r="C10" s="466"/>
      <c r="D10" s="467"/>
      <c r="E10" s="459"/>
      <c r="F10" s="460"/>
      <c r="G10" s="460"/>
      <c r="H10" s="460"/>
      <c r="I10" s="461"/>
      <c r="J10" s="446" t="str">
        <f>IF(AND('Mapa de Riesgos'!$H$48="Muy Alta",'Mapa de Riesgos'!$L$48="Leve"),CONCATENATE("R",'Mapa de Riesgos'!$A$48),"")</f>
        <v/>
      </c>
      <c r="K10" s="447"/>
      <c r="L10" s="447" t="str">
        <f>IF(AND('Mapa de Riesgos'!$H$54="Muy Alta",'Mapa de Riesgos'!$L$54="Leve"),CONCATENATE("R",'Mapa de Riesgos'!$A$54),"")</f>
        <v/>
      </c>
      <c r="M10" s="447"/>
      <c r="N10" s="447" t="str">
        <f>IF(AND('Mapa de Riesgos'!$H$60="Muy Alta",'Mapa de Riesgos'!$L$60="Leve"),CONCATENATE("R",'Mapa de Riesgos'!$A$60),"")</f>
        <v/>
      </c>
      <c r="O10" s="448"/>
      <c r="P10" s="446" t="str">
        <f>IF(AND('Mapa de Riesgos'!$H$48="Muy Alta",'Mapa de Riesgos'!$L$48="Menor"),CONCATENATE("R",'Mapa de Riesgos'!$A$48),"")</f>
        <v/>
      </c>
      <c r="Q10" s="447"/>
      <c r="R10" s="447" t="str">
        <f>IF(AND('Mapa de Riesgos'!$H$54="Muy Alta",'Mapa de Riesgos'!$L$54="Menor"),CONCATENATE("R",'Mapa de Riesgos'!$A$54),"")</f>
        <v/>
      </c>
      <c r="S10" s="447"/>
      <c r="T10" s="447" t="str">
        <f>IF(AND('Mapa de Riesgos'!$H$60="Muy Alta",'Mapa de Riesgos'!$L$60="Menor"),CONCATENATE("R",'Mapa de Riesgos'!$A$60),"")</f>
        <v/>
      </c>
      <c r="U10" s="448"/>
      <c r="V10" s="446" t="str">
        <f>IF(AND('Mapa de Riesgos'!$H$48="Muy Alta",'Mapa de Riesgos'!$L$48="Moderado"),CONCATENATE("R",'Mapa de Riesgos'!$A$48),"")</f>
        <v/>
      </c>
      <c r="W10" s="447"/>
      <c r="X10" s="447" t="str">
        <f>IF(AND('Mapa de Riesgos'!$H$54="Muy Alta",'Mapa de Riesgos'!$L$54="Moderado"),CONCATENATE("R",'Mapa de Riesgos'!$A$54),"")</f>
        <v/>
      </c>
      <c r="Y10" s="447"/>
      <c r="Z10" s="447" t="str">
        <f>IF(AND('Mapa de Riesgos'!$H$60="Muy Alta",'Mapa de Riesgos'!$L$60="Moderado"),CONCATENATE("R",'Mapa de Riesgos'!$A$60),"")</f>
        <v/>
      </c>
      <c r="AA10" s="448"/>
      <c r="AB10" s="446" t="str">
        <f>IF(AND('Mapa de Riesgos'!$H$48="Muy Alta",'Mapa de Riesgos'!$L$48="Mayor"),CONCATENATE("R",'Mapa de Riesgos'!$A$48),"")</f>
        <v/>
      </c>
      <c r="AC10" s="447"/>
      <c r="AD10" s="447" t="str">
        <f>IF(AND('Mapa de Riesgos'!$H$54="Muy Alta",'Mapa de Riesgos'!$L$54="Mayor"),CONCATENATE("R",'Mapa de Riesgos'!$A$54),"")</f>
        <v/>
      </c>
      <c r="AE10" s="447"/>
      <c r="AF10" s="447" t="str">
        <f>IF(AND('Mapa de Riesgos'!$H$60="Muy Alta",'Mapa de Riesgos'!$L$60="Mayor"),CONCATENATE("R",'Mapa de Riesgos'!$A$60),"")</f>
        <v/>
      </c>
      <c r="AG10" s="448"/>
      <c r="AH10" s="437" t="str">
        <f>IF(AND('Mapa de Riesgos'!$H$48="Muy Alta",'Mapa de Riesgos'!$L$48="Catastrófico"),CONCATENATE("R",'Mapa de Riesgos'!$A$48),"")</f>
        <v/>
      </c>
      <c r="AI10" s="438"/>
      <c r="AJ10" s="438" t="str">
        <f>IF(AND('Mapa de Riesgos'!$H$54="Muy Alta",'Mapa de Riesgos'!$L$54="Catastrófico"),CONCATENATE("R",'Mapa de Riesgos'!$A$54),"")</f>
        <v/>
      </c>
      <c r="AK10" s="438"/>
      <c r="AL10" s="438" t="str">
        <f>IF(AND('Mapa de Riesgos'!$H$60="Muy Alta",'Mapa de Riesgos'!$L$60="Catastrófico"),CONCATENATE("R",'Mapa de Riesgos'!$A$60),"")</f>
        <v/>
      </c>
      <c r="AM10" s="439"/>
      <c r="AN10" s="81"/>
      <c r="AO10" s="471"/>
      <c r="AP10" s="472"/>
      <c r="AQ10" s="472"/>
      <c r="AR10" s="472"/>
      <c r="AS10" s="472"/>
      <c r="AT10" s="473"/>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5" customHeight="1" x14ac:dyDescent="0.25">
      <c r="A11" s="81"/>
      <c r="B11" s="466"/>
      <c r="C11" s="466"/>
      <c r="D11" s="467"/>
      <c r="E11" s="459"/>
      <c r="F11" s="460"/>
      <c r="G11" s="460"/>
      <c r="H11" s="460"/>
      <c r="I11" s="461"/>
      <c r="J11" s="446"/>
      <c r="K11" s="447"/>
      <c r="L11" s="447"/>
      <c r="M11" s="447"/>
      <c r="N11" s="447"/>
      <c r="O11" s="448"/>
      <c r="P11" s="446"/>
      <c r="Q11" s="447"/>
      <c r="R11" s="447"/>
      <c r="S11" s="447"/>
      <c r="T11" s="447"/>
      <c r="U11" s="448"/>
      <c r="V11" s="446"/>
      <c r="W11" s="447"/>
      <c r="X11" s="447"/>
      <c r="Y11" s="447"/>
      <c r="Z11" s="447"/>
      <c r="AA11" s="448"/>
      <c r="AB11" s="446"/>
      <c r="AC11" s="447"/>
      <c r="AD11" s="447"/>
      <c r="AE11" s="447"/>
      <c r="AF11" s="447"/>
      <c r="AG11" s="448"/>
      <c r="AH11" s="437"/>
      <c r="AI11" s="438"/>
      <c r="AJ11" s="438"/>
      <c r="AK11" s="438"/>
      <c r="AL11" s="438"/>
      <c r="AM11" s="439"/>
      <c r="AN11" s="81"/>
      <c r="AO11" s="471"/>
      <c r="AP11" s="472"/>
      <c r="AQ11" s="472"/>
      <c r="AR11" s="472"/>
      <c r="AS11" s="472"/>
      <c r="AT11" s="473"/>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5" customHeight="1" x14ac:dyDescent="0.25">
      <c r="A12" s="81"/>
      <c r="B12" s="466"/>
      <c r="C12" s="466"/>
      <c r="D12" s="467"/>
      <c r="E12" s="459"/>
      <c r="F12" s="460"/>
      <c r="G12" s="460"/>
      <c r="H12" s="460"/>
      <c r="I12" s="461"/>
      <c r="J12" s="446" t="str">
        <f>IF(AND('Mapa de Riesgos'!$H$66="Muy Alta",'Mapa de Riesgos'!$L$66="Leve"),CONCATENATE("R",'Mapa de Riesgos'!$A$66),"")</f>
        <v/>
      </c>
      <c r="K12" s="447"/>
      <c r="L12" s="447" t="str">
        <f>IF(AND('Mapa de Riesgos'!$H$73="Muy Alta",'Mapa de Riesgos'!$L$73="Leve"),CONCATENATE("R",'Mapa de Riesgos'!#REF!),"")</f>
        <v/>
      </c>
      <c r="M12" s="447"/>
      <c r="N12" s="447" t="str">
        <f>IF(AND('Mapa de Riesgos'!$H$79="Muy Alta",'Mapa de Riesgos'!$L$79="Leve"),CONCATENATE("R",'Mapa de Riesgos'!$A$79),"")</f>
        <v/>
      </c>
      <c r="O12" s="448"/>
      <c r="P12" s="446" t="str">
        <f>IF(AND('Mapa de Riesgos'!$H$66="Muy Alta",'Mapa de Riesgos'!$L$66="Menor"),CONCATENATE("R",'Mapa de Riesgos'!$A$66),"")</f>
        <v/>
      </c>
      <c r="Q12" s="447"/>
      <c r="R12" s="447" t="str">
        <f>IF(AND('Mapa de Riesgos'!$H$73="Muy Alta",'Mapa de Riesgos'!$L$73="Menor"),CONCATENATE("R",'Mapa de Riesgos'!#REF!),"")</f>
        <v/>
      </c>
      <c r="S12" s="447"/>
      <c r="T12" s="447" t="str">
        <f>IF(AND('Mapa de Riesgos'!$H$79="Muy Alta",'Mapa de Riesgos'!$L$79="Menor"),CONCATENATE("R",'Mapa de Riesgos'!$A$79),"")</f>
        <v/>
      </c>
      <c r="U12" s="448"/>
      <c r="V12" s="446" t="str">
        <f>IF(AND('Mapa de Riesgos'!$H$66="Muy Alta",'Mapa de Riesgos'!$L$66="Moderado"),CONCATENATE("R",'Mapa de Riesgos'!$A$66),"")</f>
        <v/>
      </c>
      <c r="W12" s="447"/>
      <c r="X12" s="447" t="str">
        <f>IF(AND('Mapa de Riesgos'!$H$73="Muy Alta",'Mapa de Riesgos'!$L$73="Moderado"),CONCATENATE("R",'Mapa de Riesgos'!#REF!),"")</f>
        <v/>
      </c>
      <c r="Y12" s="447"/>
      <c r="Z12" s="447" t="str">
        <f>IF(AND('Mapa de Riesgos'!$H$79="Muy Alta",'Mapa de Riesgos'!$L$79="Moderado"),CONCATENATE("R",'Mapa de Riesgos'!$A$79),"")</f>
        <v/>
      </c>
      <c r="AA12" s="448"/>
      <c r="AB12" s="446" t="str">
        <f>IF(AND('Mapa de Riesgos'!$H$66="Muy Alta",'Mapa de Riesgos'!$L$66="Mayor"),CONCATENATE("R",'Mapa de Riesgos'!$A$66),"")</f>
        <v/>
      </c>
      <c r="AC12" s="447"/>
      <c r="AD12" s="447" t="str">
        <f>IF(AND('Mapa de Riesgos'!$H$73="Muy Alta",'Mapa de Riesgos'!$L$73="Mayor"),CONCATENATE("R",'Mapa de Riesgos'!#REF!),"")</f>
        <v/>
      </c>
      <c r="AE12" s="447"/>
      <c r="AF12" s="447" t="str">
        <f>IF(AND('Mapa de Riesgos'!$H$79="Muy Alta",'Mapa de Riesgos'!$L$79="Mayor"),CONCATENATE("R",'Mapa de Riesgos'!$A$79),"")</f>
        <v/>
      </c>
      <c r="AG12" s="448"/>
      <c r="AH12" s="437" t="str">
        <f>IF(AND('Mapa de Riesgos'!$H$66="Muy Alta",'Mapa de Riesgos'!$L$66="Catastrófico"),CONCATENATE("R",'Mapa de Riesgos'!$A$66),"")</f>
        <v/>
      </c>
      <c r="AI12" s="438"/>
      <c r="AJ12" s="438" t="str">
        <f>IF(AND('Mapa de Riesgos'!$H$73="Muy Alta",'Mapa de Riesgos'!$L$73="Catastrófico"),CONCATENATE("R",'Mapa de Riesgos'!#REF!),"")</f>
        <v/>
      </c>
      <c r="AK12" s="438"/>
      <c r="AL12" s="438" t="str">
        <f>IF(AND('Mapa de Riesgos'!$H$79="Muy Alta",'Mapa de Riesgos'!$L$79="Catastrófico"),CONCATENATE("R",'Mapa de Riesgos'!$A$79),"")</f>
        <v/>
      </c>
      <c r="AM12" s="439"/>
      <c r="AN12" s="81"/>
      <c r="AO12" s="471"/>
      <c r="AP12" s="472"/>
      <c r="AQ12" s="472"/>
      <c r="AR12" s="472"/>
      <c r="AS12" s="472"/>
      <c r="AT12" s="473"/>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75" customHeight="1" thickBot="1" x14ac:dyDescent="0.3">
      <c r="A13" s="81"/>
      <c r="B13" s="466"/>
      <c r="C13" s="466"/>
      <c r="D13" s="467"/>
      <c r="E13" s="462"/>
      <c r="F13" s="463"/>
      <c r="G13" s="463"/>
      <c r="H13" s="463"/>
      <c r="I13" s="464"/>
      <c r="J13" s="446"/>
      <c r="K13" s="447"/>
      <c r="L13" s="447"/>
      <c r="M13" s="447"/>
      <c r="N13" s="447"/>
      <c r="O13" s="448"/>
      <c r="P13" s="446"/>
      <c r="Q13" s="447"/>
      <c r="R13" s="447"/>
      <c r="S13" s="447"/>
      <c r="T13" s="447"/>
      <c r="U13" s="448"/>
      <c r="V13" s="446"/>
      <c r="W13" s="447"/>
      <c r="X13" s="447"/>
      <c r="Y13" s="447"/>
      <c r="Z13" s="447"/>
      <c r="AA13" s="448"/>
      <c r="AB13" s="446"/>
      <c r="AC13" s="447"/>
      <c r="AD13" s="447"/>
      <c r="AE13" s="447"/>
      <c r="AF13" s="447"/>
      <c r="AG13" s="448"/>
      <c r="AH13" s="440"/>
      <c r="AI13" s="441"/>
      <c r="AJ13" s="441"/>
      <c r="AK13" s="441"/>
      <c r="AL13" s="441"/>
      <c r="AM13" s="442"/>
      <c r="AN13" s="81"/>
      <c r="AO13" s="474"/>
      <c r="AP13" s="475"/>
      <c r="AQ13" s="475"/>
      <c r="AR13" s="475"/>
      <c r="AS13" s="475"/>
      <c r="AT13" s="476"/>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5" customHeight="1" x14ac:dyDescent="0.25">
      <c r="A14" s="81"/>
      <c r="B14" s="466"/>
      <c r="C14" s="466"/>
      <c r="D14" s="467"/>
      <c r="E14" s="456" t="s">
        <v>200</v>
      </c>
      <c r="F14" s="457"/>
      <c r="G14" s="457"/>
      <c r="H14" s="457"/>
      <c r="I14" s="457"/>
      <c r="J14" s="434" t="str">
        <f>IF(AND('Mapa de Riesgos'!$H$12="Alta",'Mapa de Riesgos'!$L$12="Leve"),CONCATENATE("R",'Mapa de Riesgos'!$A$12),"")</f>
        <v/>
      </c>
      <c r="K14" s="435"/>
      <c r="L14" s="435" t="str">
        <f>IF(AND('Mapa de Riesgos'!$H$18="Alta",'Mapa de Riesgos'!$L$18="Leve"),CONCATENATE("R",'Mapa de Riesgos'!$A$18),"")</f>
        <v/>
      </c>
      <c r="M14" s="435"/>
      <c r="N14" s="435" t="str">
        <f>IF(AND('Mapa de Riesgos'!$H$24="Alta",'Mapa de Riesgos'!$L$24="Leve"),CONCATENATE("R",'Mapa de Riesgos'!$A$24),"")</f>
        <v/>
      </c>
      <c r="O14" s="436"/>
      <c r="P14" s="434" t="str">
        <f>IF(AND('Mapa de Riesgos'!$H$12="Alta",'Mapa de Riesgos'!$L$12="Menor"),CONCATENATE("R",'Mapa de Riesgos'!$A$12),"")</f>
        <v/>
      </c>
      <c r="Q14" s="435"/>
      <c r="R14" s="435" t="str">
        <f>IF(AND('Mapa de Riesgos'!$H$18="Alta",'Mapa de Riesgos'!$L$18="Menor"),CONCATENATE("R",'Mapa de Riesgos'!$A$18),"")</f>
        <v/>
      </c>
      <c r="S14" s="435"/>
      <c r="T14" s="435" t="str">
        <f>IF(AND('Mapa de Riesgos'!$H$24="Alta",'Mapa de Riesgos'!$L$24="Menor"),CONCATENATE("R",'Mapa de Riesgos'!$A$24),"")</f>
        <v/>
      </c>
      <c r="U14" s="436"/>
      <c r="V14" s="452" t="str">
        <f>IF(AND('Mapa de Riesgos'!$H$12="Alta",'Mapa de Riesgos'!$L$12="Moderado"),CONCATENATE("R",'Mapa de Riesgos'!$A$12),"")</f>
        <v/>
      </c>
      <c r="W14" s="453"/>
      <c r="X14" s="453" t="str">
        <f>IF(AND('Mapa de Riesgos'!$H$18="Alta",'Mapa de Riesgos'!$L$18="Moderado"),CONCATENATE("R",'Mapa de Riesgos'!$A$18),"")</f>
        <v/>
      </c>
      <c r="Y14" s="453"/>
      <c r="Z14" s="453" t="str">
        <f>IF(AND('Mapa de Riesgos'!$H$24="Alta",'Mapa de Riesgos'!$L$24="Moderado"),CONCATENATE("R",'Mapa de Riesgos'!$A$24),"")</f>
        <v/>
      </c>
      <c r="AA14" s="454"/>
      <c r="AB14" s="452" t="str">
        <f>IF(AND('Mapa de Riesgos'!$H$12="Alta",'Mapa de Riesgos'!$L$12="Mayor"),CONCATENATE("R",'Mapa de Riesgos'!$A$12),"")</f>
        <v/>
      </c>
      <c r="AC14" s="453"/>
      <c r="AD14" s="453" t="str">
        <f>IF(AND('Mapa de Riesgos'!$H$18="Alta",'Mapa de Riesgos'!$L$18="Mayor"),CONCATENATE("R",'Mapa de Riesgos'!$A$18),"")</f>
        <v/>
      </c>
      <c r="AE14" s="453"/>
      <c r="AF14" s="453" t="str">
        <f>IF(AND('Mapa de Riesgos'!$H$24="Alta",'Mapa de Riesgos'!$L$24="Mayor"),CONCATENATE("R",'Mapa de Riesgos'!$A$24),"")</f>
        <v/>
      </c>
      <c r="AG14" s="454"/>
      <c r="AH14" s="443" t="str">
        <f>IF(AND('Mapa de Riesgos'!$H$12="Alta",'Mapa de Riesgos'!$L$12="Catastrófico"),CONCATENATE("R",'Mapa de Riesgos'!$A$12),"")</f>
        <v/>
      </c>
      <c r="AI14" s="444"/>
      <c r="AJ14" s="444" t="str">
        <f>IF(AND('Mapa de Riesgos'!$H$18="Alta",'Mapa de Riesgos'!$L$18="Catastrófico"),CONCATENATE("R",'Mapa de Riesgos'!$A$18),"")</f>
        <v/>
      </c>
      <c r="AK14" s="444"/>
      <c r="AL14" s="444" t="str">
        <f>IF(AND('Mapa de Riesgos'!$H$24="Alta",'Mapa de Riesgos'!$L$24="Catastrófico"),CONCATENATE("R",'Mapa de Riesgos'!$A$24),"")</f>
        <v/>
      </c>
      <c r="AM14" s="445"/>
      <c r="AN14" s="81"/>
      <c r="AO14" s="477" t="s">
        <v>201</v>
      </c>
      <c r="AP14" s="478"/>
      <c r="AQ14" s="478"/>
      <c r="AR14" s="478"/>
      <c r="AS14" s="478"/>
      <c r="AT14" s="479"/>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5" customHeight="1" x14ac:dyDescent="0.25">
      <c r="A15" s="81"/>
      <c r="B15" s="466"/>
      <c r="C15" s="466"/>
      <c r="D15" s="467"/>
      <c r="E15" s="459"/>
      <c r="F15" s="460"/>
      <c r="G15" s="460"/>
      <c r="H15" s="460"/>
      <c r="I15" s="460"/>
      <c r="J15" s="428"/>
      <c r="K15" s="429"/>
      <c r="L15" s="429"/>
      <c r="M15" s="429"/>
      <c r="N15" s="429"/>
      <c r="O15" s="430"/>
      <c r="P15" s="428"/>
      <c r="Q15" s="429"/>
      <c r="R15" s="429"/>
      <c r="S15" s="429"/>
      <c r="T15" s="429"/>
      <c r="U15" s="430"/>
      <c r="V15" s="446"/>
      <c r="W15" s="447"/>
      <c r="X15" s="447"/>
      <c r="Y15" s="447"/>
      <c r="Z15" s="447"/>
      <c r="AA15" s="448"/>
      <c r="AB15" s="446"/>
      <c r="AC15" s="447"/>
      <c r="AD15" s="447"/>
      <c r="AE15" s="447"/>
      <c r="AF15" s="447"/>
      <c r="AG15" s="448"/>
      <c r="AH15" s="437"/>
      <c r="AI15" s="438"/>
      <c r="AJ15" s="438"/>
      <c r="AK15" s="438"/>
      <c r="AL15" s="438"/>
      <c r="AM15" s="439"/>
      <c r="AN15" s="81"/>
      <c r="AO15" s="480"/>
      <c r="AP15" s="481"/>
      <c r="AQ15" s="481"/>
      <c r="AR15" s="481"/>
      <c r="AS15" s="481"/>
      <c r="AT15" s="482"/>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5" customHeight="1" x14ac:dyDescent="0.25">
      <c r="A16" s="81"/>
      <c r="B16" s="466"/>
      <c r="C16" s="466"/>
      <c r="D16" s="467"/>
      <c r="E16" s="459"/>
      <c r="F16" s="460"/>
      <c r="G16" s="460"/>
      <c r="H16" s="460"/>
      <c r="I16" s="460"/>
      <c r="J16" s="428" t="str">
        <f>IF(AND('Mapa de Riesgos'!$H$30="Alta",'Mapa de Riesgos'!$L$30="Leve"),CONCATENATE("R",'Mapa de Riesgos'!$A$30),"")</f>
        <v/>
      </c>
      <c r="K16" s="429"/>
      <c r="L16" s="429" t="str">
        <f>IF(AND('Mapa de Riesgos'!$H$36="Alta",'Mapa de Riesgos'!$L$36="Leve"),CONCATENATE("R",'Mapa de Riesgos'!$A$36),"")</f>
        <v/>
      </c>
      <c r="M16" s="429"/>
      <c r="N16" s="429" t="str">
        <f>IF(AND('Mapa de Riesgos'!$H$42="Alta",'Mapa de Riesgos'!$L$42="Leve"),CONCATENATE("R",'Mapa de Riesgos'!$A$42),"")</f>
        <v/>
      </c>
      <c r="O16" s="430"/>
      <c r="P16" s="428" t="str">
        <f>IF(AND('Mapa de Riesgos'!$H$30="Alta",'Mapa de Riesgos'!$L$30="Menor"),CONCATENATE("R",'Mapa de Riesgos'!$A$30),"")</f>
        <v/>
      </c>
      <c r="Q16" s="429"/>
      <c r="R16" s="429" t="str">
        <f>IF(AND('Mapa de Riesgos'!$H$36="Alta",'Mapa de Riesgos'!$L$36="Menor"),CONCATENATE("R",'Mapa de Riesgos'!$A$36),"")</f>
        <v/>
      </c>
      <c r="S16" s="429"/>
      <c r="T16" s="429" t="str">
        <f>IF(AND('Mapa de Riesgos'!$H$42="Alta",'Mapa de Riesgos'!$L$42="Menor"),CONCATENATE("R",'Mapa de Riesgos'!$A$42),"")</f>
        <v/>
      </c>
      <c r="U16" s="430"/>
      <c r="V16" s="446" t="str">
        <f>IF(AND('Mapa de Riesgos'!$H$30="Alta",'Mapa de Riesgos'!$L$30="Moderado"),CONCATENATE("R",'Mapa de Riesgos'!$A$30),"")</f>
        <v/>
      </c>
      <c r="W16" s="447"/>
      <c r="X16" s="447" t="str">
        <f>IF(AND('Mapa de Riesgos'!$H$36="Alta",'Mapa de Riesgos'!$L$36="Moderado"),CONCATENATE("R",'Mapa de Riesgos'!$A$36),"")</f>
        <v/>
      </c>
      <c r="Y16" s="447"/>
      <c r="Z16" s="447" t="str">
        <f>IF(AND('Mapa de Riesgos'!$H$42="Alta",'Mapa de Riesgos'!$L$42="Moderado"),CONCATENATE("R",'Mapa de Riesgos'!$A$42),"")</f>
        <v/>
      </c>
      <c r="AA16" s="448"/>
      <c r="AB16" s="446" t="str">
        <f>IF(AND('Mapa de Riesgos'!$H$30="Alta",'Mapa de Riesgos'!$L$30="Mayor"),CONCATENATE("R",'Mapa de Riesgos'!$A$30),"")</f>
        <v/>
      </c>
      <c r="AC16" s="447"/>
      <c r="AD16" s="447" t="str">
        <f>IF(AND('Mapa de Riesgos'!$H$36="Alta",'Mapa de Riesgos'!$L$36="Mayor"),CONCATENATE("R",'Mapa de Riesgos'!$A$36),"")</f>
        <v/>
      </c>
      <c r="AE16" s="447"/>
      <c r="AF16" s="447" t="str">
        <f>IF(AND('Mapa de Riesgos'!$H$42="Alta",'Mapa de Riesgos'!$L$42="Mayor"),CONCATENATE("R",'Mapa de Riesgos'!$A$42),"")</f>
        <v/>
      </c>
      <c r="AG16" s="448"/>
      <c r="AH16" s="437" t="str">
        <f>IF(AND('Mapa de Riesgos'!$H$30="Alta",'Mapa de Riesgos'!$L$30="Catastrófico"),CONCATENATE("R",'Mapa de Riesgos'!$A$30),"")</f>
        <v/>
      </c>
      <c r="AI16" s="438"/>
      <c r="AJ16" s="438" t="str">
        <f>IF(AND('Mapa de Riesgos'!$H$36="Alta",'Mapa de Riesgos'!$L$36="Catastrófico"),CONCATENATE("R",'Mapa de Riesgos'!$A$36),"")</f>
        <v/>
      </c>
      <c r="AK16" s="438"/>
      <c r="AL16" s="438" t="str">
        <f>IF(AND('Mapa de Riesgos'!$H$42="Alta",'Mapa de Riesgos'!$L$42="Catastrófico"),CONCATENATE("R",'Mapa de Riesgos'!$A$42),"")</f>
        <v/>
      </c>
      <c r="AM16" s="439"/>
      <c r="AN16" s="81"/>
      <c r="AO16" s="480"/>
      <c r="AP16" s="481"/>
      <c r="AQ16" s="481"/>
      <c r="AR16" s="481"/>
      <c r="AS16" s="481"/>
      <c r="AT16" s="482"/>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5" customHeight="1" x14ac:dyDescent="0.25">
      <c r="A17" s="81"/>
      <c r="B17" s="466"/>
      <c r="C17" s="466"/>
      <c r="D17" s="467"/>
      <c r="E17" s="459"/>
      <c r="F17" s="460"/>
      <c r="G17" s="460"/>
      <c r="H17" s="460"/>
      <c r="I17" s="460"/>
      <c r="J17" s="428"/>
      <c r="K17" s="429"/>
      <c r="L17" s="429"/>
      <c r="M17" s="429"/>
      <c r="N17" s="429"/>
      <c r="O17" s="430"/>
      <c r="P17" s="428"/>
      <c r="Q17" s="429"/>
      <c r="R17" s="429"/>
      <c r="S17" s="429"/>
      <c r="T17" s="429"/>
      <c r="U17" s="430"/>
      <c r="V17" s="446"/>
      <c r="W17" s="447"/>
      <c r="X17" s="447"/>
      <c r="Y17" s="447"/>
      <c r="Z17" s="447"/>
      <c r="AA17" s="448"/>
      <c r="AB17" s="446"/>
      <c r="AC17" s="447"/>
      <c r="AD17" s="447"/>
      <c r="AE17" s="447"/>
      <c r="AF17" s="447"/>
      <c r="AG17" s="448"/>
      <c r="AH17" s="437"/>
      <c r="AI17" s="438"/>
      <c r="AJ17" s="438"/>
      <c r="AK17" s="438"/>
      <c r="AL17" s="438"/>
      <c r="AM17" s="439"/>
      <c r="AN17" s="81"/>
      <c r="AO17" s="480"/>
      <c r="AP17" s="481"/>
      <c r="AQ17" s="481"/>
      <c r="AR17" s="481"/>
      <c r="AS17" s="481"/>
      <c r="AT17" s="482"/>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5" customHeight="1" x14ac:dyDescent="0.25">
      <c r="A18" s="81"/>
      <c r="B18" s="466"/>
      <c r="C18" s="466"/>
      <c r="D18" s="467"/>
      <c r="E18" s="459"/>
      <c r="F18" s="460"/>
      <c r="G18" s="460"/>
      <c r="H18" s="460"/>
      <c r="I18" s="460"/>
      <c r="J18" s="428" t="str">
        <f>IF(AND('Mapa de Riesgos'!$H$48="Alta",'Mapa de Riesgos'!$L$48="Leve"),CONCATENATE("R",'Mapa de Riesgos'!$A$48),"")</f>
        <v/>
      </c>
      <c r="K18" s="429"/>
      <c r="L18" s="429" t="str">
        <f>IF(AND('Mapa de Riesgos'!$H$54="Alta",'Mapa de Riesgos'!$L$54="Leve"),CONCATENATE("R",'Mapa de Riesgos'!$A$54),"")</f>
        <v/>
      </c>
      <c r="M18" s="429"/>
      <c r="N18" s="429" t="str">
        <f>IF(AND('Mapa de Riesgos'!$H$60="Alta",'Mapa de Riesgos'!$L$60="Leve"),CONCATENATE("R",'Mapa de Riesgos'!$A$60),"")</f>
        <v/>
      </c>
      <c r="O18" s="430"/>
      <c r="P18" s="428" t="str">
        <f>IF(AND('Mapa de Riesgos'!$H$48="Alta",'Mapa de Riesgos'!$L$48="Menor"),CONCATENATE("R",'Mapa de Riesgos'!$A$48),"")</f>
        <v/>
      </c>
      <c r="Q18" s="429"/>
      <c r="R18" s="429" t="str">
        <f>IF(AND('Mapa de Riesgos'!$H$54="Alta",'Mapa de Riesgos'!$L$54="Menor"),CONCATENATE("R",'Mapa de Riesgos'!$A$54),"")</f>
        <v/>
      </c>
      <c r="S18" s="429"/>
      <c r="T18" s="429" t="str">
        <f>IF(AND('Mapa de Riesgos'!$H$60="Alta",'Mapa de Riesgos'!$L$60="Menor"),CONCATENATE("R",'Mapa de Riesgos'!$A$60),"")</f>
        <v/>
      </c>
      <c r="U18" s="430"/>
      <c r="V18" s="446" t="str">
        <f>IF(AND('Mapa de Riesgos'!$H$48="Alta",'Mapa de Riesgos'!$L$48="Moderado"),CONCATENATE("R",'Mapa de Riesgos'!$A$48),"")</f>
        <v/>
      </c>
      <c r="W18" s="447"/>
      <c r="X18" s="447" t="str">
        <f>IF(AND('Mapa de Riesgos'!$H$54="Alta",'Mapa de Riesgos'!$L$54="Moderado"),CONCATENATE("R",'Mapa de Riesgos'!$A$54),"")</f>
        <v/>
      </c>
      <c r="Y18" s="447"/>
      <c r="Z18" s="447" t="str">
        <f>IF(AND('Mapa de Riesgos'!$H$60="Alta",'Mapa de Riesgos'!$L$60="Moderado"),CONCATENATE("R",'Mapa de Riesgos'!$A$60),"")</f>
        <v/>
      </c>
      <c r="AA18" s="448"/>
      <c r="AB18" s="446" t="str">
        <f>IF(AND('Mapa de Riesgos'!$H$48="Alta",'Mapa de Riesgos'!$L$48="Mayor"),CONCATENATE("R",'Mapa de Riesgos'!$A$48),"")</f>
        <v/>
      </c>
      <c r="AC18" s="447"/>
      <c r="AD18" s="447" t="str">
        <f>IF(AND('Mapa de Riesgos'!$H$54="Alta",'Mapa de Riesgos'!$L$54="Mayor"),CONCATENATE("R",'Mapa de Riesgos'!$A$54),"")</f>
        <v/>
      </c>
      <c r="AE18" s="447"/>
      <c r="AF18" s="447" t="str">
        <f>IF(AND('Mapa de Riesgos'!$H$60="Alta",'Mapa de Riesgos'!$L$60="Mayor"),CONCATENATE("R",'Mapa de Riesgos'!$A$60),"")</f>
        <v/>
      </c>
      <c r="AG18" s="448"/>
      <c r="AH18" s="437" t="str">
        <f>IF(AND('Mapa de Riesgos'!$H$48="Alta",'Mapa de Riesgos'!$L$48="Catastrófico"),CONCATENATE("R",'Mapa de Riesgos'!$A$48),"")</f>
        <v/>
      </c>
      <c r="AI18" s="438"/>
      <c r="AJ18" s="438" t="str">
        <f>IF(AND('Mapa de Riesgos'!$H$54="Alta",'Mapa de Riesgos'!$L$54="Catastrófico"),CONCATENATE("R",'Mapa de Riesgos'!$A$54),"")</f>
        <v/>
      </c>
      <c r="AK18" s="438"/>
      <c r="AL18" s="438" t="str">
        <f>IF(AND('Mapa de Riesgos'!$H$60="Alta",'Mapa de Riesgos'!$L$60="Catastrófico"),CONCATENATE("R",'Mapa de Riesgos'!$A$60),"")</f>
        <v/>
      </c>
      <c r="AM18" s="439"/>
      <c r="AN18" s="81"/>
      <c r="AO18" s="480"/>
      <c r="AP18" s="481"/>
      <c r="AQ18" s="481"/>
      <c r="AR18" s="481"/>
      <c r="AS18" s="481"/>
      <c r="AT18" s="482"/>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5" customHeight="1" x14ac:dyDescent="0.25">
      <c r="A19" s="81"/>
      <c r="B19" s="466"/>
      <c r="C19" s="466"/>
      <c r="D19" s="467"/>
      <c r="E19" s="459"/>
      <c r="F19" s="460"/>
      <c r="G19" s="460"/>
      <c r="H19" s="460"/>
      <c r="I19" s="460"/>
      <c r="J19" s="428"/>
      <c r="K19" s="429"/>
      <c r="L19" s="429"/>
      <c r="M19" s="429"/>
      <c r="N19" s="429"/>
      <c r="O19" s="430"/>
      <c r="P19" s="428"/>
      <c r="Q19" s="429"/>
      <c r="R19" s="429"/>
      <c r="S19" s="429"/>
      <c r="T19" s="429"/>
      <c r="U19" s="430"/>
      <c r="V19" s="446"/>
      <c r="W19" s="447"/>
      <c r="X19" s="447"/>
      <c r="Y19" s="447"/>
      <c r="Z19" s="447"/>
      <c r="AA19" s="448"/>
      <c r="AB19" s="446"/>
      <c r="AC19" s="447"/>
      <c r="AD19" s="447"/>
      <c r="AE19" s="447"/>
      <c r="AF19" s="447"/>
      <c r="AG19" s="448"/>
      <c r="AH19" s="437"/>
      <c r="AI19" s="438"/>
      <c r="AJ19" s="438"/>
      <c r="AK19" s="438"/>
      <c r="AL19" s="438"/>
      <c r="AM19" s="439"/>
      <c r="AN19" s="81"/>
      <c r="AO19" s="480"/>
      <c r="AP19" s="481"/>
      <c r="AQ19" s="481"/>
      <c r="AR19" s="481"/>
      <c r="AS19" s="481"/>
      <c r="AT19" s="482"/>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5" customHeight="1" x14ac:dyDescent="0.25">
      <c r="A20" s="81"/>
      <c r="B20" s="466"/>
      <c r="C20" s="466"/>
      <c r="D20" s="467"/>
      <c r="E20" s="459"/>
      <c r="F20" s="460"/>
      <c r="G20" s="460"/>
      <c r="H20" s="460"/>
      <c r="I20" s="460"/>
      <c r="J20" s="428" t="str">
        <f>IF(AND('Mapa de Riesgos'!$H$66="Alta",'Mapa de Riesgos'!$L$66="Leve"),CONCATENATE("R",'Mapa de Riesgos'!$A$66),"")</f>
        <v/>
      </c>
      <c r="K20" s="429"/>
      <c r="L20" s="429" t="str">
        <f>IF(AND('Mapa de Riesgos'!$H$73="Alta",'Mapa de Riesgos'!$L$73="Leve"),CONCATENATE("R",'Mapa de Riesgos'!#REF!),"")</f>
        <v/>
      </c>
      <c r="M20" s="429"/>
      <c r="N20" s="429" t="str">
        <f>IF(AND('Mapa de Riesgos'!$H$79="Alta",'Mapa de Riesgos'!$L$79="Leve"),CONCATENATE("R",'Mapa de Riesgos'!$A$79),"")</f>
        <v/>
      </c>
      <c r="O20" s="430"/>
      <c r="P20" s="428" t="str">
        <f>IF(AND('Mapa de Riesgos'!$H$66="Alta",'Mapa de Riesgos'!$L$66="Menor"),CONCATENATE("R",'Mapa de Riesgos'!$A$66),"")</f>
        <v/>
      </c>
      <c r="Q20" s="429"/>
      <c r="R20" s="429" t="str">
        <f>IF(AND('Mapa de Riesgos'!$H$73="Alta",'Mapa de Riesgos'!$L$73="Menor"),CONCATENATE("R",'Mapa de Riesgos'!#REF!),"")</f>
        <v/>
      </c>
      <c r="S20" s="429"/>
      <c r="T20" s="429" t="str">
        <f>IF(AND('Mapa de Riesgos'!$H$79="Alta",'Mapa de Riesgos'!$L$79="Menor"),CONCATENATE("R",'Mapa de Riesgos'!$A$79),"")</f>
        <v/>
      </c>
      <c r="U20" s="430"/>
      <c r="V20" s="446" t="str">
        <f>IF(AND('Mapa de Riesgos'!$H$66="Alta",'Mapa de Riesgos'!$L$66="Moderado"),CONCATENATE("R",'Mapa de Riesgos'!$A$66),"")</f>
        <v/>
      </c>
      <c r="W20" s="447"/>
      <c r="X20" s="447" t="str">
        <f>IF(AND('Mapa de Riesgos'!$H$73="Alta",'Mapa de Riesgos'!$L$73="Moderado"),CONCATENATE("R",'Mapa de Riesgos'!#REF!),"")</f>
        <v/>
      </c>
      <c r="Y20" s="447"/>
      <c r="Z20" s="447" t="str">
        <f>IF(AND('Mapa de Riesgos'!$H$79="Alta",'Mapa de Riesgos'!$L$79="Moderado"),CONCATENATE("R",'Mapa de Riesgos'!$A$79),"")</f>
        <v/>
      </c>
      <c r="AA20" s="448"/>
      <c r="AB20" s="446" t="str">
        <f>IF(AND('Mapa de Riesgos'!$H$66="Alta",'Mapa de Riesgos'!$L$66="Mayor"),CONCATENATE("R",'Mapa de Riesgos'!$A$66),"")</f>
        <v/>
      </c>
      <c r="AC20" s="447"/>
      <c r="AD20" s="447" t="str">
        <f>IF(AND('Mapa de Riesgos'!$H$73="Alta",'Mapa de Riesgos'!$L$73="Mayor"),CONCATENATE("R",'Mapa de Riesgos'!#REF!),"")</f>
        <v/>
      </c>
      <c r="AE20" s="447"/>
      <c r="AF20" s="447" t="str">
        <f>IF(AND('Mapa de Riesgos'!$H$79="Alta",'Mapa de Riesgos'!$L$79="Mayor"),CONCATENATE("R",'Mapa de Riesgos'!$A$79),"")</f>
        <v/>
      </c>
      <c r="AG20" s="448"/>
      <c r="AH20" s="437" t="str">
        <f>IF(AND('Mapa de Riesgos'!$H$66="Alta",'Mapa de Riesgos'!$L$66="Catastrófico"),CONCATENATE("R",'Mapa de Riesgos'!$A$66),"")</f>
        <v/>
      </c>
      <c r="AI20" s="438"/>
      <c r="AJ20" s="438" t="str">
        <f>IF(AND('Mapa de Riesgos'!$H$73="Alta",'Mapa de Riesgos'!$L$73="Catastrófico"),CONCATENATE("R",'Mapa de Riesgos'!#REF!),"")</f>
        <v/>
      </c>
      <c r="AK20" s="438"/>
      <c r="AL20" s="438" t="str">
        <f>IF(AND('Mapa de Riesgos'!$H$79="Alta",'Mapa de Riesgos'!$L$79="Catastrófico"),CONCATENATE("R",'Mapa de Riesgos'!$A$79),"")</f>
        <v/>
      </c>
      <c r="AM20" s="439"/>
      <c r="AN20" s="81"/>
      <c r="AO20" s="480"/>
      <c r="AP20" s="481"/>
      <c r="AQ20" s="481"/>
      <c r="AR20" s="481"/>
      <c r="AS20" s="481"/>
      <c r="AT20" s="482"/>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75" customHeight="1" thickBot="1" x14ac:dyDescent="0.3">
      <c r="A21" s="81"/>
      <c r="B21" s="466"/>
      <c r="C21" s="466"/>
      <c r="D21" s="467"/>
      <c r="E21" s="462"/>
      <c r="F21" s="463"/>
      <c r="G21" s="463"/>
      <c r="H21" s="463"/>
      <c r="I21" s="463"/>
      <c r="J21" s="431"/>
      <c r="K21" s="432"/>
      <c r="L21" s="432"/>
      <c r="M21" s="432"/>
      <c r="N21" s="432"/>
      <c r="O21" s="433"/>
      <c r="P21" s="431"/>
      <c r="Q21" s="432"/>
      <c r="R21" s="432"/>
      <c r="S21" s="432"/>
      <c r="T21" s="432"/>
      <c r="U21" s="433"/>
      <c r="V21" s="449"/>
      <c r="W21" s="450"/>
      <c r="X21" s="450"/>
      <c r="Y21" s="450"/>
      <c r="Z21" s="450"/>
      <c r="AA21" s="451"/>
      <c r="AB21" s="449"/>
      <c r="AC21" s="450"/>
      <c r="AD21" s="450"/>
      <c r="AE21" s="450"/>
      <c r="AF21" s="450"/>
      <c r="AG21" s="451"/>
      <c r="AH21" s="440"/>
      <c r="AI21" s="441"/>
      <c r="AJ21" s="441"/>
      <c r="AK21" s="441"/>
      <c r="AL21" s="441"/>
      <c r="AM21" s="442"/>
      <c r="AN21" s="81"/>
      <c r="AO21" s="483"/>
      <c r="AP21" s="484"/>
      <c r="AQ21" s="484"/>
      <c r="AR21" s="484"/>
      <c r="AS21" s="484"/>
      <c r="AT21" s="485"/>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x14ac:dyDescent="0.25">
      <c r="A22" s="81"/>
      <c r="B22" s="466"/>
      <c r="C22" s="466"/>
      <c r="D22" s="467"/>
      <c r="E22" s="456" t="s">
        <v>202</v>
      </c>
      <c r="F22" s="457"/>
      <c r="G22" s="457"/>
      <c r="H22" s="457"/>
      <c r="I22" s="458"/>
      <c r="J22" s="434" t="str">
        <f>IF(AND('Mapa de Riesgos'!$H$12="Media",'Mapa de Riesgos'!$L$12="Leve"),CONCATENATE("R",'Mapa de Riesgos'!$A$12),"")</f>
        <v/>
      </c>
      <c r="K22" s="435"/>
      <c r="L22" s="435" t="str">
        <f>IF(AND('Mapa de Riesgos'!$H$18="Media",'Mapa de Riesgos'!$L$18="Leve"),CONCATENATE("R",'Mapa de Riesgos'!$A$18),"")</f>
        <v/>
      </c>
      <c r="M22" s="435"/>
      <c r="N22" s="435" t="str">
        <f>IF(AND('Mapa de Riesgos'!$H$24="Media",'Mapa de Riesgos'!$L$24="Leve"),CONCATENATE("R",'Mapa de Riesgos'!$A$24),"")</f>
        <v/>
      </c>
      <c r="O22" s="436"/>
      <c r="P22" s="434" t="str">
        <f>IF(AND('Mapa de Riesgos'!$H$12="Media",'Mapa de Riesgos'!$L$12="Menor"),CONCATENATE("R",'Mapa de Riesgos'!$A$12),"")</f>
        <v/>
      </c>
      <c r="Q22" s="435"/>
      <c r="R22" s="435" t="str">
        <f>IF(AND('Mapa de Riesgos'!$H$18="Media",'Mapa de Riesgos'!$L$18="Menor"),CONCATENATE("R",'Mapa de Riesgos'!$A$18),"")</f>
        <v/>
      </c>
      <c r="S22" s="435"/>
      <c r="T22" s="435" t="str">
        <f>IF(AND('Mapa de Riesgos'!$H$24="Media",'Mapa de Riesgos'!$L$24="Menor"),CONCATENATE("R",'Mapa de Riesgos'!$A$24),"")</f>
        <v>R3</v>
      </c>
      <c r="U22" s="436"/>
      <c r="V22" s="434" t="str">
        <f>IF(AND('Mapa de Riesgos'!$H$12="Media",'Mapa de Riesgos'!$L$12="Moderado"),CONCATENATE("R",'Mapa de Riesgos'!$A$12),"")</f>
        <v/>
      </c>
      <c r="W22" s="435"/>
      <c r="X22" s="435" t="str">
        <f>IF(AND('Mapa de Riesgos'!$H$18="Media",'Mapa de Riesgos'!$L$18="Moderado"),CONCATENATE("R",'Mapa de Riesgos'!$A$18),"")</f>
        <v>R2</v>
      </c>
      <c r="Y22" s="435"/>
      <c r="Z22" s="435" t="str">
        <f>IF(AND('Mapa de Riesgos'!$H$24="Media",'Mapa de Riesgos'!$L$24="Moderado"),CONCATENATE("R",'Mapa de Riesgos'!$A$24),"")</f>
        <v/>
      </c>
      <c r="AA22" s="436"/>
      <c r="AB22" s="452" t="str">
        <f>IF(AND('Mapa de Riesgos'!$H$12="Media",'Mapa de Riesgos'!$L$12="Mayor"),CONCATENATE("R",'Mapa de Riesgos'!$A$12),"")</f>
        <v/>
      </c>
      <c r="AC22" s="453"/>
      <c r="AD22" s="453" t="str">
        <f>IF(AND('Mapa de Riesgos'!$H$18="Media",'Mapa de Riesgos'!$L$18="Mayor"),CONCATENATE("R",'Mapa de Riesgos'!$A$18),"")</f>
        <v/>
      </c>
      <c r="AE22" s="453"/>
      <c r="AF22" s="453" t="str">
        <f>IF(AND('Mapa de Riesgos'!$H$24="Media",'Mapa de Riesgos'!$L$24="Mayor"),CONCATENATE("R",'Mapa de Riesgos'!$A$24),"")</f>
        <v/>
      </c>
      <c r="AG22" s="454"/>
      <c r="AH22" s="443" t="str">
        <f>IF(AND('Mapa de Riesgos'!$H$12="Media",'Mapa de Riesgos'!$L$12="Catastrófico"),CONCATENATE("R",'Mapa de Riesgos'!$A$12),"")</f>
        <v>R1</v>
      </c>
      <c r="AI22" s="444"/>
      <c r="AJ22" s="444" t="str">
        <f>IF(AND('Mapa de Riesgos'!$H$18="Media",'Mapa de Riesgos'!$L$18="Catastrófico"),CONCATENATE("R",'Mapa de Riesgos'!$A$18),"")</f>
        <v/>
      </c>
      <c r="AK22" s="444"/>
      <c r="AL22" s="444" t="str">
        <f>IF(AND('Mapa de Riesgos'!$H$24="Media",'Mapa de Riesgos'!$L$24="Catastrófico"),CONCATENATE("R",'Mapa de Riesgos'!$A$24),"")</f>
        <v/>
      </c>
      <c r="AM22" s="445"/>
      <c r="AN22" s="81"/>
      <c r="AO22" s="486" t="s">
        <v>203</v>
      </c>
      <c r="AP22" s="487"/>
      <c r="AQ22" s="487"/>
      <c r="AR22" s="487"/>
      <c r="AS22" s="487"/>
      <c r="AT22" s="488"/>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x14ac:dyDescent="0.25">
      <c r="A23" s="81"/>
      <c r="B23" s="466"/>
      <c r="C23" s="466"/>
      <c r="D23" s="467"/>
      <c r="E23" s="459"/>
      <c r="F23" s="460"/>
      <c r="G23" s="460"/>
      <c r="H23" s="460"/>
      <c r="I23" s="461"/>
      <c r="J23" s="428"/>
      <c r="K23" s="429"/>
      <c r="L23" s="429"/>
      <c r="M23" s="429"/>
      <c r="N23" s="429"/>
      <c r="O23" s="430"/>
      <c r="P23" s="428"/>
      <c r="Q23" s="429"/>
      <c r="R23" s="429"/>
      <c r="S23" s="429"/>
      <c r="T23" s="429"/>
      <c r="U23" s="430"/>
      <c r="V23" s="428"/>
      <c r="W23" s="429"/>
      <c r="X23" s="429"/>
      <c r="Y23" s="429"/>
      <c r="Z23" s="429"/>
      <c r="AA23" s="430"/>
      <c r="AB23" s="446"/>
      <c r="AC23" s="447"/>
      <c r="AD23" s="447"/>
      <c r="AE23" s="447"/>
      <c r="AF23" s="447"/>
      <c r="AG23" s="448"/>
      <c r="AH23" s="437"/>
      <c r="AI23" s="438"/>
      <c r="AJ23" s="438"/>
      <c r="AK23" s="438"/>
      <c r="AL23" s="438"/>
      <c r="AM23" s="439"/>
      <c r="AN23" s="81"/>
      <c r="AO23" s="489"/>
      <c r="AP23" s="490"/>
      <c r="AQ23" s="490"/>
      <c r="AR23" s="490"/>
      <c r="AS23" s="490"/>
      <c r="AT23" s="49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x14ac:dyDescent="0.25">
      <c r="A24" s="81"/>
      <c r="B24" s="466"/>
      <c r="C24" s="466"/>
      <c r="D24" s="467"/>
      <c r="E24" s="459"/>
      <c r="F24" s="460"/>
      <c r="G24" s="460"/>
      <c r="H24" s="460"/>
      <c r="I24" s="461"/>
      <c r="J24" s="428" t="str">
        <f>IF(AND('Mapa de Riesgos'!$H$30="Media",'Mapa de Riesgos'!$L$30="Leve"),CONCATENATE("R",'Mapa de Riesgos'!$A$30),"")</f>
        <v/>
      </c>
      <c r="K24" s="429"/>
      <c r="L24" s="429" t="str">
        <f>IF(AND('Mapa de Riesgos'!$H$36="Media",'Mapa de Riesgos'!$L$36="Leve"),CONCATENATE("R",'Mapa de Riesgos'!$A$36),"")</f>
        <v/>
      </c>
      <c r="M24" s="429"/>
      <c r="N24" s="429" t="str">
        <f>IF(AND('Mapa de Riesgos'!$H$42="Media",'Mapa de Riesgos'!$L$42="Leve"),CONCATENATE("R",'Mapa de Riesgos'!$A$42),"")</f>
        <v/>
      </c>
      <c r="O24" s="430"/>
      <c r="P24" s="428" t="str">
        <f>IF(AND('Mapa de Riesgos'!$H$30="Media",'Mapa de Riesgos'!$L$30="Menor"),CONCATENATE("R",'Mapa de Riesgos'!$A$30),"")</f>
        <v/>
      </c>
      <c r="Q24" s="429"/>
      <c r="R24" s="429" t="str">
        <f>IF(AND('Mapa de Riesgos'!$H$36="Media",'Mapa de Riesgos'!$L$36="Menor"),CONCATENATE("R",'Mapa de Riesgos'!$A$36),"")</f>
        <v/>
      </c>
      <c r="S24" s="429"/>
      <c r="T24" s="429" t="str">
        <f>IF(AND('Mapa de Riesgos'!$H$42="Media",'Mapa de Riesgos'!$L$42="Menor"),CONCATENATE("R",'Mapa de Riesgos'!$A$42),"")</f>
        <v/>
      </c>
      <c r="U24" s="430"/>
      <c r="V24" s="428" t="str">
        <f>IF(AND('Mapa de Riesgos'!$H$30="Media",'Mapa de Riesgos'!$L$30="Moderado"),CONCATENATE("R",'Mapa de Riesgos'!$A$30),"")</f>
        <v/>
      </c>
      <c r="W24" s="429"/>
      <c r="X24" s="429" t="str">
        <f>IF(AND('Mapa de Riesgos'!$H$36="Media",'Mapa de Riesgos'!$L$36="Moderado"),CONCATENATE("R",'Mapa de Riesgos'!$A$36),"")</f>
        <v>R5</v>
      </c>
      <c r="Y24" s="429"/>
      <c r="Z24" s="429" t="str">
        <f>IF(AND('Mapa de Riesgos'!$H$42="Media",'Mapa de Riesgos'!$L$42="Moderado"),CONCATENATE("R",'Mapa de Riesgos'!$A$42),"")</f>
        <v>R6</v>
      </c>
      <c r="AA24" s="430"/>
      <c r="AB24" s="446" t="str">
        <f>IF(AND('Mapa de Riesgos'!$H$30="Media",'Mapa de Riesgos'!$L$30="Mayor"),CONCATENATE("R",'Mapa de Riesgos'!$A$30),"")</f>
        <v/>
      </c>
      <c r="AC24" s="447"/>
      <c r="AD24" s="447" t="str">
        <f>IF(AND('Mapa de Riesgos'!$H$36="Media",'Mapa de Riesgos'!$L$36="Mayor"),CONCATENATE("R",'Mapa de Riesgos'!$A$36),"")</f>
        <v/>
      </c>
      <c r="AE24" s="447"/>
      <c r="AF24" s="447" t="str">
        <f>IF(AND('Mapa de Riesgos'!$H$42="Media",'Mapa de Riesgos'!$L$42="Mayor"),CONCATENATE("R",'Mapa de Riesgos'!$A$42),"")</f>
        <v/>
      </c>
      <c r="AG24" s="448"/>
      <c r="AH24" s="437" t="str">
        <f>IF(AND('Mapa de Riesgos'!$H$30="Media",'Mapa de Riesgos'!$L$30="Catastrófico"),CONCATENATE("R",'Mapa de Riesgos'!$A$30),"")</f>
        <v/>
      </c>
      <c r="AI24" s="438"/>
      <c r="AJ24" s="438" t="str">
        <f>IF(AND('Mapa de Riesgos'!$H$36="Media",'Mapa de Riesgos'!$L$36="Catastrófico"),CONCATENATE("R",'Mapa de Riesgos'!$A$36),"")</f>
        <v/>
      </c>
      <c r="AK24" s="438"/>
      <c r="AL24" s="438" t="str">
        <f>IF(AND('Mapa de Riesgos'!$H$42="Media",'Mapa de Riesgos'!$L$42="Catastrófico"),CONCATENATE("R",'Mapa de Riesgos'!$A$42),"")</f>
        <v/>
      </c>
      <c r="AM24" s="439"/>
      <c r="AN24" s="81"/>
      <c r="AO24" s="489"/>
      <c r="AP24" s="490"/>
      <c r="AQ24" s="490"/>
      <c r="AR24" s="490"/>
      <c r="AS24" s="490"/>
      <c r="AT24" s="49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x14ac:dyDescent="0.25">
      <c r="A25" s="81"/>
      <c r="B25" s="466"/>
      <c r="C25" s="466"/>
      <c r="D25" s="467"/>
      <c r="E25" s="459"/>
      <c r="F25" s="460"/>
      <c r="G25" s="460"/>
      <c r="H25" s="460"/>
      <c r="I25" s="461"/>
      <c r="J25" s="428"/>
      <c r="K25" s="429"/>
      <c r="L25" s="429"/>
      <c r="M25" s="429"/>
      <c r="N25" s="429"/>
      <c r="O25" s="430"/>
      <c r="P25" s="428"/>
      <c r="Q25" s="429"/>
      <c r="R25" s="429"/>
      <c r="S25" s="429"/>
      <c r="T25" s="429"/>
      <c r="U25" s="430"/>
      <c r="V25" s="428"/>
      <c r="W25" s="429"/>
      <c r="X25" s="429"/>
      <c r="Y25" s="429"/>
      <c r="Z25" s="429"/>
      <c r="AA25" s="430"/>
      <c r="AB25" s="446"/>
      <c r="AC25" s="447"/>
      <c r="AD25" s="447"/>
      <c r="AE25" s="447"/>
      <c r="AF25" s="447"/>
      <c r="AG25" s="448"/>
      <c r="AH25" s="437"/>
      <c r="AI25" s="438"/>
      <c r="AJ25" s="438"/>
      <c r="AK25" s="438"/>
      <c r="AL25" s="438"/>
      <c r="AM25" s="439"/>
      <c r="AN25" s="81"/>
      <c r="AO25" s="489"/>
      <c r="AP25" s="490"/>
      <c r="AQ25" s="490"/>
      <c r="AR25" s="490"/>
      <c r="AS25" s="490"/>
      <c r="AT25" s="49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x14ac:dyDescent="0.25">
      <c r="A26" s="81"/>
      <c r="B26" s="466"/>
      <c r="C26" s="466"/>
      <c r="D26" s="467"/>
      <c r="E26" s="459"/>
      <c r="F26" s="460"/>
      <c r="G26" s="460"/>
      <c r="H26" s="460"/>
      <c r="I26" s="461"/>
      <c r="J26" s="428" t="str">
        <f>IF(AND('Mapa de Riesgos'!$H$48="Media",'Mapa de Riesgos'!$L$48="Leve"),CONCATENATE("R",'Mapa de Riesgos'!$A$48),"")</f>
        <v/>
      </c>
      <c r="K26" s="429"/>
      <c r="L26" s="429" t="str">
        <f>IF(AND('Mapa de Riesgos'!$H$54="Media",'Mapa de Riesgos'!$L$54="Leve"),CONCATENATE("R",'Mapa de Riesgos'!$A$54),"")</f>
        <v/>
      </c>
      <c r="M26" s="429"/>
      <c r="N26" s="429" t="str">
        <f>IF(AND('Mapa de Riesgos'!$H$60="Media",'Mapa de Riesgos'!$L$60="Leve"),CONCATENATE("R",'Mapa de Riesgos'!$A$60),"")</f>
        <v/>
      </c>
      <c r="O26" s="430"/>
      <c r="P26" s="428" t="str">
        <f>IF(AND('Mapa de Riesgos'!$H$48="Media",'Mapa de Riesgos'!$L$48="Menor"),CONCATENATE("R",'Mapa de Riesgos'!$A$48),"")</f>
        <v/>
      </c>
      <c r="Q26" s="429"/>
      <c r="R26" s="429" t="str">
        <f>IF(AND('Mapa de Riesgos'!$H$54="Media",'Mapa de Riesgos'!$L$54="Menor"),CONCATENATE("R",'Mapa de Riesgos'!$A$54),"")</f>
        <v/>
      </c>
      <c r="S26" s="429"/>
      <c r="T26" s="429" t="str">
        <f>IF(AND('Mapa de Riesgos'!$H$60="Media",'Mapa de Riesgos'!$L$60="Menor"),CONCATENATE("R",'Mapa de Riesgos'!$A$60),"")</f>
        <v/>
      </c>
      <c r="U26" s="430"/>
      <c r="V26" s="428" t="str">
        <f>IF(AND('Mapa de Riesgos'!$H$48="Media",'Mapa de Riesgos'!$L$48="Moderado"),CONCATENATE("R",'Mapa de Riesgos'!$A$48),"")</f>
        <v/>
      </c>
      <c r="W26" s="429"/>
      <c r="X26" s="429" t="str">
        <f>IF(AND('Mapa de Riesgos'!$H$54="Media",'Mapa de Riesgos'!$L$54="Moderado"),CONCATENATE("R",'Mapa de Riesgos'!$A$54),"")</f>
        <v>R8</v>
      </c>
      <c r="Y26" s="429"/>
      <c r="Z26" s="429" t="str">
        <f>IF(AND('Mapa de Riesgos'!$H$60="Media",'Mapa de Riesgos'!$L$60="Moderado"),CONCATENATE("R",'Mapa de Riesgos'!$A$60),"")</f>
        <v>R9</v>
      </c>
      <c r="AA26" s="430"/>
      <c r="AB26" s="446" t="str">
        <f>IF(AND('Mapa de Riesgos'!$H$48="Media",'Mapa de Riesgos'!$L$48="Mayor"),CONCATENATE("R",'Mapa de Riesgos'!$A$48),"")</f>
        <v/>
      </c>
      <c r="AC26" s="447"/>
      <c r="AD26" s="447" t="str">
        <f>IF(AND('Mapa de Riesgos'!$H$54="Media",'Mapa de Riesgos'!$L$54="Mayor"),CONCATENATE("R",'Mapa de Riesgos'!$A$54),"")</f>
        <v/>
      </c>
      <c r="AE26" s="447"/>
      <c r="AF26" s="447" t="str">
        <f>IF(AND('Mapa de Riesgos'!$H$60="Media",'Mapa de Riesgos'!$L$60="Mayor"),CONCATENATE("R",'Mapa de Riesgos'!$A$60),"")</f>
        <v/>
      </c>
      <c r="AG26" s="448"/>
      <c r="AH26" s="437" t="str">
        <f>IF(AND('Mapa de Riesgos'!$H$48="Media",'Mapa de Riesgos'!$L$48="Catastrófico"),CONCATENATE("R",'Mapa de Riesgos'!$A$48),"")</f>
        <v/>
      </c>
      <c r="AI26" s="438"/>
      <c r="AJ26" s="438" t="str">
        <f>IF(AND('Mapa de Riesgos'!$H$54="Media",'Mapa de Riesgos'!$L$54="Catastrófico"),CONCATENATE("R",'Mapa de Riesgos'!$A$54),"")</f>
        <v/>
      </c>
      <c r="AK26" s="438"/>
      <c r="AL26" s="438" t="str">
        <f>IF(AND('Mapa de Riesgos'!$H$60="Media",'Mapa de Riesgos'!$L$60="Catastrófico"),CONCATENATE("R",'Mapa de Riesgos'!$A$60),"")</f>
        <v/>
      </c>
      <c r="AM26" s="439"/>
      <c r="AN26" s="81"/>
      <c r="AO26" s="489"/>
      <c r="AP26" s="490"/>
      <c r="AQ26" s="490"/>
      <c r="AR26" s="490"/>
      <c r="AS26" s="490"/>
      <c r="AT26" s="49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x14ac:dyDescent="0.25">
      <c r="A27" s="81"/>
      <c r="B27" s="466"/>
      <c r="C27" s="466"/>
      <c r="D27" s="467"/>
      <c r="E27" s="459"/>
      <c r="F27" s="460"/>
      <c r="G27" s="460"/>
      <c r="H27" s="460"/>
      <c r="I27" s="461"/>
      <c r="J27" s="428"/>
      <c r="K27" s="429"/>
      <c r="L27" s="429"/>
      <c r="M27" s="429"/>
      <c r="N27" s="429"/>
      <c r="O27" s="430"/>
      <c r="P27" s="428"/>
      <c r="Q27" s="429"/>
      <c r="R27" s="429"/>
      <c r="S27" s="429"/>
      <c r="T27" s="429"/>
      <c r="U27" s="430"/>
      <c r="V27" s="428"/>
      <c r="W27" s="429"/>
      <c r="X27" s="429"/>
      <c r="Y27" s="429"/>
      <c r="Z27" s="429"/>
      <c r="AA27" s="430"/>
      <c r="AB27" s="446"/>
      <c r="AC27" s="447"/>
      <c r="AD27" s="447"/>
      <c r="AE27" s="447"/>
      <c r="AF27" s="447"/>
      <c r="AG27" s="448"/>
      <c r="AH27" s="437"/>
      <c r="AI27" s="438"/>
      <c r="AJ27" s="438"/>
      <c r="AK27" s="438"/>
      <c r="AL27" s="438"/>
      <c r="AM27" s="439"/>
      <c r="AN27" s="81"/>
      <c r="AO27" s="489"/>
      <c r="AP27" s="490"/>
      <c r="AQ27" s="490"/>
      <c r="AR27" s="490"/>
      <c r="AS27" s="490"/>
      <c r="AT27" s="49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x14ac:dyDescent="0.25">
      <c r="A28" s="81"/>
      <c r="B28" s="466"/>
      <c r="C28" s="466"/>
      <c r="D28" s="467"/>
      <c r="E28" s="459"/>
      <c r="F28" s="460"/>
      <c r="G28" s="460"/>
      <c r="H28" s="460"/>
      <c r="I28" s="461"/>
      <c r="J28" s="428" t="str">
        <f>IF(AND('Mapa de Riesgos'!$H$66="Media",'Mapa de Riesgos'!$L$66="Leve"),CONCATENATE("R",'Mapa de Riesgos'!$A$66),"")</f>
        <v/>
      </c>
      <c r="K28" s="429"/>
      <c r="L28" s="429" t="str">
        <f>IF(AND('Mapa de Riesgos'!$H$73="Media",'Mapa de Riesgos'!$L$73="Leve"),CONCATENATE("R",'Mapa de Riesgos'!#REF!),"")</f>
        <v/>
      </c>
      <c r="M28" s="429"/>
      <c r="N28" s="429" t="str">
        <f>IF(AND('Mapa de Riesgos'!$H$79="Media",'Mapa de Riesgos'!$L$79="Leve"),CONCATENATE("R",'Mapa de Riesgos'!$A$79),"")</f>
        <v/>
      </c>
      <c r="O28" s="430"/>
      <c r="P28" s="428" t="str">
        <f>IF(AND('Mapa de Riesgos'!$H$66="Media",'Mapa de Riesgos'!$L$66="Menor"),CONCATENATE("R",'Mapa de Riesgos'!$A$66),"")</f>
        <v/>
      </c>
      <c r="Q28" s="429"/>
      <c r="R28" s="429" t="str">
        <f>IF(AND('Mapa de Riesgos'!$H$73="Media",'Mapa de Riesgos'!$L$73="Menor"),CONCATENATE("R",'Mapa de Riesgos'!#REF!),"")</f>
        <v/>
      </c>
      <c r="S28" s="429"/>
      <c r="T28" s="429" t="str">
        <f>IF(AND('Mapa de Riesgos'!$H$79="Media",'Mapa de Riesgos'!$L$79="Menor"),CONCATENATE("R",'Mapa de Riesgos'!$A$79),"")</f>
        <v/>
      </c>
      <c r="U28" s="430"/>
      <c r="V28" s="428" t="str">
        <f>IF(AND('Mapa de Riesgos'!$H$66="Media",'Mapa de Riesgos'!$L$66="Moderado"),CONCATENATE("R",'Mapa de Riesgos'!$A$66),"")</f>
        <v>R10</v>
      </c>
      <c r="W28" s="429"/>
      <c r="X28" s="429" t="str">
        <f>IF(AND('Mapa de Riesgos'!$H$73="Media",'Mapa de Riesgos'!$L$73="Moderado"),CONCATENATE("R",'Mapa de Riesgos'!#REF!),"")</f>
        <v/>
      </c>
      <c r="Y28" s="429"/>
      <c r="Z28" s="429" t="str">
        <f>IF(AND('Mapa de Riesgos'!$H$79="Media",'Mapa de Riesgos'!$L$79="Moderado"),CONCATENATE("R",'Mapa de Riesgos'!$A$79),"")</f>
        <v/>
      </c>
      <c r="AA28" s="430"/>
      <c r="AB28" s="446" t="str">
        <f>IF(AND('Mapa de Riesgos'!$H$66="Media",'Mapa de Riesgos'!$L$66="Mayor"),CONCATENATE("R",'Mapa de Riesgos'!$A$66),"")</f>
        <v/>
      </c>
      <c r="AC28" s="447"/>
      <c r="AD28" s="447" t="str">
        <f>IF(AND('Mapa de Riesgos'!$H$73="Media",'Mapa de Riesgos'!$L$73="Mayor"),CONCATENATE("R",'Mapa de Riesgos'!#REF!),"")</f>
        <v/>
      </c>
      <c r="AE28" s="447"/>
      <c r="AF28" s="447" t="str">
        <f>IF(AND('Mapa de Riesgos'!$H$79="Media",'Mapa de Riesgos'!$L$79="Mayor"),CONCATENATE("R",'Mapa de Riesgos'!$A$79),"")</f>
        <v/>
      </c>
      <c r="AG28" s="448"/>
      <c r="AH28" s="437" t="str">
        <f>IF(AND('Mapa de Riesgos'!$H$66="Media",'Mapa de Riesgos'!$L$66="Catastrófico"),CONCATENATE("R",'Mapa de Riesgos'!$A$66),"")</f>
        <v/>
      </c>
      <c r="AI28" s="438"/>
      <c r="AJ28" s="438" t="str">
        <f>IF(AND('Mapa de Riesgos'!$H$73="Media",'Mapa de Riesgos'!$L$73="Catastrófico"),CONCATENATE("R",'Mapa de Riesgos'!#REF!),"")</f>
        <v/>
      </c>
      <c r="AK28" s="438"/>
      <c r="AL28" s="438" t="str">
        <f>IF(AND('Mapa de Riesgos'!$H$79="Media",'Mapa de Riesgos'!$L$79="Catastrófico"),CONCATENATE("R",'Mapa de Riesgos'!$A$79),"")</f>
        <v/>
      </c>
      <c r="AM28" s="439"/>
      <c r="AN28" s="81"/>
      <c r="AO28" s="489"/>
      <c r="AP28" s="490"/>
      <c r="AQ28" s="490"/>
      <c r="AR28" s="490"/>
      <c r="AS28" s="490"/>
      <c r="AT28" s="49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5.75" thickBot="1" x14ac:dyDescent="0.3">
      <c r="A29" s="81"/>
      <c r="B29" s="466"/>
      <c r="C29" s="466"/>
      <c r="D29" s="467"/>
      <c r="E29" s="462"/>
      <c r="F29" s="463"/>
      <c r="G29" s="463"/>
      <c r="H29" s="463"/>
      <c r="I29" s="464"/>
      <c r="J29" s="428"/>
      <c r="K29" s="429"/>
      <c r="L29" s="429"/>
      <c r="M29" s="429"/>
      <c r="N29" s="429"/>
      <c r="O29" s="430"/>
      <c r="P29" s="431"/>
      <c r="Q29" s="432"/>
      <c r="R29" s="432"/>
      <c r="S29" s="432"/>
      <c r="T29" s="432"/>
      <c r="U29" s="433"/>
      <c r="V29" s="431"/>
      <c r="W29" s="432"/>
      <c r="X29" s="432"/>
      <c r="Y29" s="432"/>
      <c r="Z29" s="432"/>
      <c r="AA29" s="433"/>
      <c r="AB29" s="449"/>
      <c r="AC29" s="450"/>
      <c r="AD29" s="450"/>
      <c r="AE29" s="450"/>
      <c r="AF29" s="450"/>
      <c r="AG29" s="451"/>
      <c r="AH29" s="440"/>
      <c r="AI29" s="441"/>
      <c r="AJ29" s="441"/>
      <c r="AK29" s="441"/>
      <c r="AL29" s="441"/>
      <c r="AM29" s="442"/>
      <c r="AN29" s="81"/>
      <c r="AO29" s="492"/>
      <c r="AP29" s="493"/>
      <c r="AQ29" s="493"/>
      <c r="AR29" s="493"/>
      <c r="AS29" s="493"/>
      <c r="AT29" s="494"/>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x14ac:dyDescent="0.25">
      <c r="A30" s="81"/>
      <c r="B30" s="466"/>
      <c r="C30" s="466"/>
      <c r="D30" s="467"/>
      <c r="E30" s="456" t="s">
        <v>204</v>
      </c>
      <c r="F30" s="457"/>
      <c r="G30" s="457"/>
      <c r="H30" s="457"/>
      <c r="I30" s="457"/>
      <c r="J30" s="425" t="str">
        <f>IF(AND('Mapa de Riesgos'!$H$12="Baja",'Mapa de Riesgos'!$L$12="Leve"),CONCATENATE("R",'Mapa de Riesgos'!$A$12),"")</f>
        <v/>
      </c>
      <c r="K30" s="426"/>
      <c r="L30" s="426" t="str">
        <f>IF(AND('Mapa de Riesgos'!$H$18="Baja",'Mapa de Riesgos'!$L$18="Leve"),CONCATENATE("R",'Mapa de Riesgos'!$A$18),"")</f>
        <v/>
      </c>
      <c r="M30" s="426"/>
      <c r="N30" s="426" t="str">
        <f>IF(AND('Mapa de Riesgos'!$H$24="Baja",'Mapa de Riesgos'!$L$24="Leve"),CONCATENATE("R",'Mapa de Riesgos'!$A$24),"")</f>
        <v/>
      </c>
      <c r="O30" s="427"/>
      <c r="P30" s="435" t="str">
        <f>IF(AND('Mapa de Riesgos'!$H$12="Baja",'Mapa de Riesgos'!$L$12="Menor"),CONCATENATE("R",'Mapa de Riesgos'!$A$12),"")</f>
        <v/>
      </c>
      <c r="Q30" s="435"/>
      <c r="R30" s="435" t="str">
        <f>IF(AND('Mapa de Riesgos'!$H$18="Baja",'Mapa de Riesgos'!$L$18="Menor"),CONCATENATE("R",'Mapa de Riesgos'!$A$18),"")</f>
        <v/>
      </c>
      <c r="S30" s="435"/>
      <c r="T30" s="435" t="str">
        <f>IF(AND('Mapa de Riesgos'!$H$24="Baja",'Mapa de Riesgos'!$L$24="Menor"),CONCATENATE("R",'Mapa de Riesgos'!$A$24),"")</f>
        <v/>
      </c>
      <c r="U30" s="436"/>
      <c r="V30" s="434" t="str">
        <f>IF(AND('Mapa de Riesgos'!$H$12="Baja",'Mapa de Riesgos'!$L$12="Moderado"),CONCATENATE("R",'Mapa de Riesgos'!$A$12),"")</f>
        <v/>
      </c>
      <c r="W30" s="435"/>
      <c r="X30" s="435" t="str">
        <f>IF(AND('Mapa de Riesgos'!$H$18="Baja",'Mapa de Riesgos'!$L$18="Moderado"),CONCATENATE("R",'Mapa de Riesgos'!$A$18),"")</f>
        <v/>
      </c>
      <c r="Y30" s="435"/>
      <c r="Z30" s="435" t="str">
        <f>IF(AND('Mapa de Riesgos'!$H$24="Baja",'Mapa de Riesgos'!$L$24="Moderado"),CONCATENATE("R",'Mapa de Riesgos'!$A$24),"")</f>
        <v/>
      </c>
      <c r="AA30" s="436"/>
      <c r="AB30" s="452" t="str">
        <f>IF(AND('Mapa de Riesgos'!$H$12="Baja",'Mapa de Riesgos'!$L$12="Mayor"),CONCATENATE("R",'Mapa de Riesgos'!$A$12),"")</f>
        <v/>
      </c>
      <c r="AC30" s="453"/>
      <c r="AD30" s="453" t="str">
        <f>IF(AND('Mapa de Riesgos'!$H$18="Baja",'Mapa de Riesgos'!$L$18="Mayor"),CONCATENATE("R",'Mapa de Riesgos'!$A$18),"")</f>
        <v/>
      </c>
      <c r="AE30" s="453"/>
      <c r="AF30" s="453" t="str">
        <f>IF(AND('Mapa de Riesgos'!$H$24="Baja",'Mapa de Riesgos'!$L$24="Mayor"),CONCATENATE("R",'Mapa de Riesgos'!$A$24),"")</f>
        <v/>
      </c>
      <c r="AG30" s="454"/>
      <c r="AH30" s="443" t="str">
        <f>IF(AND('Mapa de Riesgos'!$H$12="Baja",'Mapa de Riesgos'!$L$12="Catastrófico"),CONCATENATE("R",'Mapa de Riesgos'!$A$12),"")</f>
        <v/>
      </c>
      <c r="AI30" s="444"/>
      <c r="AJ30" s="444" t="str">
        <f>IF(AND('Mapa de Riesgos'!$H$18="Baja",'Mapa de Riesgos'!$L$18="Catastrófico"),CONCATENATE("R",'Mapa de Riesgos'!$A$18),"")</f>
        <v/>
      </c>
      <c r="AK30" s="444"/>
      <c r="AL30" s="444" t="str">
        <f>IF(AND('Mapa de Riesgos'!$H$24="Baja",'Mapa de Riesgos'!$L$24="Catastrófico"),CONCATENATE("R",'Mapa de Riesgos'!$A$24),"")</f>
        <v/>
      </c>
      <c r="AM30" s="445"/>
      <c r="AN30" s="81"/>
      <c r="AO30" s="495" t="s">
        <v>205</v>
      </c>
      <c r="AP30" s="496"/>
      <c r="AQ30" s="496"/>
      <c r="AR30" s="496"/>
      <c r="AS30" s="496"/>
      <c r="AT30" s="497"/>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x14ac:dyDescent="0.25">
      <c r="A31" s="81"/>
      <c r="B31" s="466"/>
      <c r="C31" s="466"/>
      <c r="D31" s="467"/>
      <c r="E31" s="459"/>
      <c r="F31" s="460"/>
      <c r="G31" s="460"/>
      <c r="H31" s="460"/>
      <c r="I31" s="460"/>
      <c r="J31" s="419"/>
      <c r="K31" s="420"/>
      <c r="L31" s="420"/>
      <c r="M31" s="420"/>
      <c r="N31" s="420"/>
      <c r="O31" s="421"/>
      <c r="P31" s="429"/>
      <c r="Q31" s="429"/>
      <c r="R31" s="429"/>
      <c r="S31" s="429"/>
      <c r="T31" s="429"/>
      <c r="U31" s="430"/>
      <c r="V31" s="428"/>
      <c r="W31" s="429"/>
      <c r="X31" s="429"/>
      <c r="Y31" s="429"/>
      <c r="Z31" s="429"/>
      <c r="AA31" s="430"/>
      <c r="AB31" s="446"/>
      <c r="AC31" s="447"/>
      <c r="AD31" s="447"/>
      <c r="AE31" s="447"/>
      <c r="AF31" s="447"/>
      <c r="AG31" s="448"/>
      <c r="AH31" s="437"/>
      <c r="AI31" s="438"/>
      <c r="AJ31" s="438"/>
      <c r="AK31" s="438"/>
      <c r="AL31" s="438"/>
      <c r="AM31" s="439"/>
      <c r="AN31" s="81"/>
      <c r="AO31" s="498"/>
      <c r="AP31" s="499"/>
      <c r="AQ31" s="499"/>
      <c r="AR31" s="499"/>
      <c r="AS31" s="499"/>
      <c r="AT31" s="500"/>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x14ac:dyDescent="0.25">
      <c r="A32" s="81"/>
      <c r="B32" s="466"/>
      <c r="C32" s="466"/>
      <c r="D32" s="467"/>
      <c r="E32" s="459"/>
      <c r="F32" s="460"/>
      <c r="G32" s="460"/>
      <c r="H32" s="460"/>
      <c r="I32" s="460"/>
      <c r="J32" s="419" t="str">
        <f>IF(AND('Mapa de Riesgos'!$H$30="Baja",'Mapa de Riesgos'!$L$30="Leve"),CONCATENATE("R",'Mapa de Riesgos'!$A$30),"")</f>
        <v/>
      </c>
      <c r="K32" s="420"/>
      <c r="L32" s="420" t="str">
        <f>IF(AND('Mapa de Riesgos'!$H$36="Baja",'Mapa de Riesgos'!$L$36="Leve"),CONCATENATE("R",'Mapa de Riesgos'!$A$36),"")</f>
        <v/>
      </c>
      <c r="M32" s="420"/>
      <c r="N32" s="420" t="str">
        <f>IF(AND('Mapa de Riesgos'!$H$42="Baja",'Mapa de Riesgos'!$L$42="Leve"),CONCATENATE("R",'Mapa de Riesgos'!$A$42),"")</f>
        <v/>
      </c>
      <c r="O32" s="421"/>
      <c r="P32" s="429" t="str">
        <f>IF(AND('Mapa de Riesgos'!$H$30="Baja",'Mapa de Riesgos'!$L$30="Menor"),CONCATENATE("R",'Mapa de Riesgos'!$A$30),"")</f>
        <v/>
      </c>
      <c r="Q32" s="429"/>
      <c r="R32" s="429" t="str">
        <f>IF(AND('Mapa de Riesgos'!$H$36="Baja",'Mapa de Riesgos'!$L$36="Menor"),CONCATENATE("R",'Mapa de Riesgos'!$A$36),"")</f>
        <v/>
      </c>
      <c r="S32" s="429"/>
      <c r="T32" s="429" t="str">
        <f>IF(AND('Mapa de Riesgos'!$H$42="Baja",'Mapa de Riesgos'!$L$42="Menor"),CONCATENATE("R",'Mapa de Riesgos'!$A$42),"")</f>
        <v/>
      </c>
      <c r="U32" s="430"/>
      <c r="V32" s="428" t="str">
        <f>IF(AND('Mapa de Riesgos'!$H$30="Baja",'Mapa de Riesgos'!$L$30="Moderado"),CONCATENATE("R",'Mapa de Riesgos'!$A$30),"")</f>
        <v>R4</v>
      </c>
      <c r="W32" s="429"/>
      <c r="X32" s="429" t="str">
        <f>IF(AND('Mapa de Riesgos'!$H$36="Baja",'Mapa de Riesgos'!$L$36="Moderado"),CONCATENATE("R",'Mapa de Riesgos'!$A$36),"")</f>
        <v/>
      </c>
      <c r="Y32" s="429"/>
      <c r="Z32" s="429" t="str">
        <f>IF(AND('Mapa de Riesgos'!$H$42="Baja",'Mapa de Riesgos'!$L$42="Moderado"),CONCATENATE("R",'Mapa de Riesgos'!$A$42),"")</f>
        <v/>
      </c>
      <c r="AA32" s="430"/>
      <c r="AB32" s="446" t="str">
        <f>IF(AND('Mapa de Riesgos'!$H$30="Baja",'Mapa de Riesgos'!$L$30="Mayor"),CONCATENATE("R",'Mapa de Riesgos'!$A$30),"")</f>
        <v/>
      </c>
      <c r="AC32" s="447"/>
      <c r="AD32" s="447" t="str">
        <f>IF(AND('Mapa de Riesgos'!$H$36="Baja",'Mapa de Riesgos'!$L$36="Mayor"),CONCATENATE("R",'Mapa de Riesgos'!$A$36),"")</f>
        <v/>
      </c>
      <c r="AE32" s="447"/>
      <c r="AF32" s="447" t="str">
        <f>IF(AND('Mapa de Riesgos'!$H$42="Baja",'Mapa de Riesgos'!$L$42="Mayor"),CONCATENATE("R",'Mapa de Riesgos'!$A$42),"")</f>
        <v/>
      </c>
      <c r="AG32" s="448"/>
      <c r="AH32" s="437" t="str">
        <f>IF(AND('Mapa de Riesgos'!$H$30="Baja",'Mapa de Riesgos'!$L$30="Catastrófico"),CONCATENATE("R",'Mapa de Riesgos'!$A$30),"")</f>
        <v/>
      </c>
      <c r="AI32" s="438"/>
      <c r="AJ32" s="438" t="str">
        <f>IF(AND('Mapa de Riesgos'!$H$36="Baja",'Mapa de Riesgos'!$L$36="Catastrófico"),CONCATENATE("R",'Mapa de Riesgos'!$A$36),"")</f>
        <v/>
      </c>
      <c r="AK32" s="438"/>
      <c r="AL32" s="438" t="str">
        <f>IF(AND('Mapa de Riesgos'!$H$42="Baja",'Mapa de Riesgos'!$L$42="Catastrófico"),CONCATENATE("R",'Mapa de Riesgos'!$A$42),"")</f>
        <v/>
      </c>
      <c r="AM32" s="439"/>
      <c r="AN32" s="81"/>
      <c r="AO32" s="498"/>
      <c r="AP32" s="499"/>
      <c r="AQ32" s="499"/>
      <c r="AR32" s="499"/>
      <c r="AS32" s="499"/>
      <c r="AT32" s="500"/>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x14ac:dyDescent="0.25">
      <c r="A33" s="81"/>
      <c r="B33" s="466"/>
      <c r="C33" s="466"/>
      <c r="D33" s="467"/>
      <c r="E33" s="459"/>
      <c r="F33" s="460"/>
      <c r="G33" s="460"/>
      <c r="H33" s="460"/>
      <c r="I33" s="460"/>
      <c r="J33" s="419"/>
      <c r="K33" s="420"/>
      <c r="L33" s="420"/>
      <c r="M33" s="420"/>
      <c r="N33" s="420"/>
      <c r="O33" s="421"/>
      <c r="P33" s="429"/>
      <c r="Q33" s="429"/>
      <c r="R33" s="429"/>
      <c r="S33" s="429"/>
      <c r="T33" s="429"/>
      <c r="U33" s="430"/>
      <c r="V33" s="428"/>
      <c r="W33" s="429"/>
      <c r="X33" s="429"/>
      <c r="Y33" s="429"/>
      <c r="Z33" s="429"/>
      <c r="AA33" s="430"/>
      <c r="AB33" s="446"/>
      <c r="AC33" s="447"/>
      <c r="AD33" s="447"/>
      <c r="AE33" s="447"/>
      <c r="AF33" s="447"/>
      <c r="AG33" s="448"/>
      <c r="AH33" s="437"/>
      <c r="AI33" s="438"/>
      <c r="AJ33" s="438"/>
      <c r="AK33" s="438"/>
      <c r="AL33" s="438"/>
      <c r="AM33" s="439"/>
      <c r="AN33" s="81"/>
      <c r="AO33" s="498"/>
      <c r="AP33" s="499"/>
      <c r="AQ33" s="499"/>
      <c r="AR33" s="499"/>
      <c r="AS33" s="499"/>
      <c r="AT33" s="500"/>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x14ac:dyDescent="0.25">
      <c r="A34" s="81"/>
      <c r="B34" s="466"/>
      <c r="C34" s="466"/>
      <c r="D34" s="467"/>
      <c r="E34" s="459"/>
      <c r="F34" s="460"/>
      <c r="G34" s="460"/>
      <c r="H34" s="460"/>
      <c r="I34" s="460"/>
      <c r="J34" s="419" t="str">
        <f>IF(AND('Mapa de Riesgos'!$H$48="Baja",'Mapa de Riesgos'!$L$48="Leve"),CONCATENATE("R",'Mapa de Riesgos'!$A$48),"")</f>
        <v/>
      </c>
      <c r="K34" s="420"/>
      <c r="L34" s="420" t="str">
        <f>IF(AND('Mapa de Riesgos'!$H$54="Baja",'Mapa de Riesgos'!$L$54="Leve"),CONCATENATE("R",'Mapa de Riesgos'!$A$54),"")</f>
        <v/>
      </c>
      <c r="M34" s="420"/>
      <c r="N34" s="420" t="str">
        <f>IF(AND('Mapa de Riesgos'!$H$60="Baja",'Mapa de Riesgos'!$L$60="Leve"),CONCATENATE("R",'Mapa de Riesgos'!$A$60),"")</f>
        <v/>
      </c>
      <c r="O34" s="421"/>
      <c r="P34" s="429" t="str">
        <f>IF(AND('Mapa de Riesgos'!$H$48="Baja",'Mapa de Riesgos'!$L$48="Menor"),CONCATENATE("R",'Mapa de Riesgos'!$A$48),"")</f>
        <v/>
      </c>
      <c r="Q34" s="429"/>
      <c r="R34" s="429" t="str">
        <f>IF(AND('Mapa de Riesgos'!$H$54="Baja",'Mapa de Riesgos'!$L$54="Menor"),CONCATENATE("R",'Mapa de Riesgos'!$A$54),"")</f>
        <v/>
      </c>
      <c r="S34" s="429"/>
      <c r="T34" s="429" t="str">
        <f>IF(AND('Mapa de Riesgos'!$H$60="Baja",'Mapa de Riesgos'!$L$60="Menor"),CONCATENATE("R",'Mapa de Riesgos'!$A$60),"")</f>
        <v/>
      </c>
      <c r="U34" s="430"/>
      <c r="V34" s="428" t="str">
        <f>IF(AND('Mapa de Riesgos'!$H$48="Baja",'Mapa de Riesgos'!$L$48="Moderado"),CONCATENATE("R",'Mapa de Riesgos'!$A$48),"")</f>
        <v>R7</v>
      </c>
      <c r="W34" s="429"/>
      <c r="X34" s="429" t="str">
        <f>IF(AND('Mapa de Riesgos'!$H$54="Baja",'Mapa de Riesgos'!$L$54="Moderado"),CONCATENATE("R",'Mapa de Riesgos'!$A$54),"")</f>
        <v/>
      </c>
      <c r="Y34" s="429"/>
      <c r="Z34" s="429" t="str">
        <f>IF(AND('Mapa de Riesgos'!$H$60="Baja",'Mapa de Riesgos'!$L$60="Moderado"),CONCATENATE("R",'Mapa de Riesgos'!$A$60),"")</f>
        <v/>
      </c>
      <c r="AA34" s="430"/>
      <c r="AB34" s="446" t="str">
        <f>IF(AND('Mapa de Riesgos'!$H$48="Baja",'Mapa de Riesgos'!$L$48="Mayor"),CONCATENATE("R",'Mapa de Riesgos'!$A$48),"")</f>
        <v/>
      </c>
      <c r="AC34" s="447"/>
      <c r="AD34" s="447" t="str">
        <f>IF(AND('Mapa de Riesgos'!$H$54="Baja",'Mapa de Riesgos'!$L$54="Mayor"),CONCATENATE("R",'Mapa de Riesgos'!$A$54),"")</f>
        <v/>
      </c>
      <c r="AE34" s="447"/>
      <c r="AF34" s="447" t="str">
        <f>IF(AND('Mapa de Riesgos'!$H$60="Baja",'Mapa de Riesgos'!$L$60="Mayor"),CONCATENATE("R",'Mapa de Riesgos'!$A$60),"")</f>
        <v/>
      </c>
      <c r="AG34" s="448"/>
      <c r="AH34" s="437" t="str">
        <f>IF(AND('Mapa de Riesgos'!$H$48="Baja",'Mapa de Riesgos'!$L$48="Catastrófico"),CONCATENATE("R",'Mapa de Riesgos'!$A$48),"")</f>
        <v/>
      </c>
      <c r="AI34" s="438"/>
      <c r="AJ34" s="438" t="str">
        <f>IF(AND('Mapa de Riesgos'!$H$54="Baja",'Mapa de Riesgos'!$L$54="Catastrófico"),CONCATENATE("R",'Mapa de Riesgos'!$A$54),"")</f>
        <v/>
      </c>
      <c r="AK34" s="438"/>
      <c r="AL34" s="438" t="str">
        <f>IF(AND('Mapa de Riesgos'!$H$60="Baja",'Mapa de Riesgos'!$L$60="Catastrófico"),CONCATENATE("R",'Mapa de Riesgos'!$A$60),"")</f>
        <v/>
      </c>
      <c r="AM34" s="439"/>
      <c r="AN34" s="81"/>
      <c r="AO34" s="498"/>
      <c r="AP34" s="499"/>
      <c r="AQ34" s="499"/>
      <c r="AR34" s="499"/>
      <c r="AS34" s="499"/>
      <c r="AT34" s="500"/>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x14ac:dyDescent="0.25">
      <c r="A35" s="81"/>
      <c r="B35" s="466"/>
      <c r="C35" s="466"/>
      <c r="D35" s="467"/>
      <c r="E35" s="459"/>
      <c r="F35" s="460"/>
      <c r="G35" s="460"/>
      <c r="H35" s="460"/>
      <c r="I35" s="460"/>
      <c r="J35" s="419"/>
      <c r="K35" s="420"/>
      <c r="L35" s="420"/>
      <c r="M35" s="420"/>
      <c r="N35" s="420"/>
      <c r="O35" s="421"/>
      <c r="P35" s="429"/>
      <c r="Q35" s="429"/>
      <c r="R35" s="429"/>
      <c r="S35" s="429"/>
      <c r="T35" s="429"/>
      <c r="U35" s="430"/>
      <c r="V35" s="428"/>
      <c r="W35" s="429"/>
      <c r="X35" s="429"/>
      <c r="Y35" s="429"/>
      <c r="Z35" s="429"/>
      <c r="AA35" s="430"/>
      <c r="AB35" s="446"/>
      <c r="AC35" s="447"/>
      <c r="AD35" s="447"/>
      <c r="AE35" s="447"/>
      <c r="AF35" s="447"/>
      <c r="AG35" s="448"/>
      <c r="AH35" s="437"/>
      <c r="AI35" s="438"/>
      <c r="AJ35" s="438"/>
      <c r="AK35" s="438"/>
      <c r="AL35" s="438"/>
      <c r="AM35" s="439"/>
      <c r="AN35" s="81"/>
      <c r="AO35" s="498"/>
      <c r="AP35" s="499"/>
      <c r="AQ35" s="499"/>
      <c r="AR35" s="499"/>
      <c r="AS35" s="499"/>
      <c r="AT35" s="500"/>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x14ac:dyDescent="0.25">
      <c r="A36" s="81"/>
      <c r="B36" s="466"/>
      <c r="C36" s="466"/>
      <c r="D36" s="467"/>
      <c r="E36" s="459"/>
      <c r="F36" s="460"/>
      <c r="G36" s="460"/>
      <c r="H36" s="460"/>
      <c r="I36" s="460"/>
      <c r="J36" s="419" t="str">
        <f>IF(AND('Mapa de Riesgos'!$H$66="Baja",'Mapa de Riesgos'!$L$66="Leve"),CONCATENATE("R",'Mapa de Riesgos'!$A$66),"")</f>
        <v/>
      </c>
      <c r="K36" s="420"/>
      <c r="L36" s="420" t="str">
        <f>IF(AND('Mapa de Riesgos'!$H$73="Baja",'Mapa de Riesgos'!$L$73="Leve"),CONCATENATE("R",'Mapa de Riesgos'!#REF!),"")</f>
        <v/>
      </c>
      <c r="M36" s="420"/>
      <c r="N36" s="420" t="str">
        <f>IF(AND('Mapa de Riesgos'!$H$79="Baja",'Mapa de Riesgos'!$L$79="Leve"),CONCATENATE("R",'Mapa de Riesgos'!$A$79),"")</f>
        <v/>
      </c>
      <c r="O36" s="421"/>
      <c r="P36" s="429" t="str">
        <f>IF(AND('Mapa de Riesgos'!$H$66="Baja",'Mapa de Riesgos'!$L$66="Menor"),CONCATENATE("R",'Mapa de Riesgos'!$A$66),"")</f>
        <v/>
      </c>
      <c r="Q36" s="429"/>
      <c r="R36" s="429" t="str">
        <f>IF(AND('Mapa de Riesgos'!$H$73="Baja",'Mapa de Riesgos'!$L$73="Menor"),CONCATENATE("R",'Mapa de Riesgos'!#REF!),"")</f>
        <v/>
      </c>
      <c r="S36" s="429"/>
      <c r="T36" s="429" t="str">
        <f>IF(AND('Mapa de Riesgos'!$H$79="Baja",'Mapa de Riesgos'!$L$79="Menor"),CONCATENATE("R",'Mapa de Riesgos'!$A$79),"")</f>
        <v/>
      </c>
      <c r="U36" s="430"/>
      <c r="V36" s="428" t="str">
        <f>IF(AND('Mapa de Riesgos'!$H$66="Baja",'Mapa de Riesgos'!$L$66="Moderado"),CONCATENATE("R",'Mapa de Riesgos'!$A$66),"")</f>
        <v/>
      </c>
      <c r="W36" s="429"/>
      <c r="X36" s="429" t="str">
        <f>IF(AND('Mapa de Riesgos'!$H$73="Baja",'Mapa de Riesgos'!$L$73="Moderado"),CONCATENATE("R",'Mapa de Riesgos'!#REF!),"")</f>
        <v/>
      </c>
      <c r="Y36" s="429"/>
      <c r="Z36" s="429" t="str">
        <f>IF(AND('Mapa de Riesgos'!$H$79="Baja",'Mapa de Riesgos'!$L$79="Moderado"),CONCATENATE("R",'Mapa de Riesgos'!$A$79),"")</f>
        <v/>
      </c>
      <c r="AA36" s="430"/>
      <c r="AB36" s="446" t="str">
        <f>IF(AND('Mapa de Riesgos'!$H$66="Baja",'Mapa de Riesgos'!$L$66="Mayor"),CONCATENATE("R",'Mapa de Riesgos'!$A$66),"")</f>
        <v/>
      </c>
      <c r="AC36" s="447"/>
      <c r="AD36" s="447" t="str">
        <f>IF(AND('Mapa de Riesgos'!$H$73="Baja",'Mapa de Riesgos'!$L$73="Mayor"),CONCATENATE("R",'Mapa de Riesgos'!#REF!),"")</f>
        <v/>
      </c>
      <c r="AE36" s="447"/>
      <c r="AF36" s="447" t="str">
        <f>IF(AND('Mapa de Riesgos'!$H$79="Baja",'Mapa de Riesgos'!$L$79="Mayor"),CONCATENATE("R",'Mapa de Riesgos'!$A$79),"")</f>
        <v/>
      </c>
      <c r="AG36" s="448"/>
      <c r="AH36" s="437" t="str">
        <f>IF(AND('Mapa de Riesgos'!$H$66="Baja",'Mapa de Riesgos'!$L$66="Catastrófico"),CONCATENATE("R",'Mapa de Riesgos'!$A$66),"")</f>
        <v/>
      </c>
      <c r="AI36" s="438"/>
      <c r="AJ36" s="438" t="str">
        <f>IF(AND('Mapa de Riesgos'!$H$73="Baja",'Mapa de Riesgos'!$L$73="Catastrófico"),CONCATENATE("R",'Mapa de Riesgos'!#REF!),"")</f>
        <v/>
      </c>
      <c r="AK36" s="438"/>
      <c r="AL36" s="438" t="str">
        <f>IF(AND('Mapa de Riesgos'!$H$79="Baja",'Mapa de Riesgos'!$L$79="Catastrófico"),CONCATENATE("R",'Mapa de Riesgos'!$A$79),"")</f>
        <v/>
      </c>
      <c r="AM36" s="439"/>
      <c r="AN36" s="81"/>
      <c r="AO36" s="498"/>
      <c r="AP36" s="499"/>
      <c r="AQ36" s="499"/>
      <c r="AR36" s="499"/>
      <c r="AS36" s="499"/>
      <c r="AT36" s="500"/>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5.75" thickBot="1" x14ac:dyDescent="0.3">
      <c r="A37" s="81"/>
      <c r="B37" s="466"/>
      <c r="C37" s="466"/>
      <c r="D37" s="467"/>
      <c r="E37" s="462"/>
      <c r="F37" s="463"/>
      <c r="G37" s="463"/>
      <c r="H37" s="463"/>
      <c r="I37" s="463"/>
      <c r="J37" s="422"/>
      <c r="K37" s="423"/>
      <c r="L37" s="423"/>
      <c r="M37" s="423"/>
      <c r="N37" s="423"/>
      <c r="O37" s="424"/>
      <c r="P37" s="432"/>
      <c r="Q37" s="432"/>
      <c r="R37" s="432"/>
      <c r="S37" s="432"/>
      <c r="T37" s="432"/>
      <c r="U37" s="433"/>
      <c r="V37" s="431"/>
      <c r="W37" s="432"/>
      <c r="X37" s="432"/>
      <c r="Y37" s="432"/>
      <c r="Z37" s="432"/>
      <c r="AA37" s="433"/>
      <c r="AB37" s="449"/>
      <c r="AC37" s="450"/>
      <c r="AD37" s="450"/>
      <c r="AE37" s="450"/>
      <c r="AF37" s="450"/>
      <c r="AG37" s="451"/>
      <c r="AH37" s="440"/>
      <c r="AI37" s="441"/>
      <c r="AJ37" s="441"/>
      <c r="AK37" s="441"/>
      <c r="AL37" s="441"/>
      <c r="AM37" s="442"/>
      <c r="AN37" s="81"/>
      <c r="AO37" s="501"/>
      <c r="AP37" s="502"/>
      <c r="AQ37" s="502"/>
      <c r="AR37" s="502"/>
      <c r="AS37" s="502"/>
      <c r="AT37" s="503"/>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x14ac:dyDescent="0.25">
      <c r="A38" s="81"/>
      <c r="B38" s="466"/>
      <c r="C38" s="466"/>
      <c r="D38" s="467"/>
      <c r="E38" s="456" t="s">
        <v>206</v>
      </c>
      <c r="F38" s="457"/>
      <c r="G38" s="457"/>
      <c r="H38" s="457"/>
      <c r="I38" s="458"/>
      <c r="J38" s="425" t="str">
        <f>IF(AND('Mapa de Riesgos'!$H$12="Muy Baja",'Mapa de Riesgos'!$L$12="Leve"),CONCATENATE("R",'Mapa de Riesgos'!$A$12),"")</f>
        <v/>
      </c>
      <c r="K38" s="426"/>
      <c r="L38" s="426" t="str">
        <f>IF(AND('Mapa de Riesgos'!$H$18="Muy Baja",'Mapa de Riesgos'!$L$18="Leve"),CONCATENATE("R",'Mapa de Riesgos'!$A$18),"")</f>
        <v/>
      </c>
      <c r="M38" s="426"/>
      <c r="N38" s="426" t="str">
        <f>IF(AND('Mapa de Riesgos'!$H$24="Muy Baja",'Mapa de Riesgos'!$L$24="Leve"),CONCATENATE("R",'Mapa de Riesgos'!$A$24),"")</f>
        <v/>
      </c>
      <c r="O38" s="427"/>
      <c r="P38" s="425" t="str">
        <f>IF(AND('Mapa de Riesgos'!$H$12="Muy Baja",'Mapa de Riesgos'!$L$12="Menor"),CONCATENATE("R",'Mapa de Riesgos'!$A$12),"")</f>
        <v/>
      </c>
      <c r="Q38" s="426"/>
      <c r="R38" s="426" t="str">
        <f>IF(AND('Mapa de Riesgos'!$H$18="Muy Baja",'Mapa de Riesgos'!$L$18="Menor"),CONCATENATE("R",'Mapa de Riesgos'!$A$18),"")</f>
        <v/>
      </c>
      <c r="S38" s="426"/>
      <c r="T38" s="426" t="str">
        <f>IF(AND('Mapa de Riesgos'!$H$24="Muy Baja",'Mapa de Riesgos'!$L$24="Menor"),CONCATENATE("R",'Mapa de Riesgos'!$A$24),"")</f>
        <v/>
      </c>
      <c r="U38" s="427"/>
      <c r="V38" s="434" t="str">
        <f>IF(AND('Mapa de Riesgos'!$H$12="Muy Baja",'Mapa de Riesgos'!$L$12="Moderado"),CONCATENATE("R",'Mapa de Riesgos'!$A$12),"")</f>
        <v/>
      </c>
      <c r="W38" s="435"/>
      <c r="X38" s="435" t="str">
        <f>IF(AND('Mapa de Riesgos'!$H$18="Muy Baja",'Mapa de Riesgos'!$L$18="Moderado"),CONCATENATE("R",'Mapa de Riesgos'!$A$18),"")</f>
        <v/>
      </c>
      <c r="Y38" s="435"/>
      <c r="Z38" s="435" t="str">
        <f>IF(AND('Mapa de Riesgos'!$H$24="Muy Baja",'Mapa de Riesgos'!$L$24="Moderado"),CONCATENATE("R",'Mapa de Riesgos'!$A$24),"")</f>
        <v/>
      </c>
      <c r="AA38" s="436"/>
      <c r="AB38" s="452" t="str">
        <f>IF(AND('Mapa de Riesgos'!$H$12="Muy Baja",'Mapa de Riesgos'!$L$12="Mayor"),CONCATENATE("R",'Mapa de Riesgos'!$A$12),"")</f>
        <v/>
      </c>
      <c r="AC38" s="453"/>
      <c r="AD38" s="453" t="str">
        <f>IF(AND('Mapa de Riesgos'!$H$18="Muy Baja",'Mapa de Riesgos'!$L$18="Mayor"),CONCATENATE("R",'Mapa de Riesgos'!$A$18),"")</f>
        <v/>
      </c>
      <c r="AE38" s="453"/>
      <c r="AF38" s="453" t="str">
        <f>IF(AND('Mapa de Riesgos'!$H$24="Muy Baja",'Mapa de Riesgos'!$L$24="Mayor"),CONCATENATE("R",'Mapa de Riesgos'!$A$24),"")</f>
        <v/>
      </c>
      <c r="AG38" s="454"/>
      <c r="AH38" s="443" t="str">
        <f>IF(AND('Mapa de Riesgos'!$H$12="Muy Baja",'Mapa de Riesgos'!$L$12="Catastrófico"),CONCATENATE("R",'Mapa de Riesgos'!$A$12),"")</f>
        <v/>
      </c>
      <c r="AI38" s="444"/>
      <c r="AJ38" s="444" t="str">
        <f>IF(AND('Mapa de Riesgos'!$H$18="Muy Baja",'Mapa de Riesgos'!$L$18="Catastrófico"),CONCATENATE("R",'Mapa de Riesgos'!$A$18),"")</f>
        <v/>
      </c>
      <c r="AK38" s="444"/>
      <c r="AL38" s="444" t="str">
        <f>IF(AND('Mapa de Riesgos'!$H$24="Muy Baja",'Mapa de Riesgos'!$L$24="Catastrófico"),CONCATENATE("R",'Mapa de Riesgos'!$A$24),"")</f>
        <v/>
      </c>
      <c r="AM38" s="445"/>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x14ac:dyDescent="0.25">
      <c r="A39" s="81"/>
      <c r="B39" s="466"/>
      <c r="C39" s="466"/>
      <c r="D39" s="467"/>
      <c r="E39" s="459"/>
      <c r="F39" s="460"/>
      <c r="G39" s="460"/>
      <c r="H39" s="460"/>
      <c r="I39" s="461"/>
      <c r="J39" s="419"/>
      <c r="K39" s="420"/>
      <c r="L39" s="420"/>
      <c r="M39" s="420"/>
      <c r="N39" s="420"/>
      <c r="O39" s="421"/>
      <c r="P39" s="419"/>
      <c r="Q39" s="420"/>
      <c r="R39" s="420"/>
      <c r="S39" s="420"/>
      <c r="T39" s="420"/>
      <c r="U39" s="421"/>
      <c r="V39" s="428"/>
      <c r="W39" s="429"/>
      <c r="X39" s="429"/>
      <c r="Y39" s="429"/>
      <c r="Z39" s="429"/>
      <c r="AA39" s="430"/>
      <c r="AB39" s="446"/>
      <c r="AC39" s="447"/>
      <c r="AD39" s="447"/>
      <c r="AE39" s="447"/>
      <c r="AF39" s="447"/>
      <c r="AG39" s="448"/>
      <c r="AH39" s="437"/>
      <c r="AI39" s="438"/>
      <c r="AJ39" s="438"/>
      <c r="AK39" s="438"/>
      <c r="AL39" s="438"/>
      <c r="AM39" s="439"/>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x14ac:dyDescent="0.25">
      <c r="A40" s="81"/>
      <c r="B40" s="466"/>
      <c r="C40" s="466"/>
      <c r="D40" s="467"/>
      <c r="E40" s="459"/>
      <c r="F40" s="460"/>
      <c r="G40" s="460"/>
      <c r="H40" s="460"/>
      <c r="I40" s="461"/>
      <c r="J40" s="419" t="str">
        <f>IF(AND('Mapa de Riesgos'!$H$30="Muy Baja",'Mapa de Riesgos'!$L$30="Leve"),CONCATENATE("R",'Mapa de Riesgos'!$A$30),"")</f>
        <v/>
      </c>
      <c r="K40" s="420"/>
      <c r="L40" s="420" t="str">
        <f>IF(AND('Mapa de Riesgos'!$H$36="Muy Baja",'Mapa de Riesgos'!$L$36="Leve"),CONCATENATE("R",'Mapa de Riesgos'!$A$36),"")</f>
        <v/>
      </c>
      <c r="M40" s="420"/>
      <c r="N40" s="420" t="str">
        <f>IF(AND('Mapa de Riesgos'!$H$42="Muy Baja",'Mapa de Riesgos'!$L$42="Leve"),CONCATENATE("R",'Mapa de Riesgos'!$A$42),"")</f>
        <v/>
      </c>
      <c r="O40" s="421"/>
      <c r="P40" s="419" t="str">
        <f>IF(AND('Mapa de Riesgos'!$H$30="Muy Baja",'Mapa de Riesgos'!$L$30="Menor"),CONCATENATE("R",'Mapa de Riesgos'!$A$30),"")</f>
        <v/>
      </c>
      <c r="Q40" s="420"/>
      <c r="R40" s="420" t="str">
        <f>IF(AND('Mapa de Riesgos'!$H$36="Muy Baja",'Mapa de Riesgos'!$L$36="Menor"),CONCATENATE("R",'Mapa de Riesgos'!$A$36),"")</f>
        <v/>
      </c>
      <c r="S40" s="420"/>
      <c r="T40" s="420" t="str">
        <f>IF(AND('Mapa de Riesgos'!$H$42="Muy Baja",'Mapa de Riesgos'!$L$42="Menor"),CONCATENATE("R",'Mapa de Riesgos'!$A$42),"")</f>
        <v/>
      </c>
      <c r="U40" s="421"/>
      <c r="V40" s="428" t="str">
        <f>IF(AND('Mapa de Riesgos'!$H$30="Muy Baja",'Mapa de Riesgos'!$L$30="Moderado"),CONCATENATE("R",'Mapa de Riesgos'!$A$30),"")</f>
        <v/>
      </c>
      <c r="W40" s="429"/>
      <c r="X40" s="429" t="str">
        <f>IF(AND('Mapa de Riesgos'!$H$36="Muy Baja",'Mapa de Riesgos'!$L$36="Moderado"),CONCATENATE("R",'Mapa de Riesgos'!$A$36),"")</f>
        <v/>
      </c>
      <c r="Y40" s="429"/>
      <c r="Z40" s="429" t="str">
        <f>IF(AND('Mapa de Riesgos'!$H$42="Muy Baja",'Mapa de Riesgos'!$L$42="Moderado"),CONCATENATE("R",'Mapa de Riesgos'!$A$42),"")</f>
        <v/>
      </c>
      <c r="AA40" s="430"/>
      <c r="AB40" s="446" t="str">
        <f>IF(AND('Mapa de Riesgos'!$H$30="Muy Baja",'Mapa de Riesgos'!$L$30="Mayor"),CONCATENATE("R",'Mapa de Riesgos'!$A$30),"")</f>
        <v/>
      </c>
      <c r="AC40" s="447"/>
      <c r="AD40" s="447" t="str">
        <f>IF(AND('Mapa de Riesgos'!$H$36="Muy Baja",'Mapa de Riesgos'!$L$36="Mayor"),CONCATENATE("R",'Mapa de Riesgos'!$A$36),"")</f>
        <v/>
      </c>
      <c r="AE40" s="447"/>
      <c r="AF40" s="447" t="str">
        <f>IF(AND('Mapa de Riesgos'!$H$42="Muy Baja",'Mapa de Riesgos'!$L$42="Mayor"),CONCATENATE("R",'Mapa de Riesgos'!$A$42),"")</f>
        <v/>
      </c>
      <c r="AG40" s="448"/>
      <c r="AH40" s="437" t="str">
        <f>IF(AND('Mapa de Riesgos'!$H$30="Muy Baja",'Mapa de Riesgos'!$L$30="Catastrófico"),CONCATENATE("R",'Mapa de Riesgos'!$A$30),"")</f>
        <v/>
      </c>
      <c r="AI40" s="438"/>
      <c r="AJ40" s="438" t="str">
        <f>IF(AND('Mapa de Riesgos'!$H$36="Muy Baja",'Mapa de Riesgos'!$L$36="Catastrófico"),CONCATENATE("R",'Mapa de Riesgos'!$A$36),"")</f>
        <v/>
      </c>
      <c r="AK40" s="438"/>
      <c r="AL40" s="438" t="str">
        <f>IF(AND('Mapa de Riesgos'!$H$42="Muy Baja",'Mapa de Riesgos'!$L$42="Catastrófico"),CONCATENATE("R",'Mapa de Riesgos'!$A$42),"")</f>
        <v/>
      </c>
      <c r="AM40" s="439"/>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x14ac:dyDescent="0.25">
      <c r="A41" s="81"/>
      <c r="B41" s="466"/>
      <c r="C41" s="466"/>
      <c r="D41" s="467"/>
      <c r="E41" s="459"/>
      <c r="F41" s="460"/>
      <c r="G41" s="460"/>
      <c r="H41" s="460"/>
      <c r="I41" s="461"/>
      <c r="J41" s="419"/>
      <c r="K41" s="420"/>
      <c r="L41" s="420"/>
      <c r="M41" s="420"/>
      <c r="N41" s="420"/>
      <c r="O41" s="421"/>
      <c r="P41" s="419"/>
      <c r="Q41" s="420"/>
      <c r="R41" s="420"/>
      <c r="S41" s="420"/>
      <c r="T41" s="420"/>
      <c r="U41" s="421"/>
      <c r="V41" s="428"/>
      <c r="W41" s="429"/>
      <c r="X41" s="429"/>
      <c r="Y41" s="429"/>
      <c r="Z41" s="429"/>
      <c r="AA41" s="430"/>
      <c r="AB41" s="446"/>
      <c r="AC41" s="447"/>
      <c r="AD41" s="447"/>
      <c r="AE41" s="447"/>
      <c r="AF41" s="447"/>
      <c r="AG41" s="448"/>
      <c r="AH41" s="437"/>
      <c r="AI41" s="438"/>
      <c r="AJ41" s="438"/>
      <c r="AK41" s="438"/>
      <c r="AL41" s="438"/>
      <c r="AM41" s="439"/>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x14ac:dyDescent="0.25">
      <c r="A42" s="81"/>
      <c r="B42" s="466"/>
      <c r="C42" s="466"/>
      <c r="D42" s="467"/>
      <c r="E42" s="459"/>
      <c r="F42" s="460"/>
      <c r="G42" s="460"/>
      <c r="H42" s="460"/>
      <c r="I42" s="461"/>
      <c r="J42" s="419" t="str">
        <f>IF(AND('Mapa de Riesgos'!$H$48="Muy Baja",'Mapa de Riesgos'!$L$48="Leve"),CONCATENATE("R",'Mapa de Riesgos'!$A$48),"")</f>
        <v/>
      </c>
      <c r="K42" s="420"/>
      <c r="L42" s="420" t="str">
        <f>IF(AND('Mapa de Riesgos'!$H$54="Muy Baja",'Mapa de Riesgos'!$L$54="Leve"),CONCATENATE("R",'Mapa de Riesgos'!$A$54),"")</f>
        <v/>
      </c>
      <c r="M42" s="420"/>
      <c r="N42" s="420" t="str">
        <f>IF(AND('Mapa de Riesgos'!$H$60="Muy Baja",'Mapa de Riesgos'!$L$60="Leve"),CONCATENATE("R",'Mapa de Riesgos'!$A$60),"")</f>
        <v/>
      </c>
      <c r="O42" s="421"/>
      <c r="P42" s="419" t="str">
        <f>IF(AND('Mapa de Riesgos'!$H$48="Muy Baja",'Mapa de Riesgos'!$L$48="Menor"),CONCATENATE("R",'Mapa de Riesgos'!$A$48),"")</f>
        <v/>
      </c>
      <c r="Q42" s="420"/>
      <c r="R42" s="420" t="str">
        <f>IF(AND('Mapa de Riesgos'!$H$54="Muy Baja",'Mapa de Riesgos'!$L$54="Menor"),CONCATENATE("R",'Mapa de Riesgos'!$A$54),"")</f>
        <v/>
      </c>
      <c r="S42" s="420"/>
      <c r="T42" s="420" t="str">
        <f>IF(AND('Mapa de Riesgos'!$H$60="Muy Baja",'Mapa de Riesgos'!$L$60="Menor"),CONCATENATE("R",'Mapa de Riesgos'!$A$60),"")</f>
        <v/>
      </c>
      <c r="U42" s="421"/>
      <c r="V42" s="428" t="str">
        <f>IF(AND('Mapa de Riesgos'!$H$48="Muy Baja",'Mapa de Riesgos'!$L$48="Moderado"),CONCATENATE("R",'Mapa de Riesgos'!$A$48),"")</f>
        <v/>
      </c>
      <c r="W42" s="429"/>
      <c r="X42" s="429" t="str">
        <f>IF(AND('Mapa de Riesgos'!$H$54="Muy Baja",'Mapa de Riesgos'!$L$54="Moderado"),CONCATENATE("R",'Mapa de Riesgos'!$A$54),"")</f>
        <v/>
      </c>
      <c r="Y42" s="429"/>
      <c r="Z42" s="429" t="str">
        <f>IF(AND('Mapa de Riesgos'!$H$60="Muy Baja",'Mapa de Riesgos'!$L$60="Moderado"),CONCATENATE("R",'Mapa de Riesgos'!$A$60),"")</f>
        <v/>
      </c>
      <c r="AA42" s="430"/>
      <c r="AB42" s="446" t="str">
        <f>IF(AND('Mapa de Riesgos'!$H$48="Muy Baja",'Mapa de Riesgos'!$L$48="Mayor"),CONCATENATE("R",'Mapa de Riesgos'!$A$48),"")</f>
        <v/>
      </c>
      <c r="AC42" s="447"/>
      <c r="AD42" s="447" t="str">
        <f>IF(AND('Mapa de Riesgos'!$H$54="Muy Baja",'Mapa de Riesgos'!$L$54="Mayor"),CONCATENATE("R",'Mapa de Riesgos'!$A$54),"")</f>
        <v/>
      </c>
      <c r="AE42" s="447"/>
      <c r="AF42" s="447" t="str">
        <f>IF(AND('Mapa de Riesgos'!$H$60="Muy Baja",'Mapa de Riesgos'!$L$60="Mayor"),CONCATENATE("R",'Mapa de Riesgos'!$A$60),"")</f>
        <v/>
      </c>
      <c r="AG42" s="448"/>
      <c r="AH42" s="437" t="str">
        <f>IF(AND('Mapa de Riesgos'!$H$48="Muy Baja",'Mapa de Riesgos'!$L$48="Catastrófico"),CONCATENATE("R",'Mapa de Riesgos'!$A$48),"")</f>
        <v/>
      </c>
      <c r="AI42" s="438"/>
      <c r="AJ42" s="438" t="str">
        <f>IF(AND('Mapa de Riesgos'!$H$54="Muy Baja",'Mapa de Riesgos'!$L$54="Catastrófico"),CONCATENATE("R",'Mapa de Riesgos'!$A$54),"")</f>
        <v/>
      </c>
      <c r="AK42" s="438"/>
      <c r="AL42" s="438" t="str">
        <f>IF(AND('Mapa de Riesgos'!$H$60="Muy Baja",'Mapa de Riesgos'!$L$60="Catastrófico"),CONCATENATE("R",'Mapa de Riesgos'!$A$60),"")</f>
        <v/>
      </c>
      <c r="AM42" s="439"/>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x14ac:dyDescent="0.25">
      <c r="A43" s="81"/>
      <c r="B43" s="466"/>
      <c r="C43" s="466"/>
      <c r="D43" s="467"/>
      <c r="E43" s="459"/>
      <c r="F43" s="460"/>
      <c r="G43" s="460"/>
      <c r="H43" s="460"/>
      <c r="I43" s="461"/>
      <c r="J43" s="419"/>
      <c r="K43" s="420"/>
      <c r="L43" s="420"/>
      <c r="M43" s="420"/>
      <c r="N43" s="420"/>
      <c r="O43" s="421"/>
      <c r="P43" s="419"/>
      <c r="Q43" s="420"/>
      <c r="R43" s="420"/>
      <c r="S43" s="420"/>
      <c r="T43" s="420"/>
      <c r="U43" s="421"/>
      <c r="V43" s="428"/>
      <c r="W43" s="429"/>
      <c r="X43" s="429"/>
      <c r="Y43" s="429"/>
      <c r="Z43" s="429"/>
      <c r="AA43" s="430"/>
      <c r="AB43" s="446"/>
      <c r="AC43" s="447"/>
      <c r="AD43" s="447"/>
      <c r="AE43" s="447"/>
      <c r="AF43" s="447"/>
      <c r="AG43" s="448"/>
      <c r="AH43" s="437"/>
      <c r="AI43" s="438"/>
      <c r="AJ43" s="438"/>
      <c r="AK43" s="438"/>
      <c r="AL43" s="438"/>
      <c r="AM43" s="439"/>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x14ac:dyDescent="0.25">
      <c r="A44" s="81"/>
      <c r="B44" s="466"/>
      <c r="C44" s="466"/>
      <c r="D44" s="467"/>
      <c r="E44" s="459"/>
      <c r="F44" s="460"/>
      <c r="G44" s="460"/>
      <c r="H44" s="460"/>
      <c r="I44" s="461"/>
      <c r="J44" s="419" t="str">
        <f>IF(AND('Mapa de Riesgos'!$H$66="Muy Baja",'Mapa de Riesgos'!$L$66="Leve"),CONCATENATE("R",'Mapa de Riesgos'!$A$66),"")</f>
        <v/>
      </c>
      <c r="K44" s="420"/>
      <c r="L44" s="420" t="str">
        <f>IF(AND('Mapa de Riesgos'!$H$73="Muy Baja",'Mapa de Riesgos'!$L$73="Leve"),CONCATENATE("R",'Mapa de Riesgos'!#REF!),"")</f>
        <v/>
      </c>
      <c r="M44" s="420"/>
      <c r="N44" s="420" t="str">
        <f>IF(AND('Mapa de Riesgos'!$H$79="Muy Baja",'Mapa de Riesgos'!$L$79="Leve"),CONCATENATE("R",'Mapa de Riesgos'!$A$79),"")</f>
        <v/>
      </c>
      <c r="O44" s="421"/>
      <c r="P44" s="419" t="str">
        <f>IF(AND('Mapa de Riesgos'!$H$66="Muy Baja",'Mapa de Riesgos'!$L$66="Menor"),CONCATENATE("R",'Mapa de Riesgos'!$A$66),"")</f>
        <v/>
      </c>
      <c r="Q44" s="420"/>
      <c r="R44" s="420" t="str">
        <f>IF(AND('Mapa de Riesgos'!$H$73="Muy Baja",'Mapa de Riesgos'!$L$73="Menor"),CONCATENATE("R",'Mapa de Riesgos'!#REF!),"")</f>
        <v/>
      </c>
      <c r="S44" s="420"/>
      <c r="T44" s="420" t="str">
        <f>IF(AND('Mapa de Riesgos'!$H$79="Muy Baja",'Mapa de Riesgos'!$L$79="Menor"),CONCATENATE("R",'Mapa de Riesgos'!$A$79),"")</f>
        <v/>
      </c>
      <c r="U44" s="421"/>
      <c r="V44" s="428" t="str">
        <f>IF(AND('Mapa de Riesgos'!$H$66="Muy Baja",'Mapa de Riesgos'!$L$66="Moderado"),CONCATENATE("R",'Mapa de Riesgos'!$A$66),"")</f>
        <v/>
      </c>
      <c r="W44" s="429"/>
      <c r="X44" s="429" t="str">
        <f>IF(AND('Mapa de Riesgos'!$H$73="Muy Baja",'Mapa de Riesgos'!$L$73="Moderado"),CONCATENATE("R",'Mapa de Riesgos'!#REF!),"")</f>
        <v/>
      </c>
      <c r="Y44" s="429"/>
      <c r="Z44" s="429" t="str">
        <f>IF(AND('Mapa de Riesgos'!$H$79="Muy Baja",'Mapa de Riesgos'!$L$79="Moderado"),CONCATENATE("R",'Mapa de Riesgos'!$A$79),"")</f>
        <v/>
      </c>
      <c r="AA44" s="430"/>
      <c r="AB44" s="446" t="str">
        <f>IF(AND('Mapa de Riesgos'!$H$66="Muy Baja",'Mapa de Riesgos'!$L$66="Mayor"),CONCATENATE("R",'Mapa de Riesgos'!$A$66),"")</f>
        <v/>
      </c>
      <c r="AC44" s="447"/>
      <c r="AD44" s="447" t="str">
        <f>IF(AND('Mapa de Riesgos'!$H$73="Muy Baja",'Mapa de Riesgos'!$L$73="Mayor"),CONCATENATE("R",'Mapa de Riesgos'!#REF!),"")</f>
        <v/>
      </c>
      <c r="AE44" s="447"/>
      <c r="AF44" s="447" t="str">
        <f>IF(AND('Mapa de Riesgos'!$H$79="Muy Baja",'Mapa de Riesgos'!$L$79="Mayor"),CONCATENATE("R",'Mapa de Riesgos'!$A$79),"")</f>
        <v/>
      </c>
      <c r="AG44" s="448"/>
      <c r="AH44" s="437" t="str">
        <f>IF(AND('Mapa de Riesgos'!$H$66="Muy Baja",'Mapa de Riesgos'!$L$66="Catastrófico"),CONCATENATE("R",'Mapa de Riesgos'!$A$66),"")</f>
        <v/>
      </c>
      <c r="AI44" s="438"/>
      <c r="AJ44" s="438" t="str">
        <f>IF(AND('Mapa de Riesgos'!$H$73="Muy Baja",'Mapa de Riesgos'!$L$73="Catastrófico"),CONCATENATE("R",'Mapa de Riesgos'!#REF!),"")</f>
        <v/>
      </c>
      <c r="AK44" s="438"/>
      <c r="AL44" s="438" t="str">
        <f>IF(AND('Mapa de Riesgos'!$H$79="Muy Baja",'Mapa de Riesgos'!$L$79="Catastrófico"),CONCATENATE("R",'Mapa de Riesgos'!$A$79),"")</f>
        <v/>
      </c>
      <c r="AM44" s="439"/>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5.75" thickBot="1" x14ac:dyDescent="0.3">
      <c r="A45" s="81"/>
      <c r="B45" s="466"/>
      <c r="C45" s="466"/>
      <c r="D45" s="467"/>
      <c r="E45" s="462"/>
      <c r="F45" s="463"/>
      <c r="G45" s="463"/>
      <c r="H45" s="463"/>
      <c r="I45" s="464"/>
      <c r="J45" s="422"/>
      <c r="K45" s="423"/>
      <c r="L45" s="423"/>
      <c r="M45" s="423"/>
      <c r="N45" s="423"/>
      <c r="O45" s="424"/>
      <c r="P45" s="422"/>
      <c r="Q45" s="423"/>
      <c r="R45" s="423"/>
      <c r="S45" s="423"/>
      <c r="T45" s="423"/>
      <c r="U45" s="424"/>
      <c r="V45" s="431"/>
      <c r="W45" s="432"/>
      <c r="X45" s="432"/>
      <c r="Y45" s="432"/>
      <c r="Z45" s="432"/>
      <c r="AA45" s="433"/>
      <c r="AB45" s="449"/>
      <c r="AC45" s="450"/>
      <c r="AD45" s="450"/>
      <c r="AE45" s="450"/>
      <c r="AF45" s="450"/>
      <c r="AG45" s="451"/>
      <c r="AH45" s="440"/>
      <c r="AI45" s="441"/>
      <c r="AJ45" s="441"/>
      <c r="AK45" s="441"/>
      <c r="AL45" s="441"/>
      <c r="AM45" s="442"/>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x14ac:dyDescent="0.25">
      <c r="A46" s="81"/>
      <c r="B46" s="81"/>
      <c r="C46" s="81"/>
      <c r="D46" s="81"/>
      <c r="E46" s="81"/>
      <c r="F46" s="81"/>
      <c r="G46" s="81"/>
      <c r="H46" s="81"/>
      <c r="I46" s="81"/>
      <c r="J46" s="456" t="s">
        <v>207</v>
      </c>
      <c r="K46" s="457"/>
      <c r="L46" s="457"/>
      <c r="M46" s="457"/>
      <c r="N46" s="457"/>
      <c r="O46" s="458"/>
      <c r="P46" s="456" t="s">
        <v>208</v>
      </c>
      <c r="Q46" s="457"/>
      <c r="R46" s="457"/>
      <c r="S46" s="457"/>
      <c r="T46" s="457"/>
      <c r="U46" s="458"/>
      <c r="V46" s="456" t="s">
        <v>209</v>
      </c>
      <c r="W46" s="457"/>
      <c r="X46" s="457"/>
      <c r="Y46" s="457"/>
      <c r="Z46" s="457"/>
      <c r="AA46" s="458"/>
      <c r="AB46" s="456" t="s">
        <v>210</v>
      </c>
      <c r="AC46" s="465"/>
      <c r="AD46" s="457"/>
      <c r="AE46" s="457"/>
      <c r="AF46" s="457"/>
      <c r="AG46" s="458"/>
      <c r="AH46" s="456" t="s">
        <v>211</v>
      </c>
      <c r="AI46" s="457"/>
      <c r="AJ46" s="457"/>
      <c r="AK46" s="457"/>
      <c r="AL46" s="457"/>
      <c r="AM46" s="458"/>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x14ac:dyDescent="0.25">
      <c r="A47" s="81"/>
      <c r="B47" s="81"/>
      <c r="C47" s="81"/>
      <c r="D47" s="81"/>
      <c r="E47" s="81"/>
      <c r="F47" s="81"/>
      <c r="G47" s="81"/>
      <c r="H47" s="81"/>
      <c r="I47" s="81"/>
      <c r="J47" s="459"/>
      <c r="K47" s="460"/>
      <c r="L47" s="460"/>
      <c r="M47" s="460"/>
      <c r="N47" s="460"/>
      <c r="O47" s="461"/>
      <c r="P47" s="459"/>
      <c r="Q47" s="460"/>
      <c r="R47" s="460"/>
      <c r="S47" s="460"/>
      <c r="T47" s="460"/>
      <c r="U47" s="461"/>
      <c r="V47" s="459"/>
      <c r="W47" s="460"/>
      <c r="X47" s="460"/>
      <c r="Y47" s="460"/>
      <c r="Z47" s="460"/>
      <c r="AA47" s="461"/>
      <c r="AB47" s="459"/>
      <c r="AC47" s="460"/>
      <c r="AD47" s="460"/>
      <c r="AE47" s="460"/>
      <c r="AF47" s="460"/>
      <c r="AG47" s="461"/>
      <c r="AH47" s="459"/>
      <c r="AI47" s="460"/>
      <c r="AJ47" s="460"/>
      <c r="AK47" s="460"/>
      <c r="AL47" s="460"/>
      <c r="AM47" s="46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x14ac:dyDescent="0.25">
      <c r="A48" s="81"/>
      <c r="B48" s="81"/>
      <c r="C48" s="81"/>
      <c r="D48" s="81"/>
      <c r="E48" s="81"/>
      <c r="F48" s="81"/>
      <c r="G48" s="81"/>
      <c r="H48" s="81"/>
      <c r="I48" s="81"/>
      <c r="J48" s="459"/>
      <c r="K48" s="460"/>
      <c r="L48" s="460"/>
      <c r="M48" s="460"/>
      <c r="N48" s="460"/>
      <c r="O48" s="461"/>
      <c r="P48" s="459"/>
      <c r="Q48" s="460"/>
      <c r="R48" s="460"/>
      <c r="S48" s="460"/>
      <c r="T48" s="460"/>
      <c r="U48" s="461"/>
      <c r="V48" s="459"/>
      <c r="W48" s="460"/>
      <c r="X48" s="460"/>
      <c r="Y48" s="460"/>
      <c r="Z48" s="460"/>
      <c r="AA48" s="461"/>
      <c r="AB48" s="459"/>
      <c r="AC48" s="460"/>
      <c r="AD48" s="460"/>
      <c r="AE48" s="460"/>
      <c r="AF48" s="460"/>
      <c r="AG48" s="461"/>
      <c r="AH48" s="459"/>
      <c r="AI48" s="460"/>
      <c r="AJ48" s="460"/>
      <c r="AK48" s="460"/>
      <c r="AL48" s="460"/>
      <c r="AM48" s="46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x14ac:dyDescent="0.25">
      <c r="A49" s="81"/>
      <c r="B49" s="81"/>
      <c r="C49" s="81"/>
      <c r="D49" s="81"/>
      <c r="E49" s="81"/>
      <c r="F49" s="81"/>
      <c r="G49" s="81"/>
      <c r="H49" s="81"/>
      <c r="I49" s="81"/>
      <c r="J49" s="459"/>
      <c r="K49" s="460"/>
      <c r="L49" s="460"/>
      <c r="M49" s="460"/>
      <c r="N49" s="460"/>
      <c r="O49" s="461"/>
      <c r="P49" s="459"/>
      <c r="Q49" s="460"/>
      <c r="R49" s="460"/>
      <c r="S49" s="460"/>
      <c r="T49" s="460"/>
      <c r="U49" s="461"/>
      <c r="V49" s="459"/>
      <c r="W49" s="460"/>
      <c r="X49" s="460"/>
      <c r="Y49" s="460"/>
      <c r="Z49" s="460"/>
      <c r="AA49" s="461"/>
      <c r="AB49" s="459"/>
      <c r="AC49" s="460"/>
      <c r="AD49" s="460"/>
      <c r="AE49" s="460"/>
      <c r="AF49" s="460"/>
      <c r="AG49" s="461"/>
      <c r="AH49" s="459"/>
      <c r="AI49" s="460"/>
      <c r="AJ49" s="460"/>
      <c r="AK49" s="460"/>
      <c r="AL49" s="460"/>
      <c r="AM49" s="46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x14ac:dyDescent="0.25">
      <c r="A50" s="81"/>
      <c r="B50" s="81"/>
      <c r="C50" s="81"/>
      <c r="D50" s="81"/>
      <c r="E50" s="81"/>
      <c r="F50" s="81"/>
      <c r="G50" s="81"/>
      <c r="H50" s="81"/>
      <c r="I50" s="81"/>
      <c r="J50" s="459"/>
      <c r="K50" s="460"/>
      <c r="L50" s="460"/>
      <c r="M50" s="460"/>
      <c r="N50" s="460"/>
      <c r="O50" s="461"/>
      <c r="P50" s="459"/>
      <c r="Q50" s="460"/>
      <c r="R50" s="460"/>
      <c r="S50" s="460"/>
      <c r="T50" s="460"/>
      <c r="U50" s="461"/>
      <c r="V50" s="459"/>
      <c r="W50" s="460"/>
      <c r="X50" s="460"/>
      <c r="Y50" s="460"/>
      <c r="Z50" s="460"/>
      <c r="AA50" s="461"/>
      <c r="AB50" s="459"/>
      <c r="AC50" s="460"/>
      <c r="AD50" s="460"/>
      <c r="AE50" s="460"/>
      <c r="AF50" s="460"/>
      <c r="AG50" s="461"/>
      <c r="AH50" s="459"/>
      <c r="AI50" s="460"/>
      <c r="AJ50" s="460"/>
      <c r="AK50" s="460"/>
      <c r="AL50" s="460"/>
      <c r="AM50" s="46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75" thickBot="1" x14ac:dyDescent="0.3">
      <c r="A51" s="81"/>
      <c r="B51" s="81"/>
      <c r="C51" s="81"/>
      <c r="D51" s="81"/>
      <c r="E51" s="81"/>
      <c r="F51" s="81"/>
      <c r="G51" s="81"/>
      <c r="H51" s="81"/>
      <c r="I51" s="81"/>
      <c r="J51" s="462"/>
      <c r="K51" s="463"/>
      <c r="L51" s="463"/>
      <c r="M51" s="463"/>
      <c r="N51" s="463"/>
      <c r="O51" s="464"/>
      <c r="P51" s="462"/>
      <c r="Q51" s="463"/>
      <c r="R51" s="463"/>
      <c r="S51" s="463"/>
      <c r="T51" s="463"/>
      <c r="U51" s="464"/>
      <c r="V51" s="462"/>
      <c r="W51" s="463"/>
      <c r="X51" s="463"/>
      <c r="Y51" s="463"/>
      <c r="Z51" s="463"/>
      <c r="AA51" s="464"/>
      <c r="AB51" s="462"/>
      <c r="AC51" s="463"/>
      <c r="AD51" s="463"/>
      <c r="AE51" s="463"/>
      <c r="AF51" s="463"/>
      <c r="AG51" s="464"/>
      <c r="AH51" s="462"/>
      <c r="AI51" s="463"/>
      <c r="AJ51" s="463"/>
      <c r="AK51" s="463"/>
      <c r="AL51" s="463"/>
      <c r="AM51" s="464"/>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x14ac:dyDescent="0.2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x14ac:dyDescent="0.2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x14ac:dyDescent="0.2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x14ac:dyDescent="0.2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x14ac:dyDescent="0.2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x14ac:dyDescent="0.2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x14ac:dyDescent="0.2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x14ac:dyDescent="0.2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x14ac:dyDescent="0.2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x14ac:dyDescent="0.2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x14ac:dyDescent="0.2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x14ac:dyDescent="0.2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x14ac:dyDescent="0.2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x14ac:dyDescent="0.2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x14ac:dyDescent="0.2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x14ac:dyDescent="0.2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x14ac:dyDescent="0.2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x14ac:dyDescent="0.2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x14ac:dyDescent="0.2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x14ac:dyDescent="0.25">
      <c r="B137" s="81"/>
      <c r="C137" s="81"/>
      <c r="D137" s="81"/>
      <c r="E137" s="81"/>
      <c r="F137" s="81"/>
      <c r="G137" s="81"/>
      <c r="H137" s="81"/>
      <c r="I137" s="81"/>
    </row>
    <row r="138" spans="2:63" x14ac:dyDescent="0.25">
      <c r="B138" s="81"/>
      <c r="C138" s="81"/>
      <c r="D138" s="81"/>
      <c r="E138" s="81"/>
      <c r="F138" s="81"/>
      <c r="G138" s="81"/>
      <c r="H138" s="81"/>
      <c r="I138" s="81"/>
    </row>
    <row r="139" spans="2:63" x14ac:dyDescent="0.25">
      <c r="B139" s="81"/>
      <c r="C139" s="81"/>
      <c r="D139" s="81"/>
      <c r="E139" s="81"/>
      <c r="F139" s="81"/>
      <c r="G139" s="81"/>
      <c r="H139" s="81"/>
      <c r="I139" s="81"/>
    </row>
    <row r="140" spans="2:63" x14ac:dyDescent="0.25">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topLeftCell="A22" zoomScale="50" zoomScaleNormal="50" workbookViewId="0">
      <selection activeCell="W47" sqref="W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x14ac:dyDescent="0.25">
      <c r="A2" s="81"/>
      <c r="B2" s="533" t="s">
        <v>212</v>
      </c>
      <c r="C2" s="534"/>
      <c r="D2" s="534"/>
      <c r="E2" s="534"/>
      <c r="F2" s="534"/>
      <c r="G2" s="534"/>
      <c r="H2" s="534"/>
      <c r="I2" s="534"/>
      <c r="J2" s="455" t="s">
        <v>23</v>
      </c>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5" customHeight="1" x14ac:dyDescent="0.25">
      <c r="A3" s="81"/>
      <c r="B3" s="534"/>
      <c r="C3" s="534"/>
      <c r="D3" s="534"/>
      <c r="E3" s="534"/>
      <c r="F3" s="534"/>
      <c r="G3" s="534"/>
      <c r="H3" s="534"/>
      <c r="I3" s="534"/>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5" customHeight="1" x14ac:dyDescent="0.25">
      <c r="A4" s="81"/>
      <c r="B4" s="534"/>
      <c r="C4" s="534"/>
      <c r="D4" s="534"/>
      <c r="E4" s="534"/>
      <c r="F4" s="534"/>
      <c r="G4" s="534"/>
      <c r="H4" s="534"/>
      <c r="I4" s="534"/>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5" customHeight="1" x14ac:dyDescent="0.25">
      <c r="A6" s="81"/>
      <c r="B6" s="466" t="s">
        <v>197</v>
      </c>
      <c r="C6" s="466"/>
      <c r="D6" s="467"/>
      <c r="E6" s="504" t="s">
        <v>198</v>
      </c>
      <c r="F6" s="505"/>
      <c r="G6" s="505"/>
      <c r="H6" s="505"/>
      <c r="I6" s="506"/>
      <c r="J6" s="44" t="str">
        <f>IF(AND('Mapa de Riesgos'!$Y$12="Muy Alta",'Mapa de Riesgos'!$AA$12="Leve"),CONCATENATE("R1C",'Mapa de Riesgos'!$O$12),"")</f>
        <v/>
      </c>
      <c r="K6" s="45" t="str">
        <f>IF(AND('Mapa de Riesgos'!$Y$13="Muy Alta",'Mapa de Riesgos'!$AA$13="Leve"),CONCATENATE("R1C",'Mapa de Riesgos'!$O$13),"")</f>
        <v/>
      </c>
      <c r="L6" s="45" t="str">
        <f>IF(AND('Mapa de Riesgos'!$Y$14="Muy Alta",'Mapa de Riesgos'!$AA$14="Leve"),CONCATENATE("R1C",'Mapa de Riesgos'!$O$14),"")</f>
        <v/>
      </c>
      <c r="M6" s="45" t="str">
        <f>IF(AND('Mapa de Riesgos'!$Y$15="Muy Alta",'Mapa de Riesgos'!$AA$15="Leve"),CONCATENATE("R1C",'Mapa de Riesgos'!$O$15),"")</f>
        <v/>
      </c>
      <c r="N6" s="45" t="str">
        <f>IF(AND('Mapa de Riesgos'!$Y$16="Muy Alta",'Mapa de Riesgos'!$AA$16="Leve"),CONCATENATE("R1C",'Mapa de Riesgos'!$O$16),"")</f>
        <v/>
      </c>
      <c r="O6" s="46" t="str">
        <f>IF(AND('Mapa de Riesgos'!$Y$17="Muy Alta",'Mapa de Riesgos'!$AA$17="Leve"),CONCATENATE("R1C",'Mapa de Riesgos'!$O$17),"")</f>
        <v/>
      </c>
      <c r="P6" s="44" t="str">
        <f>IF(AND('Mapa de Riesgos'!$Y$12="Muy Alta",'Mapa de Riesgos'!$AA$12="Menor"),CONCATENATE("R1C",'Mapa de Riesgos'!$O$12),"")</f>
        <v/>
      </c>
      <c r="Q6" s="45" t="str">
        <f>IF(AND('Mapa de Riesgos'!$Y$13="Muy Alta",'Mapa de Riesgos'!$AA$13="Menor"),CONCATENATE("R1C",'Mapa de Riesgos'!$O$13),"")</f>
        <v/>
      </c>
      <c r="R6" s="45" t="str">
        <f>IF(AND('Mapa de Riesgos'!$Y$14="Muy Alta",'Mapa de Riesgos'!$AA$14="Menor"),CONCATENATE("R1C",'Mapa de Riesgos'!$O$14),"")</f>
        <v/>
      </c>
      <c r="S6" s="45" t="str">
        <f>IF(AND('Mapa de Riesgos'!$Y$15="Muy Alta",'Mapa de Riesgos'!$AA$15="Menor"),CONCATENATE("R1C",'Mapa de Riesgos'!$O$15),"")</f>
        <v/>
      </c>
      <c r="T6" s="45" t="str">
        <f>IF(AND('Mapa de Riesgos'!$Y$16="Muy Alta",'Mapa de Riesgos'!$AA$16="Menor"),CONCATENATE("R1C",'Mapa de Riesgos'!$O$16),"")</f>
        <v/>
      </c>
      <c r="U6" s="46" t="str">
        <f>IF(AND('Mapa de Riesgos'!$Y$17="Muy Alta",'Mapa de Riesgos'!$AA$17="Menor"),CONCATENATE("R1C",'Mapa de Riesgos'!$O$17),"")</f>
        <v/>
      </c>
      <c r="V6" s="44" t="str">
        <f>IF(AND('Mapa de Riesgos'!$Y$12="Muy Alta",'Mapa de Riesgos'!$AA$12="Moderado"),CONCATENATE("R1C",'Mapa de Riesgos'!$O$12),"")</f>
        <v/>
      </c>
      <c r="W6" s="45" t="str">
        <f>IF(AND('Mapa de Riesgos'!$Y$13="Muy Alta",'Mapa de Riesgos'!$AA$13="Moderado"),CONCATENATE("R1C",'Mapa de Riesgos'!$O$13),"")</f>
        <v/>
      </c>
      <c r="X6" s="45" t="str">
        <f>IF(AND('Mapa de Riesgos'!$Y$14="Muy Alta",'Mapa de Riesgos'!$AA$14="Moderado"),CONCATENATE("R1C",'Mapa de Riesgos'!$O$14),"")</f>
        <v/>
      </c>
      <c r="Y6" s="45" t="str">
        <f>IF(AND('Mapa de Riesgos'!$Y$15="Muy Alta",'Mapa de Riesgos'!$AA$15="Moderado"),CONCATENATE("R1C",'Mapa de Riesgos'!$O$15),"")</f>
        <v/>
      </c>
      <c r="Z6" s="45" t="str">
        <f>IF(AND('Mapa de Riesgos'!$Y$16="Muy Alta",'Mapa de Riesgos'!$AA$16="Moderado"),CONCATENATE("R1C",'Mapa de Riesgos'!$O$16),"")</f>
        <v/>
      </c>
      <c r="AA6" s="46" t="str">
        <f>IF(AND('Mapa de Riesgos'!$Y$17="Muy Alta",'Mapa de Riesgos'!$AA$17="Moderado"),CONCATENATE("R1C",'Mapa de Riesgos'!$O$17),"")</f>
        <v/>
      </c>
      <c r="AB6" s="44" t="str">
        <f>IF(AND('Mapa de Riesgos'!$Y$12="Muy Alta",'Mapa de Riesgos'!$AA$12="Mayor"),CONCATENATE("R1C",'Mapa de Riesgos'!$O$12),"")</f>
        <v/>
      </c>
      <c r="AC6" s="45" t="str">
        <f>IF(AND('Mapa de Riesgos'!$Y$13="Muy Alta",'Mapa de Riesgos'!$AA$13="Mayor"),CONCATENATE("R1C",'Mapa de Riesgos'!$O$13),"")</f>
        <v/>
      </c>
      <c r="AD6" s="45" t="str">
        <f>IF(AND('Mapa de Riesgos'!$Y$14="Muy Alta",'Mapa de Riesgos'!$AA$14="Mayor"),CONCATENATE("R1C",'Mapa de Riesgos'!$O$14),"")</f>
        <v/>
      </c>
      <c r="AE6" s="45" t="str">
        <f>IF(AND('Mapa de Riesgos'!$Y$15="Muy Alta",'Mapa de Riesgos'!$AA$15="Mayor"),CONCATENATE("R1C",'Mapa de Riesgos'!$O$15),"")</f>
        <v/>
      </c>
      <c r="AF6" s="45" t="str">
        <f>IF(AND('Mapa de Riesgos'!$Y$16="Muy Alta",'Mapa de Riesgos'!$AA$16="Mayor"),CONCATENATE("R1C",'Mapa de Riesgos'!$O$16),"")</f>
        <v/>
      </c>
      <c r="AG6" s="46" t="str">
        <f>IF(AND('Mapa de Riesgos'!$Y$17="Muy Alta",'Mapa de Riesgos'!$AA$17="Mayor"),CONCATENATE("R1C",'Mapa de Riesgos'!$O$17),"")</f>
        <v/>
      </c>
      <c r="AH6" s="47" t="str">
        <f>IF(AND('Mapa de Riesgos'!$Y$12="Muy Alta",'Mapa de Riesgos'!$AA$12="Catastrófico"),CONCATENATE("R1C",'Mapa de Riesgos'!$O$12),"")</f>
        <v/>
      </c>
      <c r="AI6" s="48" t="str">
        <f>IF(AND('Mapa de Riesgos'!$Y$13="Muy Alta",'Mapa de Riesgos'!$AA$13="Catastrófico"),CONCATENATE("R1C",'Mapa de Riesgos'!$O$13),"")</f>
        <v/>
      </c>
      <c r="AJ6" s="48" t="str">
        <f>IF(AND('Mapa de Riesgos'!$Y$14="Muy Alta",'Mapa de Riesgos'!$AA$14="Catastrófico"),CONCATENATE("R1C",'Mapa de Riesgos'!$O$14),"")</f>
        <v/>
      </c>
      <c r="AK6" s="48" t="str">
        <f>IF(AND('Mapa de Riesgos'!$Y$15="Muy Alta",'Mapa de Riesgos'!$AA$15="Catastrófico"),CONCATENATE("R1C",'Mapa de Riesgos'!$O$15),"")</f>
        <v/>
      </c>
      <c r="AL6" s="48" t="str">
        <f>IF(AND('Mapa de Riesgos'!$Y$16="Muy Alta",'Mapa de Riesgos'!$AA$16="Catastrófico"),CONCATENATE("R1C",'Mapa de Riesgos'!$O$16),"")</f>
        <v/>
      </c>
      <c r="AM6" s="49" t="str">
        <f>IF(AND('Mapa de Riesgos'!$Y$17="Muy Alta",'Mapa de Riesgos'!$AA$17="Catastrófico"),CONCATENATE("R1C",'Mapa de Riesgos'!$O$17),"")</f>
        <v/>
      </c>
      <c r="AN6" s="81"/>
      <c r="AO6" s="524" t="s">
        <v>199</v>
      </c>
      <c r="AP6" s="525"/>
      <c r="AQ6" s="525"/>
      <c r="AR6" s="525"/>
      <c r="AS6" s="525"/>
      <c r="AT6" s="526"/>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5" customHeight="1" x14ac:dyDescent="0.25">
      <c r="A7" s="81"/>
      <c r="B7" s="466"/>
      <c r="C7" s="466"/>
      <c r="D7" s="467"/>
      <c r="E7" s="507"/>
      <c r="F7" s="508"/>
      <c r="G7" s="508"/>
      <c r="H7" s="508"/>
      <c r="I7" s="509"/>
      <c r="J7" s="50" t="str">
        <f>IF(AND('Mapa de Riesgos'!$Y$18="Muy Alta",'Mapa de Riesgos'!$AA$18="Leve"),CONCATENATE("R2C",'Mapa de Riesgos'!$O$18),"")</f>
        <v/>
      </c>
      <c r="K7" s="51" t="str">
        <f>IF(AND('Mapa de Riesgos'!$Y$19="Muy Alta",'Mapa de Riesgos'!$AA$19="Leve"),CONCATENATE("R2C",'Mapa de Riesgos'!$O$19),"")</f>
        <v/>
      </c>
      <c r="L7" s="51" t="str">
        <f>IF(AND('Mapa de Riesgos'!$Y$20="Muy Alta",'Mapa de Riesgos'!$AA$20="Leve"),CONCATENATE("R2C",'Mapa de Riesgos'!$O$20),"")</f>
        <v/>
      </c>
      <c r="M7" s="51" t="str">
        <f>IF(AND('Mapa de Riesgos'!$Y$21="Muy Alta",'Mapa de Riesgos'!$AA$21="Leve"),CONCATENATE("R2C",'Mapa de Riesgos'!$O$21),"")</f>
        <v/>
      </c>
      <c r="N7" s="51" t="str">
        <f>IF(AND('Mapa de Riesgos'!$Y$22="Muy Alta",'Mapa de Riesgos'!$AA$22="Leve"),CONCATENATE("R2C",'Mapa de Riesgos'!$O$22),"")</f>
        <v/>
      </c>
      <c r="O7" s="52" t="str">
        <f>IF(AND('Mapa de Riesgos'!$Y$23="Muy Alta",'Mapa de Riesgos'!$AA$23="Leve"),CONCATENATE("R2C",'Mapa de Riesgos'!$O$23),"")</f>
        <v/>
      </c>
      <c r="P7" s="50" t="str">
        <f>IF(AND('Mapa de Riesgos'!$Y$18="Muy Alta",'Mapa de Riesgos'!$AA$18="Menor"),CONCATENATE("R2C",'Mapa de Riesgos'!$O$18),"")</f>
        <v/>
      </c>
      <c r="Q7" s="51" t="str">
        <f>IF(AND('Mapa de Riesgos'!$Y$19="Muy Alta",'Mapa de Riesgos'!$AA$19="Menor"),CONCATENATE("R2C",'Mapa de Riesgos'!$O$19),"")</f>
        <v/>
      </c>
      <c r="R7" s="51" t="str">
        <f>IF(AND('Mapa de Riesgos'!$Y$20="Muy Alta",'Mapa de Riesgos'!$AA$20="Menor"),CONCATENATE("R2C",'Mapa de Riesgos'!$O$20),"")</f>
        <v/>
      </c>
      <c r="S7" s="51" t="str">
        <f>IF(AND('Mapa de Riesgos'!$Y$21="Muy Alta",'Mapa de Riesgos'!$AA$21="Menor"),CONCATENATE("R2C",'Mapa de Riesgos'!$O$21),"")</f>
        <v/>
      </c>
      <c r="T7" s="51" t="str">
        <f>IF(AND('Mapa de Riesgos'!$Y$22="Muy Alta",'Mapa de Riesgos'!$AA$22="Menor"),CONCATENATE("R2C",'Mapa de Riesgos'!$O$22),"")</f>
        <v/>
      </c>
      <c r="U7" s="52" t="str">
        <f>IF(AND('Mapa de Riesgos'!$Y$23="Muy Alta",'Mapa de Riesgos'!$AA$23="Menor"),CONCATENATE("R2C",'Mapa de Riesgos'!$O$23),"")</f>
        <v/>
      </c>
      <c r="V7" s="50" t="str">
        <f>IF(AND('Mapa de Riesgos'!$Y$18="Muy Alta",'Mapa de Riesgos'!$AA$18="Moderado"),CONCATENATE("R2C",'Mapa de Riesgos'!$O$18),"")</f>
        <v/>
      </c>
      <c r="W7" s="51" t="str">
        <f>IF(AND('Mapa de Riesgos'!$Y$19="Muy Alta",'Mapa de Riesgos'!$AA$19="Moderado"),CONCATENATE("R2C",'Mapa de Riesgos'!$O$19),"")</f>
        <v/>
      </c>
      <c r="X7" s="51" t="str">
        <f>IF(AND('Mapa de Riesgos'!$Y$20="Muy Alta",'Mapa de Riesgos'!$AA$20="Moderado"),CONCATENATE("R2C",'Mapa de Riesgos'!$O$20),"")</f>
        <v/>
      </c>
      <c r="Y7" s="51" t="str">
        <f>IF(AND('Mapa de Riesgos'!$Y$21="Muy Alta",'Mapa de Riesgos'!$AA$21="Moderado"),CONCATENATE("R2C",'Mapa de Riesgos'!$O$21),"")</f>
        <v/>
      </c>
      <c r="Z7" s="51" t="str">
        <f>IF(AND('Mapa de Riesgos'!$Y$22="Muy Alta",'Mapa de Riesgos'!$AA$22="Moderado"),CONCATENATE("R2C",'Mapa de Riesgos'!$O$22),"")</f>
        <v/>
      </c>
      <c r="AA7" s="52" t="str">
        <f>IF(AND('Mapa de Riesgos'!$Y$23="Muy Alta",'Mapa de Riesgos'!$AA$23="Moderado"),CONCATENATE("R2C",'Mapa de Riesgos'!$O$23),"")</f>
        <v/>
      </c>
      <c r="AB7" s="50" t="str">
        <f>IF(AND('Mapa de Riesgos'!$Y$18="Muy Alta",'Mapa de Riesgos'!$AA$18="Mayor"),CONCATENATE("R2C",'Mapa de Riesgos'!$O$18),"")</f>
        <v/>
      </c>
      <c r="AC7" s="51" t="str">
        <f>IF(AND('Mapa de Riesgos'!$Y$19="Muy Alta",'Mapa de Riesgos'!$AA$19="Mayor"),CONCATENATE("R2C",'Mapa de Riesgos'!$O$19),"")</f>
        <v/>
      </c>
      <c r="AD7" s="51" t="str">
        <f>IF(AND('Mapa de Riesgos'!$Y$20="Muy Alta",'Mapa de Riesgos'!$AA$20="Mayor"),CONCATENATE("R2C",'Mapa de Riesgos'!$O$20),"")</f>
        <v/>
      </c>
      <c r="AE7" s="51" t="str">
        <f>IF(AND('Mapa de Riesgos'!$Y$21="Muy Alta",'Mapa de Riesgos'!$AA$21="Mayor"),CONCATENATE("R2C",'Mapa de Riesgos'!$O$21),"")</f>
        <v/>
      </c>
      <c r="AF7" s="51" t="str">
        <f>IF(AND('Mapa de Riesgos'!$Y$22="Muy Alta",'Mapa de Riesgos'!$AA$22="Mayor"),CONCATENATE("R2C",'Mapa de Riesgos'!$O$22),"")</f>
        <v/>
      </c>
      <c r="AG7" s="52" t="str">
        <f>IF(AND('Mapa de Riesgos'!$Y$23="Muy Alta",'Mapa de Riesgos'!$AA$23="Mayor"),CONCATENATE("R2C",'Mapa de Riesgos'!$O$23),"")</f>
        <v/>
      </c>
      <c r="AH7" s="53" t="str">
        <f>IF(AND('Mapa de Riesgos'!$Y$18="Muy Alta",'Mapa de Riesgos'!$AA$18="Catastrófico"),CONCATENATE("R2C",'Mapa de Riesgos'!$O$18),"")</f>
        <v/>
      </c>
      <c r="AI7" s="54" t="str">
        <f>IF(AND('Mapa de Riesgos'!$Y$19="Muy Alta",'Mapa de Riesgos'!$AA$19="Catastrófico"),CONCATENATE("R2C",'Mapa de Riesgos'!$O$19),"")</f>
        <v/>
      </c>
      <c r="AJ7" s="54" t="str">
        <f>IF(AND('Mapa de Riesgos'!$Y$20="Muy Alta",'Mapa de Riesgos'!$AA$20="Catastrófico"),CONCATENATE("R2C",'Mapa de Riesgos'!$O$20),"")</f>
        <v/>
      </c>
      <c r="AK7" s="54" t="str">
        <f>IF(AND('Mapa de Riesgos'!$Y$21="Muy Alta",'Mapa de Riesgos'!$AA$21="Catastrófico"),CONCATENATE("R2C",'Mapa de Riesgos'!$O$21),"")</f>
        <v/>
      </c>
      <c r="AL7" s="54" t="str">
        <f>IF(AND('Mapa de Riesgos'!$Y$22="Muy Alta",'Mapa de Riesgos'!$AA$22="Catastrófico"),CONCATENATE("R2C",'Mapa de Riesgos'!$O$22),"")</f>
        <v/>
      </c>
      <c r="AM7" s="55" t="str">
        <f>IF(AND('Mapa de Riesgos'!$Y$23="Muy Alta",'Mapa de Riesgos'!$AA$23="Catastrófico"),CONCATENATE("R2C",'Mapa de Riesgos'!$O$23),"")</f>
        <v/>
      </c>
      <c r="AN7" s="81"/>
      <c r="AO7" s="527"/>
      <c r="AP7" s="528"/>
      <c r="AQ7" s="528"/>
      <c r="AR7" s="528"/>
      <c r="AS7" s="528"/>
      <c r="AT7" s="529"/>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5" customHeight="1" x14ac:dyDescent="0.25">
      <c r="A8" s="81"/>
      <c r="B8" s="466"/>
      <c r="C8" s="466"/>
      <c r="D8" s="467"/>
      <c r="E8" s="507"/>
      <c r="F8" s="508"/>
      <c r="G8" s="508"/>
      <c r="H8" s="508"/>
      <c r="I8" s="509"/>
      <c r="J8" s="50" t="str">
        <f>IF(AND('Mapa de Riesgos'!$Y$24="Muy Alta",'Mapa de Riesgos'!$AA$24="Leve"),CONCATENATE("R3C",'Mapa de Riesgos'!$O$24),"")</f>
        <v/>
      </c>
      <c r="K8" s="51" t="str">
        <f>IF(AND('Mapa de Riesgos'!$Y$25="Muy Alta",'Mapa de Riesgos'!$AA$25="Leve"),CONCATENATE("R3C",'Mapa de Riesgos'!$O$25),"")</f>
        <v/>
      </c>
      <c r="L8" s="51" t="str">
        <f>IF(AND('Mapa de Riesgos'!$Y$26="Muy Alta",'Mapa de Riesgos'!$AA$26="Leve"),CONCATENATE("R3C",'Mapa de Riesgos'!$O$26),"")</f>
        <v/>
      </c>
      <c r="M8" s="51" t="str">
        <f>IF(AND('Mapa de Riesgos'!$Y$27="Muy Alta",'Mapa de Riesgos'!$AA$27="Leve"),CONCATENATE("R3C",'Mapa de Riesgos'!$O$27),"")</f>
        <v/>
      </c>
      <c r="N8" s="51" t="str">
        <f>IF(AND('Mapa de Riesgos'!$Y$28="Muy Alta",'Mapa de Riesgos'!$AA$28="Leve"),CONCATENATE("R3C",'Mapa de Riesgos'!$O$28),"")</f>
        <v/>
      </c>
      <c r="O8" s="52" t="str">
        <f>IF(AND('Mapa de Riesgos'!$Y$29="Muy Alta",'Mapa de Riesgos'!$AA$29="Leve"),CONCATENATE("R3C",'Mapa de Riesgos'!$O$29),"")</f>
        <v/>
      </c>
      <c r="P8" s="50" t="str">
        <f>IF(AND('Mapa de Riesgos'!$Y$24="Muy Alta",'Mapa de Riesgos'!$AA$24="Menor"),CONCATENATE("R3C",'Mapa de Riesgos'!$O$24),"")</f>
        <v/>
      </c>
      <c r="Q8" s="51" t="str">
        <f>IF(AND('Mapa de Riesgos'!$Y$25="Muy Alta",'Mapa de Riesgos'!$AA$25="Menor"),CONCATENATE("R3C",'Mapa de Riesgos'!$O$25),"")</f>
        <v/>
      </c>
      <c r="R8" s="51" t="str">
        <f>IF(AND('Mapa de Riesgos'!$Y$26="Muy Alta",'Mapa de Riesgos'!$AA$26="Menor"),CONCATENATE("R3C",'Mapa de Riesgos'!$O$26),"")</f>
        <v/>
      </c>
      <c r="S8" s="51" t="str">
        <f>IF(AND('Mapa de Riesgos'!$Y$27="Muy Alta",'Mapa de Riesgos'!$AA$27="Menor"),CONCATENATE("R3C",'Mapa de Riesgos'!$O$27),"")</f>
        <v/>
      </c>
      <c r="T8" s="51" t="str">
        <f>IF(AND('Mapa de Riesgos'!$Y$28="Muy Alta",'Mapa de Riesgos'!$AA$28="Menor"),CONCATENATE("R3C",'Mapa de Riesgos'!$O$28),"")</f>
        <v/>
      </c>
      <c r="U8" s="52" t="str">
        <f>IF(AND('Mapa de Riesgos'!$Y$29="Muy Alta",'Mapa de Riesgos'!$AA$29="Menor"),CONCATENATE("R3C",'Mapa de Riesgos'!$O$29),"")</f>
        <v/>
      </c>
      <c r="V8" s="50" t="str">
        <f>IF(AND('Mapa de Riesgos'!$Y$24="Muy Alta",'Mapa de Riesgos'!$AA$24="Moderado"),CONCATENATE("R3C",'Mapa de Riesgos'!$O$24),"")</f>
        <v/>
      </c>
      <c r="W8" s="51" t="str">
        <f>IF(AND('Mapa de Riesgos'!$Y$25="Muy Alta",'Mapa de Riesgos'!$AA$25="Moderado"),CONCATENATE("R3C",'Mapa de Riesgos'!$O$25),"")</f>
        <v/>
      </c>
      <c r="X8" s="51" t="str">
        <f>IF(AND('Mapa de Riesgos'!$Y$26="Muy Alta",'Mapa de Riesgos'!$AA$26="Moderado"),CONCATENATE("R3C",'Mapa de Riesgos'!$O$26),"")</f>
        <v/>
      </c>
      <c r="Y8" s="51" t="str">
        <f>IF(AND('Mapa de Riesgos'!$Y$27="Muy Alta",'Mapa de Riesgos'!$AA$27="Moderado"),CONCATENATE("R3C",'Mapa de Riesgos'!$O$27),"")</f>
        <v/>
      </c>
      <c r="Z8" s="51" t="str">
        <f>IF(AND('Mapa de Riesgos'!$Y$28="Muy Alta",'Mapa de Riesgos'!$AA$28="Moderado"),CONCATENATE("R3C",'Mapa de Riesgos'!$O$28),"")</f>
        <v/>
      </c>
      <c r="AA8" s="52" t="str">
        <f>IF(AND('Mapa de Riesgos'!$Y$29="Muy Alta",'Mapa de Riesgos'!$AA$29="Moderado"),CONCATENATE("R3C",'Mapa de Riesgos'!$O$29),"")</f>
        <v/>
      </c>
      <c r="AB8" s="50" t="str">
        <f>IF(AND('Mapa de Riesgos'!$Y$24="Muy Alta",'Mapa de Riesgos'!$AA$24="Mayor"),CONCATENATE("R3C",'Mapa de Riesgos'!$O$24),"")</f>
        <v/>
      </c>
      <c r="AC8" s="51" t="str">
        <f>IF(AND('Mapa de Riesgos'!$Y$25="Muy Alta",'Mapa de Riesgos'!$AA$25="Mayor"),CONCATENATE("R3C",'Mapa de Riesgos'!$O$25),"")</f>
        <v/>
      </c>
      <c r="AD8" s="51" t="str">
        <f>IF(AND('Mapa de Riesgos'!$Y$26="Muy Alta",'Mapa de Riesgos'!$AA$26="Mayor"),CONCATENATE("R3C",'Mapa de Riesgos'!$O$26),"")</f>
        <v/>
      </c>
      <c r="AE8" s="51" t="str">
        <f>IF(AND('Mapa de Riesgos'!$Y$27="Muy Alta",'Mapa de Riesgos'!$AA$27="Mayor"),CONCATENATE("R3C",'Mapa de Riesgos'!$O$27),"")</f>
        <v/>
      </c>
      <c r="AF8" s="51" t="str">
        <f>IF(AND('Mapa de Riesgos'!$Y$28="Muy Alta",'Mapa de Riesgos'!$AA$28="Mayor"),CONCATENATE("R3C",'Mapa de Riesgos'!$O$28),"")</f>
        <v/>
      </c>
      <c r="AG8" s="52" t="str">
        <f>IF(AND('Mapa de Riesgos'!$Y$29="Muy Alta",'Mapa de Riesgos'!$AA$29="Mayor"),CONCATENATE("R3C",'Mapa de Riesgos'!$O$29),"")</f>
        <v/>
      </c>
      <c r="AH8" s="53" t="str">
        <f>IF(AND('Mapa de Riesgos'!$Y$24="Muy Alta",'Mapa de Riesgos'!$AA$24="Catastrófico"),CONCATENATE("R3C",'Mapa de Riesgos'!$O$24),"")</f>
        <v/>
      </c>
      <c r="AI8" s="54" t="str">
        <f>IF(AND('Mapa de Riesgos'!$Y$25="Muy Alta",'Mapa de Riesgos'!$AA$25="Catastrófico"),CONCATENATE("R3C",'Mapa de Riesgos'!$O$25),"")</f>
        <v/>
      </c>
      <c r="AJ8" s="54" t="str">
        <f>IF(AND('Mapa de Riesgos'!$Y$26="Muy Alta",'Mapa de Riesgos'!$AA$26="Catastrófico"),CONCATENATE("R3C",'Mapa de Riesgos'!$O$26),"")</f>
        <v/>
      </c>
      <c r="AK8" s="54" t="str">
        <f>IF(AND('Mapa de Riesgos'!$Y$27="Muy Alta",'Mapa de Riesgos'!$AA$27="Catastrófico"),CONCATENATE("R3C",'Mapa de Riesgos'!$O$27),"")</f>
        <v/>
      </c>
      <c r="AL8" s="54" t="str">
        <f>IF(AND('Mapa de Riesgos'!$Y$28="Muy Alta",'Mapa de Riesgos'!$AA$28="Catastrófico"),CONCATENATE("R3C",'Mapa de Riesgos'!$O$28),"")</f>
        <v/>
      </c>
      <c r="AM8" s="55" t="str">
        <f>IF(AND('Mapa de Riesgos'!$Y$29="Muy Alta",'Mapa de Riesgos'!$AA$29="Catastrófico"),CONCATENATE("R3C",'Mapa de Riesgos'!$O$29),"")</f>
        <v/>
      </c>
      <c r="AN8" s="81"/>
      <c r="AO8" s="527"/>
      <c r="AP8" s="528"/>
      <c r="AQ8" s="528"/>
      <c r="AR8" s="528"/>
      <c r="AS8" s="528"/>
      <c r="AT8" s="529"/>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5" customHeight="1" x14ac:dyDescent="0.25">
      <c r="A9" s="81"/>
      <c r="B9" s="466"/>
      <c r="C9" s="466"/>
      <c r="D9" s="467"/>
      <c r="E9" s="507"/>
      <c r="F9" s="508"/>
      <c r="G9" s="508"/>
      <c r="H9" s="508"/>
      <c r="I9" s="509"/>
      <c r="J9" s="50" t="str">
        <f>IF(AND('Mapa de Riesgos'!$Y$30="Muy Alta",'Mapa de Riesgos'!$AA$30="Leve"),CONCATENATE("R4C",'Mapa de Riesgos'!$O$30),"")</f>
        <v/>
      </c>
      <c r="K9" s="51" t="str">
        <f>IF(AND('Mapa de Riesgos'!$Y$31="Muy Alta",'Mapa de Riesgos'!$AA$31="Leve"),CONCATENATE("R4C",'Mapa de Riesgos'!$O$31),"")</f>
        <v/>
      </c>
      <c r="L9" s="51" t="str">
        <f>IF(AND('Mapa de Riesgos'!$Y$32="Muy Alta",'Mapa de Riesgos'!$AA$32="Leve"),CONCATENATE("R4C",'Mapa de Riesgos'!$O$32),"")</f>
        <v/>
      </c>
      <c r="M9" s="51" t="str">
        <f>IF(AND('Mapa de Riesgos'!$Y$33="Muy Alta",'Mapa de Riesgos'!$AA$33="Leve"),CONCATENATE("R4C",'Mapa de Riesgos'!$O$33),"")</f>
        <v/>
      </c>
      <c r="N9" s="51" t="str">
        <f>IF(AND('Mapa de Riesgos'!$Y$34="Muy Alta",'Mapa de Riesgos'!$AA$34="Leve"),CONCATENATE("R4C",'Mapa de Riesgos'!$O$34),"")</f>
        <v/>
      </c>
      <c r="O9" s="52" t="str">
        <f>IF(AND('Mapa de Riesgos'!$Y$35="Muy Alta",'Mapa de Riesgos'!$AA$35="Leve"),CONCATENATE("R4C",'Mapa de Riesgos'!$O$35),"")</f>
        <v/>
      </c>
      <c r="P9" s="50" t="str">
        <f>IF(AND('Mapa de Riesgos'!$Y$30="Muy Alta",'Mapa de Riesgos'!$AA$30="Menor"),CONCATENATE("R4C",'Mapa de Riesgos'!$O$30),"")</f>
        <v/>
      </c>
      <c r="Q9" s="51" t="str">
        <f>IF(AND('Mapa de Riesgos'!$Y$31="Muy Alta",'Mapa de Riesgos'!$AA$31="Menor"),CONCATENATE("R4C",'Mapa de Riesgos'!$O$31),"")</f>
        <v/>
      </c>
      <c r="R9" s="51" t="str">
        <f>IF(AND('Mapa de Riesgos'!$Y$32="Muy Alta",'Mapa de Riesgos'!$AA$32="Menor"),CONCATENATE("R4C",'Mapa de Riesgos'!$O$32),"")</f>
        <v/>
      </c>
      <c r="S9" s="51" t="str">
        <f>IF(AND('Mapa de Riesgos'!$Y$33="Muy Alta",'Mapa de Riesgos'!$AA$33="Menor"),CONCATENATE("R4C",'Mapa de Riesgos'!$O$33),"")</f>
        <v/>
      </c>
      <c r="T9" s="51" t="str">
        <f>IF(AND('Mapa de Riesgos'!$Y$34="Muy Alta",'Mapa de Riesgos'!$AA$34="Menor"),CONCATENATE("R4C",'Mapa de Riesgos'!$O$34),"")</f>
        <v/>
      </c>
      <c r="U9" s="52" t="str">
        <f>IF(AND('Mapa de Riesgos'!$Y$35="Muy Alta",'Mapa de Riesgos'!$AA$35="Menor"),CONCATENATE("R4C",'Mapa de Riesgos'!$O$35),"")</f>
        <v/>
      </c>
      <c r="V9" s="50" t="str">
        <f>IF(AND('Mapa de Riesgos'!$Y$30="Muy Alta",'Mapa de Riesgos'!$AA$30="Moderado"),CONCATENATE("R4C",'Mapa de Riesgos'!$O$30),"")</f>
        <v/>
      </c>
      <c r="W9" s="51" t="str">
        <f>IF(AND('Mapa de Riesgos'!$Y$31="Muy Alta",'Mapa de Riesgos'!$AA$31="Moderado"),CONCATENATE("R4C",'Mapa de Riesgos'!$O$31),"")</f>
        <v/>
      </c>
      <c r="X9" s="51" t="str">
        <f>IF(AND('Mapa de Riesgos'!$Y$32="Muy Alta",'Mapa de Riesgos'!$AA$32="Moderado"),CONCATENATE("R4C",'Mapa de Riesgos'!$O$32),"")</f>
        <v/>
      </c>
      <c r="Y9" s="51" t="str">
        <f>IF(AND('Mapa de Riesgos'!$Y$33="Muy Alta",'Mapa de Riesgos'!$AA$33="Moderado"),CONCATENATE("R4C",'Mapa de Riesgos'!$O$33),"")</f>
        <v/>
      </c>
      <c r="Z9" s="51" t="str">
        <f>IF(AND('Mapa de Riesgos'!$Y$34="Muy Alta",'Mapa de Riesgos'!$AA$34="Moderado"),CONCATENATE("R4C",'Mapa de Riesgos'!$O$34),"")</f>
        <v/>
      </c>
      <c r="AA9" s="52" t="str">
        <f>IF(AND('Mapa de Riesgos'!$Y$35="Muy Alta",'Mapa de Riesgos'!$AA$35="Moderado"),CONCATENATE("R4C",'Mapa de Riesgos'!$O$35),"")</f>
        <v/>
      </c>
      <c r="AB9" s="50" t="str">
        <f>IF(AND('Mapa de Riesgos'!$Y$30="Muy Alta",'Mapa de Riesgos'!$AA$30="Mayor"),CONCATENATE("R4C",'Mapa de Riesgos'!$O$30),"")</f>
        <v/>
      </c>
      <c r="AC9" s="51" t="str">
        <f>IF(AND('Mapa de Riesgos'!$Y$31="Muy Alta",'Mapa de Riesgos'!$AA$31="Mayor"),CONCATENATE("R4C",'Mapa de Riesgos'!$O$31),"")</f>
        <v/>
      </c>
      <c r="AD9" s="51" t="str">
        <f>IF(AND('Mapa de Riesgos'!$Y$32="Muy Alta",'Mapa de Riesgos'!$AA$32="Mayor"),CONCATENATE("R4C",'Mapa de Riesgos'!$O$32),"")</f>
        <v/>
      </c>
      <c r="AE9" s="51" t="str">
        <f>IF(AND('Mapa de Riesgos'!$Y$33="Muy Alta",'Mapa de Riesgos'!$AA$33="Mayor"),CONCATENATE("R4C",'Mapa de Riesgos'!$O$33),"")</f>
        <v/>
      </c>
      <c r="AF9" s="51" t="str">
        <f>IF(AND('Mapa de Riesgos'!$Y$34="Muy Alta",'Mapa de Riesgos'!$AA$34="Mayor"),CONCATENATE("R4C",'Mapa de Riesgos'!$O$34),"")</f>
        <v/>
      </c>
      <c r="AG9" s="52" t="str">
        <f>IF(AND('Mapa de Riesgos'!$Y$35="Muy Alta",'Mapa de Riesgos'!$AA$35="Mayor"),CONCATENATE("R4C",'Mapa de Riesgos'!$O$35),"")</f>
        <v/>
      </c>
      <c r="AH9" s="53" t="str">
        <f>IF(AND('Mapa de Riesgos'!$Y$30="Muy Alta",'Mapa de Riesgos'!$AA$30="Catastrófico"),CONCATENATE("R4C",'Mapa de Riesgos'!$O$30),"")</f>
        <v/>
      </c>
      <c r="AI9" s="54" t="str">
        <f>IF(AND('Mapa de Riesgos'!$Y$31="Muy Alta",'Mapa de Riesgos'!$AA$31="Catastrófico"),CONCATENATE("R4C",'Mapa de Riesgos'!$O$31),"")</f>
        <v/>
      </c>
      <c r="AJ9" s="54" t="str">
        <f>IF(AND('Mapa de Riesgos'!$Y$32="Muy Alta",'Mapa de Riesgos'!$AA$32="Catastrófico"),CONCATENATE("R4C",'Mapa de Riesgos'!$O$32),"")</f>
        <v/>
      </c>
      <c r="AK9" s="54" t="str">
        <f>IF(AND('Mapa de Riesgos'!$Y$33="Muy Alta",'Mapa de Riesgos'!$AA$33="Catastrófico"),CONCATENATE("R4C",'Mapa de Riesgos'!$O$33),"")</f>
        <v/>
      </c>
      <c r="AL9" s="54" t="str">
        <f>IF(AND('Mapa de Riesgos'!$Y$34="Muy Alta",'Mapa de Riesgos'!$AA$34="Catastrófico"),CONCATENATE("R4C",'Mapa de Riesgos'!$O$34),"")</f>
        <v/>
      </c>
      <c r="AM9" s="55" t="str">
        <f>IF(AND('Mapa de Riesgos'!$Y$35="Muy Alta",'Mapa de Riesgos'!$AA$35="Catastrófico"),CONCATENATE("R4C",'Mapa de Riesgos'!$O$35),"")</f>
        <v/>
      </c>
      <c r="AN9" s="81"/>
      <c r="AO9" s="527"/>
      <c r="AP9" s="528"/>
      <c r="AQ9" s="528"/>
      <c r="AR9" s="528"/>
      <c r="AS9" s="528"/>
      <c r="AT9" s="529"/>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5" customHeight="1" x14ac:dyDescent="0.25">
      <c r="A10" s="81"/>
      <c r="B10" s="466"/>
      <c r="C10" s="466"/>
      <c r="D10" s="467"/>
      <c r="E10" s="507"/>
      <c r="F10" s="508"/>
      <c r="G10" s="508"/>
      <c r="H10" s="508"/>
      <c r="I10" s="509"/>
      <c r="J10" s="50" t="str">
        <f>IF(AND('Mapa de Riesgos'!$Y$36="Muy Alta",'Mapa de Riesgos'!$AA$36="Leve"),CONCATENATE("R5C",'Mapa de Riesgos'!$O$36),"")</f>
        <v/>
      </c>
      <c r="K10" s="51" t="str">
        <f>IF(AND('Mapa de Riesgos'!$Y$37="Muy Alta",'Mapa de Riesgos'!$AA$37="Leve"),CONCATENATE("R5C",'Mapa de Riesgos'!$O$37),"")</f>
        <v/>
      </c>
      <c r="L10" s="51" t="str">
        <f>IF(AND('Mapa de Riesgos'!$Y$38="Muy Alta",'Mapa de Riesgos'!$AA$38="Leve"),CONCATENATE("R5C",'Mapa de Riesgos'!$O$38),"")</f>
        <v/>
      </c>
      <c r="M10" s="51" t="str">
        <f>IF(AND('Mapa de Riesgos'!$Y$39="Muy Alta",'Mapa de Riesgos'!$AA$39="Leve"),CONCATENATE("R5C",'Mapa de Riesgos'!$O$39),"")</f>
        <v/>
      </c>
      <c r="N10" s="51" t="str">
        <f>IF(AND('Mapa de Riesgos'!$Y$40="Muy Alta",'Mapa de Riesgos'!$AA$40="Leve"),CONCATENATE("R5C",'Mapa de Riesgos'!$O$40),"")</f>
        <v/>
      </c>
      <c r="O10" s="52" t="str">
        <f>IF(AND('Mapa de Riesgos'!$Y$41="Muy Alta",'Mapa de Riesgos'!$AA$41="Leve"),CONCATENATE("R5C",'Mapa de Riesgos'!$O$41),"")</f>
        <v/>
      </c>
      <c r="P10" s="50" t="str">
        <f>IF(AND('Mapa de Riesgos'!$Y$36="Muy Alta",'Mapa de Riesgos'!$AA$36="Menor"),CONCATENATE("R5C",'Mapa de Riesgos'!$O$36),"")</f>
        <v/>
      </c>
      <c r="Q10" s="51" t="str">
        <f>IF(AND('Mapa de Riesgos'!$Y$37="Muy Alta",'Mapa de Riesgos'!$AA$37="Menor"),CONCATENATE("R5C",'Mapa de Riesgos'!$O$37),"")</f>
        <v/>
      </c>
      <c r="R10" s="51" t="str">
        <f>IF(AND('Mapa de Riesgos'!$Y$38="Muy Alta",'Mapa de Riesgos'!$AA$38="Menor"),CONCATENATE("R5C",'Mapa de Riesgos'!$O$38),"")</f>
        <v/>
      </c>
      <c r="S10" s="51" t="str">
        <f>IF(AND('Mapa de Riesgos'!$Y$39="Muy Alta",'Mapa de Riesgos'!$AA$39="Menor"),CONCATENATE("R5C",'Mapa de Riesgos'!$O$39),"")</f>
        <v/>
      </c>
      <c r="T10" s="51" t="str">
        <f>IF(AND('Mapa de Riesgos'!$Y$40="Muy Alta",'Mapa de Riesgos'!$AA$40="Menor"),CONCATENATE("R5C",'Mapa de Riesgos'!$O$40),"")</f>
        <v/>
      </c>
      <c r="U10" s="52" t="str">
        <f>IF(AND('Mapa de Riesgos'!$Y$41="Muy Alta",'Mapa de Riesgos'!$AA$41="Menor"),CONCATENATE("R5C",'Mapa de Riesgos'!$O$41),"")</f>
        <v/>
      </c>
      <c r="V10" s="50" t="str">
        <f>IF(AND('Mapa de Riesgos'!$Y$36="Muy Alta",'Mapa de Riesgos'!$AA$36="Moderado"),CONCATENATE("R5C",'Mapa de Riesgos'!$O$36),"")</f>
        <v/>
      </c>
      <c r="W10" s="51" t="str">
        <f>IF(AND('Mapa de Riesgos'!$Y$37="Muy Alta",'Mapa de Riesgos'!$AA$37="Moderado"),CONCATENATE("R5C",'Mapa de Riesgos'!$O$37),"")</f>
        <v/>
      </c>
      <c r="X10" s="51" t="str">
        <f>IF(AND('Mapa de Riesgos'!$Y$38="Muy Alta",'Mapa de Riesgos'!$AA$38="Moderado"),CONCATENATE("R5C",'Mapa de Riesgos'!$O$38),"")</f>
        <v/>
      </c>
      <c r="Y10" s="51" t="str">
        <f>IF(AND('Mapa de Riesgos'!$Y$39="Muy Alta",'Mapa de Riesgos'!$AA$39="Moderado"),CONCATENATE("R5C",'Mapa de Riesgos'!$O$39),"")</f>
        <v/>
      </c>
      <c r="Z10" s="51" t="str">
        <f>IF(AND('Mapa de Riesgos'!$Y$40="Muy Alta",'Mapa de Riesgos'!$AA$40="Moderado"),CONCATENATE("R5C",'Mapa de Riesgos'!$O$40),"")</f>
        <v/>
      </c>
      <c r="AA10" s="52" t="str">
        <f>IF(AND('Mapa de Riesgos'!$Y$41="Muy Alta",'Mapa de Riesgos'!$AA$41="Moderado"),CONCATENATE("R5C",'Mapa de Riesgos'!$O$41),"")</f>
        <v/>
      </c>
      <c r="AB10" s="50" t="str">
        <f>IF(AND('Mapa de Riesgos'!$Y$36="Muy Alta",'Mapa de Riesgos'!$AA$36="Mayor"),CONCATENATE("R5C",'Mapa de Riesgos'!$O$36),"")</f>
        <v/>
      </c>
      <c r="AC10" s="51" t="str">
        <f>IF(AND('Mapa de Riesgos'!$Y$37="Muy Alta",'Mapa de Riesgos'!$AA$37="Mayor"),CONCATENATE("R5C",'Mapa de Riesgos'!$O$37),"")</f>
        <v/>
      </c>
      <c r="AD10" s="51" t="str">
        <f>IF(AND('Mapa de Riesgos'!$Y$38="Muy Alta",'Mapa de Riesgos'!$AA$38="Mayor"),CONCATENATE("R5C",'Mapa de Riesgos'!$O$38),"")</f>
        <v/>
      </c>
      <c r="AE10" s="51" t="str">
        <f>IF(AND('Mapa de Riesgos'!$Y$39="Muy Alta",'Mapa de Riesgos'!$AA$39="Mayor"),CONCATENATE("R5C",'Mapa de Riesgos'!$O$39),"")</f>
        <v/>
      </c>
      <c r="AF10" s="51" t="str">
        <f>IF(AND('Mapa de Riesgos'!$Y$40="Muy Alta",'Mapa de Riesgos'!$AA$40="Mayor"),CONCATENATE("R5C",'Mapa de Riesgos'!$O$40),"")</f>
        <v/>
      </c>
      <c r="AG10" s="52" t="str">
        <f>IF(AND('Mapa de Riesgos'!$Y$41="Muy Alta",'Mapa de Riesgos'!$AA$41="Mayor"),CONCATENATE("R5C",'Mapa de Riesgos'!$O$41),"")</f>
        <v/>
      </c>
      <c r="AH10" s="53" t="str">
        <f>IF(AND('Mapa de Riesgos'!$Y$36="Muy Alta",'Mapa de Riesgos'!$AA$36="Catastrófico"),CONCATENATE("R5C",'Mapa de Riesgos'!$O$36),"")</f>
        <v/>
      </c>
      <c r="AI10" s="54" t="str">
        <f>IF(AND('Mapa de Riesgos'!$Y$37="Muy Alta",'Mapa de Riesgos'!$AA$37="Catastrófico"),CONCATENATE("R5C",'Mapa de Riesgos'!$O$37),"")</f>
        <v/>
      </c>
      <c r="AJ10" s="54" t="str">
        <f>IF(AND('Mapa de Riesgos'!$Y$38="Muy Alta",'Mapa de Riesgos'!$AA$38="Catastrófico"),CONCATENATE("R5C",'Mapa de Riesgos'!$O$38),"")</f>
        <v/>
      </c>
      <c r="AK10" s="54" t="str">
        <f>IF(AND('Mapa de Riesgos'!$Y$39="Muy Alta",'Mapa de Riesgos'!$AA$39="Catastrófico"),CONCATENATE("R5C",'Mapa de Riesgos'!$O$39),"")</f>
        <v/>
      </c>
      <c r="AL10" s="54" t="str">
        <f>IF(AND('Mapa de Riesgos'!$Y$40="Muy Alta",'Mapa de Riesgos'!$AA$40="Catastrófico"),CONCATENATE("R5C",'Mapa de Riesgos'!$O$40),"")</f>
        <v/>
      </c>
      <c r="AM10" s="55" t="str">
        <f>IF(AND('Mapa de Riesgos'!$Y$41="Muy Alta",'Mapa de Riesgos'!$AA$41="Catastrófico"),CONCATENATE("R5C",'Mapa de Riesgos'!$O$41),"")</f>
        <v/>
      </c>
      <c r="AN10" s="81"/>
      <c r="AO10" s="527"/>
      <c r="AP10" s="528"/>
      <c r="AQ10" s="528"/>
      <c r="AR10" s="528"/>
      <c r="AS10" s="528"/>
      <c r="AT10" s="529"/>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5" customHeight="1" x14ac:dyDescent="0.25">
      <c r="A11" s="81"/>
      <c r="B11" s="466"/>
      <c r="C11" s="466"/>
      <c r="D11" s="467"/>
      <c r="E11" s="507"/>
      <c r="F11" s="508"/>
      <c r="G11" s="508"/>
      <c r="H11" s="508"/>
      <c r="I11" s="509"/>
      <c r="J11" s="50" t="str">
        <f>IF(AND('Mapa de Riesgos'!$Y$42="Muy Alta",'Mapa de Riesgos'!$AA$42="Leve"),CONCATENATE("R6C",'Mapa de Riesgos'!$O$42),"")</f>
        <v/>
      </c>
      <c r="K11" s="51" t="str">
        <f>IF(AND('Mapa de Riesgos'!$Y$43="Muy Alta",'Mapa de Riesgos'!$AA$43="Leve"),CONCATENATE("R6C",'Mapa de Riesgos'!$O$43),"")</f>
        <v/>
      </c>
      <c r="L11" s="51" t="str">
        <f>IF(AND('Mapa de Riesgos'!$Y$44="Muy Alta",'Mapa de Riesgos'!$AA$44="Leve"),CONCATENATE("R6C",'Mapa de Riesgos'!$O$44),"")</f>
        <v/>
      </c>
      <c r="M11" s="51" t="str">
        <f>IF(AND('Mapa de Riesgos'!$Y$45="Muy Alta",'Mapa de Riesgos'!$AA$45="Leve"),CONCATENATE("R6C",'Mapa de Riesgos'!$O$45),"")</f>
        <v/>
      </c>
      <c r="N11" s="51" t="str">
        <f>IF(AND('Mapa de Riesgos'!$Y$46="Muy Alta",'Mapa de Riesgos'!$AA$46="Leve"),CONCATENATE("R6C",'Mapa de Riesgos'!$O$46),"")</f>
        <v/>
      </c>
      <c r="O11" s="52" t="str">
        <f>IF(AND('Mapa de Riesgos'!$Y$47="Muy Alta",'Mapa de Riesgos'!$AA$47="Leve"),CONCATENATE("R6C",'Mapa de Riesgos'!$O$47),"")</f>
        <v/>
      </c>
      <c r="P11" s="50" t="str">
        <f>IF(AND('Mapa de Riesgos'!$Y$42="Muy Alta",'Mapa de Riesgos'!$AA$42="Menor"),CONCATENATE("R6C",'Mapa de Riesgos'!$O$42),"")</f>
        <v/>
      </c>
      <c r="Q11" s="51" t="str">
        <f>IF(AND('Mapa de Riesgos'!$Y$43="Muy Alta",'Mapa de Riesgos'!$AA$43="Menor"),CONCATENATE("R6C",'Mapa de Riesgos'!$O$43),"")</f>
        <v/>
      </c>
      <c r="R11" s="51" t="str">
        <f>IF(AND('Mapa de Riesgos'!$Y$44="Muy Alta",'Mapa de Riesgos'!$AA$44="Menor"),CONCATENATE("R6C",'Mapa de Riesgos'!$O$44),"")</f>
        <v/>
      </c>
      <c r="S11" s="51" t="str">
        <f>IF(AND('Mapa de Riesgos'!$Y$45="Muy Alta",'Mapa de Riesgos'!$AA$45="Menor"),CONCATENATE("R6C",'Mapa de Riesgos'!$O$45),"")</f>
        <v/>
      </c>
      <c r="T11" s="51" t="str">
        <f>IF(AND('Mapa de Riesgos'!$Y$46="Muy Alta",'Mapa de Riesgos'!$AA$46="Menor"),CONCATENATE("R6C",'Mapa de Riesgos'!$O$46),"")</f>
        <v/>
      </c>
      <c r="U11" s="52" t="str">
        <f>IF(AND('Mapa de Riesgos'!$Y$47="Muy Alta",'Mapa de Riesgos'!$AA$47="Menor"),CONCATENATE("R6C",'Mapa de Riesgos'!$O$47),"")</f>
        <v/>
      </c>
      <c r="V11" s="50" t="str">
        <f>IF(AND('Mapa de Riesgos'!$Y$42="Muy Alta",'Mapa de Riesgos'!$AA$42="Moderado"),CONCATENATE("R6C",'Mapa de Riesgos'!$O$42),"")</f>
        <v/>
      </c>
      <c r="W11" s="51" t="str">
        <f>IF(AND('Mapa de Riesgos'!$Y$43="Muy Alta",'Mapa de Riesgos'!$AA$43="Moderado"),CONCATENATE("R6C",'Mapa de Riesgos'!$O$43),"")</f>
        <v/>
      </c>
      <c r="X11" s="51" t="str">
        <f>IF(AND('Mapa de Riesgos'!$Y$44="Muy Alta",'Mapa de Riesgos'!$AA$44="Moderado"),CONCATENATE("R6C",'Mapa de Riesgos'!$O$44),"")</f>
        <v/>
      </c>
      <c r="Y11" s="51" t="str">
        <f>IF(AND('Mapa de Riesgos'!$Y$45="Muy Alta",'Mapa de Riesgos'!$AA$45="Moderado"),CONCATENATE("R6C",'Mapa de Riesgos'!$O$45),"")</f>
        <v/>
      </c>
      <c r="Z11" s="51" t="str">
        <f>IF(AND('Mapa de Riesgos'!$Y$46="Muy Alta",'Mapa de Riesgos'!$AA$46="Moderado"),CONCATENATE("R6C",'Mapa de Riesgos'!$O$46),"")</f>
        <v/>
      </c>
      <c r="AA11" s="52" t="str">
        <f>IF(AND('Mapa de Riesgos'!$Y$47="Muy Alta",'Mapa de Riesgos'!$AA$47="Moderado"),CONCATENATE("R6C",'Mapa de Riesgos'!$O$47),"")</f>
        <v/>
      </c>
      <c r="AB11" s="50" t="str">
        <f>IF(AND('Mapa de Riesgos'!$Y$42="Muy Alta",'Mapa de Riesgos'!$AA$42="Mayor"),CONCATENATE("R6C",'Mapa de Riesgos'!$O$42),"")</f>
        <v/>
      </c>
      <c r="AC11" s="51" t="str">
        <f>IF(AND('Mapa de Riesgos'!$Y$43="Muy Alta",'Mapa de Riesgos'!$AA$43="Mayor"),CONCATENATE("R6C",'Mapa de Riesgos'!$O$43),"")</f>
        <v/>
      </c>
      <c r="AD11" s="51" t="str">
        <f>IF(AND('Mapa de Riesgos'!$Y$44="Muy Alta",'Mapa de Riesgos'!$AA$44="Mayor"),CONCATENATE("R6C",'Mapa de Riesgos'!$O$44),"")</f>
        <v/>
      </c>
      <c r="AE11" s="51" t="str">
        <f>IF(AND('Mapa de Riesgos'!$Y$45="Muy Alta",'Mapa de Riesgos'!$AA$45="Mayor"),CONCATENATE("R6C",'Mapa de Riesgos'!$O$45),"")</f>
        <v/>
      </c>
      <c r="AF11" s="51" t="str">
        <f>IF(AND('Mapa de Riesgos'!$Y$46="Muy Alta",'Mapa de Riesgos'!$AA$46="Mayor"),CONCATENATE("R6C",'Mapa de Riesgos'!$O$46),"")</f>
        <v/>
      </c>
      <c r="AG11" s="52" t="str">
        <f>IF(AND('Mapa de Riesgos'!$Y$47="Muy Alta",'Mapa de Riesgos'!$AA$47="Mayor"),CONCATENATE("R6C",'Mapa de Riesgos'!$O$47),"")</f>
        <v/>
      </c>
      <c r="AH11" s="53" t="str">
        <f>IF(AND('Mapa de Riesgos'!$Y$42="Muy Alta",'Mapa de Riesgos'!$AA$42="Catastrófico"),CONCATENATE("R6C",'Mapa de Riesgos'!$O$42),"")</f>
        <v/>
      </c>
      <c r="AI11" s="54" t="str">
        <f>IF(AND('Mapa de Riesgos'!$Y$43="Muy Alta",'Mapa de Riesgos'!$AA$43="Catastrófico"),CONCATENATE("R6C",'Mapa de Riesgos'!$O$43),"")</f>
        <v/>
      </c>
      <c r="AJ11" s="54" t="str">
        <f>IF(AND('Mapa de Riesgos'!$Y$44="Muy Alta",'Mapa de Riesgos'!$AA$44="Catastrófico"),CONCATENATE("R6C",'Mapa de Riesgos'!$O$44),"")</f>
        <v/>
      </c>
      <c r="AK11" s="54" t="str">
        <f>IF(AND('Mapa de Riesgos'!$Y$45="Muy Alta",'Mapa de Riesgos'!$AA$45="Catastrófico"),CONCATENATE("R6C",'Mapa de Riesgos'!$O$45),"")</f>
        <v/>
      </c>
      <c r="AL11" s="54" t="str">
        <f>IF(AND('Mapa de Riesgos'!$Y$46="Muy Alta",'Mapa de Riesgos'!$AA$46="Catastrófico"),CONCATENATE("R6C",'Mapa de Riesgos'!$O$46),"")</f>
        <v/>
      </c>
      <c r="AM11" s="55" t="str">
        <f>IF(AND('Mapa de Riesgos'!$Y$47="Muy Alta",'Mapa de Riesgos'!$AA$47="Catastrófico"),CONCATENATE("R6C",'Mapa de Riesgos'!$O$47),"")</f>
        <v/>
      </c>
      <c r="AN11" s="81"/>
      <c r="AO11" s="527"/>
      <c r="AP11" s="528"/>
      <c r="AQ11" s="528"/>
      <c r="AR11" s="528"/>
      <c r="AS11" s="528"/>
      <c r="AT11" s="529"/>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5" customHeight="1" x14ac:dyDescent="0.25">
      <c r="A12" s="81"/>
      <c r="B12" s="466"/>
      <c r="C12" s="466"/>
      <c r="D12" s="467"/>
      <c r="E12" s="507"/>
      <c r="F12" s="508"/>
      <c r="G12" s="508"/>
      <c r="H12" s="508"/>
      <c r="I12" s="509"/>
      <c r="J12" s="50" t="str">
        <f>IF(AND('Mapa de Riesgos'!$Y$48="Muy Alta",'Mapa de Riesgos'!$AA$48="Leve"),CONCATENATE("R7C",'Mapa de Riesgos'!$O$48),"")</f>
        <v/>
      </c>
      <c r="K12" s="51" t="str">
        <f>IF(AND('Mapa de Riesgos'!$Y$49="Muy Alta",'Mapa de Riesgos'!$AA$49="Leve"),CONCATENATE("R7C",'Mapa de Riesgos'!$O$49),"")</f>
        <v/>
      </c>
      <c r="L12" s="51" t="str">
        <f>IF(AND('Mapa de Riesgos'!$Y$50="Muy Alta",'Mapa de Riesgos'!$AA$50="Leve"),CONCATENATE("R7C",'Mapa de Riesgos'!$O$50),"")</f>
        <v/>
      </c>
      <c r="M12" s="51" t="str">
        <f>IF(AND('Mapa de Riesgos'!$Y$51="Muy Alta",'Mapa de Riesgos'!$AA$51="Leve"),CONCATENATE("R7C",'Mapa de Riesgos'!$O$51),"")</f>
        <v/>
      </c>
      <c r="N12" s="51" t="str">
        <f>IF(AND('Mapa de Riesgos'!$Y$52="Muy Alta",'Mapa de Riesgos'!$AA$52="Leve"),CONCATENATE("R7C",'Mapa de Riesgos'!$O$52),"")</f>
        <v/>
      </c>
      <c r="O12" s="52" t="str">
        <f>IF(AND('Mapa de Riesgos'!$Y$53="Muy Alta",'Mapa de Riesgos'!$AA$53="Leve"),CONCATENATE("R7C",'Mapa de Riesgos'!$O$53),"")</f>
        <v/>
      </c>
      <c r="P12" s="50" t="str">
        <f>IF(AND('Mapa de Riesgos'!$Y$48="Muy Alta",'Mapa de Riesgos'!$AA$48="Menor"),CONCATENATE("R7C",'Mapa de Riesgos'!$O$48),"")</f>
        <v/>
      </c>
      <c r="Q12" s="51" t="str">
        <f>IF(AND('Mapa de Riesgos'!$Y$49="Muy Alta",'Mapa de Riesgos'!$AA$49="Menor"),CONCATENATE("R7C",'Mapa de Riesgos'!$O$49),"")</f>
        <v/>
      </c>
      <c r="R12" s="51" t="str">
        <f>IF(AND('Mapa de Riesgos'!$Y$50="Muy Alta",'Mapa de Riesgos'!$AA$50="Menor"),CONCATENATE("R7C",'Mapa de Riesgos'!$O$50),"")</f>
        <v/>
      </c>
      <c r="S12" s="51" t="str">
        <f>IF(AND('Mapa de Riesgos'!$Y$51="Muy Alta",'Mapa de Riesgos'!$AA$51="Menor"),CONCATENATE("R7C",'Mapa de Riesgos'!$O$51),"")</f>
        <v/>
      </c>
      <c r="T12" s="51" t="str">
        <f>IF(AND('Mapa de Riesgos'!$Y$52="Muy Alta",'Mapa de Riesgos'!$AA$52="Menor"),CONCATENATE("R7C",'Mapa de Riesgos'!$O$52),"")</f>
        <v/>
      </c>
      <c r="U12" s="52" t="str">
        <f>IF(AND('Mapa de Riesgos'!$Y$53="Muy Alta",'Mapa de Riesgos'!$AA$53="Menor"),CONCATENATE("R7C",'Mapa de Riesgos'!$O$53),"")</f>
        <v/>
      </c>
      <c r="V12" s="50" t="str">
        <f>IF(AND('Mapa de Riesgos'!$Y$48="Muy Alta",'Mapa de Riesgos'!$AA$48="Moderado"),CONCATENATE("R7C",'Mapa de Riesgos'!$O$48),"")</f>
        <v/>
      </c>
      <c r="W12" s="51" t="str">
        <f>IF(AND('Mapa de Riesgos'!$Y$49="Muy Alta",'Mapa de Riesgos'!$AA$49="Moderado"),CONCATENATE("R7C",'Mapa de Riesgos'!$O$49),"")</f>
        <v/>
      </c>
      <c r="X12" s="51" t="str">
        <f>IF(AND('Mapa de Riesgos'!$Y$50="Muy Alta",'Mapa de Riesgos'!$AA$50="Moderado"),CONCATENATE("R7C",'Mapa de Riesgos'!$O$50),"")</f>
        <v/>
      </c>
      <c r="Y12" s="51" t="str">
        <f>IF(AND('Mapa de Riesgos'!$Y$51="Muy Alta",'Mapa de Riesgos'!$AA$51="Moderado"),CONCATENATE("R7C",'Mapa de Riesgos'!$O$51),"")</f>
        <v/>
      </c>
      <c r="Z12" s="51" t="str">
        <f>IF(AND('Mapa de Riesgos'!$Y$52="Muy Alta",'Mapa de Riesgos'!$AA$52="Moderado"),CONCATENATE("R7C",'Mapa de Riesgos'!$O$52),"")</f>
        <v/>
      </c>
      <c r="AA12" s="52" t="str">
        <f>IF(AND('Mapa de Riesgos'!$Y$53="Muy Alta",'Mapa de Riesgos'!$AA$53="Moderado"),CONCATENATE("R7C",'Mapa de Riesgos'!$O$53),"")</f>
        <v/>
      </c>
      <c r="AB12" s="50" t="str">
        <f>IF(AND('Mapa de Riesgos'!$Y$48="Muy Alta",'Mapa de Riesgos'!$AA$48="Mayor"),CONCATENATE("R7C",'Mapa de Riesgos'!$O$48),"")</f>
        <v/>
      </c>
      <c r="AC12" s="51" t="str">
        <f>IF(AND('Mapa de Riesgos'!$Y$49="Muy Alta",'Mapa de Riesgos'!$AA$49="Mayor"),CONCATENATE("R7C",'Mapa de Riesgos'!$O$49),"")</f>
        <v/>
      </c>
      <c r="AD12" s="51" t="str">
        <f>IF(AND('Mapa de Riesgos'!$Y$50="Muy Alta",'Mapa de Riesgos'!$AA$50="Mayor"),CONCATENATE("R7C",'Mapa de Riesgos'!$O$50),"")</f>
        <v/>
      </c>
      <c r="AE12" s="51" t="str">
        <f>IF(AND('Mapa de Riesgos'!$Y$51="Muy Alta",'Mapa de Riesgos'!$AA$51="Mayor"),CONCATENATE("R7C",'Mapa de Riesgos'!$O$51),"")</f>
        <v/>
      </c>
      <c r="AF12" s="51" t="str">
        <f>IF(AND('Mapa de Riesgos'!$Y$52="Muy Alta",'Mapa de Riesgos'!$AA$52="Mayor"),CONCATENATE("R7C",'Mapa de Riesgos'!$O$52),"")</f>
        <v/>
      </c>
      <c r="AG12" s="52" t="str">
        <f>IF(AND('Mapa de Riesgos'!$Y$53="Muy Alta",'Mapa de Riesgos'!$AA$53="Mayor"),CONCATENATE("R7C",'Mapa de Riesgos'!$O$53),"")</f>
        <v/>
      </c>
      <c r="AH12" s="53" t="str">
        <f>IF(AND('Mapa de Riesgos'!$Y$48="Muy Alta",'Mapa de Riesgos'!$AA$48="Catastrófico"),CONCATENATE("R7C",'Mapa de Riesgos'!$O$48),"")</f>
        <v/>
      </c>
      <c r="AI12" s="54" t="str">
        <f>IF(AND('Mapa de Riesgos'!$Y$49="Muy Alta",'Mapa de Riesgos'!$AA$49="Catastrófico"),CONCATENATE("R7C",'Mapa de Riesgos'!$O$49),"")</f>
        <v/>
      </c>
      <c r="AJ12" s="54" t="str">
        <f>IF(AND('Mapa de Riesgos'!$Y$50="Muy Alta",'Mapa de Riesgos'!$AA$50="Catastrófico"),CONCATENATE("R7C",'Mapa de Riesgos'!$O$50),"")</f>
        <v/>
      </c>
      <c r="AK12" s="54" t="str">
        <f>IF(AND('Mapa de Riesgos'!$Y$51="Muy Alta",'Mapa de Riesgos'!$AA$51="Catastrófico"),CONCATENATE("R7C",'Mapa de Riesgos'!$O$51),"")</f>
        <v/>
      </c>
      <c r="AL12" s="54" t="str">
        <f>IF(AND('Mapa de Riesgos'!$Y$52="Muy Alta",'Mapa de Riesgos'!$AA$52="Catastrófico"),CONCATENATE("R7C",'Mapa de Riesgos'!$O$52),"")</f>
        <v/>
      </c>
      <c r="AM12" s="55" t="str">
        <f>IF(AND('Mapa de Riesgos'!$Y$53="Muy Alta",'Mapa de Riesgos'!$AA$53="Catastrófico"),CONCATENATE("R7C",'Mapa de Riesgos'!$O$53),"")</f>
        <v/>
      </c>
      <c r="AN12" s="81"/>
      <c r="AO12" s="527"/>
      <c r="AP12" s="528"/>
      <c r="AQ12" s="528"/>
      <c r="AR12" s="528"/>
      <c r="AS12" s="528"/>
      <c r="AT12" s="529"/>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5" customHeight="1" x14ac:dyDescent="0.25">
      <c r="A13" s="81"/>
      <c r="B13" s="466"/>
      <c r="C13" s="466"/>
      <c r="D13" s="467"/>
      <c r="E13" s="507"/>
      <c r="F13" s="508"/>
      <c r="G13" s="508"/>
      <c r="H13" s="508"/>
      <c r="I13" s="509"/>
      <c r="J13" s="50" t="str">
        <f>IF(AND('Mapa de Riesgos'!$Y$54="Muy Alta",'Mapa de Riesgos'!$AA$54="Leve"),CONCATENATE("R8C",'Mapa de Riesgos'!$O$54),"")</f>
        <v/>
      </c>
      <c r="K13" s="51" t="str">
        <f>IF(AND('Mapa de Riesgos'!$Y$55="Muy Alta",'Mapa de Riesgos'!$AA$55="Leve"),CONCATENATE("R8C",'Mapa de Riesgos'!$O$55),"")</f>
        <v/>
      </c>
      <c r="L13" s="51" t="str">
        <f>IF(AND('Mapa de Riesgos'!$Y$56="Muy Alta",'Mapa de Riesgos'!$AA$56="Leve"),CONCATENATE("R8C",'Mapa de Riesgos'!$O$56),"")</f>
        <v/>
      </c>
      <c r="M13" s="51" t="str">
        <f>IF(AND('Mapa de Riesgos'!$Y$57="Muy Alta",'Mapa de Riesgos'!$AA$57="Leve"),CONCATENATE("R8C",'Mapa de Riesgos'!$O$57),"")</f>
        <v/>
      </c>
      <c r="N13" s="51" t="str">
        <f>IF(AND('Mapa de Riesgos'!$Y$58="Muy Alta",'Mapa de Riesgos'!$AA$58="Leve"),CONCATENATE("R8C",'Mapa de Riesgos'!$O$58),"")</f>
        <v/>
      </c>
      <c r="O13" s="52" t="str">
        <f>IF(AND('Mapa de Riesgos'!$Y$59="Muy Alta",'Mapa de Riesgos'!$AA$59="Leve"),CONCATENATE("R8C",'Mapa de Riesgos'!$O$59),"")</f>
        <v/>
      </c>
      <c r="P13" s="50" t="str">
        <f>IF(AND('Mapa de Riesgos'!$Y$54="Muy Alta",'Mapa de Riesgos'!$AA$54="Menor"),CONCATENATE("R8C",'Mapa de Riesgos'!$O$54),"")</f>
        <v/>
      </c>
      <c r="Q13" s="51" t="str">
        <f>IF(AND('Mapa de Riesgos'!$Y$55="Muy Alta",'Mapa de Riesgos'!$AA$55="Menor"),CONCATENATE("R8C",'Mapa de Riesgos'!$O$55),"")</f>
        <v/>
      </c>
      <c r="R13" s="51" t="str">
        <f>IF(AND('Mapa de Riesgos'!$Y$56="Muy Alta",'Mapa de Riesgos'!$AA$56="Menor"),CONCATENATE("R8C",'Mapa de Riesgos'!$O$56),"")</f>
        <v/>
      </c>
      <c r="S13" s="51" t="str">
        <f>IF(AND('Mapa de Riesgos'!$Y$57="Muy Alta",'Mapa de Riesgos'!$AA$57="Menor"),CONCATENATE("R8C",'Mapa de Riesgos'!$O$57),"")</f>
        <v/>
      </c>
      <c r="T13" s="51" t="str">
        <f>IF(AND('Mapa de Riesgos'!$Y$58="Muy Alta",'Mapa de Riesgos'!$AA$58="Menor"),CONCATENATE("R8C",'Mapa de Riesgos'!$O$58),"")</f>
        <v/>
      </c>
      <c r="U13" s="52" t="str">
        <f>IF(AND('Mapa de Riesgos'!$Y$59="Muy Alta",'Mapa de Riesgos'!$AA$59="Menor"),CONCATENATE("R8C",'Mapa de Riesgos'!$O$59),"")</f>
        <v/>
      </c>
      <c r="V13" s="50" t="str">
        <f>IF(AND('Mapa de Riesgos'!$Y$54="Muy Alta",'Mapa de Riesgos'!$AA$54="Moderado"),CONCATENATE("R8C",'Mapa de Riesgos'!$O$54),"")</f>
        <v/>
      </c>
      <c r="W13" s="51" t="str">
        <f>IF(AND('Mapa de Riesgos'!$Y$55="Muy Alta",'Mapa de Riesgos'!$AA$55="Moderado"),CONCATENATE("R8C",'Mapa de Riesgos'!$O$55),"")</f>
        <v/>
      </c>
      <c r="X13" s="51" t="str">
        <f>IF(AND('Mapa de Riesgos'!$Y$56="Muy Alta",'Mapa de Riesgos'!$AA$56="Moderado"),CONCATENATE("R8C",'Mapa de Riesgos'!$O$56),"")</f>
        <v/>
      </c>
      <c r="Y13" s="51" t="str">
        <f>IF(AND('Mapa de Riesgos'!$Y$57="Muy Alta",'Mapa de Riesgos'!$AA$57="Moderado"),CONCATENATE("R8C",'Mapa de Riesgos'!$O$57),"")</f>
        <v/>
      </c>
      <c r="Z13" s="51" t="str">
        <f>IF(AND('Mapa de Riesgos'!$Y$58="Muy Alta",'Mapa de Riesgos'!$AA$58="Moderado"),CONCATENATE("R8C",'Mapa de Riesgos'!$O$58),"")</f>
        <v/>
      </c>
      <c r="AA13" s="52" t="str">
        <f>IF(AND('Mapa de Riesgos'!$Y$59="Muy Alta",'Mapa de Riesgos'!$AA$59="Moderado"),CONCATENATE("R8C",'Mapa de Riesgos'!$O$59),"")</f>
        <v/>
      </c>
      <c r="AB13" s="50" t="str">
        <f>IF(AND('Mapa de Riesgos'!$Y$54="Muy Alta",'Mapa de Riesgos'!$AA$54="Mayor"),CONCATENATE("R8C",'Mapa de Riesgos'!$O$54),"")</f>
        <v/>
      </c>
      <c r="AC13" s="51" t="str">
        <f>IF(AND('Mapa de Riesgos'!$Y$55="Muy Alta",'Mapa de Riesgos'!$AA$55="Mayor"),CONCATENATE("R8C",'Mapa de Riesgos'!$O$55),"")</f>
        <v/>
      </c>
      <c r="AD13" s="51" t="str">
        <f>IF(AND('Mapa de Riesgos'!$Y$56="Muy Alta",'Mapa de Riesgos'!$AA$56="Mayor"),CONCATENATE("R8C",'Mapa de Riesgos'!$O$56),"")</f>
        <v/>
      </c>
      <c r="AE13" s="51" t="str">
        <f>IF(AND('Mapa de Riesgos'!$Y$57="Muy Alta",'Mapa de Riesgos'!$AA$57="Mayor"),CONCATENATE("R8C",'Mapa de Riesgos'!$O$57),"")</f>
        <v/>
      </c>
      <c r="AF13" s="51" t="str">
        <f>IF(AND('Mapa de Riesgos'!$Y$58="Muy Alta",'Mapa de Riesgos'!$AA$58="Mayor"),CONCATENATE("R8C",'Mapa de Riesgos'!$O$58),"")</f>
        <v/>
      </c>
      <c r="AG13" s="52" t="str">
        <f>IF(AND('Mapa de Riesgos'!$Y$59="Muy Alta",'Mapa de Riesgos'!$AA$59="Mayor"),CONCATENATE("R8C",'Mapa de Riesgos'!$O$59),"")</f>
        <v/>
      </c>
      <c r="AH13" s="53" t="str">
        <f>IF(AND('Mapa de Riesgos'!$Y$54="Muy Alta",'Mapa de Riesgos'!$AA$54="Catastrófico"),CONCATENATE("R8C",'Mapa de Riesgos'!$O$54),"")</f>
        <v/>
      </c>
      <c r="AI13" s="54" t="str">
        <f>IF(AND('Mapa de Riesgos'!$Y$55="Muy Alta",'Mapa de Riesgos'!$AA$55="Catastrófico"),CONCATENATE("R8C",'Mapa de Riesgos'!$O$55),"")</f>
        <v/>
      </c>
      <c r="AJ13" s="54" t="str">
        <f>IF(AND('Mapa de Riesgos'!$Y$56="Muy Alta",'Mapa de Riesgos'!$AA$56="Catastrófico"),CONCATENATE("R8C",'Mapa de Riesgos'!$O$56),"")</f>
        <v/>
      </c>
      <c r="AK13" s="54" t="str">
        <f>IF(AND('Mapa de Riesgos'!$Y$57="Muy Alta",'Mapa de Riesgos'!$AA$57="Catastrófico"),CONCATENATE("R8C",'Mapa de Riesgos'!$O$57),"")</f>
        <v/>
      </c>
      <c r="AL13" s="54" t="str">
        <f>IF(AND('Mapa de Riesgos'!$Y$58="Muy Alta",'Mapa de Riesgos'!$AA$58="Catastrófico"),CONCATENATE("R8C",'Mapa de Riesgos'!$O$58),"")</f>
        <v/>
      </c>
      <c r="AM13" s="55" t="str">
        <f>IF(AND('Mapa de Riesgos'!$Y$59="Muy Alta",'Mapa de Riesgos'!$AA$59="Catastrófico"),CONCATENATE("R8C",'Mapa de Riesgos'!$O$59),"")</f>
        <v/>
      </c>
      <c r="AN13" s="81"/>
      <c r="AO13" s="527"/>
      <c r="AP13" s="528"/>
      <c r="AQ13" s="528"/>
      <c r="AR13" s="528"/>
      <c r="AS13" s="528"/>
      <c r="AT13" s="529"/>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5" customHeight="1" x14ac:dyDescent="0.25">
      <c r="A14" s="81"/>
      <c r="B14" s="466"/>
      <c r="C14" s="466"/>
      <c r="D14" s="467"/>
      <c r="E14" s="507"/>
      <c r="F14" s="508"/>
      <c r="G14" s="508"/>
      <c r="H14" s="508"/>
      <c r="I14" s="509"/>
      <c r="J14" s="50" t="str">
        <f>IF(AND('Mapa de Riesgos'!$Y$60="Muy Alta",'Mapa de Riesgos'!$AA$60="Leve"),CONCATENATE("R9C",'Mapa de Riesgos'!$O$60),"")</f>
        <v/>
      </c>
      <c r="K14" s="51" t="str">
        <f>IF(AND('Mapa de Riesgos'!$Y$61="Muy Alta",'Mapa de Riesgos'!$AA$61="Leve"),CONCATENATE("R9C",'Mapa de Riesgos'!$O$61),"")</f>
        <v/>
      </c>
      <c r="L14" s="51" t="str">
        <f>IF(AND('Mapa de Riesgos'!$Y$62="Muy Alta",'Mapa de Riesgos'!$AA$62="Leve"),CONCATENATE("R9C",'Mapa de Riesgos'!$O$62),"")</f>
        <v/>
      </c>
      <c r="M14" s="51" t="str">
        <f>IF(AND('Mapa de Riesgos'!$Y$63="Muy Alta",'Mapa de Riesgos'!$AA$63="Leve"),CONCATENATE("R9C",'Mapa de Riesgos'!$O$63),"")</f>
        <v/>
      </c>
      <c r="N14" s="51" t="str">
        <f>IF(AND('Mapa de Riesgos'!$Y$64="Muy Alta",'Mapa de Riesgos'!$AA$64="Leve"),CONCATENATE("R9C",'Mapa de Riesgos'!$O$64),"")</f>
        <v/>
      </c>
      <c r="O14" s="52" t="str">
        <f>IF(AND('Mapa de Riesgos'!$Y$65="Muy Alta",'Mapa de Riesgos'!$AA$65="Leve"),CONCATENATE("R9C",'Mapa de Riesgos'!$O$65),"")</f>
        <v/>
      </c>
      <c r="P14" s="50" t="str">
        <f>IF(AND('Mapa de Riesgos'!$Y$60="Muy Alta",'Mapa de Riesgos'!$AA$60="Menor"),CONCATENATE("R9C",'Mapa de Riesgos'!$O$60),"")</f>
        <v/>
      </c>
      <c r="Q14" s="51" t="str">
        <f>IF(AND('Mapa de Riesgos'!$Y$61="Muy Alta",'Mapa de Riesgos'!$AA$61="Menor"),CONCATENATE("R9C",'Mapa de Riesgos'!$O$61),"")</f>
        <v/>
      </c>
      <c r="R14" s="51" t="str">
        <f>IF(AND('Mapa de Riesgos'!$Y$62="Muy Alta",'Mapa de Riesgos'!$AA$62="Menor"),CONCATENATE("R9C",'Mapa de Riesgos'!$O$62),"")</f>
        <v/>
      </c>
      <c r="S14" s="51" t="str">
        <f>IF(AND('Mapa de Riesgos'!$Y$63="Muy Alta",'Mapa de Riesgos'!$AA$63="Menor"),CONCATENATE("R9C",'Mapa de Riesgos'!$O$63),"")</f>
        <v/>
      </c>
      <c r="T14" s="51" t="str">
        <f>IF(AND('Mapa de Riesgos'!$Y$64="Muy Alta",'Mapa de Riesgos'!$AA$64="Menor"),CONCATENATE("R9C",'Mapa de Riesgos'!$O$64),"")</f>
        <v/>
      </c>
      <c r="U14" s="52" t="str">
        <f>IF(AND('Mapa de Riesgos'!$Y$65="Muy Alta",'Mapa de Riesgos'!$AA$65="Menor"),CONCATENATE("R9C",'Mapa de Riesgos'!$O$65),"")</f>
        <v/>
      </c>
      <c r="V14" s="50" t="str">
        <f>IF(AND('Mapa de Riesgos'!$Y$60="Muy Alta",'Mapa de Riesgos'!$AA$60="Moderado"),CONCATENATE("R9C",'Mapa de Riesgos'!$O$60),"")</f>
        <v/>
      </c>
      <c r="W14" s="51" t="str">
        <f>IF(AND('Mapa de Riesgos'!$Y$61="Muy Alta",'Mapa de Riesgos'!$AA$61="Moderado"),CONCATENATE("R9C",'Mapa de Riesgos'!$O$61),"")</f>
        <v/>
      </c>
      <c r="X14" s="51" t="str">
        <f>IF(AND('Mapa de Riesgos'!$Y$62="Muy Alta",'Mapa de Riesgos'!$AA$62="Moderado"),CONCATENATE("R9C",'Mapa de Riesgos'!$O$62),"")</f>
        <v/>
      </c>
      <c r="Y14" s="51" t="str">
        <f>IF(AND('Mapa de Riesgos'!$Y$63="Muy Alta",'Mapa de Riesgos'!$AA$63="Moderado"),CONCATENATE("R9C",'Mapa de Riesgos'!$O$63),"")</f>
        <v/>
      </c>
      <c r="Z14" s="51" t="str">
        <f>IF(AND('Mapa de Riesgos'!$Y$64="Muy Alta",'Mapa de Riesgos'!$AA$64="Moderado"),CONCATENATE("R9C",'Mapa de Riesgos'!$O$64),"")</f>
        <v/>
      </c>
      <c r="AA14" s="52" t="str">
        <f>IF(AND('Mapa de Riesgos'!$Y$65="Muy Alta",'Mapa de Riesgos'!$AA$65="Moderado"),CONCATENATE("R9C",'Mapa de Riesgos'!$O$65),"")</f>
        <v/>
      </c>
      <c r="AB14" s="50" t="str">
        <f>IF(AND('Mapa de Riesgos'!$Y$60="Muy Alta",'Mapa de Riesgos'!$AA$60="Mayor"),CONCATENATE("R9C",'Mapa de Riesgos'!$O$60),"")</f>
        <v/>
      </c>
      <c r="AC14" s="51" t="str">
        <f>IF(AND('Mapa de Riesgos'!$Y$61="Muy Alta",'Mapa de Riesgos'!$AA$61="Mayor"),CONCATENATE("R9C",'Mapa de Riesgos'!$O$61),"")</f>
        <v/>
      </c>
      <c r="AD14" s="51" t="str">
        <f>IF(AND('Mapa de Riesgos'!$Y$62="Muy Alta",'Mapa de Riesgos'!$AA$62="Mayor"),CONCATENATE("R9C",'Mapa de Riesgos'!$O$62),"")</f>
        <v/>
      </c>
      <c r="AE14" s="51" t="str">
        <f>IF(AND('Mapa de Riesgos'!$Y$63="Muy Alta",'Mapa de Riesgos'!$AA$63="Mayor"),CONCATENATE("R9C",'Mapa de Riesgos'!$O$63),"")</f>
        <v/>
      </c>
      <c r="AF14" s="51" t="str">
        <f>IF(AND('Mapa de Riesgos'!$Y$64="Muy Alta",'Mapa de Riesgos'!$AA$64="Mayor"),CONCATENATE("R9C",'Mapa de Riesgos'!$O$64),"")</f>
        <v/>
      </c>
      <c r="AG14" s="52" t="str">
        <f>IF(AND('Mapa de Riesgos'!$Y$65="Muy Alta",'Mapa de Riesgos'!$AA$65="Mayor"),CONCATENATE("R9C",'Mapa de Riesgos'!$O$65),"")</f>
        <v/>
      </c>
      <c r="AH14" s="53" t="str">
        <f>IF(AND('Mapa de Riesgos'!$Y$60="Muy Alta",'Mapa de Riesgos'!$AA$60="Catastrófico"),CONCATENATE("R9C",'Mapa de Riesgos'!$O$60),"")</f>
        <v/>
      </c>
      <c r="AI14" s="54" t="str">
        <f>IF(AND('Mapa de Riesgos'!$Y$61="Muy Alta",'Mapa de Riesgos'!$AA$61="Catastrófico"),CONCATENATE("R9C",'Mapa de Riesgos'!$O$61),"")</f>
        <v/>
      </c>
      <c r="AJ14" s="54" t="str">
        <f>IF(AND('Mapa de Riesgos'!$Y$62="Muy Alta",'Mapa de Riesgos'!$AA$62="Catastrófico"),CONCATENATE("R9C",'Mapa de Riesgos'!$O$62),"")</f>
        <v/>
      </c>
      <c r="AK14" s="54" t="str">
        <f>IF(AND('Mapa de Riesgos'!$Y$63="Muy Alta",'Mapa de Riesgos'!$AA$63="Catastrófico"),CONCATENATE("R9C",'Mapa de Riesgos'!$O$63),"")</f>
        <v/>
      </c>
      <c r="AL14" s="54" t="str">
        <f>IF(AND('Mapa de Riesgos'!$Y$64="Muy Alta",'Mapa de Riesgos'!$AA$64="Catastrófico"),CONCATENATE("R9C",'Mapa de Riesgos'!$O$64),"")</f>
        <v/>
      </c>
      <c r="AM14" s="55" t="str">
        <f>IF(AND('Mapa de Riesgos'!$Y$65="Muy Alta",'Mapa de Riesgos'!$AA$65="Catastrófico"),CONCATENATE("R9C",'Mapa de Riesgos'!$O$65),"")</f>
        <v/>
      </c>
      <c r="AN14" s="81"/>
      <c r="AO14" s="527"/>
      <c r="AP14" s="528"/>
      <c r="AQ14" s="528"/>
      <c r="AR14" s="528"/>
      <c r="AS14" s="528"/>
      <c r="AT14" s="529"/>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75" customHeight="1" thickBot="1" x14ac:dyDescent="0.3">
      <c r="A15" s="81"/>
      <c r="B15" s="466"/>
      <c r="C15" s="466"/>
      <c r="D15" s="467"/>
      <c r="E15" s="510"/>
      <c r="F15" s="511"/>
      <c r="G15" s="511"/>
      <c r="H15" s="511"/>
      <c r="I15" s="512"/>
      <c r="J15" s="56" t="str">
        <f>IF(AND('Mapa de Riesgos'!$Y$66="Muy Alta",'Mapa de Riesgos'!$AA$66="Leve"),CONCATENATE("R10C",'Mapa de Riesgos'!$O$66),"")</f>
        <v/>
      </c>
      <c r="K15" s="57" t="str">
        <f>IF(AND('Mapa de Riesgos'!$Y$68="Muy Alta",'Mapa de Riesgos'!$AA$68="Leve"),CONCATENATE("R10C",'Mapa de Riesgos'!$O$68),"")</f>
        <v/>
      </c>
      <c r="L15" s="57" t="str">
        <f>IF(AND('Mapa de Riesgos'!$Y$69="Muy Alta",'Mapa de Riesgos'!$AA$69="Leve"),CONCATENATE("R10C",'Mapa de Riesgos'!$O$69),"")</f>
        <v/>
      </c>
      <c r="M15" s="57" t="str">
        <f>IF(AND('Mapa de Riesgos'!$Y$70="Muy Alta",'Mapa de Riesgos'!$AA$70="Leve"),CONCATENATE("R10C",'Mapa de Riesgos'!$O$70),"")</f>
        <v/>
      </c>
      <c r="N15" s="57" t="str">
        <f>IF(AND('Mapa de Riesgos'!$Y$71="Muy Alta",'Mapa de Riesgos'!$AA$71="Leve"),CONCATENATE("R10C",'Mapa de Riesgos'!$O$71),"")</f>
        <v/>
      </c>
      <c r="O15" s="58" t="str">
        <f>IF(AND('Mapa de Riesgos'!$Y$72="Muy Alta",'Mapa de Riesgos'!$AA$72="Leve"),CONCATENATE("R10C",'Mapa de Riesgos'!$O$72),"")</f>
        <v/>
      </c>
      <c r="P15" s="50" t="str">
        <f>IF(AND('Mapa de Riesgos'!$Y$66="Muy Alta",'Mapa de Riesgos'!$AA$66="Menor"),CONCATENATE("R10C",'Mapa de Riesgos'!$O$66),"")</f>
        <v/>
      </c>
      <c r="Q15" s="51" t="str">
        <f>IF(AND('Mapa de Riesgos'!$Y$68="Muy Alta",'Mapa de Riesgos'!$AA$68="Menor"),CONCATENATE("R10C",'Mapa de Riesgos'!$O$68),"")</f>
        <v/>
      </c>
      <c r="R15" s="51" t="str">
        <f>IF(AND('Mapa de Riesgos'!$Y$69="Muy Alta",'Mapa de Riesgos'!$AA$69="Menor"),CONCATENATE("R10C",'Mapa de Riesgos'!$O$69),"")</f>
        <v/>
      </c>
      <c r="S15" s="51" t="str">
        <f>IF(AND('Mapa de Riesgos'!$Y$70="Muy Alta",'Mapa de Riesgos'!$AA$70="Menor"),CONCATENATE("R10C",'Mapa de Riesgos'!$O$70),"")</f>
        <v/>
      </c>
      <c r="T15" s="51" t="str">
        <f>IF(AND('Mapa de Riesgos'!$Y$71="Muy Alta",'Mapa de Riesgos'!$AA$71="Menor"),CONCATENATE("R10C",'Mapa de Riesgos'!$O$71),"")</f>
        <v/>
      </c>
      <c r="U15" s="52" t="str">
        <f>IF(AND('Mapa de Riesgos'!$Y$72="Muy Alta",'Mapa de Riesgos'!$AA$72="Menor"),CONCATENATE("R10C",'Mapa de Riesgos'!$O$72),"")</f>
        <v/>
      </c>
      <c r="V15" s="56" t="str">
        <f>IF(AND('Mapa de Riesgos'!$Y$66="Muy Alta",'Mapa de Riesgos'!$AA$66="Moderado"),CONCATENATE("R10C",'Mapa de Riesgos'!$O$66),"")</f>
        <v/>
      </c>
      <c r="W15" s="57" t="str">
        <f>IF(AND('Mapa de Riesgos'!$Y$68="Muy Alta",'Mapa de Riesgos'!$AA$68="Moderado"),CONCATENATE("R10C",'Mapa de Riesgos'!$O$68),"")</f>
        <v/>
      </c>
      <c r="X15" s="57" t="str">
        <f>IF(AND('Mapa de Riesgos'!$Y$69="Muy Alta",'Mapa de Riesgos'!$AA$69="Moderado"),CONCATENATE("R10C",'Mapa de Riesgos'!$O$69),"")</f>
        <v/>
      </c>
      <c r="Y15" s="57" t="str">
        <f>IF(AND('Mapa de Riesgos'!$Y$70="Muy Alta",'Mapa de Riesgos'!$AA$70="Moderado"),CONCATENATE("R10C",'Mapa de Riesgos'!$O$70),"")</f>
        <v/>
      </c>
      <c r="Z15" s="57" t="str">
        <f>IF(AND('Mapa de Riesgos'!$Y$71="Muy Alta",'Mapa de Riesgos'!$AA$71="Moderado"),CONCATENATE("R10C",'Mapa de Riesgos'!$O$71),"")</f>
        <v/>
      </c>
      <c r="AA15" s="58" t="str">
        <f>IF(AND('Mapa de Riesgos'!$Y$72="Muy Alta",'Mapa de Riesgos'!$AA$72="Moderado"),CONCATENATE("R10C",'Mapa de Riesgos'!$O$72),"")</f>
        <v/>
      </c>
      <c r="AB15" s="50" t="str">
        <f>IF(AND('Mapa de Riesgos'!$Y$66="Muy Alta",'Mapa de Riesgos'!$AA$66="Mayor"),CONCATENATE("R10C",'Mapa de Riesgos'!$O$66),"")</f>
        <v/>
      </c>
      <c r="AC15" s="51" t="str">
        <f>IF(AND('Mapa de Riesgos'!$Y$68="Muy Alta",'Mapa de Riesgos'!$AA$68="Mayor"),CONCATENATE("R10C",'Mapa de Riesgos'!$O$68),"")</f>
        <v/>
      </c>
      <c r="AD15" s="51" t="str">
        <f>IF(AND('Mapa de Riesgos'!$Y$69="Muy Alta",'Mapa de Riesgos'!$AA$69="Mayor"),CONCATENATE("R10C",'Mapa de Riesgos'!$O$69),"")</f>
        <v/>
      </c>
      <c r="AE15" s="51" t="str">
        <f>IF(AND('Mapa de Riesgos'!$Y$70="Muy Alta",'Mapa de Riesgos'!$AA$70="Mayor"),CONCATENATE("R10C",'Mapa de Riesgos'!$O$70),"")</f>
        <v/>
      </c>
      <c r="AF15" s="51" t="str">
        <f>IF(AND('Mapa de Riesgos'!$Y$71="Muy Alta",'Mapa de Riesgos'!$AA$71="Mayor"),CONCATENATE("R10C",'Mapa de Riesgos'!$O$71),"")</f>
        <v/>
      </c>
      <c r="AG15" s="52" t="str">
        <f>IF(AND('Mapa de Riesgos'!$Y$72="Muy Alta",'Mapa de Riesgos'!$AA$72="Mayor"),CONCATENATE("R10C",'Mapa de Riesgos'!$O$72),"")</f>
        <v/>
      </c>
      <c r="AH15" s="59" t="str">
        <f>IF(AND('Mapa de Riesgos'!$Y$66="Muy Alta",'Mapa de Riesgos'!$AA$66="Catastrófico"),CONCATENATE("R10C",'Mapa de Riesgos'!$O$66),"")</f>
        <v/>
      </c>
      <c r="AI15" s="60" t="str">
        <f>IF(AND('Mapa de Riesgos'!$Y$68="Muy Alta",'Mapa de Riesgos'!$AA$68="Catastrófico"),CONCATENATE("R10C",'Mapa de Riesgos'!$O$68),"")</f>
        <v/>
      </c>
      <c r="AJ15" s="60" t="str">
        <f>IF(AND('Mapa de Riesgos'!$Y$69="Muy Alta",'Mapa de Riesgos'!$AA$69="Catastrófico"),CONCATENATE("R10C",'Mapa de Riesgos'!$O$69),"")</f>
        <v/>
      </c>
      <c r="AK15" s="60" t="str">
        <f>IF(AND('Mapa de Riesgos'!$Y$70="Muy Alta",'Mapa de Riesgos'!$AA$70="Catastrófico"),CONCATENATE("R10C",'Mapa de Riesgos'!$O$70),"")</f>
        <v/>
      </c>
      <c r="AL15" s="60" t="str">
        <f>IF(AND('Mapa de Riesgos'!$Y$71="Muy Alta",'Mapa de Riesgos'!$AA$71="Catastrófico"),CONCATENATE("R10C",'Mapa de Riesgos'!$O$71),"")</f>
        <v/>
      </c>
      <c r="AM15" s="61" t="str">
        <f>IF(AND('Mapa de Riesgos'!$Y$72="Muy Alta",'Mapa de Riesgos'!$AA$72="Catastrófico"),CONCATENATE("R10C",'Mapa de Riesgos'!$O$72),"")</f>
        <v/>
      </c>
      <c r="AN15" s="81"/>
      <c r="AO15" s="530"/>
      <c r="AP15" s="531"/>
      <c r="AQ15" s="531"/>
      <c r="AR15" s="531"/>
      <c r="AS15" s="531"/>
      <c r="AT15" s="532"/>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5" customHeight="1" x14ac:dyDescent="0.25">
      <c r="A16" s="81"/>
      <c r="B16" s="466"/>
      <c r="C16" s="466"/>
      <c r="D16" s="467"/>
      <c r="E16" s="504" t="s">
        <v>200</v>
      </c>
      <c r="F16" s="505"/>
      <c r="G16" s="505"/>
      <c r="H16" s="505"/>
      <c r="I16" s="505"/>
      <c r="J16" s="62" t="str">
        <f>IF(AND('Mapa de Riesgos'!$Y$12="Alta",'Mapa de Riesgos'!$AA$12="Leve"),CONCATENATE("R1C",'Mapa de Riesgos'!$O$12),"")</f>
        <v/>
      </c>
      <c r="K16" s="63" t="str">
        <f>IF(AND('Mapa de Riesgos'!$Y$13="Alta",'Mapa de Riesgos'!$AA$13="Leve"),CONCATENATE("R1C",'Mapa de Riesgos'!$O$13),"")</f>
        <v/>
      </c>
      <c r="L16" s="63" t="str">
        <f>IF(AND('Mapa de Riesgos'!$Y$14="Alta",'Mapa de Riesgos'!$AA$14="Leve"),CONCATENATE("R1C",'Mapa de Riesgos'!$O$14),"")</f>
        <v/>
      </c>
      <c r="M16" s="63" t="str">
        <f>IF(AND('Mapa de Riesgos'!$Y$15="Alta",'Mapa de Riesgos'!$AA$15="Leve"),CONCATENATE("R1C",'Mapa de Riesgos'!$O$15),"")</f>
        <v/>
      </c>
      <c r="N16" s="63" t="str">
        <f>IF(AND('Mapa de Riesgos'!$Y$16="Alta",'Mapa de Riesgos'!$AA$16="Leve"),CONCATENATE("R1C",'Mapa de Riesgos'!$O$16),"")</f>
        <v/>
      </c>
      <c r="O16" s="64" t="str">
        <f>IF(AND('Mapa de Riesgos'!$Y$17="Alta",'Mapa de Riesgos'!$AA$17="Leve"),CONCATENATE("R1C",'Mapa de Riesgos'!$O$17),"")</f>
        <v/>
      </c>
      <c r="P16" s="62" t="str">
        <f>IF(AND('Mapa de Riesgos'!$Y$12="Alta",'Mapa de Riesgos'!$AA$12="Menor"),CONCATENATE("R1C",'Mapa de Riesgos'!$O$12),"")</f>
        <v/>
      </c>
      <c r="Q16" s="63" t="str">
        <f>IF(AND('Mapa de Riesgos'!$Y$13="Alta",'Mapa de Riesgos'!$AA$13="Menor"),CONCATENATE("R1C",'Mapa de Riesgos'!$O$13),"")</f>
        <v/>
      </c>
      <c r="R16" s="63" t="str">
        <f>IF(AND('Mapa de Riesgos'!$Y$14="Alta",'Mapa de Riesgos'!$AA$14="Menor"),CONCATENATE("R1C",'Mapa de Riesgos'!$O$14),"")</f>
        <v/>
      </c>
      <c r="S16" s="63" t="str">
        <f>IF(AND('Mapa de Riesgos'!$Y$15="Alta",'Mapa de Riesgos'!$AA$15="Menor"),CONCATENATE("R1C",'Mapa de Riesgos'!$O$15),"")</f>
        <v/>
      </c>
      <c r="T16" s="63" t="str">
        <f>IF(AND('Mapa de Riesgos'!$Y$16="Alta",'Mapa de Riesgos'!$AA$16="Menor"),CONCATENATE("R1C",'Mapa de Riesgos'!$O$16),"")</f>
        <v/>
      </c>
      <c r="U16" s="64" t="str">
        <f>IF(AND('Mapa de Riesgos'!$Y$17="Alta",'Mapa de Riesgos'!$AA$17="Menor"),CONCATENATE("R1C",'Mapa de Riesgos'!$O$17),"")</f>
        <v/>
      </c>
      <c r="V16" s="44" t="str">
        <f>IF(AND('Mapa de Riesgos'!$Y$12="Alta",'Mapa de Riesgos'!$AA$12="Moderado"),CONCATENATE("R1C",'Mapa de Riesgos'!$O$12),"")</f>
        <v/>
      </c>
      <c r="W16" s="45" t="str">
        <f>IF(AND('Mapa de Riesgos'!$Y$13="Alta",'Mapa de Riesgos'!$AA$13="Moderado"),CONCATENATE("R1C",'Mapa de Riesgos'!$O$13),"")</f>
        <v/>
      </c>
      <c r="X16" s="45" t="str">
        <f>IF(AND('Mapa de Riesgos'!$Y$14="Alta",'Mapa de Riesgos'!$AA$14="Moderado"),CONCATENATE("R1C",'Mapa de Riesgos'!$O$14),"")</f>
        <v/>
      </c>
      <c r="Y16" s="45" t="str">
        <f>IF(AND('Mapa de Riesgos'!$Y$15="Alta",'Mapa de Riesgos'!$AA$15="Moderado"),CONCATENATE("R1C",'Mapa de Riesgos'!$O$15),"")</f>
        <v/>
      </c>
      <c r="Z16" s="45" t="str">
        <f>IF(AND('Mapa de Riesgos'!$Y$16="Alta",'Mapa de Riesgos'!$AA$16="Moderado"),CONCATENATE("R1C",'Mapa de Riesgos'!$O$16),"")</f>
        <v/>
      </c>
      <c r="AA16" s="46" t="str">
        <f>IF(AND('Mapa de Riesgos'!$Y$17="Alta",'Mapa de Riesgos'!$AA$17="Moderado"),CONCATENATE("R1C",'Mapa de Riesgos'!$O$17),"")</f>
        <v/>
      </c>
      <c r="AB16" s="44" t="str">
        <f>IF(AND('Mapa de Riesgos'!$Y$12="Alta",'Mapa de Riesgos'!$AA$12="Mayor"),CONCATENATE("R1C",'Mapa de Riesgos'!$O$12),"")</f>
        <v/>
      </c>
      <c r="AC16" s="45" t="str">
        <f>IF(AND('Mapa de Riesgos'!$Y$13="Alta",'Mapa de Riesgos'!$AA$13="Mayor"),CONCATENATE("R1C",'Mapa de Riesgos'!$O$13),"")</f>
        <v/>
      </c>
      <c r="AD16" s="45" t="str">
        <f>IF(AND('Mapa de Riesgos'!$Y$14="Alta",'Mapa de Riesgos'!$AA$14="Mayor"),CONCATENATE("R1C",'Mapa de Riesgos'!$O$14),"")</f>
        <v/>
      </c>
      <c r="AE16" s="45" t="str">
        <f>IF(AND('Mapa de Riesgos'!$Y$15="Alta",'Mapa de Riesgos'!$AA$15="Mayor"),CONCATENATE("R1C",'Mapa de Riesgos'!$O$15),"")</f>
        <v/>
      </c>
      <c r="AF16" s="45" t="str">
        <f>IF(AND('Mapa de Riesgos'!$Y$16="Alta",'Mapa de Riesgos'!$AA$16="Mayor"),CONCATENATE("R1C",'Mapa de Riesgos'!$O$16),"")</f>
        <v/>
      </c>
      <c r="AG16" s="46" t="str">
        <f>IF(AND('Mapa de Riesgos'!$Y$17="Alta",'Mapa de Riesgos'!$AA$17="Mayor"),CONCATENATE("R1C",'Mapa de Riesgos'!$O$17),"")</f>
        <v/>
      </c>
      <c r="AH16" s="47" t="str">
        <f>IF(AND('Mapa de Riesgos'!$Y$12="Alta",'Mapa de Riesgos'!$AA$12="Catastrófico"),CONCATENATE("R1C",'Mapa de Riesgos'!$O$12),"")</f>
        <v/>
      </c>
      <c r="AI16" s="48" t="str">
        <f>IF(AND('Mapa de Riesgos'!$Y$13="Alta",'Mapa de Riesgos'!$AA$13="Catastrófico"),CONCATENATE("R1C",'Mapa de Riesgos'!$O$13),"")</f>
        <v/>
      </c>
      <c r="AJ16" s="48" t="str">
        <f>IF(AND('Mapa de Riesgos'!$Y$14="Alta",'Mapa de Riesgos'!$AA$14="Catastrófico"),CONCATENATE("R1C",'Mapa de Riesgos'!$O$14),"")</f>
        <v/>
      </c>
      <c r="AK16" s="48" t="str">
        <f>IF(AND('Mapa de Riesgos'!$Y$15="Alta",'Mapa de Riesgos'!$AA$15="Catastrófico"),CONCATENATE("R1C",'Mapa de Riesgos'!$O$15),"")</f>
        <v/>
      </c>
      <c r="AL16" s="48" t="str">
        <f>IF(AND('Mapa de Riesgos'!$Y$16="Alta",'Mapa de Riesgos'!$AA$16="Catastrófico"),CONCATENATE("R1C",'Mapa de Riesgos'!$O$16),"")</f>
        <v/>
      </c>
      <c r="AM16" s="49" t="str">
        <f>IF(AND('Mapa de Riesgos'!$Y$17="Alta",'Mapa de Riesgos'!$AA$17="Catastrófico"),CONCATENATE("R1C",'Mapa de Riesgos'!$O$17),"")</f>
        <v/>
      </c>
      <c r="AN16" s="81"/>
      <c r="AO16" s="514" t="s">
        <v>201</v>
      </c>
      <c r="AP16" s="515"/>
      <c r="AQ16" s="515"/>
      <c r="AR16" s="515"/>
      <c r="AS16" s="515"/>
      <c r="AT16" s="516"/>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5" customHeight="1" x14ac:dyDescent="0.25">
      <c r="A17" s="81"/>
      <c r="B17" s="466"/>
      <c r="C17" s="466"/>
      <c r="D17" s="467"/>
      <c r="E17" s="523"/>
      <c r="F17" s="508"/>
      <c r="G17" s="508"/>
      <c r="H17" s="508"/>
      <c r="I17" s="508"/>
      <c r="J17" s="65" t="str">
        <f>IF(AND('Mapa de Riesgos'!$Y$18="Alta",'Mapa de Riesgos'!$AA$18="Leve"),CONCATENATE("R2C",'Mapa de Riesgos'!$O$18),"")</f>
        <v/>
      </c>
      <c r="K17" s="66" t="str">
        <f>IF(AND('Mapa de Riesgos'!$Y$19="Alta",'Mapa de Riesgos'!$AA$19="Leve"),CONCATENATE("R2C",'Mapa de Riesgos'!$O$19),"")</f>
        <v/>
      </c>
      <c r="L17" s="66" t="str">
        <f>IF(AND('Mapa de Riesgos'!$Y$20="Alta",'Mapa de Riesgos'!$AA$20="Leve"),CONCATENATE("R2C",'Mapa de Riesgos'!$O$20),"")</f>
        <v/>
      </c>
      <c r="M17" s="66" t="str">
        <f>IF(AND('Mapa de Riesgos'!$Y$21="Alta",'Mapa de Riesgos'!$AA$21="Leve"),CONCATENATE("R2C",'Mapa de Riesgos'!$O$21),"")</f>
        <v/>
      </c>
      <c r="N17" s="66" t="str">
        <f>IF(AND('Mapa de Riesgos'!$Y$22="Alta",'Mapa de Riesgos'!$AA$22="Leve"),CONCATENATE("R2C",'Mapa de Riesgos'!$O$22),"")</f>
        <v/>
      </c>
      <c r="O17" s="67" t="str">
        <f>IF(AND('Mapa de Riesgos'!$Y$23="Alta",'Mapa de Riesgos'!$AA$23="Leve"),CONCATENATE("R2C",'Mapa de Riesgos'!$O$23),"")</f>
        <v/>
      </c>
      <c r="P17" s="65" t="str">
        <f>IF(AND('Mapa de Riesgos'!$Y$18="Alta",'Mapa de Riesgos'!$AA$18="Menor"),CONCATENATE("R2C",'Mapa de Riesgos'!$O$18),"")</f>
        <v/>
      </c>
      <c r="Q17" s="66" t="str">
        <f>IF(AND('Mapa de Riesgos'!$Y$19="Alta",'Mapa de Riesgos'!$AA$19="Menor"),CONCATENATE("R2C",'Mapa de Riesgos'!$O$19),"")</f>
        <v/>
      </c>
      <c r="R17" s="66" t="str">
        <f>IF(AND('Mapa de Riesgos'!$Y$20="Alta",'Mapa de Riesgos'!$AA$20="Menor"),CONCATENATE("R2C",'Mapa de Riesgos'!$O$20),"")</f>
        <v/>
      </c>
      <c r="S17" s="66" t="str">
        <f>IF(AND('Mapa de Riesgos'!$Y$21="Alta",'Mapa de Riesgos'!$AA$21="Menor"),CONCATENATE("R2C",'Mapa de Riesgos'!$O$21),"")</f>
        <v/>
      </c>
      <c r="T17" s="66" t="str">
        <f>IF(AND('Mapa de Riesgos'!$Y$22="Alta",'Mapa de Riesgos'!$AA$22="Menor"),CONCATENATE("R2C",'Mapa de Riesgos'!$O$22),"")</f>
        <v/>
      </c>
      <c r="U17" s="67" t="str">
        <f>IF(AND('Mapa de Riesgos'!$Y$23="Alta",'Mapa de Riesgos'!$AA$23="Menor"),CONCATENATE("R2C",'Mapa de Riesgos'!$O$23),"")</f>
        <v/>
      </c>
      <c r="V17" s="50" t="str">
        <f>IF(AND('Mapa de Riesgos'!$Y$18="Alta",'Mapa de Riesgos'!$AA$18="Moderado"),CONCATENATE("R2C",'Mapa de Riesgos'!$O$18),"")</f>
        <v/>
      </c>
      <c r="W17" s="51" t="str">
        <f>IF(AND('Mapa de Riesgos'!$Y$19="Alta",'Mapa de Riesgos'!$AA$19="Moderado"),CONCATENATE("R2C",'Mapa de Riesgos'!$O$19),"")</f>
        <v/>
      </c>
      <c r="X17" s="51" t="str">
        <f>IF(AND('Mapa de Riesgos'!$Y$20="Alta",'Mapa de Riesgos'!$AA$20="Moderado"),CONCATENATE("R2C",'Mapa de Riesgos'!$O$20),"")</f>
        <v/>
      </c>
      <c r="Y17" s="51" t="str">
        <f>IF(AND('Mapa de Riesgos'!$Y$21="Alta",'Mapa de Riesgos'!$AA$21="Moderado"),CONCATENATE("R2C",'Mapa de Riesgos'!$O$21),"")</f>
        <v/>
      </c>
      <c r="Z17" s="51" t="str">
        <f>IF(AND('Mapa de Riesgos'!$Y$22="Alta",'Mapa de Riesgos'!$AA$22="Moderado"),CONCATENATE("R2C",'Mapa de Riesgos'!$O$22),"")</f>
        <v/>
      </c>
      <c r="AA17" s="52" t="str">
        <f>IF(AND('Mapa de Riesgos'!$Y$23="Alta",'Mapa de Riesgos'!$AA$23="Moderado"),CONCATENATE("R2C",'Mapa de Riesgos'!$O$23),"")</f>
        <v/>
      </c>
      <c r="AB17" s="50" t="str">
        <f>IF(AND('Mapa de Riesgos'!$Y$18="Alta",'Mapa de Riesgos'!$AA$18="Mayor"),CONCATENATE("R2C",'Mapa de Riesgos'!$O$18),"")</f>
        <v/>
      </c>
      <c r="AC17" s="51" t="str">
        <f>IF(AND('Mapa de Riesgos'!$Y$19="Alta",'Mapa de Riesgos'!$AA$19="Mayor"),CONCATENATE("R2C",'Mapa de Riesgos'!$O$19),"")</f>
        <v/>
      </c>
      <c r="AD17" s="51" t="str">
        <f>IF(AND('Mapa de Riesgos'!$Y$20="Alta",'Mapa de Riesgos'!$AA$20="Mayor"),CONCATENATE("R2C",'Mapa de Riesgos'!$O$20),"")</f>
        <v/>
      </c>
      <c r="AE17" s="51" t="str">
        <f>IF(AND('Mapa de Riesgos'!$Y$21="Alta",'Mapa de Riesgos'!$AA$21="Mayor"),CONCATENATE("R2C",'Mapa de Riesgos'!$O$21),"")</f>
        <v/>
      </c>
      <c r="AF17" s="51" t="str">
        <f>IF(AND('Mapa de Riesgos'!$Y$22="Alta",'Mapa de Riesgos'!$AA$22="Mayor"),CONCATENATE("R2C",'Mapa de Riesgos'!$O$22),"")</f>
        <v/>
      </c>
      <c r="AG17" s="52" t="str">
        <f>IF(AND('Mapa de Riesgos'!$Y$23="Alta",'Mapa de Riesgos'!$AA$23="Mayor"),CONCATENATE("R2C",'Mapa de Riesgos'!$O$23),"")</f>
        <v/>
      </c>
      <c r="AH17" s="53" t="str">
        <f>IF(AND('Mapa de Riesgos'!$Y$18="Alta",'Mapa de Riesgos'!$AA$18="Catastrófico"),CONCATENATE("R2C",'Mapa de Riesgos'!$O$18),"")</f>
        <v/>
      </c>
      <c r="AI17" s="54" t="str">
        <f>IF(AND('Mapa de Riesgos'!$Y$19="Alta",'Mapa de Riesgos'!$AA$19="Catastrófico"),CONCATENATE("R2C",'Mapa de Riesgos'!$O$19),"")</f>
        <v/>
      </c>
      <c r="AJ17" s="54" t="str">
        <f>IF(AND('Mapa de Riesgos'!$Y$20="Alta",'Mapa de Riesgos'!$AA$20="Catastrófico"),CONCATENATE("R2C",'Mapa de Riesgos'!$O$20),"")</f>
        <v/>
      </c>
      <c r="AK17" s="54" t="str">
        <f>IF(AND('Mapa de Riesgos'!$Y$21="Alta",'Mapa de Riesgos'!$AA$21="Catastrófico"),CONCATENATE("R2C",'Mapa de Riesgos'!$O$21),"")</f>
        <v/>
      </c>
      <c r="AL17" s="54" t="str">
        <f>IF(AND('Mapa de Riesgos'!$Y$22="Alta",'Mapa de Riesgos'!$AA$22="Catastrófico"),CONCATENATE("R2C",'Mapa de Riesgos'!$O$22),"")</f>
        <v/>
      </c>
      <c r="AM17" s="55" t="str">
        <f>IF(AND('Mapa de Riesgos'!$Y$23="Alta",'Mapa de Riesgos'!$AA$23="Catastrófico"),CONCATENATE("R2C",'Mapa de Riesgos'!$O$23),"")</f>
        <v/>
      </c>
      <c r="AN17" s="81"/>
      <c r="AO17" s="517"/>
      <c r="AP17" s="518"/>
      <c r="AQ17" s="518"/>
      <c r="AR17" s="518"/>
      <c r="AS17" s="518"/>
      <c r="AT17" s="519"/>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5" customHeight="1" x14ac:dyDescent="0.25">
      <c r="A18" s="81"/>
      <c r="B18" s="466"/>
      <c r="C18" s="466"/>
      <c r="D18" s="467"/>
      <c r="E18" s="507"/>
      <c r="F18" s="508"/>
      <c r="G18" s="508"/>
      <c r="H18" s="508"/>
      <c r="I18" s="508"/>
      <c r="J18" s="65" t="str">
        <f>IF(AND('Mapa de Riesgos'!$Y$24="Alta",'Mapa de Riesgos'!$AA$24="Leve"),CONCATENATE("R3C",'Mapa de Riesgos'!$O$24),"")</f>
        <v/>
      </c>
      <c r="K18" s="66" t="str">
        <f>IF(AND('Mapa de Riesgos'!$Y$25="Alta",'Mapa de Riesgos'!$AA$25="Leve"),CONCATENATE("R3C",'Mapa de Riesgos'!$O$25),"")</f>
        <v/>
      </c>
      <c r="L18" s="66" t="str">
        <f>IF(AND('Mapa de Riesgos'!$Y$26="Alta",'Mapa de Riesgos'!$AA$26="Leve"),CONCATENATE("R3C",'Mapa de Riesgos'!$O$26),"")</f>
        <v/>
      </c>
      <c r="M18" s="66" t="str">
        <f>IF(AND('Mapa de Riesgos'!$Y$27="Alta",'Mapa de Riesgos'!$AA$27="Leve"),CONCATENATE("R3C",'Mapa de Riesgos'!$O$27),"")</f>
        <v/>
      </c>
      <c r="N18" s="66" t="str">
        <f>IF(AND('Mapa de Riesgos'!$Y$28="Alta",'Mapa de Riesgos'!$AA$28="Leve"),CONCATENATE("R3C",'Mapa de Riesgos'!$O$28),"")</f>
        <v/>
      </c>
      <c r="O18" s="67" t="str">
        <f>IF(AND('Mapa de Riesgos'!$Y$29="Alta",'Mapa de Riesgos'!$AA$29="Leve"),CONCATENATE("R3C",'Mapa de Riesgos'!$O$29),"")</f>
        <v/>
      </c>
      <c r="P18" s="65" t="str">
        <f>IF(AND('Mapa de Riesgos'!$Y$24="Alta",'Mapa de Riesgos'!$AA$24="Menor"),CONCATENATE("R3C",'Mapa de Riesgos'!$O$24),"")</f>
        <v/>
      </c>
      <c r="Q18" s="66" t="str">
        <f>IF(AND('Mapa de Riesgos'!$Y$25="Alta",'Mapa de Riesgos'!$AA$25="Menor"),CONCATENATE("R3C",'Mapa de Riesgos'!$O$25),"")</f>
        <v/>
      </c>
      <c r="R18" s="66" t="str">
        <f>IF(AND('Mapa de Riesgos'!$Y$26="Alta",'Mapa de Riesgos'!$AA$26="Menor"),CONCATENATE("R3C",'Mapa de Riesgos'!$O$26),"")</f>
        <v/>
      </c>
      <c r="S18" s="66" t="str">
        <f>IF(AND('Mapa de Riesgos'!$Y$27="Alta",'Mapa de Riesgos'!$AA$27="Menor"),CONCATENATE("R3C",'Mapa de Riesgos'!$O$27),"")</f>
        <v/>
      </c>
      <c r="T18" s="66" t="str">
        <f>IF(AND('Mapa de Riesgos'!$Y$28="Alta",'Mapa de Riesgos'!$AA$28="Menor"),CONCATENATE("R3C",'Mapa de Riesgos'!$O$28),"")</f>
        <v/>
      </c>
      <c r="U18" s="67" t="str">
        <f>IF(AND('Mapa de Riesgos'!$Y$29="Alta",'Mapa de Riesgos'!$AA$29="Menor"),CONCATENATE("R3C",'Mapa de Riesgos'!$O$29),"")</f>
        <v/>
      </c>
      <c r="V18" s="50" t="str">
        <f>IF(AND('Mapa de Riesgos'!$Y$24="Alta",'Mapa de Riesgos'!$AA$24="Moderado"),CONCATENATE("R3C",'Mapa de Riesgos'!$O$24),"")</f>
        <v/>
      </c>
      <c r="W18" s="51" t="str">
        <f>IF(AND('Mapa de Riesgos'!$Y$25="Alta",'Mapa de Riesgos'!$AA$25="Moderado"),CONCATENATE("R3C",'Mapa de Riesgos'!$O$25),"")</f>
        <v/>
      </c>
      <c r="X18" s="51" t="str">
        <f>IF(AND('Mapa de Riesgos'!$Y$26="Alta",'Mapa de Riesgos'!$AA$26="Moderado"),CONCATENATE("R3C",'Mapa de Riesgos'!$O$26),"")</f>
        <v/>
      </c>
      <c r="Y18" s="51" t="str">
        <f>IF(AND('Mapa de Riesgos'!$Y$27="Alta",'Mapa de Riesgos'!$AA$27="Moderado"),CONCATENATE("R3C",'Mapa de Riesgos'!$O$27),"")</f>
        <v/>
      </c>
      <c r="Z18" s="51" t="str">
        <f>IF(AND('Mapa de Riesgos'!$Y$28="Alta",'Mapa de Riesgos'!$AA$28="Moderado"),CONCATENATE("R3C",'Mapa de Riesgos'!$O$28),"")</f>
        <v/>
      </c>
      <c r="AA18" s="52" t="str">
        <f>IF(AND('Mapa de Riesgos'!$Y$29="Alta",'Mapa de Riesgos'!$AA$29="Moderado"),CONCATENATE("R3C",'Mapa de Riesgos'!$O$29),"")</f>
        <v/>
      </c>
      <c r="AB18" s="50" t="str">
        <f>IF(AND('Mapa de Riesgos'!$Y$24="Alta",'Mapa de Riesgos'!$AA$24="Mayor"),CONCATENATE("R3C",'Mapa de Riesgos'!$O$24),"")</f>
        <v/>
      </c>
      <c r="AC18" s="51" t="str">
        <f>IF(AND('Mapa de Riesgos'!$Y$25="Alta",'Mapa de Riesgos'!$AA$25="Mayor"),CONCATENATE("R3C",'Mapa de Riesgos'!$O$25),"")</f>
        <v/>
      </c>
      <c r="AD18" s="51" t="str">
        <f>IF(AND('Mapa de Riesgos'!$Y$26="Alta",'Mapa de Riesgos'!$AA$26="Mayor"),CONCATENATE("R3C",'Mapa de Riesgos'!$O$26),"")</f>
        <v/>
      </c>
      <c r="AE18" s="51" t="str">
        <f>IF(AND('Mapa de Riesgos'!$Y$27="Alta",'Mapa de Riesgos'!$AA$27="Mayor"),CONCATENATE("R3C",'Mapa de Riesgos'!$O$27),"")</f>
        <v/>
      </c>
      <c r="AF18" s="51" t="str">
        <f>IF(AND('Mapa de Riesgos'!$Y$28="Alta",'Mapa de Riesgos'!$AA$28="Mayor"),CONCATENATE("R3C",'Mapa de Riesgos'!$O$28),"")</f>
        <v/>
      </c>
      <c r="AG18" s="52" t="str">
        <f>IF(AND('Mapa de Riesgos'!$Y$29="Alta",'Mapa de Riesgos'!$AA$29="Mayor"),CONCATENATE("R3C",'Mapa de Riesgos'!$O$29),"")</f>
        <v/>
      </c>
      <c r="AH18" s="53" t="str">
        <f>IF(AND('Mapa de Riesgos'!$Y$24="Alta",'Mapa de Riesgos'!$AA$24="Catastrófico"),CONCATENATE("R3C",'Mapa de Riesgos'!$O$24),"")</f>
        <v/>
      </c>
      <c r="AI18" s="54" t="str">
        <f>IF(AND('Mapa de Riesgos'!$Y$25="Alta",'Mapa de Riesgos'!$AA$25="Catastrófico"),CONCATENATE("R3C",'Mapa de Riesgos'!$O$25),"")</f>
        <v/>
      </c>
      <c r="AJ18" s="54" t="str">
        <f>IF(AND('Mapa de Riesgos'!$Y$26="Alta",'Mapa de Riesgos'!$AA$26="Catastrófico"),CONCATENATE("R3C",'Mapa de Riesgos'!$O$26),"")</f>
        <v/>
      </c>
      <c r="AK18" s="54" t="str">
        <f>IF(AND('Mapa de Riesgos'!$Y$27="Alta",'Mapa de Riesgos'!$AA$27="Catastrófico"),CONCATENATE("R3C",'Mapa de Riesgos'!$O$27),"")</f>
        <v/>
      </c>
      <c r="AL18" s="54" t="str">
        <f>IF(AND('Mapa de Riesgos'!$Y$28="Alta",'Mapa de Riesgos'!$AA$28="Catastrófico"),CONCATENATE("R3C",'Mapa de Riesgos'!$O$28),"")</f>
        <v/>
      </c>
      <c r="AM18" s="55" t="str">
        <f>IF(AND('Mapa de Riesgos'!$Y$29="Alta",'Mapa de Riesgos'!$AA$29="Catastrófico"),CONCATENATE("R3C",'Mapa de Riesgos'!$O$29),"")</f>
        <v/>
      </c>
      <c r="AN18" s="81"/>
      <c r="AO18" s="517"/>
      <c r="AP18" s="518"/>
      <c r="AQ18" s="518"/>
      <c r="AR18" s="518"/>
      <c r="AS18" s="518"/>
      <c r="AT18" s="519"/>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5" customHeight="1" x14ac:dyDescent="0.25">
      <c r="A19" s="81"/>
      <c r="B19" s="466"/>
      <c r="C19" s="466"/>
      <c r="D19" s="467"/>
      <c r="E19" s="507"/>
      <c r="F19" s="508"/>
      <c r="G19" s="508"/>
      <c r="H19" s="508"/>
      <c r="I19" s="508"/>
      <c r="J19" s="65" t="str">
        <f>IF(AND('Mapa de Riesgos'!$Y$30="Alta",'Mapa de Riesgos'!$AA$30="Leve"),CONCATENATE("R4C",'Mapa de Riesgos'!$O$30),"")</f>
        <v/>
      </c>
      <c r="K19" s="66" t="str">
        <f>IF(AND('Mapa de Riesgos'!$Y$31="Alta",'Mapa de Riesgos'!$AA$31="Leve"),CONCATENATE("R4C",'Mapa de Riesgos'!$O$31),"")</f>
        <v/>
      </c>
      <c r="L19" s="66" t="str">
        <f>IF(AND('Mapa de Riesgos'!$Y$32="Alta",'Mapa de Riesgos'!$AA$32="Leve"),CONCATENATE("R4C",'Mapa de Riesgos'!$O$32),"")</f>
        <v/>
      </c>
      <c r="M19" s="66" t="str">
        <f>IF(AND('Mapa de Riesgos'!$Y$33="Alta",'Mapa de Riesgos'!$AA$33="Leve"),CONCATENATE("R4C",'Mapa de Riesgos'!$O$33),"")</f>
        <v/>
      </c>
      <c r="N19" s="66" t="str">
        <f>IF(AND('Mapa de Riesgos'!$Y$34="Alta",'Mapa de Riesgos'!$AA$34="Leve"),CONCATENATE("R4C",'Mapa de Riesgos'!$O$34),"")</f>
        <v/>
      </c>
      <c r="O19" s="67" t="str">
        <f>IF(AND('Mapa de Riesgos'!$Y$35="Alta",'Mapa de Riesgos'!$AA$35="Leve"),CONCATENATE("R4C",'Mapa de Riesgos'!$O$35),"")</f>
        <v/>
      </c>
      <c r="P19" s="65" t="str">
        <f>IF(AND('Mapa de Riesgos'!$Y$30="Alta",'Mapa de Riesgos'!$AA$30="Menor"),CONCATENATE("R4C",'Mapa de Riesgos'!$O$30),"")</f>
        <v/>
      </c>
      <c r="Q19" s="66" t="str">
        <f>IF(AND('Mapa de Riesgos'!$Y$31="Alta",'Mapa de Riesgos'!$AA$31="Menor"),CONCATENATE("R4C",'Mapa de Riesgos'!$O$31),"")</f>
        <v/>
      </c>
      <c r="R19" s="66" t="str">
        <f>IF(AND('Mapa de Riesgos'!$Y$32="Alta",'Mapa de Riesgos'!$AA$32="Menor"),CONCATENATE("R4C",'Mapa de Riesgos'!$O$32),"")</f>
        <v/>
      </c>
      <c r="S19" s="66" t="str">
        <f>IF(AND('Mapa de Riesgos'!$Y$33="Alta",'Mapa de Riesgos'!$AA$33="Menor"),CONCATENATE("R4C",'Mapa de Riesgos'!$O$33),"")</f>
        <v/>
      </c>
      <c r="T19" s="66" t="str">
        <f>IF(AND('Mapa de Riesgos'!$Y$34="Alta",'Mapa de Riesgos'!$AA$34="Menor"),CONCATENATE("R4C",'Mapa de Riesgos'!$O$34),"")</f>
        <v/>
      </c>
      <c r="U19" s="67" t="str">
        <f>IF(AND('Mapa de Riesgos'!$Y$35="Alta",'Mapa de Riesgos'!$AA$35="Menor"),CONCATENATE("R4C",'Mapa de Riesgos'!$O$35),"")</f>
        <v/>
      </c>
      <c r="V19" s="50" t="str">
        <f>IF(AND('Mapa de Riesgos'!$Y$30="Alta",'Mapa de Riesgos'!$AA$30="Moderado"),CONCATENATE("R4C",'Mapa de Riesgos'!$O$30),"")</f>
        <v/>
      </c>
      <c r="W19" s="51" t="str">
        <f>IF(AND('Mapa de Riesgos'!$Y$31="Alta",'Mapa de Riesgos'!$AA$31="Moderado"),CONCATENATE("R4C",'Mapa de Riesgos'!$O$31),"")</f>
        <v/>
      </c>
      <c r="X19" s="51" t="str">
        <f>IF(AND('Mapa de Riesgos'!$Y$32="Alta",'Mapa de Riesgos'!$AA$32="Moderado"),CONCATENATE("R4C",'Mapa de Riesgos'!$O$32),"")</f>
        <v/>
      </c>
      <c r="Y19" s="51" t="str">
        <f>IF(AND('Mapa de Riesgos'!$Y$33="Alta",'Mapa de Riesgos'!$AA$33="Moderado"),CONCATENATE("R4C",'Mapa de Riesgos'!$O$33),"")</f>
        <v/>
      </c>
      <c r="Z19" s="51" t="str">
        <f>IF(AND('Mapa de Riesgos'!$Y$34="Alta",'Mapa de Riesgos'!$AA$34="Moderado"),CONCATENATE("R4C",'Mapa de Riesgos'!$O$34),"")</f>
        <v/>
      </c>
      <c r="AA19" s="52" t="str">
        <f>IF(AND('Mapa de Riesgos'!$Y$35="Alta",'Mapa de Riesgos'!$AA$35="Moderado"),CONCATENATE("R4C",'Mapa de Riesgos'!$O$35),"")</f>
        <v/>
      </c>
      <c r="AB19" s="50" t="str">
        <f>IF(AND('Mapa de Riesgos'!$Y$30="Alta",'Mapa de Riesgos'!$AA$30="Mayor"),CONCATENATE("R4C",'Mapa de Riesgos'!$O$30),"")</f>
        <v/>
      </c>
      <c r="AC19" s="51" t="str">
        <f>IF(AND('Mapa de Riesgos'!$Y$31="Alta",'Mapa de Riesgos'!$AA$31="Mayor"),CONCATENATE("R4C",'Mapa de Riesgos'!$O$31),"")</f>
        <v/>
      </c>
      <c r="AD19" s="51" t="str">
        <f>IF(AND('Mapa de Riesgos'!$Y$32="Alta",'Mapa de Riesgos'!$AA$32="Mayor"),CONCATENATE("R4C",'Mapa de Riesgos'!$O$32),"")</f>
        <v/>
      </c>
      <c r="AE19" s="51" t="str">
        <f>IF(AND('Mapa de Riesgos'!$Y$33="Alta",'Mapa de Riesgos'!$AA$33="Mayor"),CONCATENATE("R4C",'Mapa de Riesgos'!$O$33),"")</f>
        <v/>
      </c>
      <c r="AF19" s="51" t="str">
        <f>IF(AND('Mapa de Riesgos'!$Y$34="Alta",'Mapa de Riesgos'!$AA$34="Mayor"),CONCATENATE("R4C",'Mapa de Riesgos'!$O$34),"")</f>
        <v/>
      </c>
      <c r="AG19" s="52" t="str">
        <f>IF(AND('Mapa de Riesgos'!$Y$35="Alta",'Mapa de Riesgos'!$AA$35="Mayor"),CONCATENATE("R4C",'Mapa de Riesgos'!$O$35),"")</f>
        <v/>
      </c>
      <c r="AH19" s="53" t="str">
        <f>IF(AND('Mapa de Riesgos'!$Y$30="Alta",'Mapa de Riesgos'!$AA$30="Catastrófico"),CONCATENATE("R4C",'Mapa de Riesgos'!$O$30),"")</f>
        <v/>
      </c>
      <c r="AI19" s="54" t="str">
        <f>IF(AND('Mapa de Riesgos'!$Y$31="Alta",'Mapa de Riesgos'!$AA$31="Catastrófico"),CONCATENATE("R4C",'Mapa de Riesgos'!$O$31),"")</f>
        <v/>
      </c>
      <c r="AJ19" s="54" t="str">
        <f>IF(AND('Mapa de Riesgos'!$Y$32="Alta",'Mapa de Riesgos'!$AA$32="Catastrófico"),CONCATENATE("R4C",'Mapa de Riesgos'!$O$32),"")</f>
        <v/>
      </c>
      <c r="AK19" s="54" t="str">
        <f>IF(AND('Mapa de Riesgos'!$Y$33="Alta",'Mapa de Riesgos'!$AA$33="Catastrófico"),CONCATENATE("R4C",'Mapa de Riesgos'!$O$33),"")</f>
        <v/>
      </c>
      <c r="AL19" s="54" t="str">
        <f>IF(AND('Mapa de Riesgos'!$Y$34="Alta",'Mapa de Riesgos'!$AA$34="Catastrófico"),CONCATENATE("R4C",'Mapa de Riesgos'!$O$34),"")</f>
        <v/>
      </c>
      <c r="AM19" s="55" t="str">
        <f>IF(AND('Mapa de Riesgos'!$Y$35="Alta",'Mapa de Riesgos'!$AA$35="Catastrófico"),CONCATENATE("R4C",'Mapa de Riesgos'!$O$35),"")</f>
        <v/>
      </c>
      <c r="AN19" s="81"/>
      <c r="AO19" s="517"/>
      <c r="AP19" s="518"/>
      <c r="AQ19" s="518"/>
      <c r="AR19" s="518"/>
      <c r="AS19" s="518"/>
      <c r="AT19" s="519"/>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5" customHeight="1" x14ac:dyDescent="0.25">
      <c r="A20" s="81"/>
      <c r="B20" s="466"/>
      <c r="C20" s="466"/>
      <c r="D20" s="467"/>
      <c r="E20" s="507"/>
      <c r="F20" s="508"/>
      <c r="G20" s="508"/>
      <c r="H20" s="508"/>
      <c r="I20" s="508"/>
      <c r="J20" s="65" t="str">
        <f>IF(AND('Mapa de Riesgos'!$Y$36="Alta",'Mapa de Riesgos'!$AA$36="Leve"),CONCATENATE("R5C",'Mapa de Riesgos'!$O$36),"")</f>
        <v/>
      </c>
      <c r="K20" s="66" t="str">
        <f>IF(AND('Mapa de Riesgos'!$Y$37="Alta",'Mapa de Riesgos'!$AA$37="Leve"),CONCATENATE("R5C",'Mapa de Riesgos'!$O$37),"")</f>
        <v/>
      </c>
      <c r="L20" s="66" t="str">
        <f>IF(AND('Mapa de Riesgos'!$Y$38="Alta",'Mapa de Riesgos'!$AA$38="Leve"),CONCATENATE("R5C",'Mapa de Riesgos'!$O$38),"")</f>
        <v/>
      </c>
      <c r="M20" s="66" t="str">
        <f>IF(AND('Mapa de Riesgos'!$Y$39="Alta",'Mapa de Riesgos'!$AA$39="Leve"),CONCATENATE("R5C",'Mapa de Riesgos'!$O$39),"")</f>
        <v/>
      </c>
      <c r="N20" s="66" t="str">
        <f>IF(AND('Mapa de Riesgos'!$Y$40="Alta",'Mapa de Riesgos'!$AA$40="Leve"),CONCATENATE("R5C",'Mapa de Riesgos'!$O$40),"")</f>
        <v/>
      </c>
      <c r="O20" s="67" t="str">
        <f>IF(AND('Mapa de Riesgos'!$Y$41="Alta",'Mapa de Riesgos'!$AA$41="Leve"),CONCATENATE("R5C",'Mapa de Riesgos'!$O$41),"")</f>
        <v/>
      </c>
      <c r="P20" s="65" t="str">
        <f>IF(AND('Mapa de Riesgos'!$Y$36="Alta",'Mapa de Riesgos'!$AA$36="Menor"),CONCATENATE("R5C",'Mapa de Riesgos'!$O$36),"")</f>
        <v/>
      </c>
      <c r="Q20" s="66" t="str">
        <f>IF(AND('Mapa de Riesgos'!$Y$37="Alta",'Mapa de Riesgos'!$AA$37="Menor"),CONCATENATE("R5C",'Mapa de Riesgos'!$O$37),"")</f>
        <v/>
      </c>
      <c r="R20" s="66" t="str">
        <f>IF(AND('Mapa de Riesgos'!$Y$38="Alta",'Mapa de Riesgos'!$AA$38="Menor"),CONCATENATE("R5C",'Mapa de Riesgos'!$O$38),"")</f>
        <v/>
      </c>
      <c r="S20" s="66" t="str">
        <f>IF(AND('Mapa de Riesgos'!$Y$39="Alta",'Mapa de Riesgos'!$AA$39="Menor"),CONCATENATE("R5C",'Mapa de Riesgos'!$O$39),"")</f>
        <v/>
      </c>
      <c r="T20" s="66" t="str">
        <f>IF(AND('Mapa de Riesgos'!$Y$40="Alta",'Mapa de Riesgos'!$AA$40="Menor"),CONCATENATE("R5C",'Mapa de Riesgos'!$O$40),"")</f>
        <v/>
      </c>
      <c r="U20" s="67" t="str">
        <f>IF(AND('Mapa de Riesgos'!$Y$41="Alta",'Mapa de Riesgos'!$AA$41="Menor"),CONCATENATE("R5C",'Mapa de Riesgos'!$O$41),"")</f>
        <v/>
      </c>
      <c r="V20" s="50" t="str">
        <f>IF(AND('Mapa de Riesgos'!$Y$36="Alta",'Mapa de Riesgos'!$AA$36="Moderado"),CONCATENATE("R5C",'Mapa de Riesgos'!$O$36),"")</f>
        <v/>
      </c>
      <c r="W20" s="51" t="str">
        <f>IF(AND('Mapa de Riesgos'!$Y$37="Alta",'Mapa de Riesgos'!$AA$37="Moderado"),CONCATENATE("R5C",'Mapa de Riesgos'!$O$37),"")</f>
        <v/>
      </c>
      <c r="X20" s="51" t="str">
        <f>IF(AND('Mapa de Riesgos'!$Y$38="Alta",'Mapa de Riesgos'!$AA$38="Moderado"),CONCATENATE("R5C",'Mapa de Riesgos'!$O$38),"")</f>
        <v/>
      </c>
      <c r="Y20" s="51" t="str">
        <f>IF(AND('Mapa de Riesgos'!$Y$39="Alta",'Mapa de Riesgos'!$AA$39="Moderado"),CONCATENATE("R5C",'Mapa de Riesgos'!$O$39),"")</f>
        <v/>
      </c>
      <c r="Z20" s="51" t="str">
        <f>IF(AND('Mapa de Riesgos'!$Y$40="Alta",'Mapa de Riesgos'!$AA$40="Moderado"),CONCATENATE("R5C",'Mapa de Riesgos'!$O$40),"")</f>
        <v/>
      </c>
      <c r="AA20" s="52" t="str">
        <f>IF(AND('Mapa de Riesgos'!$Y$41="Alta",'Mapa de Riesgos'!$AA$41="Moderado"),CONCATENATE("R5C",'Mapa de Riesgos'!$O$41),"")</f>
        <v/>
      </c>
      <c r="AB20" s="50" t="str">
        <f>IF(AND('Mapa de Riesgos'!$Y$36="Alta",'Mapa de Riesgos'!$AA$36="Mayor"),CONCATENATE("R5C",'Mapa de Riesgos'!$O$36),"")</f>
        <v/>
      </c>
      <c r="AC20" s="51" t="str">
        <f>IF(AND('Mapa de Riesgos'!$Y$37="Alta",'Mapa de Riesgos'!$AA$37="Mayor"),CONCATENATE("R5C",'Mapa de Riesgos'!$O$37),"")</f>
        <v/>
      </c>
      <c r="AD20" s="51" t="str">
        <f>IF(AND('Mapa de Riesgos'!$Y$38="Alta",'Mapa de Riesgos'!$AA$38="Mayor"),CONCATENATE("R5C",'Mapa de Riesgos'!$O$38),"")</f>
        <v/>
      </c>
      <c r="AE20" s="51" t="str">
        <f>IF(AND('Mapa de Riesgos'!$Y$39="Alta",'Mapa de Riesgos'!$AA$39="Mayor"),CONCATENATE("R5C",'Mapa de Riesgos'!$O$39),"")</f>
        <v/>
      </c>
      <c r="AF20" s="51" t="str">
        <f>IF(AND('Mapa de Riesgos'!$Y$40="Alta",'Mapa de Riesgos'!$AA$40="Mayor"),CONCATENATE("R5C",'Mapa de Riesgos'!$O$40),"")</f>
        <v/>
      </c>
      <c r="AG20" s="52" t="str">
        <f>IF(AND('Mapa de Riesgos'!$Y$41="Alta",'Mapa de Riesgos'!$AA$41="Mayor"),CONCATENATE("R5C",'Mapa de Riesgos'!$O$41),"")</f>
        <v/>
      </c>
      <c r="AH20" s="53" t="str">
        <f>IF(AND('Mapa de Riesgos'!$Y$36="Alta",'Mapa de Riesgos'!$AA$36="Catastrófico"),CONCATENATE("R5C",'Mapa de Riesgos'!$O$36),"")</f>
        <v/>
      </c>
      <c r="AI20" s="54" t="str">
        <f>IF(AND('Mapa de Riesgos'!$Y$37="Alta",'Mapa de Riesgos'!$AA$37="Catastrófico"),CONCATENATE("R5C",'Mapa de Riesgos'!$O$37),"")</f>
        <v/>
      </c>
      <c r="AJ20" s="54" t="str">
        <f>IF(AND('Mapa de Riesgos'!$Y$38="Alta",'Mapa de Riesgos'!$AA$38="Catastrófico"),CONCATENATE("R5C",'Mapa de Riesgos'!$O$38),"")</f>
        <v/>
      </c>
      <c r="AK20" s="54" t="str">
        <f>IF(AND('Mapa de Riesgos'!$Y$39="Alta",'Mapa de Riesgos'!$AA$39="Catastrófico"),CONCATENATE("R5C",'Mapa de Riesgos'!$O$39),"")</f>
        <v/>
      </c>
      <c r="AL20" s="54" t="str">
        <f>IF(AND('Mapa de Riesgos'!$Y$40="Alta",'Mapa de Riesgos'!$AA$40="Catastrófico"),CONCATENATE("R5C",'Mapa de Riesgos'!$O$40),"")</f>
        <v/>
      </c>
      <c r="AM20" s="55" t="str">
        <f>IF(AND('Mapa de Riesgos'!$Y$41="Alta",'Mapa de Riesgos'!$AA$41="Catastrófico"),CONCATENATE("R5C",'Mapa de Riesgos'!$O$41),"")</f>
        <v/>
      </c>
      <c r="AN20" s="81"/>
      <c r="AO20" s="517"/>
      <c r="AP20" s="518"/>
      <c r="AQ20" s="518"/>
      <c r="AR20" s="518"/>
      <c r="AS20" s="518"/>
      <c r="AT20" s="519"/>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5" customHeight="1" x14ac:dyDescent="0.25">
      <c r="A21" s="81"/>
      <c r="B21" s="466"/>
      <c r="C21" s="466"/>
      <c r="D21" s="467"/>
      <c r="E21" s="507"/>
      <c r="F21" s="508"/>
      <c r="G21" s="508"/>
      <c r="H21" s="508"/>
      <c r="I21" s="508"/>
      <c r="J21" s="65" t="str">
        <f>IF(AND('Mapa de Riesgos'!$Y$42="Alta",'Mapa de Riesgos'!$AA$42="Leve"),CONCATENATE("R6C",'Mapa de Riesgos'!$O$42),"")</f>
        <v/>
      </c>
      <c r="K21" s="66" t="str">
        <f>IF(AND('Mapa de Riesgos'!$Y$43="Alta",'Mapa de Riesgos'!$AA$43="Leve"),CONCATENATE("R6C",'Mapa de Riesgos'!$O$43),"")</f>
        <v/>
      </c>
      <c r="L21" s="66" t="str">
        <f>IF(AND('Mapa de Riesgos'!$Y$44="Alta",'Mapa de Riesgos'!$AA$44="Leve"),CONCATENATE("R6C",'Mapa de Riesgos'!$O$44),"")</f>
        <v/>
      </c>
      <c r="M21" s="66" t="str">
        <f>IF(AND('Mapa de Riesgos'!$Y$45="Alta",'Mapa de Riesgos'!$AA$45="Leve"),CONCATENATE("R6C",'Mapa de Riesgos'!$O$45),"")</f>
        <v/>
      </c>
      <c r="N21" s="66" t="str">
        <f>IF(AND('Mapa de Riesgos'!$Y$46="Alta",'Mapa de Riesgos'!$AA$46="Leve"),CONCATENATE("R6C",'Mapa de Riesgos'!$O$46),"")</f>
        <v/>
      </c>
      <c r="O21" s="67" t="str">
        <f>IF(AND('Mapa de Riesgos'!$Y$47="Alta",'Mapa de Riesgos'!$AA$47="Leve"),CONCATENATE("R6C",'Mapa de Riesgos'!$O$47),"")</f>
        <v/>
      </c>
      <c r="P21" s="65" t="str">
        <f>IF(AND('Mapa de Riesgos'!$Y$42="Alta",'Mapa de Riesgos'!$AA$42="Menor"),CONCATENATE("R6C",'Mapa de Riesgos'!$O$42),"")</f>
        <v/>
      </c>
      <c r="Q21" s="66" t="str">
        <f>IF(AND('Mapa de Riesgos'!$Y$43="Alta",'Mapa de Riesgos'!$AA$43="Menor"),CONCATENATE("R6C",'Mapa de Riesgos'!$O$43),"")</f>
        <v/>
      </c>
      <c r="R21" s="66" t="str">
        <f>IF(AND('Mapa de Riesgos'!$Y$44="Alta",'Mapa de Riesgos'!$AA$44="Menor"),CONCATENATE("R6C",'Mapa de Riesgos'!$O$44),"")</f>
        <v/>
      </c>
      <c r="S21" s="66" t="str">
        <f>IF(AND('Mapa de Riesgos'!$Y$45="Alta",'Mapa de Riesgos'!$AA$45="Menor"),CONCATENATE("R6C",'Mapa de Riesgos'!$O$45),"")</f>
        <v/>
      </c>
      <c r="T21" s="66" t="str">
        <f>IF(AND('Mapa de Riesgos'!$Y$46="Alta",'Mapa de Riesgos'!$AA$46="Menor"),CONCATENATE("R6C",'Mapa de Riesgos'!$O$46),"")</f>
        <v/>
      </c>
      <c r="U21" s="67" t="str">
        <f>IF(AND('Mapa de Riesgos'!$Y$47="Alta",'Mapa de Riesgos'!$AA$47="Menor"),CONCATENATE("R6C",'Mapa de Riesgos'!$O$47),"")</f>
        <v/>
      </c>
      <c r="V21" s="50" t="str">
        <f>IF(AND('Mapa de Riesgos'!$Y$42="Alta",'Mapa de Riesgos'!$AA$42="Moderado"),CONCATENATE("R6C",'Mapa de Riesgos'!$O$42),"")</f>
        <v/>
      </c>
      <c r="W21" s="51" t="str">
        <f>IF(AND('Mapa de Riesgos'!$Y$43="Alta",'Mapa de Riesgos'!$AA$43="Moderado"),CONCATENATE("R6C",'Mapa de Riesgos'!$O$43),"")</f>
        <v/>
      </c>
      <c r="X21" s="51" t="str">
        <f>IF(AND('Mapa de Riesgos'!$Y$44="Alta",'Mapa de Riesgos'!$AA$44="Moderado"),CONCATENATE("R6C",'Mapa de Riesgos'!$O$44),"")</f>
        <v/>
      </c>
      <c r="Y21" s="51" t="str">
        <f>IF(AND('Mapa de Riesgos'!$Y$45="Alta",'Mapa de Riesgos'!$AA$45="Moderado"),CONCATENATE("R6C",'Mapa de Riesgos'!$O$45),"")</f>
        <v/>
      </c>
      <c r="Z21" s="51" t="str">
        <f>IF(AND('Mapa de Riesgos'!$Y$46="Alta",'Mapa de Riesgos'!$AA$46="Moderado"),CONCATENATE("R6C",'Mapa de Riesgos'!$O$46),"")</f>
        <v/>
      </c>
      <c r="AA21" s="52" t="str">
        <f>IF(AND('Mapa de Riesgos'!$Y$47="Alta",'Mapa de Riesgos'!$AA$47="Moderado"),CONCATENATE("R6C",'Mapa de Riesgos'!$O$47),"")</f>
        <v/>
      </c>
      <c r="AB21" s="50" t="str">
        <f>IF(AND('Mapa de Riesgos'!$Y$42="Alta",'Mapa de Riesgos'!$AA$42="Mayor"),CONCATENATE("R6C",'Mapa de Riesgos'!$O$42),"")</f>
        <v/>
      </c>
      <c r="AC21" s="51" t="str">
        <f>IF(AND('Mapa de Riesgos'!$Y$43="Alta",'Mapa de Riesgos'!$AA$43="Mayor"),CONCATENATE("R6C",'Mapa de Riesgos'!$O$43),"")</f>
        <v/>
      </c>
      <c r="AD21" s="51" t="str">
        <f>IF(AND('Mapa de Riesgos'!$Y$44="Alta",'Mapa de Riesgos'!$AA$44="Mayor"),CONCATENATE("R6C",'Mapa de Riesgos'!$O$44),"")</f>
        <v/>
      </c>
      <c r="AE21" s="51" t="str">
        <f>IF(AND('Mapa de Riesgos'!$Y$45="Alta",'Mapa de Riesgos'!$AA$45="Mayor"),CONCATENATE("R6C",'Mapa de Riesgos'!$O$45),"")</f>
        <v/>
      </c>
      <c r="AF21" s="51" t="str">
        <f>IF(AND('Mapa de Riesgos'!$Y$46="Alta",'Mapa de Riesgos'!$AA$46="Mayor"),CONCATENATE("R6C",'Mapa de Riesgos'!$O$46),"")</f>
        <v/>
      </c>
      <c r="AG21" s="52" t="str">
        <f>IF(AND('Mapa de Riesgos'!$Y$47="Alta",'Mapa de Riesgos'!$AA$47="Mayor"),CONCATENATE("R6C",'Mapa de Riesgos'!$O$47),"")</f>
        <v/>
      </c>
      <c r="AH21" s="53" t="str">
        <f>IF(AND('Mapa de Riesgos'!$Y$42="Alta",'Mapa de Riesgos'!$AA$42="Catastrófico"),CONCATENATE("R6C",'Mapa de Riesgos'!$O$42),"")</f>
        <v/>
      </c>
      <c r="AI21" s="54" t="str">
        <f>IF(AND('Mapa de Riesgos'!$Y$43="Alta",'Mapa de Riesgos'!$AA$43="Catastrófico"),CONCATENATE("R6C",'Mapa de Riesgos'!$O$43),"")</f>
        <v/>
      </c>
      <c r="AJ21" s="54" t="str">
        <f>IF(AND('Mapa de Riesgos'!$Y$44="Alta",'Mapa de Riesgos'!$AA$44="Catastrófico"),CONCATENATE("R6C",'Mapa de Riesgos'!$O$44),"")</f>
        <v/>
      </c>
      <c r="AK21" s="54" t="str">
        <f>IF(AND('Mapa de Riesgos'!$Y$45="Alta",'Mapa de Riesgos'!$AA$45="Catastrófico"),CONCATENATE("R6C",'Mapa de Riesgos'!$O$45),"")</f>
        <v/>
      </c>
      <c r="AL21" s="54" t="str">
        <f>IF(AND('Mapa de Riesgos'!$Y$46="Alta",'Mapa de Riesgos'!$AA$46="Catastrófico"),CONCATENATE("R6C",'Mapa de Riesgos'!$O$46),"")</f>
        <v/>
      </c>
      <c r="AM21" s="55" t="str">
        <f>IF(AND('Mapa de Riesgos'!$Y$47="Alta",'Mapa de Riesgos'!$AA$47="Catastrófico"),CONCATENATE("R6C",'Mapa de Riesgos'!$O$47),"")</f>
        <v/>
      </c>
      <c r="AN21" s="81"/>
      <c r="AO21" s="517"/>
      <c r="AP21" s="518"/>
      <c r="AQ21" s="518"/>
      <c r="AR21" s="518"/>
      <c r="AS21" s="518"/>
      <c r="AT21" s="519"/>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5" customHeight="1" x14ac:dyDescent="0.25">
      <c r="A22" s="81"/>
      <c r="B22" s="466"/>
      <c r="C22" s="466"/>
      <c r="D22" s="467"/>
      <c r="E22" s="507"/>
      <c r="F22" s="508"/>
      <c r="G22" s="508"/>
      <c r="H22" s="508"/>
      <c r="I22" s="508"/>
      <c r="J22" s="65" t="str">
        <f>IF(AND('Mapa de Riesgos'!$Y$48="Alta",'Mapa de Riesgos'!$AA$48="Leve"),CONCATENATE("R7C",'Mapa de Riesgos'!$O$48),"")</f>
        <v/>
      </c>
      <c r="K22" s="66" t="str">
        <f>IF(AND('Mapa de Riesgos'!$Y$49="Alta",'Mapa de Riesgos'!$AA$49="Leve"),CONCATENATE("R7C",'Mapa de Riesgos'!$O$49),"")</f>
        <v/>
      </c>
      <c r="L22" s="66" t="str">
        <f>IF(AND('Mapa de Riesgos'!$Y$50="Alta",'Mapa de Riesgos'!$AA$50="Leve"),CONCATENATE("R7C",'Mapa de Riesgos'!$O$50),"")</f>
        <v/>
      </c>
      <c r="M22" s="66" t="str">
        <f>IF(AND('Mapa de Riesgos'!$Y$51="Alta",'Mapa de Riesgos'!$AA$51="Leve"),CONCATENATE("R7C",'Mapa de Riesgos'!$O$51),"")</f>
        <v/>
      </c>
      <c r="N22" s="66" t="str">
        <f>IF(AND('Mapa de Riesgos'!$Y$52="Alta",'Mapa de Riesgos'!$AA$52="Leve"),CONCATENATE("R7C",'Mapa de Riesgos'!$O$52),"")</f>
        <v/>
      </c>
      <c r="O22" s="67" t="str">
        <f>IF(AND('Mapa de Riesgos'!$Y$53="Alta",'Mapa de Riesgos'!$AA$53="Leve"),CONCATENATE("R7C",'Mapa de Riesgos'!$O$53),"")</f>
        <v/>
      </c>
      <c r="P22" s="65" t="str">
        <f>IF(AND('Mapa de Riesgos'!$Y$48="Alta",'Mapa de Riesgos'!$AA$48="Menor"),CONCATENATE("R7C",'Mapa de Riesgos'!$O$48),"")</f>
        <v/>
      </c>
      <c r="Q22" s="66" t="str">
        <f>IF(AND('Mapa de Riesgos'!$Y$49="Alta",'Mapa de Riesgos'!$AA$49="Menor"),CONCATENATE("R7C",'Mapa de Riesgos'!$O$49),"")</f>
        <v/>
      </c>
      <c r="R22" s="66" t="str">
        <f>IF(AND('Mapa de Riesgos'!$Y$50="Alta",'Mapa de Riesgos'!$AA$50="Menor"),CONCATENATE("R7C",'Mapa de Riesgos'!$O$50),"")</f>
        <v/>
      </c>
      <c r="S22" s="66" t="str">
        <f>IF(AND('Mapa de Riesgos'!$Y$51="Alta",'Mapa de Riesgos'!$AA$51="Menor"),CONCATENATE("R7C",'Mapa de Riesgos'!$O$51),"")</f>
        <v/>
      </c>
      <c r="T22" s="66" t="str">
        <f>IF(AND('Mapa de Riesgos'!$Y$52="Alta",'Mapa de Riesgos'!$AA$52="Menor"),CONCATENATE("R7C",'Mapa de Riesgos'!$O$52),"")</f>
        <v/>
      </c>
      <c r="U22" s="67" t="str">
        <f>IF(AND('Mapa de Riesgos'!$Y$53="Alta",'Mapa de Riesgos'!$AA$53="Menor"),CONCATENATE("R7C",'Mapa de Riesgos'!$O$53),"")</f>
        <v/>
      </c>
      <c r="V22" s="50" t="str">
        <f>IF(AND('Mapa de Riesgos'!$Y$48="Alta",'Mapa de Riesgos'!$AA$48="Moderado"),CONCATENATE("R7C",'Mapa de Riesgos'!$O$48),"")</f>
        <v/>
      </c>
      <c r="W22" s="51" t="str">
        <f>IF(AND('Mapa de Riesgos'!$Y$49="Alta",'Mapa de Riesgos'!$AA$49="Moderado"),CONCATENATE("R7C",'Mapa de Riesgos'!$O$49),"")</f>
        <v/>
      </c>
      <c r="X22" s="51" t="str">
        <f>IF(AND('Mapa de Riesgos'!$Y$50="Alta",'Mapa de Riesgos'!$AA$50="Moderado"),CONCATENATE("R7C",'Mapa de Riesgos'!$O$50),"")</f>
        <v/>
      </c>
      <c r="Y22" s="51" t="str">
        <f>IF(AND('Mapa de Riesgos'!$Y$51="Alta",'Mapa de Riesgos'!$AA$51="Moderado"),CONCATENATE("R7C",'Mapa de Riesgos'!$O$51),"")</f>
        <v/>
      </c>
      <c r="Z22" s="51" t="str">
        <f>IF(AND('Mapa de Riesgos'!$Y$52="Alta",'Mapa de Riesgos'!$AA$52="Moderado"),CONCATENATE("R7C",'Mapa de Riesgos'!$O$52),"")</f>
        <v/>
      </c>
      <c r="AA22" s="52" t="str">
        <f>IF(AND('Mapa de Riesgos'!$Y$53="Alta",'Mapa de Riesgos'!$AA$53="Moderado"),CONCATENATE("R7C",'Mapa de Riesgos'!$O$53),"")</f>
        <v/>
      </c>
      <c r="AB22" s="50" t="str">
        <f>IF(AND('Mapa de Riesgos'!$Y$48="Alta",'Mapa de Riesgos'!$AA$48="Mayor"),CONCATENATE("R7C",'Mapa de Riesgos'!$O$48),"")</f>
        <v/>
      </c>
      <c r="AC22" s="51" t="str">
        <f>IF(AND('Mapa de Riesgos'!$Y$49="Alta",'Mapa de Riesgos'!$AA$49="Mayor"),CONCATENATE("R7C",'Mapa de Riesgos'!$O$49),"")</f>
        <v/>
      </c>
      <c r="AD22" s="51" t="str">
        <f>IF(AND('Mapa de Riesgos'!$Y$50="Alta",'Mapa de Riesgos'!$AA$50="Mayor"),CONCATENATE("R7C",'Mapa de Riesgos'!$O$50),"")</f>
        <v/>
      </c>
      <c r="AE22" s="51" t="str">
        <f>IF(AND('Mapa de Riesgos'!$Y$51="Alta",'Mapa de Riesgos'!$AA$51="Mayor"),CONCATENATE("R7C",'Mapa de Riesgos'!$O$51),"")</f>
        <v/>
      </c>
      <c r="AF22" s="51" t="str">
        <f>IF(AND('Mapa de Riesgos'!$Y$52="Alta",'Mapa de Riesgos'!$AA$52="Mayor"),CONCATENATE("R7C",'Mapa de Riesgos'!$O$52),"")</f>
        <v/>
      </c>
      <c r="AG22" s="52" t="str">
        <f>IF(AND('Mapa de Riesgos'!$Y$53="Alta",'Mapa de Riesgos'!$AA$53="Mayor"),CONCATENATE("R7C",'Mapa de Riesgos'!$O$53),"")</f>
        <v/>
      </c>
      <c r="AH22" s="53" t="str">
        <f>IF(AND('Mapa de Riesgos'!$Y$48="Alta",'Mapa de Riesgos'!$AA$48="Catastrófico"),CONCATENATE("R7C",'Mapa de Riesgos'!$O$48),"")</f>
        <v/>
      </c>
      <c r="AI22" s="54" t="str">
        <f>IF(AND('Mapa de Riesgos'!$Y$49="Alta",'Mapa de Riesgos'!$AA$49="Catastrófico"),CONCATENATE("R7C",'Mapa de Riesgos'!$O$49),"")</f>
        <v/>
      </c>
      <c r="AJ22" s="54" t="str">
        <f>IF(AND('Mapa de Riesgos'!$Y$50="Alta",'Mapa de Riesgos'!$AA$50="Catastrófico"),CONCATENATE("R7C",'Mapa de Riesgos'!$O$50),"")</f>
        <v/>
      </c>
      <c r="AK22" s="54" t="str">
        <f>IF(AND('Mapa de Riesgos'!$Y$51="Alta",'Mapa de Riesgos'!$AA$51="Catastrófico"),CONCATENATE("R7C",'Mapa de Riesgos'!$O$51),"")</f>
        <v/>
      </c>
      <c r="AL22" s="54" t="str">
        <f>IF(AND('Mapa de Riesgos'!$Y$52="Alta",'Mapa de Riesgos'!$AA$52="Catastrófico"),CONCATENATE("R7C",'Mapa de Riesgos'!$O$52),"")</f>
        <v/>
      </c>
      <c r="AM22" s="55" t="str">
        <f>IF(AND('Mapa de Riesgos'!$Y$53="Alta",'Mapa de Riesgos'!$AA$53="Catastrófico"),CONCATENATE("R7C",'Mapa de Riesgos'!$O$53),"")</f>
        <v/>
      </c>
      <c r="AN22" s="81"/>
      <c r="AO22" s="517"/>
      <c r="AP22" s="518"/>
      <c r="AQ22" s="518"/>
      <c r="AR22" s="518"/>
      <c r="AS22" s="518"/>
      <c r="AT22" s="519"/>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5" customHeight="1" x14ac:dyDescent="0.25">
      <c r="A23" s="81"/>
      <c r="B23" s="466"/>
      <c r="C23" s="466"/>
      <c r="D23" s="467"/>
      <c r="E23" s="507"/>
      <c r="F23" s="508"/>
      <c r="G23" s="508"/>
      <c r="H23" s="508"/>
      <c r="I23" s="508"/>
      <c r="J23" s="65" t="str">
        <f>IF(AND('Mapa de Riesgos'!$Y$54="Alta",'Mapa de Riesgos'!$AA$54="Leve"),CONCATENATE("R8C",'Mapa de Riesgos'!$O$54),"")</f>
        <v/>
      </c>
      <c r="K23" s="66" t="str">
        <f>IF(AND('Mapa de Riesgos'!$Y$55="Alta",'Mapa de Riesgos'!$AA$55="Leve"),CONCATENATE("R8C",'Mapa de Riesgos'!$O$55),"")</f>
        <v/>
      </c>
      <c r="L23" s="66" t="str">
        <f>IF(AND('Mapa de Riesgos'!$Y$56="Alta",'Mapa de Riesgos'!$AA$56="Leve"),CONCATENATE("R8C",'Mapa de Riesgos'!$O$56),"")</f>
        <v/>
      </c>
      <c r="M23" s="66" t="str">
        <f>IF(AND('Mapa de Riesgos'!$Y$57="Alta",'Mapa de Riesgos'!$AA$57="Leve"),CONCATENATE("R8C",'Mapa de Riesgos'!$O$57),"")</f>
        <v/>
      </c>
      <c r="N23" s="66" t="str">
        <f>IF(AND('Mapa de Riesgos'!$Y$58="Alta",'Mapa de Riesgos'!$AA$58="Leve"),CONCATENATE("R8C",'Mapa de Riesgos'!$O$58),"")</f>
        <v/>
      </c>
      <c r="O23" s="67" t="str">
        <f>IF(AND('Mapa de Riesgos'!$Y$59="Alta",'Mapa de Riesgos'!$AA$59="Leve"),CONCATENATE("R8C",'Mapa de Riesgos'!$O$59),"")</f>
        <v/>
      </c>
      <c r="P23" s="65" t="str">
        <f>IF(AND('Mapa de Riesgos'!$Y$54="Alta",'Mapa de Riesgos'!$AA$54="Menor"),CONCATENATE("R8C",'Mapa de Riesgos'!$O$54),"")</f>
        <v/>
      </c>
      <c r="Q23" s="66" t="str">
        <f>IF(AND('Mapa de Riesgos'!$Y$55="Alta",'Mapa de Riesgos'!$AA$55="Menor"),CONCATENATE("R8C",'Mapa de Riesgos'!$O$55),"")</f>
        <v/>
      </c>
      <c r="R23" s="66" t="str">
        <f>IF(AND('Mapa de Riesgos'!$Y$56="Alta",'Mapa de Riesgos'!$AA$56="Menor"),CONCATENATE("R8C",'Mapa de Riesgos'!$O$56),"")</f>
        <v/>
      </c>
      <c r="S23" s="66" t="str">
        <f>IF(AND('Mapa de Riesgos'!$Y$57="Alta",'Mapa de Riesgos'!$AA$57="Menor"),CONCATENATE("R8C",'Mapa de Riesgos'!$O$57),"")</f>
        <v/>
      </c>
      <c r="T23" s="66" t="str">
        <f>IF(AND('Mapa de Riesgos'!$Y$58="Alta",'Mapa de Riesgos'!$AA$58="Menor"),CONCATENATE("R8C",'Mapa de Riesgos'!$O$58),"")</f>
        <v/>
      </c>
      <c r="U23" s="67" t="str">
        <f>IF(AND('Mapa de Riesgos'!$Y$59="Alta",'Mapa de Riesgos'!$AA$59="Menor"),CONCATENATE("R8C",'Mapa de Riesgos'!$O$59),"")</f>
        <v/>
      </c>
      <c r="V23" s="50" t="str">
        <f>IF(AND('Mapa de Riesgos'!$Y$54="Alta",'Mapa de Riesgos'!$AA$54="Moderado"),CONCATENATE("R8C",'Mapa de Riesgos'!$O$54),"")</f>
        <v/>
      </c>
      <c r="W23" s="51" t="str">
        <f>IF(AND('Mapa de Riesgos'!$Y$55="Alta",'Mapa de Riesgos'!$AA$55="Moderado"),CONCATENATE("R8C",'Mapa de Riesgos'!$O$55),"")</f>
        <v/>
      </c>
      <c r="X23" s="51" t="str">
        <f>IF(AND('Mapa de Riesgos'!$Y$56="Alta",'Mapa de Riesgos'!$AA$56="Moderado"),CONCATENATE("R8C",'Mapa de Riesgos'!$O$56),"")</f>
        <v/>
      </c>
      <c r="Y23" s="51" t="str">
        <f>IF(AND('Mapa de Riesgos'!$Y$57="Alta",'Mapa de Riesgos'!$AA$57="Moderado"),CONCATENATE("R8C",'Mapa de Riesgos'!$O$57),"")</f>
        <v/>
      </c>
      <c r="Z23" s="51" t="str">
        <f>IF(AND('Mapa de Riesgos'!$Y$58="Alta",'Mapa de Riesgos'!$AA$58="Moderado"),CONCATENATE("R8C",'Mapa de Riesgos'!$O$58),"")</f>
        <v/>
      </c>
      <c r="AA23" s="52" t="str">
        <f>IF(AND('Mapa de Riesgos'!$Y$59="Alta",'Mapa de Riesgos'!$AA$59="Moderado"),CONCATENATE("R8C",'Mapa de Riesgos'!$O$59),"")</f>
        <v/>
      </c>
      <c r="AB23" s="50" t="str">
        <f>IF(AND('Mapa de Riesgos'!$Y$54="Alta",'Mapa de Riesgos'!$AA$54="Mayor"),CONCATENATE("R8C",'Mapa de Riesgos'!$O$54),"")</f>
        <v/>
      </c>
      <c r="AC23" s="51" t="str">
        <f>IF(AND('Mapa de Riesgos'!$Y$55="Alta",'Mapa de Riesgos'!$AA$55="Mayor"),CONCATENATE("R8C",'Mapa de Riesgos'!$O$55),"")</f>
        <v/>
      </c>
      <c r="AD23" s="51" t="str">
        <f>IF(AND('Mapa de Riesgos'!$Y$56="Alta",'Mapa de Riesgos'!$AA$56="Mayor"),CONCATENATE("R8C",'Mapa de Riesgos'!$O$56),"")</f>
        <v/>
      </c>
      <c r="AE23" s="51" t="str">
        <f>IF(AND('Mapa de Riesgos'!$Y$57="Alta",'Mapa de Riesgos'!$AA$57="Mayor"),CONCATENATE("R8C",'Mapa de Riesgos'!$O$57),"")</f>
        <v/>
      </c>
      <c r="AF23" s="51" t="str">
        <f>IF(AND('Mapa de Riesgos'!$Y$58="Alta",'Mapa de Riesgos'!$AA$58="Mayor"),CONCATENATE("R8C",'Mapa de Riesgos'!$O$58),"")</f>
        <v/>
      </c>
      <c r="AG23" s="52" t="str">
        <f>IF(AND('Mapa de Riesgos'!$Y$59="Alta",'Mapa de Riesgos'!$AA$59="Mayor"),CONCATENATE("R8C",'Mapa de Riesgos'!$O$59),"")</f>
        <v/>
      </c>
      <c r="AH23" s="53" t="str">
        <f>IF(AND('Mapa de Riesgos'!$Y$54="Alta",'Mapa de Riesgos'!$AA$54="Catastrófico"),CONCATENATE("R8C",'Mapa de Riesgos'!$O$54),"")</f>
        <v/>
      </c>
      <c r="AI23" s="54" t="str">
        <f>IF(AND('Mapa de Riesgos'!$Y$55="Alta",'Mapa de Riesgos'!$AA$55="Catastrófico"),CONCATENATE("R8C",'Mapa de Riesgos'!$O$55),"")</f>
        <v/>
      </c>
      <c r="AJ23" s="54" t="str">
        <f>IF(AND('Mapa de Riesgos'!$Y$56="Alta",'Mapa de Riesgos'!$AA$56="Catastrófico"),CONCATENATE("R8C",'Mapa de Riesgos'!$O$56),"")</f>
        <v/>
      </c>
      <c r="AK23" s="54" t="str">
        <f>IF(AND('Mapa de Riesgos'!$Y$57="Alta",'Mapa de Riesgos'!$AA$57="Catastrófico"),CONCATENATE("R8C",'Mapa de Riesgos'!$O$57),"")</f>
        <v/>
      </c>
      <c r="AL23" s="54" t="str">
        <f>IF(AND('Mapa de Riesgos'!$Y$58="Alta",'Mapa de Riesgos'!$AA$58="Catastrófico"),CONCATENATE("R8C",'Mapa de Riesgos'!$O$58),"")</f>
        <v/>
      </c>
      <c r="AM23" s="55" t="str">
        <f>IF(AND('Mapa de Riesgos'!$Y$59="Alta",'Mapa de Riesgos'!$AA$59="Catastrófico"),CONCATENATE("R8C",'Mapa de Riesgos'!$O$59),"")</f>
        <v/>
      </c>
      <c r="AN23" s="81"/>
      <c r="AO23" s="517"/>
      <c r="AP23" s="518"/>
      <c r="AQ23" s="518"/>
      <c r="AR23" s="518"/>
      <c r="AS23" s="518"/>
      <c r="AT23" s="519"/>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5" customHeight="1" x14ac:dyDescent="0.25">
      <c r="A24" s="81"/>
      <c r="B24" s="466"/>
      <c r="C24" s="466"/>
      <c r="D24" s="467"/>
      <c r="E24" s="507"/>
      <c r="F24" s="508"/>
      <c r="G24" s="508"/>
      <c r="H24" s="508"/>
      <c r="I24" s="508"/>
      <c r="J24" s="65" t="str">
        <f>IF(AND('Mapa de Riesgos'!$Y$60="Alta",'Mapa de Riesgos'!$AA$60="Leve"),CONCATENATE("R9C",'Mapa de Riesgos'!$O$60),"")</f>
        <v/>
      </c>
      <c r="K24" s="66" t="str">
        <f>IF(AND('Mapa de Riesgos'!$Y$61="Alta",'Mapa de Riesgos'!$AA$61="Leve"),CONCATENATE("R9C",'Mapa de Riesgos'!$O$61),"")</f>
        <v/>
      </c>
      <c r="L24" s="66" t="str">
        <f>IF(AND('Mapa de Riesgos'!$Y$62="Alta",'Mapa de Riesgos'!$AA$62="Leve"),CONCATENATE("R9C",'Mapa de Riesgos'!$O$62),"")</f>
        <v/>
      </c>
      <c r="M24" s="66" t="str">
        <f>IF(AND('Mapa de Riesgos'!$Y$63="Alta",'Mapa de Riesgos'!$AA$63="Leve"),CONCATENATE("R9C",'Mapa de Riesgos'!$O$63),"")</f>
        <v/>
      </c>
      <c r="N24" s="66" t="str">
        <f>IF(AND('Mapa de Riesgos'!$Y$64="Alta",'Mapa de Riesgos'!$AA$64="Leve"),CONCATENATE("R9C",'Mapa de Riesgos'!$O$64),"")</f>
        <v/>
      </c>
      <c r="O24" s="67" t="str">
        <f>IF(AND('Mapa de Riesgos'!$Y$65="Alta",'Mapa de Riesgos'!$AA$65="Leve"),CONCATENATE("R9C",'Mapa de Riesgos'!$O$65),"")</f>
        <v/>
      </c>
      <c r="P24" s="65" t="str">
        <f>IF(AND('Mapa de Riesgos'!$Y$60="Alta",'Mapa de Riesgos'!$AA$60="Menor"),CONCATENATE("R9C",'Mapa de Riesgos'!$O$60),"")</f>
        <v/>
      </c>
      <c r="Q24" s="66" t="str">
        <f>IF(AND('Mapa de Riesgos'!$Y$61="Alta",'Mapa de Riesgos'!$AA$61="Menor"),CONCATENATE("R9C",'Mapa de Riesgos'!$O$61),"")</f>
        <v/>
      </c>
      <c r="R24" s="66" t="str">
        <f>IF(AND('Mapa de Riesgos'!$Y$62="Alta",'Mapa de Riesgos'!$AA$62="Menor"),CONCATENATE("R9C",'Mapa de Riesgos'!$O$62),"")</f>
        <v/>
      </c>
      <c r="S24" s="66" t="str">
        <f>IF(AND('Mapa de Riesgos'!$Y$63="Alta",'Mapa de Riesgos'!$AA$63="Menor"),CONCATENATE("R9C",'Mapa de Riesgos'!$O$63),"")</f>
        <v/>
      </c>
      <c r="T24" s="66" t="str">
        <f>IF(AND('Mapa de Riesgos'!$Y$64="Alta",'Mapa de Riesgos'!$AA$64="Menor"),CONCATENATE("R9C",'Mapa de Riesgos'!$O$64),"")</f>
        <v/>
      </c>
      <c r="U24" s="67" t="str">
        <f>IF(AND('Mapa de Riesgos'!$Y$65="Alta",'Mapa de Riesgos'!$AA$65="Menor"),CONCATENATE("R9C",'Mapa de Riesgos'!$O$65),"")</f>
        <v/>
      </c>
      <c r="V24" s="50" t="str">
        <f>IF(AND('Mapa de Riesgos'!$Y$60="Alta",'Mapa de Riesgos'!$AA$60="Moderado"),CONCATENATE("R9C",'Mapa de Riesgos'!$O$60),"")</f>
        <v/>
      </c>
      <c r="W24" s="51" t="str">
        <f>IF(AND('Mapa de Riesgos'!$Y$61="Alta",'Mapa de Riesgos'!$AA$61="Moderado"),CONCATENATE("R9C",'Mapa de Riesgos'!$O$61),"")</f>
        <v/>
      </c>
      <c r="X24" s="51" t="str">
        <f>IF(AND('Mapa de Riesgos'!$Y$62="Alta",'Mapa de Riesgos'!$AA$62="Moderado"),CONCATENATE("R9C",'Mapa de Riesgos'!$O$62),"")</f>
        <v/>
      </c>
      <c r="Y24" s="51" t="str">
        <f>IF(AND('Mapa de Riesgos'!$Y$63="Alta",'Mapa de Riesgos'!$AA$63="Moderado"),CONCATENATE("R9C",'Mapa de Riesgos'!$O$63),"")</f>
        <v/>
      </c>
      <c r="Z24" s="51" t="str">
        <f>IF(AND('Mapa de Riesgos'!$Y$64="Alta",'Mapa de Riesgos'!$AA$64="Moderado"),CONCATENATE("R9C",'Mapa de Riesgos'!$O$64),"")</f>
        <v/>
      </c>
      <c r="AA24" s="52" t="str">
        <f>IF(AND('Mapa de Riesgos'!$Y$65="Alta",'Mapa de Riesgos'!$AA$65="Moderado"),CONCATENATE("R9C",'Mapa de Riesgos'!$O$65),"")</f>
        <v/>
      </c>
      <c r="AB24" s="50" t="str">
        <f>IF(AND('Mapa de Riesgos'!$Y$60="Alta",'Mapa de Riesgos'!$AA$60="Mayor"),CONCATENATE("R9C",'Mapa de Riesgos'!$O$60),"")</f>
        <v/>
      </c>
      <c r="AC24" s="51" t="str">
        <f>IF(AND('Mapa de Riesgos'!$Y$61="Alta",'Mapa de Riesgos'!$AA$61="Mayor"),CONCATENATE("R9C",'Mapa de Riesgos'!$O$61),"")</f>
        <v/>
      </c>
      <c r="AD24" s="51" t="str">
        <f>IF(AND('Mapa de Riesgos'!$Y$62="Alta",'Mapa de Riesgos'!$AA$62="Mayor"),CONCATENATE("R9C",'Mapa de Riesgos'!$O$62),"")</f>
        <v/>
      </c>
      <c r="AE24" s="51" t="str">
        <f>IF(AND('Mapa de Riesgos'!$Y$63="Alta",'Mapa de Riesgos'!$AA$63="Mayor"),CONCATENATE("R9C",'Mapa de Riesgos'!$O$63),"")</f>
        <v/>
      </c>
      <c r="AF24" s="51" t="str">
        <f>IF(AND('Mapa de Riesgos'!$Y$64="Alta",'Mapa de Riesgos'!$AA$64="Mayor"),CONCATENATE("R9C",'Mapa de Riesgos'!$O$64),"")</f>
        <v/>
      </c>
      <c r="AG24" s="52" t="str">
        <f>IF(AND('Mapa de Riesgos'!$Y$65="Alta",'Mapa de Riesgos'!$AA$65="Mayor"),CONCATENATE("R9C",'Mapa de Riesgos'!$O$65),"")</f>
        <v/>
      </c>
      <c r="AH24" s="53" t="str">
        <f>IF(AND('Mapa de Riesgos'!$Y$60="Alta",'Mapa de Riesgos'!$AA$60="Catastrófico"),CONCATENATE("R9C",'Mapa de Riesgos'!$O$60),"")</f>
        <v/>
      </c>
      <c r="AI24" s="54" t="str">
        <f>IF(AND('Mapa de Riesgos'!$Y$61="Alta",'Mapa de Riesgos'!$AA$61="Catastrófico"),CONCATENATE("R9C",'Mapa de Riesgos'!$O$61),"")</f>
        <v/>
      </c>
      <c r="AJ24" s="54" t="str">
        <f>IF(AND('Mapa de Riesgos'!$Y$62="Alta",'Mapa de Riesgos'!$AA$62="Catastrófico"),CONCATENATE("R9C",'Mapa de Riesgos'!$O$62),"")</f>
        <v/>
      </c>
      <c r="AK24" s="54" t="str">
        <f>IF(AND('Mapa de Riesgos'!$Y$63="Alta",'Mapa de Riesgos'!$AA$63="Catastrófico"),CONCATENATE("R9C",'Mapa de Riesgos'!$O$63),"")</f>
        <v/>
      </c>
      <c r="AL24" s="54" t="str">
        <f>IF(AND('Mapa de Riesgos'!$Y$64="Alta",'Mapa de Riesgos'!$AA$64="Catastrófico"),CONCATENATE("R9C",'Mapa de Riesgos'!$O$64),"")</f>
        <v/>
      </c>
      <c r="AM24" s="55" t="str">
        <f>IF(AND('Mapa de Riesgos'!$Y$65="Alta",'Mapa de Riesgos'!$AA$65="Catastrófico"),CONCATENATE("R9C",'Mapa de Riesgos'!$O$65),"")</f>
        <v/>
      </c>
      <c r="AN24" s="81"/>
      <c r="AO24" s="517"/>
      <c r="AP24" s="518"/>
      <c r="AQ24" s="518"/>
      <c r="AR24" s="518"/>
      <c r="AS24" s="518"/>
      <c r="AT24" s="519"/>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75" customHeight="1" thickBot="1" x14ac:dyDescent="0.3">
      <c r="A25" s="81"/>
      <c r="B25" s="466"/>
      <c r="C25" s="466"/>
      <c r="D25" s="467"/>
      <c r="E25" s="510"/>
      <c r="F25" s="511"/>
      <c r="G25" s="511"/>
      <c r="H25" s="511"/>
      <c r="I25" s="511"/>
      <c r="J25" s="68" t="str">
        <f>IF(AND('Mapa de Riesgos'!$Y$66="Alta",'Mapa de Riesgos'!$AA$66="Leve"),CONCATENATE("R10C",'Mapa de Riesgos'!$O$66),"")</f>
        <v/>
      </c>
      <c r="K25" s="69" t="str">
        <f>IF(AND('Mapa de Riesgos'!$Y$68="Alta",'Mapa de Riesgos'!$AA$68="Leve"),CONCATENATE("R10C",'Mapa de Riesgos'!$O$68),"")</f>
        <v/>
      </c>
      <c r="L25" s="69" t="str">
        <f>IF(AND('Mapa de Riesgos'!$Y$69="Alta",'Mapa de Riesgos'!$AA$69="Leve"),CONCATENATE("R10C",'Mapa de Riesgos'!$O$69),"")</f>
        <v/>
      </c>
      <c r="M25" s="69" t="str">
        <f>IF(AND('Mapa de Riesgos'!$Y$70="Alta",'Mapa de Riesgos'!$AA$70="Leve"),CONCATENATE("R10C",'Mapa de Riesgos'!$O$70),"")</f>
        <v/>
      </c>
      <c r="N25" s="69" t="str">
        <f>IF(AND('Mapa de Riesgos'!$Y$71="Alta",'Mapa de Riesgos'!$AA$71="Leve"),CONCATENATE("R10C",'Mapa de Riesgos'!$O$71),"")</f>
        <v/>
      </c>
      <c r="O25" s="70" t="str">
        <f>IF(AND('Mapa de Riesgos'!$Y$72="Alta",'Mapa de Riesgos'!$AA$72="Leve"),CONCATENATE("R10C",'Mapa de Riesgos'!$O$72),"")</f>
        <v/>
      </c>
      <c r="P25" s="68" t="str">
        <f>IF(AND('Mapa de Riesgos'!$Y$66="Alta",'Mapa de Riesgos'!$AA$66="Menor"),CONCATENATE("R10C",'Mapa de Riesgos'!$O$66),"")</f>
        <v/>
      </c>
      <c r="Q25" s="69" t="str">
        <f>IF(AND('Mapa de Riesgos'!$Y$68="Alta",'Mapa de Riesgos'!$AA$68="Menor"),CONCATENATE("R10C",'Mapa de Riesgos'!$O$68),"")</f>
        <v/>
      </c>
      <c r="R25" s="69" t="str">
        <f>IF(AND('Mapa de Riesgos'!$Y$69="Alta",'Mapa de Riesgos'!$AA$69="Menor"),CONCATENATE("R10C",'Mapa de Riesgos'!$O$69),"")</f>
        <v/>
      </c>
      <c r="S25" s="69" t="str">
        <f>IF(AND('Mapa de Riesgos'!$Y$70="Alta",'Mapa de Riesgos'!$AA$70="Menor"),CONCATENATE("R10C",'Mapa de Riesgos'!$O$70),"")</f>
        <v/>
      </c>
      <c r="T25" s="69" t="str">
        <f>IF(AND('Mapa de Riesgos'!$Y$71="Alta",'Mapa de Riesgos'!$AA$71="Menor"),CONCATENATE("R10C",'Mapa de Riesgos'!$O$71),"")</f>
        <v/>
      </c>
      <c r="U25" s="70" t="str">
        <f>IF(AND('Mapa de Riesgos'!$Y$72="Alta",'Mapa de Riesgos'!$AA$72="Menor"),CONCATENATE("R10C",'Mapa de Riesgos'!$O$72),"")</f>
        <v/>
      </c>
      <c r="V25" s="56" t="str">
        <f>IF(AND('Mapa de Riesgos'!$Y$66="Alta",'Mapa de Riesgos'!$AA$66="Moderado"),CONCATENATE("R10C",'Mapa de Riesgos'!$O$66),"")</f>
        <v/>
      </c>
      <c r="W25" s="57" t="str">
        <f>IF(AND('Mapa de Riesgos'!$Y$68="Alta",'Mapa de Riesgos'!$AA$68="Moderado"),CONCATENATE("R10C",'Mapa de Riesgos'!$O$68),"")</f>
        <v/>
      </c>
      <c r="X25" s="57" t="str">
        <f>IF(AND('Mapa de Riesgos'!$Y$69="Alta",'Mapa de Riesgos'!$AA$69="Moderado"),CONCATENATE("R10C",'Mapa de Riesgos'!$O$69),"")</f>
        <v/>
      </c>
      <c r="Y25" s="57" t="str">
        <f>IF(AND('Mapa de Riesgos'!$Y$70="Alta",'Mapa de Riesgos'!$AA$70="Moderado"),CONCATENATE("R10C",'Mapa de Riesgos'!$O$70),"")</f>
        <v/>
      </c>
      <c r="Z25" s="57" t="str">
        <f>IF(AND('Mapa de Riesgos'!$Y$71="Alta",'Mapa de Riesgos'!$AA$71="Moderado"),CONCATENATE("R10C",'Mapa de Riesgos'!$O$71),"")</f>
        <v/>
      </c>
      <c r="AA25" s="58" t="str">
        <f>IF(AND('Mapa de Riesgos'!$Y$72="Alta",'Mapa de Riesgos'!$AA$72="Moderado"),CONCATENATE("R10C",'Mapa de Riesgos'!$O$72),"")</f>
        <v/>
      </c>
      <c r="AB25" s="56" t="str">
        <f>IF(AND('Mapa de Riesgos'!$Y$66="Alta",'Mapa de Riesgos'!$AA$66="Mayor"),CONCATENATE("R10C",'Mapa de Riesgos'!$O$66),"")</f>
        <v/>
      </c>
      <c r="AC25" s="57" t="str">
        <f>IF(AND('Mapa de Riesgos'!$Y$68="Alta",'Mapa de Riesgos'!$AA$68="Mayor"),CONCATENATE("R10C",'Mapa de Riesgos'!$O$68),"")</f>
        <v/>
      </c>
      <c r="AD25" s="57" t="str">
        <f>IF(AND('Mapa de Riesgos'!$Y$69="Alta",'Mapa de Riesgos'!$AA$69="Mayor"),CONCATENATE("R10C",'Mapa de Riesgos'!$O$69),"")</f>
        <v/>
      </c>
      <c r="AE25" s="57" t="str">
        <f>IF(AND('Mapa de Riesgos'!$Y$70="Alta",'Mapa de Riesgos'!$AA$70="Mayor"),CONCATENATE("R10C",'Mapa de Riesgos'!$O$70),"")</f>
        <v/>
      </c>
      <c r="AF25" s="57" t="str">
        <f>IF(AND('Mapa de Riesgos'!$Y$71="Alta",'Mapa de Riesgos'!$AA$71="Mayor"),CONCATENATE("R10C",'Mapa de Riesgos'!$O$71),"")</f>
        <v/>
      </c>
      <c r="AG25" s="58" t="str">
        <f>IF(AND('Mapa de Riesgos'!$Y$72="Alta",'Mapa de Riesgos'!$AA$72="Mayor"),CONCATENATE("R10C",'Mapa de Riesgos'!$O$72),"")</f>
        <v/>
      </c>
      <c r="AH25" s="59" t="str">
        <f>IF(AND('Mapa de Riesgos'!$Y$66="Alta",'Mapa de Riesgos'!$AA$66="Catastrófico"),CONCATENATE("R10C",'Mapa de Riesgos'!$O$66),"")</f>
        <v/>
      </c>
      <c r="AI25" s="60" t="str">
        <f>IF(AND('Mapa de Riesgos'!$Y$68="Alta",'Mapa de Riesgos'!$AA$68="Catastrófico"),CONCATENATE("R10C",'Mapa de Riesgos'!$O$68),"")</f>
        <v/>
      </c>
      <c r="AJ25" s="60" t="str">
        <f>IF(AND('Mapa de Riesgos'!$Y$69="Alta",'Mapa de Riesgos'!$AA$69="Catastrófico"),CONCATENATE("R10C",'Mapa de Riesgos'!$O$69),"")</f>
        <v/>
      </c>
      <c r="AK25" s="60" t="str">
        <f>IF(AND('Mapa de Riesgos'!$Y$70="Alta",'Mapa de Riesgos'!$AA$70="Catastrófico"),CONCATENATE("R10C",'Mapa de Riesgos'!$O$70),"")</f>
        <v/>
      </c>
      <c r="AL25" s="60" t="str">
        <f>IF(AND('Mapa de Riesgos'!$Y$71="Alta",'Mapa de Riesgos'!$AA$71="Catastrófico"),CONCATENATE("R10C",'Mapa de Riesgos'!$O$71),"")</f>
        <v/>
      </c>
      <c r="AM25" s="61" t="str">
        <f>IF(AND('Mapa de Riesgos'!$Y$72="Alta",'Mapa de Riesgos'!$AA$72="Catastrófico"),CONCATENATE("R10C",'Mapa de Riesgos'!$O$72),"")</f>
        <v/>
      </c>
      <c r="AN25" s="81"/>
      <c r="AO25" s="520"/>
      <c r="AP25" s="521"/>
      <c r="AQ25" s="521"/>
      <c r="AR25" s="521"/>
      <c r="AS25" s="521"/>
      <c r="AT25" s="522"/>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5" customHeight="1" x14ac:dyDescent="0.25">
      <c r="A26" s="81"/>
      <c r="B26" s="466"/>
      <c r="C26" s="466"/>
      <c r="D26" s="467"/>
      <c r="E26" s="504" t="s">
        <v>202</v>
      </c>
      <c r="F26" s="505"/>
      <c r="G26" s="505"/>
      <c r="H26" s="505"/>
      <c r="I26" s="506"/>
      <c r="J26" s="62" t="str">
        <f>IF(AND('Mapa de Riesgos'!$Y$12="Media",'Mapa de Riesgos'!$AA$12="Leve"),CONCATENATE("R1C",'Mapa de Riesgos'!$O$12),"")</f>
        <v/>
      </c>
      <c r="K26" s="63" t="str">
        <f>IF(AND('Mapa de Riesgos'!$Y$13="Media",'Mapa de Riesgos'!$AA$13="Leve"),CONCATENATE("R1C",'Mapa de Riesgos'!$O$13),"")</f>
        <v/>
      </c>
      <c r="L26" s="63" t="str">
        <f>IF(AND('Mapa de Riesgos'!$Y$14="Media",'Mapa de Riesgos'!$AA$14="Leve"),CONCATENATE("R1C",'Mapa de Riesgos'!$O$14),"")</f>
        <v/>
      </c>
      <c r="M26" s="63" t="str">
        <f>IF(AND('Mapa de Riesgos'!$Y$15="Media",'Mapa de Riesgos'!$AA$15="Leve"),CONCATENATE("R1C",'Mapa de Riesgos'!$O$15),"")</f>
        <v/>
      </c>
      <c r="N26" s="63" t="str">
        <f>IF(AND('Mapa de Riesgos'!$Y$16="Media",'Mapa de Riesgos'!$AA$16="Leve"),CONCATENATE("R1C",'Mapa de Riesgos'!$O$16),"")</f>
        <v/>
      </c>
      <c r="O26" s="64" t="str">
        <f>IF(AND('Mapa de Riesgos'!$Y$17="Media",'Mapa de Riesgos'!$AA$17="Leve"),CONCATENATE("R1C",'Mapa de Riesgos'!$O$17),"")</f>
        <v/>
      </c>
      <c r="P26" s="62" t="str">
        <f>IF(AND('Mapa de Riesgos'!$Y$12="Media",'Mapa de Riesgos'!$AA$12="Menor"),CONCATENATE("R1C",'Mapa de Riesgos'!$O$12),"")</f>
        <v/>
      </c>
      <c r="Q26" s="63" t="str">
        <f>IF(AND('Mapa de Riesgos'!$Y$13="Media",'Mapa de Riesgos'!$AA$13="Menor"),CONCATENATE("R1C",'Mapa de Riesgos'!$O$13),"")</f>
        <v/>
      </c>
      <c r="R26" s="63" t="str">
        <f>IF(AND('Mapa de Riesgos'!$Y$14="Media",'Mapa de Riesgos'!$AA$14="Menor"),CONCATENATE("R1C",'Mapa de Riesgos'!$O$14),"")</f>
        <v/>
      </c>
      <c r="S26" s="63" t="str">
        <f>IF(AND('Mapa de Riesgos'!$Y$15="Media",'Mapa de Riesgos'!$AA$15="Menor"),CONCATENATE("R1C",'Mapa de Riesgos'!$O$15),"")</f>
        <v/>
      </c>
      <c r="T26" s="63" t="str">
        <f>IF(AND('Mapa de Riesgos'!$Y$16="Media",'Mapa de Riesgos'!$AA$16="Menor"),CONCATENATE("R1C",'Mapa de Riesgos'!$O$16),"")</f>
        <v/>
      </c>
      <c r="U26" s="64" t="str">
        <f>IF(AND('Mapa de Riesgos'!$Y$17="Media",'Mapa de Riesgos'!$AA$17="Menor"),CONCATENATE("R1C",'Mapa de Riesgos'!$O$17),"")</f>
        <v/>
      </c>
      <c r="V26" s="62" t="str">
        <f>IF(AND('Mapa de Riesgos'!$Y$12="Media",'Mapa de Riesgos'!$AA$12="Moderado"),CONCATENATE("R1C",'Mapa de Riesgos'!$O$12),"")</f>
        <v/>
      </c>
      <c r="W26" s="63" t="str">
        <f>IF(AND('Mapa de Riesgos'!$Y$13="Media",'Mapa de Riesgos'!$AA$13="Moderado"),CONCATENATE("R1C",'Mapa de Riesgos'!$O$13),"")</f>
        <v/>
      </c>
      <c r="X26" s="63" t="str">
        <f>IF(AND('Mapa de Riesgos'!$Y$14="Media",'Mapa de Riesgos'!$AA$14="Moderado"),CONCATENATE("R1C",'Mapa de Riesgos'!$O$14),"")</f>
        <v/>
      </c>
      <c r="Y26" s="63" t="str">
        <f>IF(AND('Mapa de Riesgos'!$Y$15="Media",'Mapa de Riesgos'!$AA$15="Moderado"),CONCATENATE("R1C",'Mapa de Riesgos'!$O$15),"")</f>
        <v/>
      </c>
      <c r="Z26" s="63" t="str">
        <f>IF(AND('Mapa de Riesgos'!$Y$16="Media",'Mapa de Riesgos'!$AA$16="Moderado"),CONCATENATE("R1C",'Mapa de Riesgos'!$O$16),"")</f>
        <v/>
      </c>
      <c r="AA26" s="64" t="str">
        <f>IF(AND('Mapa de Riesgos'!$Y$17="Media",'Mapa de Riesgos'!$AA$17="Moderado"),CONCATENATE("R1C",'Mapa de Riesgos'!$O$17),"")</f>
        <v/>
      </c>
      <c r="AB26" s="44" t="str">
        <f>IF(AND('Mapa de Riesgos'!$Y$12="Media",'Mapa de Riesgos'!$AA$12="Mayor"),CONCATENATE("R1C",'Mapa de Riesgos'!$O$12),"")</f>
        <v/>
      </c>
      <c r="AC26" s="45" t="str">
        <f>IF(AND('Mapa de Riesgos'!$Y$13="Media",'Mapa de Riesgos'!$AA$13="Mayor"),CONCATENATE("R1C",'Mapa de Riesgos'!$O$13),"")</f>
        <v/>
      </c>
      <c r="AD26" s="45" t="str">
        <f>IF(AND('Mapa de Riesgos'!$Y$14="Media",'Mapa de Riesgos'!$AA$14="Mayor"),CONCATENATE("R1C",'Mapa de Riesgos'!$O$14),"")</f>
        <v/>
      </c>
      <c r="AE26" s="45" t="str">
        <f>IF(AND('Mapa de Riesgos'!$Y$15="Media",'Mapa de Riesgos'!$AA$15="Mayor"),CONCATENATE("R1C",'Mapa de Riesgos'!$O$15),"")</f>
        <v/>
      </c>
      <c r="AF26" s="45" t="str">
        <f>IF(AND('Mapa de Riesgos'!$Y$16="Media",'Mapa de Riesgos'!$AA$16="Mayor"),CONCATENATE("R1C",'Mapa de Riesgos'!$O$16),"")</f>
        <v/>
      </c>
      <c r="AG26" s="46" t="str">
        <f>IF(AND('Mapa de Riesgos'!$Y$17="Media",'Mapa de Riesgos'!$AA$17="Mayor"),CONCATENATE("R1C",'Mapa de Riesgos'!$O$17),"")</f>
        <v/>
      </c>
      <c r="AH26" s="47" t="str">
        <f>IF(AND('Mapa de Riesgos'!$Y$12="Media",'Mapa de Riesgos'!$AA$12="Catastrófico"),CONCATENATE("R1C",'Mapa de Riesgos'!$O$12),"")</f>
        <v/>
      </c>
      <c r="AI26" s="48" t="str">
        <f>IF(AND('Mapa de Riesgos'!$Y$13="Media",'Mapa de Riesgos'!$AA$13="Catastrófico"),CONCATENATE("R1C",'Mapa de Riesgos'!$O$13),"")</f>
        <v/>
      </c>
      <c r="AJ26" s="48" t="str">
        <f>IF(AND('Mapa de Riesgos'!$Y$14="Media",'Mapa de Riesgos'!$AA$14="Catastrófico"),CONCATENATE("R1C",'Mapa de Riesgos'!$O$14),"")</f>
        <v/>
      </c>
      <c r="AK26" s="48" t="str">
        <f>IF(AND('Mapa de Riesgos'!$Y$15="Media",'Mapa de Riesgos'!$AA$15="Catastrófico"),CONCATENATE("R1C",'Mapa de Riesgos'!$O$15),"")</f>
        <v/>
      </c>
      <c r="AL26" s="48" t="str">
        <f>IF(AND('Mapa de Riesgos'!$Y$16="Media",'Mapa de Riesgos'!$AA$16="Catastrófico"),CONCATENATE("R1C",'Mapa de Riesgos'!$O$16),"")</f>
        <v/>
      </c>
      <c r="AM26" s="49" t="str">
        <f>IF(AND('Mapa de Riesgos'!$Y$17="Media",'Mapa de Riesgos'!$AA$17="Catastrófico"),CONCATENATE("R1C",'Mapa de Riesgos'!$O$17),"")</f>
        <v/>
      </c>
      <c r="AN26" s="81"/>
      <c r="AO26" s="544" t="s">
        <v>203</v>
      </c>
      <c r="AP26" s="545"/>
      <c r="AQ26" s="545"/>
      <c r="AR26" s="545"/>
      <c r="AS26" s="545"/>
      <c r="AT26" s="546"/>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5" customHeight="1" x14ac:dyDescent="0.25">
      <c r="A27" s="81"/>
      <c r="B27" s="466"/>
      <c r="C27" s="466"/>
      <c r="D27" s="467"/>
      <c r="E27" s="523"/>
      <c r="F27" s="508"/>
      <c r="G27" s="508"/>
      <c r="H27" s="508"/>
      <c r="I27" s="509"/>
      <c r="J27" s="65" t="str">
        <f>IF(AND('Mapa de Riesgos'!$Y$18="Media",'Mapa de Riesgos'!$AA$18="Leve"),CONCATENATE("R2C",'Mapa de Riesgos'!$O$18),"")</f>
        <v/>
      </c>
      <c r="K27" s="66" t="str">
        <f>IF(AND('Mapa de Riesgos'!$Y$19="Media",'Mapa de Riesgos'!$AA$19="Leve"),CONCATENATE("R2C",'Mapa de Riesgos'!$O$19),"")</f>
        <v/>
      </c>
      <c r="L27" s="66" t="str">
        <f>IF(AND('Mapa de Riesgos'!$Y$20="Media",'Mapa de Riesgos'!$AA$20="Leve"),CONCATENATE("R2C",'Mapa de Riesgos'!$O$20),"")</f>
        <v/>
      </c>
      <c r="M27" s="66" t="str">
        <f>IF(AND('Mapa de Riesgos'!$Y$21="Media",'Mapa de Riesgos'!$AA$21="Leve"),CONCATENATE("R2C",'Mapa de Riesgos'!$O$21),"")</f>
        <v/>
      </c>
      <c r="N27" s="66" t="str">
        <f>IF(AND('Mapa de Riesgos'!$Y$22="Media",'Mapa de Riesgos'!$AA$22="Leve"),CONCATENATE("R2C",'Mapa de Riesgos'!$O$22),"")</f>
        <v/>
      </c>
      <c r="O27" s="67" t="str">
        <f>IF(AND('Mapa de Riesgos'!$Y$23="Media",'Mapa de Riesgos'!$AA$23="Leve"),CONCATENATE("R2C",'Mapa de Riesgos'!$O$23),"")</f>
        <v/>
      </c>
      <c r="P27" s="65" t="str">
        <f>IF(AND('Mapa de Riesgos'!$Y$18="Media",'Mapa de Riesgos'!$AA$18="Menor"),CONCATENATE("R2C",'Mapa de Riesgos'!$O$18),"")</f>
        <v/>
      </c>
      <c r="Q27" s="66" t="str">
        <f>IF(AND('Mapa de Riesgos'!$Y$19="Media",'Mapa de Riesgos'!$AA$19="Menor"),CONCATENATE("R2C",'Mapa de Riesgos'!$O$19),"")</f>
        <v/>
      </c>
      <c r="R27" s="66" t="str">
        <f>IF(AND('Mapa de Riesgos'!$Y$20="Media",'Mapa de Riesgos'!$AA$20="Menor"),CONCATENATE("R2C",'Mapa de Riesgos'!$O$20),"")</f>
        <v/>
      </c>
      <c r="S27" s="66" t="str">
        <f>IF(AND('Mapa de Riesgos'!$Y$21="Media",'Mapa de Riesgos'!$AA$21="Menor"),CONCATENATE("R2C",'Mapa de Riesgos'!$O$21),"")</f>
        <v/>
      </c>
      <c r="T27" s="66" t="str">
        <f>IF(AND('Mapa de Riesgos'!$Y$22="Media",'Mapa de Riesgos'!$AA$22="Menor"),CONCATENATE("R2C",'Mapa de Riesgos'!$O$22),"")</f>
        <v/>
      </c>
      <c r="U27" s="67" t="str">
        <f>IF(AND('Mapa de Riesgos'!$Y$23="Media",'Mapa de Riesgos'!$AA$23="Menor"),CONCATENATE("R2C",'Mapa de Riesgos'!$O$23),"")</f>
        <v/>
      </c>
      <c r="V27" s="65" t="str">
        <f>IF(AND('Mapa de Riesgos'!$Y$18="Media",'Mapa de Riesgos'!$AA$18="Moderado"),CONCATENATE("R2C",'Mapa de Riesgos'!$O$18),"")</f>
        <v/>
      </c>
      <c r="W27" s="66" t="str">
        <f>IF(AND('Mapa de Riesgos'!$Y$19="Media",'Mapa de Riesgos'!$AA$19="Moderado"),CONCATENATE("R2C",'Mapa de Riesgos'!$O$19),"")</f>
        <v/>
      </c>
      <c r="X27" s="66" t="str">
        <f>IF(AND('Mapa de Riesgos'!$Y$20="Media",'Mapa de Riesgos'!$AA$20="Moderado"),CONCATENATE("R2C",'Mapa de Riesgos'!$O$20),"")</f>
        <v/>
      </c>
      <c r="Y27" s="66" t="str">
        <f>IF(AND('Mapa de Riesgos'!$Y$21="Media",'Mapa de Riesgos'!$AA$21="Moderado"),CONCATENATE("R2C",'Mapa de Riesgos'!$O$21),"")</f>
        <v/>
      </c>
      <c r="Z27" s="66" t="str">
        <f>IF(AND('Mapa de Riesgos'!$Y$22="Media",'Mapa de Riesgos'!$AA$22="Moderado"),CONCATENATE("R2C",'Mapa de Riesgos'!$O$22),"")</f>
        <v/>
      </c>
      <c r="AA27" s="67" t="str">
        <f>IF(AND('Mapa de Riesgos'!$Y$23="Media",'Mapa de Riesgos'!$AA$23="Moderado"),CONCATENATE("R2C",'Mapa de Riesgos'!$O$23),"")</f>
        <v/>
      </c>
      <c r="AB27" s="50" t="str">
        <f>IF(AND('Mapa de Riesgos'!$Y$18="Media",'Mapa de Riesgos'!$AA$18="Mayor"),CONCATENATE("R2C",'Mapa de Riesgos'!$O$18),"")</f>
        <v/>
      </c>
      <c r="AC27" s="51" t="str">
        <f>IF(AND('Mapa de Riesgos'!$Y$19="Media",'Mapa de Riesgos'!$AA$19="Mayor"),CONCATENATE("R2C",'Mapa de Riesgos'!$O$19),"")</f>
        <v/>
      </c>
      <c r="AD27" s="51" t="str">
        <f>IF(AND('Mapa de Riesgos'!$Y$20="Media",'Mapa de Riesgos'!$AA$20="Mayor"),CONCATENATE("R2C",'Mapa de Riesgos'!$O$20),"")</f>
        <v/>
      </c>
      <c r="AE27" s="51" t="str">
        <f>IF(AND('Mapa de Riesgos'!$Y$21="Media",'Mapa de Riesgos'!$AA$21="Mayor"),CONCATENATE("R2C",'Mapa de Riesgos'!$O$21),"")</f>
        <v/>
      </c>
      <c r="AF27" s="51" t="str">
        <f>IF(AND('Mapa de Riesgos'!$Y$22="Media",'Mapa de Riesgos'!$AA$22="Mayor"),CONCATENATE("R2C",'Mapa de Riesgos'!$O$22),"")</f>
        <v/>
      </c>
      <c r="AG27" s="52" t="str">
        <f>IF(AND('Mapa de Riesgos'!$Y$23="Media",'Mapa de Riesgos'!$AA$23="Mayor"),CONCATENATE("R2C",'Mapa de Riesgos'!$O$23),"")</f>
        <v/>
      </c>
      <c r="AH27" s="53" t="str">
        <f>IF(AND('Mapa de Riesgos'!$Y$18="Media",'Mapa de Riesgos'!$AA$18="Catastrófico"),CONCATENATE("R2C",'Mapa de Riesgos'!$O$18),"")</f>
        <v/>
      </c>
      <c r="AI27" s="54" t="str">
        <f>IF(AND('Mapa de Riesgos'!$Y$19="Media",'Mapa de Riesgos'!$AA$19="Catastrófico"),CONCATENATE("R2C",'Mapa de Riesgos'!$O$19),"")</f>
        <v/>
      </c>
      <c r="AJ27" s="54" t="str">
        <f>IF(AND('Mapa de Riesgos'!$Y$20="Media",'Mapa de Riesgos'!$AA$20="Catastrófico"),CONCATENATE("R2C",'Mapa de Riesgos'!$O$20),"")</f>
        <v/>
      </c>
      <c r="AK27" s="54" t="str">
        <f>IF(AND('Mapa de Riesgos'!$Y$21="Media",'Mapa de Riesgos'!$AA$21="Catastrófico"),CONCATENATE("R2C",'Mapa de Riesgos'!$O$21),"")</f>
        <v/>
      </c>
      <c r="AL27" s="54" t="str">
        <f>IF(AND('Mapa de Riesgos'!$Y$22="Media",'Mapa de Riesgos'!$AA$22="Catastrófico"),CONCATENATE("R2C",'Mapa de Riesgos'!$O$22),"")</f>
        <v/>
      </c>
      <c r="AM27" s="55" t="str">
        <f>IF(AND('Mapa de Riesgos'!$Y$23="Media",'Mapa de Riesgos'!$AA$23="Catastrófico"),CONCATENATE("R2C",'Mapa de Riesgos'!$O$23),"")</f>
        <v/>
      </c>
      <c r="AN27" s="81"/>
      <c r="AO27" s="547"/>
      <c r="AP27" s="548"/>
      <c r="AQ27" s="548"/>
      <c r="AR27" s="548"/>
      <c r="AS27" s="548"/>
      <c r="AT27" s="549"/>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5" customHeight="1" x14ac:dyDescent="0.25">
      <c r="A28" s="81"/>
      <c r="B28" s="466"/>
      <c r="C28" s="466"/>
      <c r="D28" s="467"/>
      <c r="E28" s="507"/>
      <c r="F28" s="508"/>
      <c r="G28" s="508"/>
      <c r="H28" s="508"/>
      <c r="I28" s="509"/>
      <c r="J28" s="65" t="str">
        <f>IF(AND('Mapa de Riesgos'!$Y$24="Media",'Mapa de Riesgos'!$AA$24="Leve"),CONCATENATE("R3C",'Mapa de Riesgos'!$O$24),"")</f>
        <v/>
      </c>
      <c r="K28" s="66" t="str">
        <f>IF(AND('Mapa de Riesgos'!$Y$25="Media",'Mapa de Riesgos'!$AA$25="Leve"),CONCATENATE("R3C",'Mapa de Riesgos'!$O$25),"")</f>
        <v/>
      </c>
      <c r="L28" s="66" t="str">
        <f>IF(AND('Mapa de Riesgos'!$Y$26="Media",'Mapa de Riesgos'!$AA$26="Leve"),CONCATENATE("R3C",'Mapa de Riesgos'!$O$26),"")</f>
        <v/>
      </c>
      <c r="M28" s="66" t="str">
        <f>IF(AND('Mapa de Riesgos'!$Y$27="Media",'Mapa de Riesgos'!$AA$27="Leve"),CONCATENATE("R3C",'Mapa de Riesgos'!$O$27),"")</f>
        <v/>
      </c>
      <c r="N28" s="66" t="str">
        <f>IF(AND('Mapa de Riesgos'!$Y$28="Media",'Mapa de Riesgos'!$AA$28="Leve"),CONCATENATE("R3C",'Mapa de Riesgos'!$O$28),"")</f>
        <v/>
      </c>
      <c r="O28" s="67" t="str">
        <f>IF(AND('Mapa de Riesgos'!$Y$29="Media",'Mapa de Riesgos'!$AA$29="Leve"),CONCATENATE("R3C",'Mapa de Riesgos'!$O$29),"")</f>
        <v/>
      </c>
      <c r="P28" s="65" t="str">
        <f>IF(AND('Mapa de Riesgos'!$Y$24="Media",'Mapa de Riesgos'!$AA$24="Menor"),CONCATENATE("R3C",'Mapa de Riesgos'!$O$24),"")</f>
        <v/>
      </c>
      <c r="Q28" s="66" t="str">
        <f>IF(AND('Mapa de Riesgos'!$Y$25="Media",'Mapa de Riesgos'!$AA$25="Menor"),CONCATENATE("R3C",'Mapa de Riesgos'!$O$25),"")</f>
        <v/>
      </c>
      <c r="R28" s="66" t="str">
        <f>IF(AND('Mapa de Riesgos'!$Y$26="Media",'Mapa de Riesgos'!$AA$26="Menor"),CONCATENATE("R3C",'Mapa de Riesgos'!$O$26),"")</f>
        <v/>
      </c>
      <c r="S28" s="66" t="str">
        <f>IF(AND('Mapa de Riesgos'!$Y$27="Media",'Mapa de Riesgos'!$AA$27="Menor"),CONCATENATE("R3C",'Mapa de Riesgos'!$O$27),"")</f>
        <v/>
      </c>
      <c r="T28" s="66" t="str">
        <f>IF(AND('Mapa de Riesgos'!$Y$28="Media",'Mapa de Riesgos'!$AA$28="Menor"),CONCATENATE("R3C",'Mapa de Riesgos'!$O$28),"")</f>
        <v/>
      </c>
      <c r="U28" s="67" t="str">
        <f>IF(AND('Mapa de Riesgos'!$Y$29="Media",'Mapa de Riesgos'!$AA$29="Menor"),CONCATENATE("R3C",'Mapa de Riesgos'!$O$29),"")</f>
        <v/>
      </c>
      <c r="V28" s="65" t="str">
        <f>IF(AND('Mapa de Riesgos'!$Y$24="Media",'Mapa de Riesgos'!$AA$24="Moderado"),CONCATENATE("R3C",'Mapa de Riesgos'!$O$24),"")</f>
        <v/>
      </c>
      <c r="W28" s="66" t="str">
        <f>IF(AND('Mapa de Riesgos'!$Y$25="Media",'Mapa de Riesgos'!$AA$25="Moderado"),CONCATENATE("R3C",'Mapa de Riesgos'!$O$25),"")</f>
        <v/>
      </c>
      <c r="X28" s="66" t="str">
        <f>IF(AND('Mapa de Riesgos'!$Y$26="Media",'Mapa de Riesgos'!$AA$26="Moderado"),CONCATENATE("R3C",'Mapa de Riesgos'!$O$26),"")</f>
        <v/>
      </c>
      <c r="Y28" s="66" t="str">
        <f>IF(AND('Mapa de Riesgos'!$Y$27="Media",'Mapa de Riesgos'!$AA$27="Moderado"),CONCATENATE("R3C",'Mapa de Riesgos'!$O$27),"")</f>
        <v/>
      </c>
      <c r="Z28" s="66" t="str">
        <f>IF(AND('Mapa de Riesgos'!$Y$28="Media",'Mapa de Riesgos'!$AA$28="Moderado"),CONCATENATE("R3C",'Mapa de Riesgos'!$O$28),"")</f>
        <v/>
      </c>
      <c r="AA28" s="67" t="str">
        <f>IF(AND('Mapa de Riesgos'!$Y$29="Media",'Mapa de Riesgos'!$AA$29="Moderado"),CONCATENATE("R3C",'Mapa de Riesgos'!$O$29),"")</f>
        <v/>
      </c>
      <c r="AB28" s="50" t="str">
        <f>IF(AND('Mapa de Riesgos'!$Y$24="Media",'Mapa de Riesgos'!$AA$24="Mayor"),CONCATENATE("R3C",'Mapa de Riesgos'!$O$24),"")</f>
        <v/>
      </c>
      <c r="AC28" s="51" t="str">
        <f>IF(AND('Mapa de Riesgos'!$Y$25="Media",'Mapa de Riesgos'!$AA$25="Mayor"),CONCATENATE("R3C",'Mapa de Riesgos'!$O$25),"")</f>
        <v/>
      </c>
      <c r="AD28" s="51" t="str">
        <f>IF(AND('Mapa de Riesgos'!$Y$26="Media",'Mapa de Riesgos'!$AA$26="Mayor"),CONCATENATE("R3C",'Mapa de Riesgos'!$O$26),"")</f>
        <v/>
      </c>
      <c r="AE28" s="51" t="str">
        <f>IF(AND('Mapa de Riesgos'!$Y$27="Media",'Mapa de Riesgos'!$AA$27="Mayor"),CONCATENATE("R3C",'Mapa de Riesgos'!$O$27),"")</f>
        <v/>
      </c>
      <c r="AF28" s="51" t="str">
        <f>IF(AND('Mapa de Riesgos'!$Y$28="Media",'Mapa de Riesgos'!$AA$28="Mayor"),CONCATENATE("R3C",'Mapa de Riesgos'!$O$28),"")</f>
        <v/>
      </c>
      <c r="AG28" s="52" t="str">
        <f>IF(AND('Mapa de Riesgos'!$Y$29="Media",'Mapa de Riesgos'!$AA$29="Mayor"),CONCATENATE("R3C",'Mapa de Riesgos'!$O$29),"")</f>
        <v/>
      </c>
      <c r="AH28" s="53" t="str">
        <f>IF(AND('Mapa de Riesgos'!$Y$24="Media",'Mapa de Riesgos'!$AA$24="Catastrófico"),CONCATENATE("R3C",'Mapa de Riesgos'!$O$24),"")</f>
        <v/>
      </c>
      <c r="AI28" s="54" t="str">
        <f>IF(AND('Mapa de Riesgos'!$Y$25="Media",'Mapa de Riesgos'!$AA$25="Catastrófico"),CONCATENATE("R3C",'Mapa de Riesgos'!$O$25),"")</f>
        <v/>
      </c>
      <c r="AJ28" s="54" t="str">
        <f>IF(AND('Mapa de Riesgos'!$Y$26="Media",'Mapa de Riesgos'!$AA$26="Catastrófico"),CONCATENATE("R3C",'Mapa de Riesgos'!$O$26),"")</f>
        <v/>
      </c>
      <c r="AK28" s="54" t="str">
        <f>IF(AND('Mapa de Riesgos'!$Y$27="Media",'Mapa de Riesgos'!$AA$27="Catastrófico"),CONCATENATE("R3C",'Mapa de Riesgos'!$O$27),"")</f>
        <v/>
      </c>
      <c r="AL28" s="54" t="str">
        <f>IF(AND('Mapa de Riesgos'!$Y$28="Media",'Mapa de Riesgos'!$AA$28="Catastrófico"),CONCATENATE("R3C",'Mapa de Riesgos'!$O$28),"")</f>
        <v/>
      </c>
      <c r="AM28" s="55" t="str">
        <f>IF(AND('Mapa de Riesgos'!$Y$29="Media",'Mapa de Riesgos'!$AA$29="Catastrófico"),CONCATENATE("R3C",'Mapa de Riesgos'!$O$29),"")</f>
        <v/>
      </c>
      <c r="AN28" s="81"/>
      <c r="AO28" s="547"/>
      <c r="AP28" s="548"/>
      <c r="AQ28" s="548"/>
      <c r="AR28" s="548"/>
      <c r="AS28" s="548"/>
      <c r="AT28" s="549"/>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5" customHeight="1" x14ac:dyDescent="0.25">
      <c r="A29" s="81"/>
      <c r="B29" s="466"/>
      <c r="C29" s="466"/>
      <c r="D29" s="467"/>
      <c r="E29" s="507"/>
      <c r="F29" s="508"/>
      <c r="G29" s="508"/>
      <c r="H29" s="508"/>
      <c r="I29" s="509"/>
      <c r="J29" s="65" t="str">
        <f>IF(AND('Mapa de Riesgos'!$Y$30="Media",'Mapa de Riesgos'!$AA$30="Leve"),CONCATENATE("R4C",'Mapa de Riesgos'!$O$30),"")</f>
        <v/>
      </c>
      <c r="K29" s="66" t="str">
        <f>IF(AND('Mapa de Riesgos'!$Y$31="Media",'Mapa de Riesgos'!$AA$31="Leve"),CONCATENATE("R4C",'Mapa de Riesgos'!$O$31),"")</f>
        <v/>
      </c>
      <c r="L29" s="66" t="str">
        <f>IF(AND('Mapa de Riesgos'!$Y$32="Media",'Mapa de Riesgos'!$AA$32="Leve"),CONCATENATE("R4C",'Mapa de Riesgos'!$O$32),"")</f>
        <v/>
      </c>
      <c r="M29" s="66" t="str">
        <f>IF(AND('Mapa de Riesgos'!$Y$33="Media",'Mapa de Riesgos'!$AA$33="Leve"),CONCATENATE("R4C",'Mapa de Riesgos'!$O$33),"")</f>
        <v/>
      </c>
      <c r="N29" s="66" t="str">
        <f>IF(AND('Mapa de Riesgos'!$Y$34="Media",'Mapa de Riesgos'!$AA$34="Leve"),CONCATENATE("R4C",'Mapa de Riesgos'!$O$34),"")</f>
        <v/>
      </c>
      <c r="O29" s="67" t="str">
        <f>IF(AND('Mapa de Riesgos'!$Y$35="Media",'Mapa de Riesgos'!$AA$35="Leve"),CONCATENATE("R4C",'Mapa de Riesgos'!$O$35),"")</f>
        <v/>
      </c>
      <c r="P29" s="65" t="str">
        <f>IF(AND('Mapa de Riesgos'!$Y$30="Media",'Mapa de Riesgos'!$AA$30="Menor"),CONCATENATE("R4C",'Mapa de Riesgos'!$O$30),"")</f>
        <v/>
      </c>
      <c r="Q29" s="66" t="str">
        <f>IF(AND('Mapa de Riesgos'!$Y$31="Media",'Mapa de Riesgos'!$AA$31="Menor"),CONCATENATE("R4C",'Mapa de Riesgos'!$O$31),"")</f>
        <v/>
      </c>
      <c r="R29" s="66" t="str">
        <f>IF(AND('Mapa de Riesgos'!$Y$32="Media",'Mapa de Riesgos'!$AA$32="Menor"),CONCATENATE("R4C",'Mapa de Riesgos'!$O$32),"")</f>
        <v/>
      </c>
      <c r="S29" s="66" t="str">
        <f>IF(AND('Mapa de Riesgos'!$Y$33="Media",'Mapa de Riesgos'!$AA$33="Menor"),CONCATENATE("R4C",'Mapa de Riesgos'!$O$33),"")</f>
        <v/>
      </c>
      <c r="T29" s="66" t="str">
        <f>IF(AND('Mapa de Riesgos'!$Y$34="Media",'Mapa de Riesgos'!$AA$34="Menor"),CONCATENATE("R4C",'Mapa de Riesgos'!$O$34),"")</f>
        <v/>
      </c>
      <c r="U29" s="67" t="str">
        <f>IF(AND('Mapa de Riesgos'!$Y$35="Media",'Mapa de Riesgos'!$AA$35="Menor"),CONCATENATE("R4C",'Mapa de Riesgos'!$O$35),"")</f>
        <v/>
      </c>
      <c r="V29" s="65" t="str">
        <f>IF(AND('Mapa de Riesgos'!$Y$30="Media",'Mapa de Riesgos'!$AA$30="Moderado"),CONCATENATE("R4C",'Mapa de Riesgos'!$O$30),"")</f>
        <v/>
      </c>
      <c r="W29" s="66" t="str">
        <f>IF(AND('Mapa de Riesgos'!$Y$31="Media",'Mapa de Riesgos'!$AA$31="Moderado"),CONCATENATE("R4C",'Mapa de Riesgos'!$O$31),"")</f>
        <v/>
      </c>
      <c r="X29" s="66" t="str">
        <f>IF(AND('Mapa de Riesgos'!$Y$32="Media",'Mapa de Riesgos'!$AA$32="Moderado"),CONCATENATE("R4C",'Mapa de Riesgos'!$O$32),"")</f>
        <v/>
      </c>
      <c r="Y29" s="66" t="str">
        <f>IF(AND('Mapa de Riesgos'!$Y$33="Media",'Mapa de Riesgos'!$AA$33="Moderado"),CONCATENATE("R4C",'Mapa de Riesgos'!$O$33),"")</f>
        <v/>
      </c>
      <c r="Z29" s="66" t="str">
        <f>IF(AND('Mapa de Riesgos'!$Y$34="Media",'Mapa de Riesgos'!$AA$34="Moderado"),CONCATENATE("R4C",'Mapa de Riesgos'!$O$34),"")</f>
        <v/>
      </c>
      <c r="AA29" s="67" t="str">
        <f>IF(AND('Mapa de Riesgos'!$Y$35="Media",'Mapa de Riesgos'!$AA$35="Moderado"),CONCATENATE("R4C",'Mapa de Riesgos'!$O$35),"")</f>
        <v/>
      </c>
      <c r="AB29" s="50" t="str">
        <f>IF(AND('Mapa de Riesgos'!$Y$30="Media",'Mapa de Riesgos'!$AA$30="Mayor"),CONCATENATE("R4C",'Mapa de Riesgos'!$O$30),"")</f>
        <v/>
      </c>
      <c r="AC29" s="51" t="str">
        <f>IF(AND('Mapa de Riesgos'!$Y$31="Media",'Mapa de Riesgos'!$AA$31="Mayor"),CONCATENATE("R4C",'Mapa de Riesgos'!$O$31),"")</f>
        <v/>
      </c>
      <c r="AD29" s="51" t="str">
        <f>IF(AND('Mapa de Riesgos'!$Y$32="Media",'Mapa de Riesgos'!$AA$32="Mayor"),CONCATENATE("R4C",'Mapa de Riesgos'!$O$32),"")</f>
        <v/>
      </c>
      <c r="AE29" s="51" t="str">
        <f>IF(AND('Mapa de Riesgos'!$Y$33="Media",'Mapa de Riesgos'!$AA$33="Mayor"),CONCATENATE("R4C",'Mapa de Riesgos'!$O$33),"")</f>
        <v/>
      </c>
      <c r="AF29" s="51" t="str">
        <f>IF(AND('Mapa de Riesgos'!$Y$34="Media",'Mapa de Riesgos'!$AA$34="Mayor"),CONCATENATE("R4C",'Mapa de Riesgos'!$O$34),"")</f>
        <v/>
      </c>
      <c r="AG29" s="52" t="str">
        <f>IF(AND('Mapa de Riesgos'!$Y$35="Media",'Mapa de Riesgos'!$AA$35="Mayor"),CONCATENATE("R4C",'Mapa de Riesgos'!$O$35),"")</f>
        <v/>
      </c>
      <c r="AH29" s="53" t="str">
        <f>IF(AND('Mapa de Riesgos'!$Y$30="Media",'Mapa de Riesgos'!$AA$30="Catastrófico"),CONCATENATE("R4C",'Mapa de Riesgos'!$O$30),"")</f>
        <v/>
      </c>
      <c r="AI29" s="54" t="str">
        <f>IF(AND('Mapa de Riesgos'!$Y$31="Media",'Mapa de Riesgos'!$AA$31="Catastrófico"),CONCATENATE("R4C",'Mapa de Riesgos'!$O$31),"")</f>
        <v/>
      </c>
      <c r="AJ29" s="54" t="str">
        <f>IF(AND('Mapa de Riesgos'!$Y$32="Media",'Mapa de Riesgos'!$AA$32="Catastrófico"),CONCATENATE("R4C",'Mapa de Riesgos'!$O$32),"")</f>
        <v/>
      </c>
      <c r="AK29" s="54" t="str">
        <f>IF(AND('Mapa de Riesgos'!$Y$33="Media",'Mapa de Riesgos'!$AA$33="Catastrófico"),CONCATENATE("R4C",'Mapa de Riesgos'!$O$33),"")</f>
        <v/>
      </c>
      <c r="AL29" s="54" t="str">
        <f>IF(AND('Mapa de Riesgos'!$Y$34="Media",'Mapa de Riesgos'!$AA$34="Catastrófico"),CONCATENATE("R4C",'Mapa de Riesgos'!$O$34),"")</f>
        <v/>
      </c>
      <c r="AM29" s="55" t="str">
        <f>IF(AND('Mapa de Riesgos'!$Y$35="Media",'Mapa de Riesgos'!$AA$35="Catastrófico"),CONCATENATE("R4C",'Mapa de Riesgos'!$O$35),"")</f>
        <v/>
      </c>
      <c r="AN29" s="81"/>
      <c r="AO29" s="547"/>
      <c r="AP29" s="548"/>
      <c r="AQ29" s="548"/>
      <c r="AR29" s="548"/>
      <c r="AS29" s="548"/>
      <c r="AT29" s="549"/>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5" customHeight="1" x14ac:dyDescent="0.25">
      <c r="A30" s="81"/>
      <c r="B30" s="466"/>
      <c r="C30" s="466"/>
      <c r="D30" s="467"/>
      <c r="E30" s="507"/>
      <c r="F30" s="508"/>
      <c r="G30" s="508"/>
      <c r="H30" s="508"/>
      <c r="I30" s="509"/>
      <c r="J30" s="65" t="str">
        <f>IF(AND('Mapa de Riesgos'!$Y$36="Media",'Mapa de Riesgos'!$AA$36="Leve"),CONCATENATE("R5C",'Mapa de Riesgos'!$O$36),"")</f>
        <v/>
      </c>
      <c r="K30" s="66" t="str">
        <f>IF(AND('Mapa de Riesgos'!$Y$37="Media",'Mapa de Riesgos'!$AA$37="Leve"),CONCATENATE("R5C",'Mapa de Riesgos'!$O$37),"")</f>
        <v/>
      </c>
      <c r="L30" s="66" t="str">
        <f>IF(AND('Mapa de Riesgos'!$Y$38="Media",'Mapa de Riesgos'!$AA$38="Leve"),CONCATENATE("R5C",'Mapa de Riesgos'!$O$38),"")</f>
        <v/>
      </c>
      <c r="M30" s="66" t="str">
        <f>IF(AND('Mapa de Riesgos'!$Y$39="Media",'Mapa de Riesgos'!$AA$39="Leve"),CONCATENATE("R5C",'Mapa de Riesgos'!$O$39),"")</f>
        <v/>
      </c>
      <c r="N30" s="66" t="str">
        <f>IF(AND('Mapa de Riesgos'!$Y$40="Media",'Mapa de Riesgos'!$AA$40="Leve"),CONCATENATE("R5C",'Mapa de Riesgos'!$O$40),"")</f>
        <v/>
      </c>
      <c r="O30" s="67" t="str">
        <f>IF(AND('Mapa de Riesgos'!$Y$41="Media",'Mapa de Riesgos'!$AA$41="Leve"),CONCATENATE("R5C",'Mapa de Riesgos'!$O$41),"")</f>
        <v/>
      </c>
      <c r="P30" s="65" t="str">
        <f>IF(AND('Mapa de Riesgos'!$Y$36="Media",'Mapa de Riesgos'!$AA$36="Menor"),CONCATENATE("R5C",'Mapa de Riesgos'!$O$36),"")</f>
        <v/>
      </c>
      <c r="Q30" s="66" t="str">
        <f>IF(AND('Mapa de Riesgos'!$Y$37="Media",'Mapa de Riesgos'!$AA$37="Menor"),CONCATENATE("R5C",'Mapa de Riesgos'!$O$37),"")</f>
        <v/>
      </c>
      <c r="R30" s="66" t="str">
        <f>IF(AND('Mapa de Riesgos'!$Y$38="Media",'Mapa de Riesgos'!$AA$38="Menor"),CONCATENATE("R5C",'Mapa de Riesgos'!$O$38),"")</f>
        <v/>
      </c>
      <c r="S30" s="66" t="str">
        <f>IF(AND('Mapa de Riesgos'!$Y$39="Media",'Mapa de Riesgos'!$AA$39="Menor"),CONCATENATE("R5C",'Mapa de Riesgos'!$O$39),"")</f>
        <v/>
      </c>
      <c r="T30" s="66" t="str">
        <f>IF(AND('Mapa de Riesgos'!$Y$40="Media",'Mapa de Riesgos'!$AA$40="Menor"),CONCATENATE("R5C",'Mapa de Riesgos'!$O$40),"")</f>
        <v/>
      </c>
      <c r="U30" s="67" t="str">
        <f>IF(AND('Mapa de Riesgos'!$Y$41="Media",'Mapa de Riesgos'!$AA$41="Menor"),CONCATENATE("R5C",'Mapa de Riesgos'!$O$41),"")</f>
        <v/>
      </c>
      <c r="V30" s="65" t="str">
        <f>IF(AND('Mapa de Riesgos'!$Y$36="Media",'Mapa de Riesgos'!$AA$36="Moderado"),CONCATENATE("R5C",'Mapa de Riesgos'!$O$36),"")</f>
        <v/>
      </c>
      <c r="W30" s="66" t="str">
        <f>IF(AND('Mapa de Riesgos'!$Y$37="Media",'Mapa de Riesgos'!$AA$37="Moderado"),CONCATENATE("R5C",'Mapa de Riesgos'!$O$37),"")</f>
        <v/>
      </c>
      <c r="X30" s="66" t="str">
        <f>IF(AND('Mapa de Riesgos'!$Y$38="Media",'Mapa de Riesgos'!$AA$38="Moderado"),CONCATENATE("R5C",'Mapa de Riesgos'!$O$38),"")</f>
        <v/>
      </c>
      <c r="Y30" s="66" t="str">
        <f>IF(AND('Mapa de Riesgos'!$Y$39="Media",'Mapa de Riesgos'!$AA$39="Moderado"),CONCATENATE("R5C",'Mapa de Riesgos'!$O$39),"")</f>
        <v/>
      </c>
      <c r="Z30" s="66" t="str">
        <f>IF(AND('Mapa de Riesgos'!$Y$40="Media",'Mapa de Riesgos'!$AA$40="Moderado"),CONCATENATE("R5C",'Mapa de Riesgos'!$O$40),"")</f>
        <v/>
      </c>
      <c r="AA30" s="67" t="str">
        <f>IF(AND('Mapa de Riesgos'!$Y$41="Media",'Mapa de Riesgos'!$AA$41="Moderado"),CONCATENATE("R5C",'Mapa de Riesgos'!$O$41),"")</f>
        <v/>
      </c>
      <c r="AB30" s="50" t="str">
        <f>IF(AND('Mapa de Riesgos'!$Y$36="Media",'Mapa de Riesgos'!$AA$36="Mayor"),CONCATENATE("R5C",'Mapa de Riesgos'!$O$36),"")</f>
        <v/>
      </c>
      <c r="AC30" s="51" t="str">
        <f>IF(AND('Mapa de Riesgos'!$Y$37="Media",'Mapa de Riesgos'!$AA$37="Mayor"),CONCATENATE("R5C",'Mapa de Riesgos'!$O$37),"")</f>
        <v/>
      </c>
      <c r="AD30" s="51" t="str">
        <f>IF(AND('Mapa de Riesgos'!$Y$38="Media",'Mapa de Riesgos'!$AA$38="Mayor"),CONCATENATE("R5C",'Mapa de Riesgos'!$O$38),"")</f>
        <v/>
      </c>
      <c r="AE30" s="51" t="str">
        <f>IF(AND('Mapa de Riesgos'!$Y$39="Media",'Mapa de Riesgos'!$AA$39="Mayor"),CONCATENATE("R5C",'Mapa de Riesgos'!$O$39),"")</f>
        <v/>
      </c>
      <c r="AF30" s="51" t="str">
        <f>IF(AND('Mapa de Riesgos'!$Y$40="Media",'Mapa de Riesgos'!$AA$40="Mayor"),CONCATENATE("R5C",'Mapa de Riesgos'!$O$40),"")</f>
        <v/>
      </c>
      <c r="AG30" s="52" t="str">
        <f>IF(AND('Mapa de Riesgos'!$Y$41="Media",'Mapa de Riesgos'!$AA$41="Mayor"),CONCATENATE("R5C",'Mapa de Riesgos'!$O$41),"")</f>
        <v/>
      </c>
      <c r="AH30" s="53" t="str">
        <f>IF(AND('Mapa de Riesgos'!$Y$36="Media",'Mapa de Riesgos'!$AA$36="Catastrófico"),CONCATENATE("R5C",'Mapa de Riesgos'!$O$36),"")</f>
        <v/>
      </c>
      <c r="AI30" s="54" t="str">
        <f>IF(AND('Mapa de Riesgos'!$Y$37="Media",'Mapa de Riesgos'!$AA$37="Catastrófico"),CONCATENATE("R5C",'Mapa de Riesgos'!$O$37),"")</f>
        <v/>
      </c>
      <c r="AJ30" s="54" t="str">
        <f>IF(AND('Mapa de Riesgos'!$Y$38="Media",'Mapa de Riesgos'!$AA$38="Catastrófico"),CONCATENATE("R5C",'Mapa de Riesgos'!$O$38),"")</f>
        <v/>
      </c>
      <c r="AK30" s="54" t="str">
        <f>IF(AND('Mapa de Riesgos'!$Y$39="Media",'Mapa de Riesgos'!$AA$39="Catastrófico"),CONCATENATE("R5C",'Mapa de Riesgos'!$O$39),"")</f>
        <v/>
      </c>
      <c r="AL30" s="54" t="str">
        <f>IF(AND('Mapa de Riesgos'!$Y$40="Media",'Mapa de Riesgos'!$AA$40="Catastrófico"),CONCATENATE("R5C",'Mapa de Riesgos'!$O$40),"")</f>
        <v/>
      </c>
      <c r="AM30" s="55" t="str">
        <f>IF(AND('Mapa de Riesgos'!$Y$41="Media",'Mapa de Riesgos'!$AA$41="Catastrófico"),CONCATENATE("R5C",'Mapa de Riesgos'!$O$41),"")</f>
        <v/>
      </c>
      <c r="AN30" s="81"/>
      <c r="AO30" s="547"/>
      <c r="AP30" s="548"/>
      <c r="AQ30" s="548"/>
      <c r="AR30" s="548"/>
      <c r="AS30" s="548"/>
      <c r="AT30" s="549"/>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5" customHeight="1" x14ac:dyDescent="0.25">
      <c r="A31" s="81"/>
      <c r="B31" s="466"/>
      <c r="C31" s="466"/>
      <c r="D31" s="467"/>
      <c r="E31" s="507"/>
      <c r="F31" s="508"/>
      <c r="G31" s="508"/>
      <c r="H31" s="508"/>
      <c r="I31" s="509"/>
      <c r="J31" s="65" t="str">
        <f>IF(AND('Mapa de Riesgos'!$Y$42="Media",'Mapa de Riesgos'!$AA$42="Leve"),CONCATENATE("R6C",'Mapa de Riesgos'!$O$42),"")</f>
        <v/>
      </c>
      <c r="K31" s="66" t="str">
        <f>IF(AND('Mapa de Riesgos'!$Y$43="Media",'Mapa de Riesgos'!$AA$43="Leve"),CONCATENATE("R6C",'Mapa de Riesgos'!$O$43),"")</f>
        <v/>
      </c>
      <c r="L31" s="66" t="str">
        <f>IF(AND('Mapa de Riesgos'!$Y$44="Media",'Mapa de Riesgos'!$AA$44="Leve"),CONCATENATE("R6C",'Mapa de Riesgos'!$O$44),"")</f>
        <v/>
      </c>
      <c r="M31" s="66" t="str">
        <f>IF(AND('Mapa de Riesgos'!$Y$45="Media",'Mapa de Riesgos'!$AA$45="Leve"),CONCATENATE("R6C",'Mapa de Riesgos'!$O$45),"")</f>
        <v/>
      </c>
      <c r="N31" s="66" t="str">
        <f>IF(AND('Mapa de Riesgos'!$Y$46="Media",'Mapa de Riesgos'!$AA$46="Leve"),CONCATENATE("R6C",'Mapa de Riesgos'!$O$46),"")</f>
        <v/>
      </c>
      <c r="O31" s="67" t="str">
        <f>IF(AND('Mapa de Riesgos'!$Y$47="Media",'Mapa de Riesgos'!$AA$47="Leve"),CONCATENATE("R6C",'Mapa de Riesgos'!$O$47),"")</f>
        <v/>
      </c>
      <c r="P31" s="65" t="str">
        <f>IF(AND('Mapa de Riesgos'!$Y$42="Media",'Mapa de Riesgos'!$AA$42="Menor"),CONCATENATE("R6C",'Mapa de Riesgos'!$O$42),"")</f>
        <v/>
      </c>
      <c r="Q31" s="66" t="str">
        <f>IF(AND('Mapa de Riesgos'!$Y$43="Media",'Mapa de Riesgos'!$AA$43="Menor"),CONCATENATE("R6C",'Mapa de Riesgos'!$O$43),"")</f>
        <v/>
      </c>
      <c r="R31" s="66" t="str">
        <f>IF(AND('Mapa de Riesgos'!$Y$44="Media",'Mapa de Riesgos'!$AA$44="Menor"),CONCATENATE("R6C",'Mapa de Riesgos'!$O$44),"")</f>
        <v/>
      </c>
      <c r="S31" s="66" t="str">
        <f>IF(AND('Mapa de Riesgos'!$Y$45="Media",'Mapa de Riesgos'!$AA$45="Menor"),CONCATENATE("R6C",'Mapa de Riesgos'!$O$45),"")</f>
        <v/>
      </c>
      <c r="T31" s="66" t="str">
        <f>IF(AND('Mapa de Riesgos'!$Y$46="Media",'Mapa de Riesgos'!$AA$46="Menor"),CONCATENATE("R6C",'Mapa de Riesgos'!$O$46),"")</f>
        <v/>
      </c>
      <c r="U31" s="67" t="str">
        <f>IF(AND('Mapa de Riesgos'!$Y$47="Media",'Mapa de Riesgos'!$AA$47="Menor"),CONCATENATE("R6C",'Mapa de Riesgos'!$O$47),"")</f>
        <v/>
      </c>
      <c r="V31" s="65" t="str">
        <f>IF(AND('Mapa de Riesgos'!$Y$42="Media",'Mapa de Riesgos'!$AA$42="Moderado"),CONCATENATE("R6C",'Mapa de Riesgos'!$O$42),"")</f>
        <v/>
      </c>
      <c r="W31" s="66" t="str">
        <f>IF(AND('Mapa de Riesgos'!$Y$43="Media",'Mapa de Riesgos'!$AA$43="Moderado"),CONCATENATE("R6C",'Mapa de Riesgos'!$O$43),"")</f>
        <v/>
      </c>
      <c r="X31" s="66" t="str">
        <f>IF(AND('Mapa de Riesgos'!$Y$44="Media",'Mapa de Riesgos'!$AA$44="Moderado"),CONCATENATE("R6C",'Mapa de Riesgos'!$O$44),"")</f>
        <v/>
      </c>
      <c r="Y31" s="66" t="str">
        <f>IF(AND('Mapa de Riesgos'!$Y$45="Media",'Mapa de Riesgos'!$AA$45="Moderado"),CONCATENATE("R6C",'Mapa de Riesgos'!$O$45),"")</f>
        <v/>
      </c>
      <c r="Z31" s="66" t="str">
        <f>IF(AND('Mapa de Riesgos'!$Y$46="Media",'Mapa de Riesgos'!$AA$46="Moderado"),CONCATENATE("R6C",'Mapa de Riesgos'!$O$46),"")</f>
        <v/>
      </c>
      <c r="AA31" s="67" t="str">
        <f>IF(AND('Mapa de Riesgos'!$Y$47="Media",'Mapa de Riesgos'!$AA$47="Moderado"),CONCATENATE("R6C",'Mapa de Riesgos'!$O$47),"")</f>
        <v/>
      </c>
      <c r="AB31" s="50" t="str">
        <f>IF(AND('Mapa de Riesgos'!$Y$42="Media",'Mapa de Riesgos'!$AA$42="Mayor"),CONCATENATE("R6C",'Mapa de Riesgos'!$O$42),"")</f>
        <v/>
      </c>
      <c r="AC31" s="51" t="str">
        <f>IF(AND('Mapa de Riesgos'!$Y$43="Media",'Mapa de Riesgos'!$AA$43="Mayor"),CONCATENATE("R6C",'Mapa de Riesgos'!$O$43),"")</f>
        <v/>
      </c>
      <c r="AD31" s="51" t="str">
        <f>IF(AND('Mapa de Riesgos'!$Y$44="Media",'Mapa de Riesgos'!$AA$44="Mayor"),CONCATENATE("R6C",'Mapa de Riesgos'!$O$44),"")</f>
        <v/>
      </c>
      <c r="AE31" s="51" t="str">
        <f>IF(AND('Mapa de Riesgos'!$Y$45="Media",'Mapa de Riesgos'!$AA$45="Mayor"),CONCATENATE("R6C",'Mapa de Riesgos'!$O$45),"")</f>
        <v/>
      </c>
      <c r="AF31" s="51" t="str">
        <f>IF(AND('Mapa de Riesgos'!$Y$46="Media",'Mapa de Riesgos'!$AA$46="Mayor"),CONCATENATE("R6C",'Mapa de Riesgos'!$O$46),"")</f>
        <v/>
      </c>
      <c r="AG31" s="52" t="str">
        <f>IF(AND('Mapa de Riesgos'!$Y$47="Media",'Mapa de Riesgos'!$AA$47="Mayor"),CONCATENATE("R6C",'Mapa de Riesgos'!$O$47),"")</f>
        <v/>
      </c>
      <c r="AH31" s="53" t="str">
        <f>IF(AND('Mapa de Riesgos'!$Y$42="Media",'Mapa de Riesgos'!$AA$42="Catastrófico"),CONCATENATE("R6C",'Mapa de Riesgos'!$O$42),"")</f>
        <v/>
      </c>
      <c r="AI31" s="54" t="str">
        <f>IF(AND('Mapa de Riesgos'!$Y$43="Media",'Mapa de Riesgos'!$AA$43="Catastrófico"),CONCATENATE("R6C",'Mapa de Riesgos'!$O$43),"")</f>
        <v/>
      </c>
      <c r="AJ31" s="54" t="str">
        <f>IF(AND('Mapa de Riesgos'!$Y$44="Media",'Mapa de Riesgos'!$AA$44="Catastrófico"),CONCATENATE("R6C",'Mapa de Riesgos'!$O$44),"")</f>
        <v/>
      </c>
      <c r="AK31" s="54" t="str">
        <f>IF(AND('Mapa de Riesgos'!$Y$45="Media",'Mapa de Riesgos'!$AA$45="Catastrófico"),CONCATENATE("R6C",'Mapa de Riesgos'!$O$45),"")</f>
        <v/>
      </c>
      <c r="AL31" s="54" t="str">
        <f>IF(AND('Mapa de Riesgos'!$Y$46="Media",'Mapa de Riesgos'!$AA$46="Catastrófico"),CONCATENATE("R6C",'Mapa de Riesgos'!$O$46),"")</f>
        <v/>
      </c>
      <c r="AM31" s="55" t="str">
        <f>IF(AND('Mapa de Riesgos'!$Y$47="Media",'Mapa de Riesgos'!$AA$47="Catastrófico"),CONCATENATE("R6C",'Mapa de Riesgos'!$O$47),"")</f>
        <v/>
      </c>
      <c r="AN31" s="81"/>
      <c r="AO31" s="547"/>
      <c r="AP31" s="548"/>
      <c r="AQ31" s="548"/>
      <c r="AR31" s="548"/>
      <c r="AS31" s="548"/>
      <c r="AT31" s="549"/>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5" customHeight="1" x14ac:dyDescent="0.25">
      <c r="A32" s="81"/>
      <c r="B32" s="466"/>
      <c r="C32" s="466"/>
      <c r="D32" s="467"/>
      <c r="E32" s="507"/>
      <c r="F32" s="508"/>
      <c r="G32" s="508"/>
      <c r="H32" s="508"/>
      <c r="I32" s="509"/>
      <c r="J32" s="65" t="str">
        <f>IF(AND('Mapa de Riesgos'!$Y$48="Media",'Mapa de Riesgos'!$AA$48="Leve"),CONCATENATE("R7C",'Mapa de Riesgos'!$O$48),"")</f>
        <v/>
      </c>
      <c r="K32" s="66" t="str">
        <f>IF(AND('Mapa de Riesgos'!$Y$49="Media",'Mapa de Riesgos'!$AA$49="Leve"),CONCATENATE("R7C",'Mapa de Riesgos'!$O$49),"")</f>
        <v/>
      </c>
      <c r="L32" s="66" t="str">
        <f>IF(AND('Mapa de Riesgos'!$Y$50="Media",'Mapa de Riesgos'!$AA$50="Leve"),CONCATENATE("R7C",'Mapa de Riesgos'!$O$50),"")</f>
        <v/>
      </c>
      <c r="M32" s="66" t="str">
        <f>IF(AND('Mapa de Riesgos'!$Y$51="Media",'Mapa de Riesgos'!$AA$51="Leve"),CONCATENATE("R7C",'Mapa de Riesgos'!$O$51),"")</f>
        <v/>
      </c>
      <c r="N32" s="66" t="str">
        <f>IF(AND('Mapa de Riesgos'!$Y$52="Media",'Mapa de Riesgos'!$AA$52="Leve"),CONCATENATE("R7C",'Mapa de Riesgos'!$O$52),"")</f>
        <v/>
      </c>
      <c r="O32" s="67" t="str">
        <f>IF(AND('Mapa de Riesgos'!$Y$53="Media",'Mapa de Riesgos'!$AA$53="Leve"),CONCATENATE("R7C",'Mapa de Riesgos'!$O$53),"")</f>
        <v/>
      </c>
      <c r="P32" s="65" t="str">
        <f>IF(AND('Mapa de Riesgos'!$Y$48="Media",'Mapa de Riesgos'!$AA$48="Menor"),CONCATENATE("R7C",'Mapa de Riesgos'!$O$48),"")</f>
        <v/>
      </c>
      <c r="Q32" s="66" t="str">
        <f>IF(AND('Mapa de Riesgos'!$Y$49="Media",'Mapa de Riesgos'!$AA$49="Menor"),CONCATENATE("R7C",'Mapa de Riesgos'!$O$49),"")</f>
        <v/>
      </c>
      <c r="R32" s="66" t="str">
        <f>IF(AND('Mapa de Riesgos'!$Y$50="Media",'Mapa de Riesgos'!$AA$50="Menor"),CONCATENATE("R7C",'Mapa de Riesgos'!$O$50),"")</f>
        <v/>
      </c>
      <c r="S32" s="66" t="str">
        <f>IF(AND('Mapa de Riesgos'!$Y$51="Media",'Mapa de Riesgos'!$AA$51="Menor"),CONCATENATE("R7C",'Mapa de Riesgos'!$O$51),"")</f>
        <v/>
      </c>
      <c r="T32" s="66" t="str">
        <f>IF(AND('Mapa de Riesgos'!$Y$52="Media",'Mapa de Riesgos'!$AA$52="Menor"),CONCATENATE("R7C",'Mapa de Riesgos'!$O$52),"")</f>
        <v/>
      </c>
      <c r="U32" s="67" t="str">
        <f>IF(AND('Mapa de Riesgos'!$Y$53="Media",'Mapa de Riesgos'!$AA$53="Menor"),CONCATENATE("R7C",'Mapa de Riesgos'!$O$53),"")</f>
        <v/>
      </c>
      <c r="V32" s="65" t="str">
        <f>IF(AND('Mapa de Riesgos'!$Y$48="Media",'Mapa de Riesgos'!$AA$48="Moderado"),CONCATENATE("R7C",'Mapa de Riesgos'!$O$48),"")</f>
        <v/>
      </c>
      <c r="W32" s="66" t="str">
        <f>IF(AND('Mapa de Riesgos'!$Y$49="Media",'Mapa de Riesgos'!$AA$49="Moderado"),CONCATENATE("R7C",'Mapa de Riesgos'!$O$49),"")</f>
        <v/>
      </c>
      <c r="X32" s="66" t="str">
        <f>IF(AND('Mapa de Riesgos'!$Y$50="Media",'Mapa de Riesgos'!$AA$50="Moderado"),CONCATENATE("R7C",'Mapa de Riesgos'!$O$50),"")</f>
        <v/>
      </c>
      <c r="Y32" s="66" t="str">
        <f>IF(AND('Mapa de Riesgos'!$Y$51="Media",'Mapa de Riesgos'!$AA$51="Moderado"),CONCATENATE("R7C",'Mapa de Riesgos'!$O$51),"")</f>
        <v/>
      </c>
      <c r="Z32" s="66" t="str">
        <f>IF(AND('Mapa de Riesgos'!$Y$52="Media",'Mapa de Riesgos'!$AA$52="Moderado"),CONCATENATE("R7C",'Mapa de Riesgos'!$O$52),"")</f>
        <v/>
      </c>
      <c r="AA32" s="67" t="str">
        <f>IF(AND('Mapa de Riesgos'!$Y$53="Media",'Mapa de Riesgos'!$AA$53="Moderado"),CONCATENATE("R7C",'Mapa de Riesgos'!$O$53),"")</f>
        <v/>
      </c>
      <c r="AB32" s="50" t="str">
        <f>IF(AND('Mapa de Riesgos'!$Y$48="Media",'Mapa de Riesgos'!$AA$48="Mayor"),CONCATENATE("R7C",'Mapa de Riesgos'!$O$48),"")</f>
        <v/>
      </c>
      <c r="AC32" s="51" t="str">
        <f>IF(AND('Mapa de Riesgos'!$Y$49="Media",'Mapa de Riesgos'!$AA$49="Mayor"),CONCATENATE("R7C",'Mapa de Riesgos'!$O$49),"")</f>
        <v/>
      </c>
      <c r="AD32" s="51" t="str">
        <f>IF(AND('Mapa de Riesgos'!$Y$50="Media",'Mapa de Riesgos'!$AA$50="Mayor"),CONCATENATE("R7C",'Mapa de Riesgos'!$O$50),"")</f>
        <v/>
      </c>
      <c r="AE32" s="51" t="str">
        <f>IF(AND('Mapa de Riesgos'!$Y$51="Media",'Mapa de Riesgos'!$AA$51="Mayor"),CONCATENATE("R7C",'Mapa de Riesgos'!$O$51),"")</f>
        <v/>
      </c>
      <c r="AF32" s="51" t="str">
        <f>IF(AND('Mapa de Riesgos'!$Y$52="Media",'Mapa de Riesgos'!$AA$52="Mayor"),CONCATENATE("R7C",'Mapa de Riesgos'!$O$52),"")</f>
        <v/>
      </c>
      <c r="AG32" s="52" t="str">
        <f>IF(AND('Mapa de Riesgos'!$Y$53="Media",'Mapa de Riesgos'!$AA$53="Mayor"),CONCATENATE("R7C",'Mapa de Riesgos'!$O$53),"")</f>
        <v/>
      </c>
      <c r="AH32" s="53" t="str">
        <f>IF(AND('Mapa de Riesgos'!$Y$48="Media",'Mapa de Riesgos'!$AA$48="Catastrófico"),CONCATENATE("R7C",'Mapa de Riesgos'!$O$48),"")</f>
        <v/>
      </c>
      <c r="AI32" s="54" t="str">
        <f>IF(AND('Mapa de Riesgos'!$Y$49="Media",'Mapa de Riesgos'!$AA$49="Catastrófico"),CONCATENATE("R7C",'Mapa de Riesgos'!$O$49),"")</f>
        <v/>
      </c>
      <c r="AJ32" s="54" t="str">
        <f>IF(AND('Mapa de Riesgos'!$Y$50="Media",'Mapa de Riesgos'!$AA$50="Catastrófico"),CONCATENATE("R7C",'Mapa de Riesgos'!$O$50),"")</f>
        <v/>
      </c>
      <c r="AK32" s="54" t="str">
        <f>IF(AND('Mapa de Riesgos'!$Y$51="Media",'Mapa de Riesgos'!$AA$51="Catastrófico"),CONCATENATE("R7C",'Mapa de Riesgos'!$O$51),"")</f>
        <v/>
      </c>
      <c r="AL32" s="54" t="str">
        <f>IF(AND('Mapa de Riesgos'!$Y$52="Media",'Mapa de Riesgos'!$AA$52="Catastrófico"),CONCATENATE("R7C",'Mapa de Riesgos'!$O$52),"")</f>
        <v/>
      </c>
      <c r="AM32" s="55" t="str">
        <f>IF(AND('Mapa de Riesgos'!$Y$53="Media",'Mapa de Riesgos'!$AA$53="Catastrófico"),CONCATENATE("R7C",'Mapa de Riesgos'!$O$53),"")</f>
        <v/>
      </c>
      <c r="AN32" s="81"/>
      <c r="AO32" s="547"/>
      <c r="AP32" s="548"/>
      <c r="AQ32" s="548"/>
      <c r="AR32" s="548"/>
      <c r="AS32" s="548"/>
      <c r="AT32" s="549"/>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5" customHeight="1" x14ac:dyDescent="0.25">
      <c r="A33" s="81"/>
      <c r="B33" s="466"/>
      <c r="C33" s="466"/>
      <c r="D33" s="467"/>
      <c r="E33" s="507"/>
      <c r="F33" s="508"/>
      <c r="G33" s="508"/>
      <c r="H33" s="508"/>
      <c r="I33" s="509"/>
      <c r="J33" s="65" t="str">
        <f>IF(AND('Mapa de Riesgos'!$Y$54="Media",'Mapa de Riesgos'!$AA$54="Leve"),CONCATENATE("R8C",'Mapa de Riesgos'!$O$54),"")</f>
        <v/>
      </c>
      <c r="K33" s="66" t="str">
        <f>IF(AND('Mapa de Riesgos'!$Y$55="Media",'Mapa de Riesgos'!$AA$55="Leve"),CONCATENATE("R8C",'Mapa de Riesgos'!$O$55),"")</f>
        <v/>
      </c>
      <c r="L33" s="66" t="str">
        <f>IF(AND('Mapa de Riesgos'!$Y$56="Media",'Mapa de Riesgos'!$AA$56="Leve"),CONCATENATE("R8C",'Mapa de Riesgos'!$O$56),"")</f>
        <v/>
      </c>
      <c r="M33" s="66" t="str">
        <f>IF(AND('Mapa de Riesgos'!$Y$57="Media",'Mapa de Riesgos'!$AA$57="Leve"),CONCATENATE("R8C",'Mapa de Riesgos'!$O$57),"")</f>
        <v/>
      </c>
      <c r="N33" s="66" t="str">
        <f>IF(AND('Mapa de Riesgos'!$Y$58="Media",'Mapa de Riesgos'!$AA$58="Leve"),CONCATENATE("R8C",'Mapa de Riesgos'!$O$58),"")</f>
        <v/>
      </c>
      <c r="O33" s="67" t="str">
        <f>IF(AND('Mapa de Riesgos'!$Y$59="Media",'Mapa de Riesgos'!$AA$59="Leve"),CONCATENATE("R8C",'Mapa de Riesgos'!$O$59),"")</f>
        <v/>
      </c>
      <c r="P33" s="65" t="str">
        <f>IF(AND('Mapa de Riesgos'!$Y$54="Media",'Mapa de Riesgos'!$AA$54="Menor"),CONCATENATE("R8C",'Mapa de Riesgos'!$O$54),"")</f>
        <v/>
      </c>
      <c r="Q33" s="66" t="str">
        <f>IF(AND('Mapa de Riesgos'!$Y$55="Media",'Mapa de Riesgos'!$AA$55="Menor"),CONCATENATE("R8C",'Mapa de Riesgos'!$O$55),"")</f>
        <v/>
      </c>
      <c r="R33" s="66" t="str">
        <f>IF(AND('Mapa de Riesgos'!$Y$56="Media",'Mapa de Riesgos'!$AA$56="Menor"),CONCATENATE("R8C",'Mapa de Riesgos'!$O$56),"")</f>
        <v/>
      </c>
      <c r="S33" s="66" t="str">
        <f>IF(AND('Mapa de Riesgos'!$Y$57="Media",'Mapa de Riesgos'!$AA$57="Menor"),CONCATENATE("R8C",'Mapa de Riesgos'!$O$57),"")</f>
        <v/>
      </c>
      <c r="T33" s="66" t="str">
        <f>IF(AND('Mapa de Riesgos'!$Y$58="Media",'Mapa de Riesgos'!$AA$58="Menor"),CONCATENATE("R8C",'Mapa de Riesgos'!$O$58),"")</f>
        <v/>
      </c>
      <c r="U33" s="67" t="str">
        <f>IF(AND('Mapa de Riesgos'!$Y$59="Media",'Mapa de Riesgos'!$AA$59="Menor"),CONCATENATE("R8C",'Mapa de Riesgos'!$O$59),"")</f>
        <v/>
      </c>
      <c r="V33" s="65" t="str">
        <f>IF(AND('Mapa de Riesgos'!$Y$54="Media",'Mapa de Riesgos'!$AA$54="Moderado"),CONCATENATE("R8C",'Mapa de Riesgos'!$O$54),"")</f>
        <v/>
      </c>
      <c r="W33" s="66" t="str">
        <f>IF(AND('Mapa de Riesgos'!$Y$55="Media",'Mapa de Riesgos'!$AA$55="Moderado"),CONCATENATE("R8C",'Mapa de Riesgos'!$O$55),"")</f>
        <v/>
      </c>
      <c r="X33" s="66" t="str">
        <f>IF(AND('Mapa de Riesgos'!$Y$56="Media",'Mapa de Riesgos'!$AA$56="Moderado"),CONCATENATE("R8C",'Mapa de Riesgos'!$O$56),"")</f>
        <v/>
      </c>
      <c r="Y33" s="66" t="str">
        <f>IF(AND('Mapa de Riesgos'!$Y$57="Media",'Mapa de Riesgos'!$AA$57="Moderado"),CONCATENATE("R8C",'Mapa de Riesgos'!$O$57),"")</f>
        <v/>
      </c>
      <c r="Z33" s="66" t="str">
        <f>IF(AND('Mapa de Riesgos'!$Y$58="Media",'Mapa de Riesgos'!$AA$58="Moderado"),CONCATENATE("R8C",'Mapa de Riesgos'!$O$58),"")</f>
        <v/>
      </c>
      <c r="AA33" s="67" t="str">
        <f>IF(AND('Mapa de Riesgos'!$Y$59="Media",'Mapa de Riesgos'!$AA$59="Moderado"),CONCATENATE("R8C",'Mapa de Riesgos'!$O$59),"")</f>
        <v/>
      </c>
      <c r="AB33" s="50" t="str">
        <f>IF(AND('Mapa de Riesgos'!$Y$54="Media",'Mapa de Riesgos'!$AA$54="Mayor"),CONCATENATE("R8C",'Mapa de Riesgos'!$O$54),"")</f>
        <v/>
      </c>
      <c r="AC33" s="51" t="str">
        <f>IF(AND('Mapa de Riesgos'!$Y$55="Media",'Mapa de Riesgos'!$AA$55="Mayor"),CONCATENATE("R8C",'Mapa de Riesgos'!$O$55),"")</f>
        <v/>
      </c>
      <c r="AD33" s="51" t="str">
        <f>IF(AND('Mapa de Riesgos'!$Y$56="Media",'Mapa de Riesgos'!$AA$56="Mayor"),CONCATENATE("R8C",'Mapa de Riesgos'!$O$56),"")</f>
        <v/>
      </c>
      <c r="AE33" s="51" t="str">
        <f>IF(AND('Mapa de Riesgos'!$Y$57="Media",'Mapa de Riesgos'!$AA$57="Mayor"),CONCATENATE("R8C",'Mapa de Riesgos'!$O$57),"")</f>
        <v/>
      </c>
      <c r="AF33" s="51" t="str">
        <f>IF(AND('Mapa de Riesgos'!$Y$58="Media",'Mapa de Riesgos'!$AA$58="Mayor"),CONCATENATE("R8C",'Mapa de Riesgos'!$O$58),"")</f>
        <v/>
      </c>
      <c r="AG33" s="52" t="str">
        <f>IF(AND('Mapa de Riesgos'!$Y$59="Media",'Mapa de Riesgos'!$AA$59="Mayor"),CONCATENATE("R8C",'Mapa de Riesgos'!$O$59),"")</f>
        <v/>
      </c>
      <c r="AH33" s="53" t="str">
        <f>IF(AND('Mapa de Riesgos'!$Y$54="Media",'Mapa de Riesgos'!$AA$54="Catastrófico"),CONCATENATE("R8C",'Mapa de Riesgos'!$O$54),"")</f>
        <v/>
      </c>
      <c r="AI33" s="54" t="str">
        <f>IF(AND('Mapa de Riesgos'!$Y$55="Media",'Mapa de Riesgos'!$AA$55="Catastrófico"),CONCATENATE("R8C",'Mapa de Riesgos'!$O$55),"")</f>
        <v/>
      </c>
      <c r="AJ33" s="54" t="str">
        <f>IF(AND('Mapa de Riesgos'!$Y$56="Media",'Mapa de Riesgos'!$AA$56="Catastrófico"),CONCATENATE("R8C",'Mapa de Riesgos'!$O$56),"")</f>
        <v/>
      </c>
      <c r="AK33" s="54" t="str">
        <f>IF(AND('Mapa de Riesgos'!$Y$57="Media",'Mapa de Riesgos'!$AA$57="Catastrófico"),CONCATENATE("R8C",'Mapa de Riesgos'!$O$57),"")</f>
        <v/>
      </c>
      <c r="AL33" s="54" t="str">
        <f>IF(AND('Mapa de Riesgos'!$Y$58="Media",'Mapa de Riesgos'!$AA$58="Catastrófico"),CONCATENATE("R8C",'Mapa de Riesgos'!$O$58),"")</f>
        <v/>
      </c>
      <c r="AM33" s="55" t="str">
        <f>IF(AND('Mapa de Riesgos'!$Y$59="Media",'Mapa de Riesgos'!$AA$59="Catastrófico"),CONCATENATE("R8C",'Mapa de Riesgos'!$O$59),"")</f>
        <v/>
      </c>
      <c r="AN33" s="81"/>
      <c r="AO33" s="547"/>
      <c r="AP33" s="548"/>
      <c r="AQ33" s="548"/>
      <c r="AR33" s="548"/>
      <c r="AS33" s="548"/>
      <c r="AT33" s="549"/>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5" customHeight="1" x14ac:dyDescent="0.25">
      <c r="A34" s="81"/>
      <c r="B34" s="466"/>
      <c r="C34" s="466"/>
      <c r="D34" s="467"/>
      <c r="E34" s="507"/>
      <c r="F34" s="508"/>
      <c r="G34" s="508"/>
      <c r="H34" s="508"/>
      <c r="I34" s="509"/>
      <c r="J34" s="65" t="str">
        <f>IF(AND('Mapa de Riesgos'!$Y$60="Media",'Mapa de Riesgos'!$AA$60="Leve"),CONCATENATE("R9C",'Mapa de Riesgos'!$O$60),"")</f>
        <v/>
      </c>
      <c r="K34" s="66" t="str">
        <f>IF(AND('Mapa de Riesgos'!$Y$61="Media",'Mapa de Riesgos'!$AA$61="Leve"),CONCATENATE("R9C",'Mapa de Riesgos'!$O$61),"")</f>
        <v/>
      </c>
      <c r="L34" s="66" t="str">
        <f>IF(AND('Mapa de Riesgos'!$Y$62="Media",'Mapa de Riesgos'!$AA$62="Leve"),CONCATENATE("R9C",'Mapa de Riesgos'!$O$62),"")</f>
        <v/>
      </c>
      <c r="M34" s="66" t="str">
        <f>IF(AND('Mapa de Riesgos'!$Y$63="Media",'Mapa de Riesgos'!$AA$63="Leve"),CONCATENATE("R9C",'Mapa de Riesgos'!$O$63),"")</f>
        <v/>
      </c>
      <c r="N34" s="66" t="str">
        <f>IF(AND('Mapa de Riesgos'!$Y$64="Media",'Mapa de Riesgos'!$AA$64="Leve"),CONCATENATE("R9C",'Mapa de Riesgos'!$O$64),"")</f>
        <v/>
      </c>
      <c r="O34" s="67" t="str">
        <f>IF(AND('Mapa de Riesgos'!$Y$65="Media",'Mapa de Riesgos'!$AA$65="Leve"),CONCATENATE("R9C",'Mapa de Riesgos'!$O$65),"")</f>
        <v/>
      </c>
      <c r="P34" s="65" t="str">
        <f>IF(AND('Mapa de Riesgos'!$Y$60="Media",'Mapa de Riesgos'!$AA$60="Menor"),CONCATENATE("R9C",'Mapa de Riesgos'!$O$60),"")</f>
        <v/>
      </c>
      <c r="Q34" s="66" t="str">
        <f>IF(AND('Mapa de Riesgos'!$Y$61="Media",'Mapa de Riesgos'!$AA$61="Menor"),CONCATENATE("R9C",'Mapa de Riesgos'!$O$61),"")</f>
        <v/>
      </c>
      <c r="R34" s="66" t="str">
        <f>IF(AND('Mapa de Riesgos'!$Y$62="Media",'Mapa de Riesgos'!$AA$62="Menor"),CONCATENATE("R9C",'Mapa de Riesgos'!$O$62),"")</f>
        <v/>
      </c>
      <c r="S34" s="66" t="str">
        <f>IF(AND('Mapa de Riesgos'!$Y$63="Media",'Mapa de Riesgos'!$AA$63="Menor"),CONCATENATE("R9C",'Mapa de Riesgos'!$O$63),"")</f>
        <v/>
      </c>
      <c r="T34" s="66" t="str">
        <f>IF(AND('Mapa de Riesgos'!$Y$64="Media",'Mapa de Riesgos'!$AA$64="Menor"),CONCATENATE("R9C",'Mapa de Riesgos'!$O$64),"")</f>
        <v/>
      </c>
      <c r="U34" s="67" t="str">
        <f>IF(AND('Mapa de Riesgos'!$Y$65="Media",'Mapa de Riesgos'!$AA$65="Menor"),CONCATENATE("R9C",'Mapa de Riesgos'!$O$65),"")</f>
        <v/>
      </c>
      <c r="V34" s="65" t="str">
        <f>IF(AND('Mapa de Riesgos'!$Y$60="Media",'Mapa de Riesgos'!$AA$60="Moderado"),CONCATENATE("R9C",'Mapa de Riesgos'!$O$60),"")</f>
        <v/>
      </c>
      <c r="W34" s="66" t="str">
        <f>IF(AND('Mapa de Riesgos'!$Y$61="Media",'Mapa de Riesgos'!$AA$61="Moderado"),CONCATENATE("R9C",'Mapa de Riesgos'!$O$61),"")</f>
        <v/>
      </c>
      <c r="X34" s="66" t="str">
        <f>IF(AND('Mapa de Riesgos'!$Y$62="Media",'Mapa de Riesgos'!$AA$62="Moderado"),CONCATENATE("R9C",'Mapa de Riesgos'!$O$62),"")</f>
        <v/>
      </c>
      <c r="Y34" s="66" t="str">
        <f>IF(AND('Mapa de Riesgos'!$Y$63="Media",'Mapa de Riesgos'!$AA$63="Moderado"),CONCATENATE("R9C",'Mapa de Riesgos'!$O$63),"")</f>
        <v/>
      </c>
      <c r="Z34" s="66" t="str">
        <f>IF(AND('Mapa de Riesgos'!$Y$64="Media",'Mapa de Riesgos'!$AA$64="Moderado"),CONCATENATE("R9C",'Mapa de Riesgos'!$O$64),"")</f>
        <v/>
      </c>
      <c r="AA34" s="67" t="str">
        <f>IF(AND('Mapa de Riesgos'!$Y$65="Media",'Mapa de Riesgos'!$AA$65="Moderado"),CONCATENATE("R9C",'Mapa de Riesgos'!$O$65),"")</f>
        <v/>
      </c>
      <c r="AB34" s="50" t="str">
        <f>IF(AND('Mapa de Riesgos'!$Y$60="Media",'Mapa de Riesgos'!$AA$60="Mayor"),CONCATENATE("R9C",'Mapa de Riesgos'!$O$60),"")</f>
        <v/>
      </c>
      <c r="AC34" s="51" t="str">
        <f>IF(AND('Mapa de Riesgos'!$Y$61="Media",'Mapa de Riesgos'!$AA$61="Mayor"),CONCATENATE("R9C",'Mapa de Riesgos'!$O$61),"")</f>
        <v/>
      </c>
      <c r="AD34" s="51" t="str">
        <f>IF(AND('Mapa de Riesgos'!$Y$62="Media",'Mapa de Riesgos'!$AA$62="Mayor"),CONCATENATE("R9C",'Mapa de Riesgos'!$O$62),"")</f>
        <v/>
      </c>
      <c r="AE34" s="51" t="str">
        <f>IF(AND('Mapa de Riesgos'!$Y$63="Media",'Mapa de Riesgos'!$AA$63="Mayor"),CONCATENATE("R9C",'Mapa de Riesgos'!$O$63),"")</f>
        <v/>
      </c>
      <c r="AF34" s="51" t="str">
        <f>IF(AND('Mapa de Riesgos'!$Y$64="Media",'Mapa de Riesgos'!$AA$64="Mayor"),CONCATENATE("R9C",'Mapa de Riesgos'!$O$64),"")</f>
        <v/>
      </c>
      <c r="AG34" s="52" t="str">
        <f>IF(AND('Mapa de Riesgos'!$Y$65="Media",'Mapa de Riesgos'!$AA$65="Mayor"),CONCATENATE("R9C",'Mapa de Riesgos'!$O$65),"")</f>
        <v/>
      </c>
      <c r="AH34" s="53" t="str">
        <f>IF(AND('Mapa de Riesgos'!$Y$60="Media",'Mapa de Riesgos'!$AA$60="Catastrófico"),CONCATENATE("R9C",'Mapa de Riesgos'!$O$60),"")</f>
        <v/>
      </c>
      <c r="AI34" s="54" t="str">
        <f>IF(AND('Mapa de Riesgos'!$Y$61="Media",'Mapa de Riesgos'!$AA$61="Catastrófico"),CONCATENATE("R9C",'Mapa de Riesgos'!$O$61),"")</f>
        <v/>
      </c>
      <c r="AJ34" s="54" t="str">
        <f>IF(AND('Mapa de Riesgos'!$Y$62="Media",'Mapa de Riesgos'!$AA$62="Catastrófico"),CONCATENATE("R9C",'Mapa de Riesgos'!$O$62),"")</f>
        <v/>
      </c>
      <c r="AK34" s="54" t="str">
        <f>IF(AND('Mapa de Riesgos'!$Y$63="Media",'Mapa de Riesgos'!$AA$63="Catastrófico"),CONCATENATE("R9C",'Mapa de Riesgos'!$O$63),"")</f>
        <v/>
      </c>
      <c r="AL34" s="54" t="str">
        <f>IF(AND('Mapa de Riesgos'!$Y$64="Media",'Mapa de Riesgos'!$AA$64="Catastrófico"),CONCATENATE("R9C",'Mapa de Riesgos'!$O$64),"")</f>
        <v/>
      </c>
      <c r="AM34" s="55" t="str">
        <f>IF(AND('Mapa de Riesgos'!$Y$65="Media",'Mapa de Riesgos'!$AA$65="Catastrófico"),CONCATENATE("R9C",'Mapa de Riesgos'!$O$65),"")</f>
        <v/>
      </c>
      <c r="AN34" s="81"/>
      <c r="AO34" s="547"/>
      <c r="AP34" s="548"/>
      <c r="AQ34" s="548"/>
      <c r="AR34" s="548"/>
      <c r="AS34" s="548"/>
      <c r="AT34" s="549"/>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75" customHeight="1" thickBot="1" x14ac:dyDescent="0.3">
      <c r="A35" s="81"/>
      <c r="B35" s="466"/>
      <c r="C35" s="466"/>
      <c r="D35" s="467"/>
      <c r="E35" s="510"/>
      <c r="F35" s="511"/>
      <c r="G35" s="511"/>
      <c r="H35" s="511"/>
      <c r="I35" s="512"/>
      <c r="J35" s="65" t="str">
        <f>IF(AND('Mapa de Riesgos'!$Y$66="Media",'Mapa de Riesgos'!$AA$66="Leve"),CONCATENATE("R10C",'Mapa de Riesgos'!$O$66),"")</f>
        <v/>
      </c>
      <c r="K35" s="66" t="str">
        <f>IF(AND('Mapa de Riesgos'!$Y$68="Media",'Mapa de Riesgos'!$AA$68="Leve"),CONCATENATE("R10C",'Mapa de Riesgos'!$O$68),"")</f>
        <v/>
      </c>
      <c r="L35" s="66" t="str">
        <f>IF(AND('Mapa de Riesgos'!$Y$69="Media",'Mapa de Riesgos'!$AA$69="Leve"),CONCATENATE("R10C",'Mapa de Riesgos'!$O$69),"")</f>
        <v/>
      </c>
      <c r="M35" s="66" t="str">
        <f>IF(AND('Mapa de Riesgos'!$Y$70="Media",'Mapa de Riesgos'!$AA$70="Leve"),CONCATENATE("R10C",'Mapa de Riesgos'!$O$70),"")</f>
        <v/>
      </c>
      <c r="N35" s="66" t="str">
        <f>IF(AND('Mapa de Riesgos'!$Y$71="Media",'Mapa de Riesgos'!$AA$71="Leve"),CONCATENATE("R10C",'Mapa de Riesgos'!$O$71),"")</f>
        <v/>
      </c>
      <c r="O35" s="67" t="str">
        <f>IF(AND('Mapa de Riesgos'!$Y$72="Media",'Mapa de Riesgos'!$AA$72="Leve"),CONCATENATE("R10C",'Mapa de Riesgos'!$O$72),"")</f>
        <v/>
      </c>
      <c r="P35" s="65" t="str">
        <f>IF(AND('Mapa de Riesgos'!$Y$66="Media",'Mapa de Riesgos'!$AA$66="Menor"),CONCATENATE("R10C",'Mapa de Riesgos'!$O$66),"")</f>
        <v/>
      </c>
      <c r="Q35" s="66" t="str">
        <f>IF(AND('Mapa de Riesgos'!$Y$68="Media",'Mapa de Riesgos'!$AA$68="Menor"),CONCATENATE("R10C",'Mapa de Riesgos'!$O$68),"")</f>
        <v/>
      </c>
      <c r="R35" s="66" t="str">
        <f>IF(AND('Mapa de Riesgos'!$Y$69="Media",'Mapa de Riesgos'!$AA$69="Menor"),CONCATENATE("R10C",'Mapa de Riesgos'!$O$69),"")</f>
        <v/>
      </c>
      <c r="S35" s="66" t="str">
        <f>IF(AND('Mapa de Riesgos'!$Y$70="Media",'Mapa de Riesgos'!$AA$70="Menor"),CONCATENATE("R10C",'Mapa de Riesgos'!$O$70),"")</f>
        <v/>
      </c>
      <c r="T35" s="66" t="str">
        <f>IF(AND('Mapa de Riesgos'!$Y$71="Media",'Mapa de Riesgos'!$AA$71="Menor"),CONCATENATE("R10C",'Mapa de Riesgos'!$O$71),"")</f>
        <v/>
      </c>
      <c r="U35" s="67" t="str">
        <f>IF(AND('Mapa de Riesgos'!$Y$72="Media",'Mapa de Riesgos'!$AA$72="Menor"),CONCATENATE("R10C",'Mapa de Riesgos'!$O$72),"")</f>
        <v/>
      </c>
      <c r="V35" s="65" t="str">
        <f>IF(AND('Mapa de Riesgos'!$Y$66="Media",'Mapa de Riesgos'!$AA$66="Moderado"),CONCATENATE("R10C",'Mapa de Riesgos'!$O$66),"")</f>
        <v/>
      </c>
      <c r="W35" s="66" t="str">
        <f>IF(AND('Mapa de Riesgos'!$Y$68="Media",'Mapa de Riesgos'!$AA$68="Moderado"),CONCATENATE("R10C",'Mapa de Riesgos'!$O$68),"")</f>
        <v/>
      </c>
      <c r="X35" s="66" t="str">
        <f>IF(AND('Mapa de Riesgos'!$Y$69="Media",'Mapa de Riesgos'!$AA$69="Moderado"),CONCATENATE("R10C",'Mapa de Riesgos'!$O$69),"")</f>
        <v/>
      </c>
      <c r="Y35" s="66" t="str">
        <f>IF(AND('Mapa de Riesgos'!$Y$70="Media",'Mapa de Riesgos'!$AA$70="Moderado"),CONCATENATE("R10C",'Mapa de Riesgos'!$O$70),"")</f>
        <v/>
      </c>
      <c r="Z35" s="66" t="str">
        <f>IF(AND('Mapa de Riesgos'!$Y$71="Media",'Mapa de Riesgos'!$AA$71="Moderado"),CONCATENATE("R10C",'Mapa de Riesgos'!$O$71),"")</f>
        <v/>
      </c>
      <c r="AA35" s="67" t="str">
        <f>IF(AND('Mapa de Riesgos'!$Y$72="Media",'Mapa de Riesgos'!$AA$72="Moderado"),CONCATENATE("R10C",'Mapa de Riesgos'!$O$72),"")</f>
        <v/>
      </c>
      <c r="AB35" s="56" t="str">
        <f>IF(AND('Mapa de Riesgos'!$Y$66="Media",'Mapa de Riesgos'!$AA$66="Mayor"),CONCATENATE("R10C",'Mapa de Riesgos'!$O$66),"")</f>
        <v/>
      </c>
      <c r="AC35" s="57" t="str">
        <f>IF(AND('Mapa de Riesgos'!$Y$68="Media",'Mapa de Riesgos'!$AA$68="Mayor"),CONCATENATE("R10C",'Mapa de Riesgos'!$O$68),"")</f>
        <v/>
      </c>
      <c r="AD35" s="57" t="str">
        <f>IF(AND('Mapa de Riesgos'!$Y$69="Media",'Mapa de Riesgos'!$AA$69="Mayor"),CONCATENATE("R10C",'Mapa de Riesgos'!$O$69),"")</f>
        <v/>
      </c>
      <c r="AE35" s="57" t="str">
        <f>IF(AND('Mapa de Riesgos'!$Y$70="Media",'Mapa de Riesgos'!$AA$70="Mayor"),CONCATENATE("R10C",'Mapa de Riesgos'!$O$70),"")</f>
        <v/>
      </c>
      <c r="AF35" s="57" t="str">
        <f>IF(AND('Mapa de Riesgos'!$Y$71="Media",'Mapa de Riesgos'!$AA$71="Mayor"),CONCATENATE("R10C",'Mapa de Riesgos'!$O$71),"")</f>
        <v/>
      </c>
      <c r="AG35" s="58" t="str">
        <f>IF(AND('Mapa de Riesgos'!$Y$72="Media",'Mapa de Riesgos'!$AA$72="Mayor"),CONCATENATE("R10C",'Mapa de Riesgos'!$O$72),"")</f>
        <v/>
      </c>
      <c r="AH35" s="59" t="str">
        <f>IF(AND('Mapa de Riesgos'!$Y$66="Media",'Mapa de Riesgos'!$AA$66="Catastrófico"),CONCATENATE("R10C",'Mapa de Riesgos'!$O$66),"")</f>
        <v/>
      </c>
      <c r="AI35" s="60" t="str">
        <f>IF(AND('Mapa de Riesgos'!$Y$68="Media",'Mapa de Riesgos'!$AA$68="Catastrófico"),CONCATENATE("R10C",'Mapa de Riesgos'!$O$68),"")</f>
        <v/>
      </c>
      <c r="AJ35" s="60" t="str">
        <f>IF(AND('Mapa de Riesgos'!$Y$69="Media",'Mapa de Riesgos'!$AA$69="Catastrófico"),CONCATENATE("R10C",'Mapa de Riesgos'!$O$69),"")</f>
        <v/>
      </c>
      <c r="AK35" s="60" t="str">
        <f>IF(AND('Mapa de Riesgos'!$Y$70="Media",'Mapa de Riesgos'!$AA$70="Catastrófico"),CONCATENATE("R10C",'Mapa de Riesgos'!$O$70),"")</f>
        <v/>
      </c>
      <c r="AL35" s="60" t="str">
        <f>IF(AND('Mapa de Riesgos'!$Y$71="Media",'Mapa de Riesgos'!$AA$71="Catastrófico"),CONCATENATE("R10C",'Mapa de Riesgos'!$O$71),"")</f>
        <v/>
      </c>
      <c r="AM35" s="61" t="str">
        <f>IF(AND('Mapa de Riesgos'!$Y$72="Media",'Mapa de Riesgos'!$AA$72="Catastrófico"),CONCATENATE("R10C",'Mapa de Riesgos'!$O$72),"")</f>
        <v/>
      </c>
      <c r="AN35" s="81"/>
      <c r="AO35" s="550"/>
      <c r="AP35" s="551"/>
      <c r="AQ35" s="551"/>
      <c r="AR35" s="551"/>
      <c r="AS35" s="551"/>
      <c r="AT35" s="552"/>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5" customHeight="1" x14ac:dyDescent="0.25">
      <c r="A36" s="81"/>
      <c r="B36" s="466"/>
      <c r="C36" s="466"/>
      <c r="D36" s="467"/>
      <c r="E36" s="504" t="s">
        <v>204</v>
      </c>
      <c r="F36" s="505"/>
      <c r="G36" s="505"/>
      <c r="H36" s="505"/>
      <c r="I36" s="505"/>
      <c r="J36" s="71" t="str">
        <f>IF(AND('Mapa de Riesgos'!$Y$12="Baja",'Mapa de Riesgos'!$AA$12="Leve"),CONCATENATE("R1C",'Mapa de Riesgos'!$O$12),"")</f>
        <v/>
      </c>
      <c r="K36" s="72" t="str">
        <f>IF(AND('Mapa de Riesgos'!$Y$13="Baja",'Mapa de Riesgos'!$AA$13="Leve"),CONCATENATE("R1C",'Mapa de Riesgos'!$O$13),"")</f>
        <v/>
      </c>
      <c r="L36" s="72" t="str">
        <f>IF(AND('Mapa de Riesgos'!$Y$14="Baja",'Mapa de Riesgos'!$AA$14="Leve"),CONCATENATE("R1C",'Mapa de Riesgos'!$O$14),"")</f>
        <v/>
      </c>
      <c r="M36" s="72" t="str">
        <f>IF(AND('Mapa de Riesgos'!$Y$15="Baja",'Mapa de Riesgos'!$AA$15="Leve"),CONCATENATE("R1C",'Mapa de Riesgos'!$O$15),"")</f>
        <v/>
      </c>
      <c r="N36" s="72" t="str">
        <f>IF(AND('Mapa de Riesgos'!$Y$16="Baja",'Mapa de Riesgos'!$AA$16="Leve"),CONCATENATE("R1C",'Mapa de Riesgos'!$O$16),"")</f>
        <v/>
      </c>
      <c r="O36" s="73" t="str">
        <f>IF(AND('Mapa de Riesgos'!$Y$17="Baja",'Mapa de Riesgos'!$AA$17="Leve"),CONCATENATE("R1C",'Mapa de Riesgos'!$O$17),"")</f>
        <v/>
      </c>
      <c r="P36" s="62" t="str">
        <f>IF(AND('Mapa de Riesgos'!$Y$12="Baja",'Mapa de Riesgos'!$AA$12="Menor"),CONCATENATE("R1C",'Mapa de Riesgos'!$O$12),"")</f>
        <v/>
      </c>
      <c r="Q36" s="63" t="str">
        <f>IF(AND('Mapa de Riesgos'!$Y$13="Baja",'Mapa de Riesgos'!$AA$13="Menor"),CONCATENATE("R1C",'Mapa de Riesgos'!$O$13),"")</f>
        <v/>
      </c>
      <c r="R36" s="63" t="str">
        <f>IF(AND('Mapa de Riesgos'!$Y$14="Baja",'Mapa de Riesgos'!$AA$14="Menor"),CONCATENATE("R1C",'Mapa de Riesgos'!$O$14),"")</f>
        <v/>
      </c>
      <c r="S36" s="63" t="str">
        <f>IF(AND('Mapa de Riesgos'!$Y$15="Baja",'Mapa de Riesgos'!$AA$15="Menor"),CONCATENATE("R1C",'Mapa de Riesgos'!$O$15),"")</f>
        <v/>
      </c>
      <c r="T36" s="63" t="str">
        <f>IF(AND('Mapa de Riesgos'!$Y$16="Baja",'Mapa de Riesgos'!$AA$16="Menor"),CONCATENATE("R1C",'Mapa de Riesgos'!$O$16),"")</f>
        <v/>
      </c>
      <c r="U36" s="64" t="str">
        <f>IF(AND('Mapa de Riesgos'!$Y$17="Baja",'Mapa de Riesgos'!$AA$17="Menor"),CONCATENATE("R1C",'Mapa de Riesgos'!$O$17),"")</f>
        <v/>
      </c>
      <c r="V36" s="62" t="str">
        <f>IF(AND('Mapa de Riesgos'!$Y$12="Baja",'Mapa de Riesgos'!$AA$12="Moderado"),CONCATENATE("R1C",'Mapa de Riesgos'!$O$12),"")</f>
        <v/>
      </c>
      <c r="W36" s="63" t="str">
        <f>IF(AND('Mapa de Riesgos'!$Y$13="Baja",'Mapa de Riesgos'!$AA$13="Moderado"),CONCATENATE("R1C",'Mapa de Riesgos'!$O$13),"")</f>
        <v/>
      </c>
      <c r="X36" s="63" t="str">
        <f>IF(AND('Mapa de Riesgos'!$Y$14="Baja",'Mapa de Riesgos'!$AA$14="Moderado"),CONCATENATE("R1C",'Mapa de Riesgos'!$O$14),"")</f>
        <v/>
      </c>
      <c r="Y36" s="63" t="str">
        <f>IF(AND('Mapa de Riesgos'!$Y$15="Baja",'Mapa de Riesgos'!$AA$15="Moderado"),CONCATENATE("R1C",'Mapa de Riesgos'!$O$15),"")</f>
        <v/>
      </c>
      <c r="Z36" s="63" t="str">
        <f>IF(AND('Mapa de Riesgos'!$Y$16="Baja",'Mapa de Riesgos'!$AA$16="Moderado"),CONCATENATE("R1C",'Mapa de Riesgos'!$O$16),"")</f>
        <v/>
      </c>
      <c r="AA36" s="64" t="str">
        <f>IF(AND('Mapa de Riesgos'!$Y$17="Baja",'Mapa de Riesgos'!$AA$17="Moderado"),CONCATENATE("R1C",'Mapa de Riesgos'!$O$17),"")</f>
        <v/>
      </c>
      <c r="AB36" s="44" t="str">
        <f>IF(AND('Mapa de Riesgos'!$Y$12="Baja",'Mapa de Riesgos'!$AA$12="Mayor"),CONCATENATE("R1C",'Mapa de Riesgos'!$O$12),"")</f>
        <v/>
      </c>
      <c r="AC36" s="45" t="str">
        <f>IF(AND('Mapa de Riesgos'!$Y$13="Baja",'Mapa de Riesgos'!$AA$13="Mayor"),CONCATENATE("R1C",'Mapa de Riesgos'!$O$13),"")</f>
        <v/>
      </c>
      <c r="AD36" s="45" t="str">
        <f>IF(AND('Mapa de Riesgos'!$Y$14="Baja",'Mapa de Riesgos'!$AA$14="Mayor"),CONCATENATE("R1C",'Mapa de Riesgos'!$O$14),"")</f>
        <v/>
      </c>
      <c r="AE36" s="45" t="str">
        <f>IF(AND('Mapa de Riesgos'!$Y$15="Baja",'Mapa de Riesgos'!$AA$15="Mayor"),CONCATENATE("R1C",'Mapa de Riesgos'!$O$15),"")</f>
        <v/>
      </c>
      <c r="AF36" s="45" t="str">
        <f>IF(AND('Mapa de Riesgos'!$Y$16="Baja",'Mapa de Riesgos'!$AA$16="Mayor"),CONCATENATE("R1C",'Mapa de Riesgos'!$O$16),"")</f>
        <v/>
      </c>
      <c r="AG36" s="46" t="str">
        <f>IF(AND('Mapa de Riesgos'!$Y$17="Baja",'Mapa de Riesgos'!$AA$17="Mayor"),CONCATENATE("R1C",'Mapa de Riesgos'!$O$17),"")</f>
        <v/>
      </c>
      <c r="AH36" s="47" t="str">
        <f>IF(AND('Mapa de Riesgos'!$Y$12="Baja",'Mapa de Riesgos'!$AA$12="Catastrófico"),CONCATENATE("R1C",'Mapa de Riesgos'!$O$12),"")</f>
        <v>R1C1</v>
      </c>
      <c r="AI36" s="48" t="str">
        <f>IF(AND('Mapa de Riesgos'!$Y$13="Baja",'Mapa de Riesgos'!$AA$13="Catastrófico"),CONCATENATE("R1C",'Mapa de Riesgos'!$O$13),"")</f>
        <v/>
      </c>
      <c r="AJ36" s="48" t="str">
        <f>IF(AND('Mapa de Riesgos'!$Y$14="Baja",'Mapa de Riesgos'!$AA$14="Catastrófico"),CONCATENATE("R1C",'Mapa de Riesgos'!$O$14),"")</f>
        <v/>
      </c>
      <c r="AK36" s="48" t="str">
        <f>IF(AND('Mapa de Riesgos'!$Y$15="Baja",'Mapa de Riesgos'!$AA$15="Catastrófico"),CONCATENATE("R1C",'Mapa de Riesgos'!$O$15),"")</f>
        <v/>
      </c>
      <c r="AL36" s="48" t="str">
        <f>IF(AND('Mapa de Riesgos'!$Y$16="Baja",'Mapa de Riesgos'!$AA$16="Catastrófico"),CONCATENATE("R1C",'Mapa de Riesgos'!$O$16),"")</f>
        <v/>
      </c>
      <c r="AM36" s="49" t="str">
        <f>IF(AND('Mapa de Riesgos'!$Y$17="Baja",'Mapa de Riesgos'!$AA$17="Catastrófico"),CONCATENATE("R1C",'Mapa de Riesgos'!$O$17),"")</f>
        <v/>
      </c>
      <c r="AN36" s="81"/>
      <c r="AO36" s="535" t="s">
        <v>205</v>
      </c>
      <c r="AP36" s="536"/>
      <c r="AQ36" s="536"/>
      <c r="AR36" s="536"/>
      <c r="AS36" s="536"/>
      <c r="AT36" s="537"/>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5" customHeight="1" x14ac:dyDescent="0.25">
      <c r="A37" s="81"/>
      <c r="B37" s="466"/>
      <c r="C37" s="466"/>
      <c r="D37" s="467"/>
      <c r="E37" s="523"/>
      <c r="F37" s="508"/>
      <c r="G37" s="508"/>
      <c r="H37" s="508"/>
      <c r="I37" s="508"/>
      <c r="J37" s="74" t="str">
        <f>IF(AND('Mapa de Riesgos'!$Y$18="Baja",'Mapa de Riesgos'!$AA$18="Leve"),CONCATENATE("R2C",'Mapa de Riesgos'!$O$18),"")</f>
        <v/>
      </c>
      <c r="K37" s="75" t="str">
        <f>IF(AND('Mapa de Riesgos'!$Y$19="Baja",'Mapa de Riesgos'!$AA$19="Leve"),CONCATENATE("R2C",'Mapa de Riesgos'!$O$19),"")</f>
        <v/>
      </c>
      <c r="L37" s="75" t="str">
        <f>IF(AND('Mapa de Riesgos'!$Y$20="Baja",'Mapa de Riesgos'!$AA$20="Leve"),CONCATENATE("R2C",'Mapa de Riesgos'!$O$20),"")</f>
        <v/>
      </c>
      <c r="M37" s="75" t="str">
        <f>IF(AND('Mapa de Riesgos'!$Y$21="Baja",'Mapa de Riesgos'!$AA$21="Leve"),CONCATENATE("R2C",'Mapa de Riesgos'!$O$21),"")</f>
        <v/>
      </c>
      <c r="N37" s="75" t="str">
        <f>IF(AND('Mapa de Riesgos'!$Y$22="Baja",'Mapa de Riesgos'!$AA$22="Leve"),CONCATENATE("R2C",'Mapa de Riesgos'!$O$22),"")</f>
        <v/>
      </c>
      <c r="O37" s="76" t="str">
        <f>IF(AND('Mapa de Riesgos'!$Y$23="Baja",'Mapa de Riesgos'!$AA$23="Leve"),CONCATENATE("R2C",'Mapa de Riesgos'!$O$23),"")</f>
        <v/>
      </c>
      <c r="P37" s="65" t="str">
        <f>IF(AND('Mapa de Riesgos'!$Y$18="Baja",'Mapa de Riesgos'!$AA$18="Menor"),CONCATENATE("R2C",'Mapa de Riesgos'!$O$18),"")</f>
        <v/>
      </c>
      <c r="Q37" s="66" t="str">
        <f>IF(AND('Mapa de Riesgos'!$Y$19="Baja",'Mapa de Riesgos'!$AA$19="Menor"),CONCATENATE("R2C",'Mapa de Riesgos'!$O$19),"")</f>
        <v/>
      </c>
      <c r="R37" s="66" t="str">
        <f>IF(AND('Mapa de Riesgos'!$Y$20="Baja",'Mapa de Riesgos'!$AA$20="Menor"),CONCATENATE("R2C",'Mapa de Riesgos'!$O$20),"")</f>
        <v/>
      </c>
      <c r="S37" s="66" t="str">
        <f>IF(AND('Mapa de Riesgos'!$Y$21="Baja",'Mapa de Riesgos'!$AA$21="Menor"),CONCATENATE("R2C",'Mapa de Riesgos'!$O$21),"")</f>
        <v/>
      </c>
      <c r="T37" s="66" t="str">
        <f>IF(AND('Mapa de Riesgos'!$Y$22="Baja",'Mapa de Riesgos'!$AA$22="Menor"),CONCATENATE("R2C",'Mapa de Riesgos'!$O$22),"")</f>
        <v/>
      </c>
      <c r="U37" s="67" t="str">
        <f>IF(AND('Mapa de Riesgos'!$Y$23="Baja",'Mapa de Riesgos'!$AA$23="Menor"),CONCATENATE("R2C",'Mapa de Riesgos'!$O$23),"")</f>
        <v/>
      </c>
      <c r="V37" s="65" t="str">
        <f>IF(AND('Mapa de Riesgos'!$Y$18="Baja",'Mapa de Riesgos'!$AA$18="Moderado"),CONCATENATE("R2C",'Mapa de Riesgos'!$O$18),"")</f>
        <v>R2C1</v>
      </c>
      <c r="W37" s="66" t="str">
        <f>IF(AND('Mapa de Riesgos'!$Y$19="Baja",'Mapa de Riesgos'!$AA$19="Moderado"),CONCATENATE("R2C",'Mapa de Riesgos'!$O$19),"")</f>
        <v>R2C2</v>
      </c>
      <c r="X37" s="66" t="str">
        <f>IF(AND('Mapa de Riesgos'!$Y$20="Baja",'Mapa de Riesgos'!$AA$20="Moderado"),CONCATENATE("R2C",'Mapa de Riesgos'!$O$20),"")</f>
        <v/>
      </c>
      <c r="Y37" s="66" t="str">
        <f>IF(AND('Mapa de Riesgos'!$Y$21="Baja",'Mapa de Riesgos'!$AA$21="Moderado"),CONCATENATE("R2C",'Mapa de Riesgos'!$O$21),"")</f>
        <v/>
      </c>
      <c r="Z37" s="66" t="str">
        <f>IF(AND('Mapa de Riesgos'!$Y$22="Baja",'Mapa de Riesgos'!$AA$22="Moderado"),CONCATENATE("R2C",'Mapa de Riesgos'!$O$22),"")</f>
        <v/>
      </c>
      <c r="AA37" s="67" t="str">
        <f>IF(AND('Mapa de Riesgos'!$Y$23="Baja",'Mapa de Riesgos'!$AA$23="Moderado"),CONCATENATE("R2C",'Mapa de Riesgos'!$O$23),"")</f>
        <v/>
      </c>
      <c r="AB37" s="50" t="str">
        <f>IF(AND('Mapa de Riesgos'!$Y$18="Baja",'Mapa de Riesgos'!$AA$18="Mayor"),CONCATENATE("R2C",'Mapa de Riesgos'!$O$18),"")</f>
        <v/>
      </c>
      <c r="AC37" s="51" t="str">
        <f>IF(AND('Mapa de Riesgos'!$Y$19="Baja",'Mapa de Riesgos'!$AA$19="Mayor"),CONCATENATE("R2C",'Mapa de Riesgos'!$O$19),"")</f>
        <v/>
      </c>
      <c r="AD37" s="51" t="str">
        <f>IF(AND('Mapa de Riesgos'!$Y$20="Baja",'Mapa de Riesgos'!$AA$20="Mayor"),CONCATENATE("R2C",'Mapa de Riesgos'!$O$20),"")</f>
        <v/>
      </c>
      <c r="AE37" s="51" t="str">
        <f>IF(AND('Mapa de Riesgos'!$Y$21="Baja",'Mapa de Riesgos'!$AA$21="Mayor"),CONCATENATE("R2C",'Mapa de Riesgos'!$O$21),"")</f>
        <v/>
      </c>
      <c r="AF37" s="51" t="str">
        <f>IF(AND('Mapa de Riesgos'!$Y$22="Baja",'Mapa de Riesgos'!$AA$22="Mayor"),CONCATENATE("R2C",'Mapa de Riesgos'!$O$22),"")</f>
        <v/>
      </c>
      <c r="AG37" s="52" t="str">
        <f>IF(AND('Mapa de Riesgos'!$Y$23="Baja",'Mapa de Riesgos'!$AA$23="Mayor"),CONCATENATE("R2C",'Mapa de Riesgos'!$O$23),"")</f>
        <v/>
      </c>
      <c r="AH37" s="53" t="str">
        <f>IF(AND('Mapa de Riesgos'!$Y$18="Baja",'Mapa de Riesgos'!$AA$18="Catastrófico"),CONCATENATE("R2C",'Mapa de Riesgos'!$O$18),"")</f>
        <v/>
      </c>
      <c r="AI37" s="54" t="str">
        <f>IF(AND('Mapa de Riesgos'!$Y$19="Baja",'Mapa de Riesgos'!$AA$19="Catastrófico"),CONCATENATE("R2C",'Mapa de Riesgos'!$O$19),"")</f>
        <v/>
      </c>
      <c r="AJ37" s="54" t="str">
        <f>IF(AND('Mapa de Riesgos'!$Y$20="Baja",'Mapa de Riesgos'!$AA$20="Catastrófico"),CONCATENATE("R2C",'Mapa de Riesgos'!$O$20),"")</f>
        <v/>
      </c>
      <c r="AK37" s="54" t="str">
        <f>IF(AND('Mapa de Riesgos'!$Y$21="Baja",'Mapa de Riesgos'!$AA$21="Catastrófico"),CONCATENATE("R2C",'Mapa de Riesgos'!$O$21),"")</f>
        <v/>
      </c>
      <c r="AL37" s="54" t="str">
        <f>IF(AND('Mapa de Riesgos'!$Y$22="Baja",'Mapa de Riesgos'!$AA$22="Catastrófico"),CONCATENATE("R2C",'Mapa de Riesgos'!$O$22),"")</f>
        <v/>
      </c>
      <c r="AM37" s="55" t="str">
        <f>IF(AND('Mapa de Riesgos'!$Y$23="Baja",'Mapa de Riesgos'!$AA$23="Catastrófico"),CONCATENATE("R2C",'Mapa de Riesgos'!$O$23),"")</f>
        <v/>
      </c>
      <c r="AN37" s="81"/>
      <c r="AO37" s="538"/>
      <c r="AP37" s="539"/>
      <c r="AQ37" s="539"/>
      <c r="AR37" s="539"/>
      <c r="AS37" s="539"/>
      <c r="AT37" s="540"/>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5" customHeight="1" x14ac:dyDescent="0.25">
      <c r="A38" s="81"/>
      <c r="B38" s="466"/>
      <c r="C38" s="466"/>
      <c r="D38" s="467"/>
      <c r="E38" s="507"/>
      <c r="F38" s="508"/>
      <c r="G38" s="508"/>
      <c r="H38" s="508"/>
      <c r="I38" s="508"/>
      <c r="J38" s="74" t="str">
        <f>IF(AND('Mapa de Riesgos'!$Y$24="Baja",'Mapa de Riesgos'!$AA$24="Leve"),CONCATENATE("R3C",'Mapa de Riesgos'!$O$24),"")</f>
        <v/>
      </c>
      <c r="K38" s="75" t="str">
        <f>IF(AND('Mapa de Riesgos'!$Y$25="Baja",'Mapa de Riesgos'!$AA$25="Leve"),CONCATENATE("R3C",'Mapa de Riesgos'!$O$25),"")</f>
        <v/>
      </c>
      <c r="L38" s="75" t="str">
        <f>IF(AND('Mapa de Riesgos'!$Y$26="Baja",'Mapa de Riesgos'!$AA$26="Leve"),CONCATENATE("R3C",'Mapa de Riesgos'!$O$26),"")</f>
        <v/>
      </c>
      <c r="M38" s="75" t="str">
        <f>IF(AND('Mapa de Riesgos'!$Y$27="Baja",'Mapa de Riesgos'!$AA$27="Leve"),CONCATENATE("R3C",'Mapa de Riesgos'!$O$27),"")</f>
        <v/>
      </c>
      <c r="N38" s="75" t="str">
        <f>IF(AND('Mapa de Riesgos'!$Y$28="Baja",'Mapa de Riesgos'!$AA$28="Leve"),CONCATENATE("R3C",'Mapa de Riesgos'!$O$28),"")</f>
        <v/>
      </c>
      <c r="O38" s="76" t="str">
        <f>IF(AND('Mapa de Riesgos'!$Y$29="Baja",'Mapa de Riesgos'!$AA$29="Leve"),CONCATENATE("R3C",'Mapa de Riesgos'!$O$29),"")</f>
        <v/>
      </c>
      <c r="P38" s="65" t="str">
        <f>IF(AND('Mapa de Riesgos'!$Y$24="Baja",'Mapa de Riesgos'!$AA$24="Menor"),CONCATENATE("R3C",'Mapa de Riesgos'!$O$24),"")</f>
        <v>R3C1</v>
      </c>
      <c r="Q38" s="66" t="str">
        <f>IF(AND('Mapa de Riesgos'!$Y$25="Baja",'Mapa de Riesgos'!$AA$25="Menor"),CONCATENATE("R3C",'Mapa de Riesgos'!$O$25),"")</f>
        <v>R3C2</v>
      </c>
      <c r="R38" s="66" t="str">
        <f>IF(AND('Mapa de Riesgos'!$Y$26="Baja",'Mapa de Riesgos'!$AA$26="Menor"),CONCATENATE("R3C",'Mapa de Riesgos'!$O$26),"")</f>
        <v/>
      </c>
      <c r="S38" s="66" t="str">
        <f>IF(AND('Mapa de Riesgos'!$Y$27="Baja",'Mapa de Riesgos'!$AA$27="Menor"),CONCATENATE("R3C",'Mapa de Riesgos'!$O$27),"")</f>
        <v/>
      </c>
      <c r="T38" s="66" t="str">
        <f>IF(AND('Mapa de Riesgos'!$Y$28="Baja",'Mapa de Riesgos'!$AA$28="Menor"),CONCATENATE("R3C",'Mapa de Riesgos'!$O$28),"")</f>
        <v/>
      </c>
      <c r="U38" s="67" t="str">
        <f>IF(AND('Mapa de Riesgos'!$Y$29="Baja",'Mapa de Riesgos'!$AA$29="Menor"),CONCATENATE("R3C",'Mapa de Riesgos'!$O$29),"")</f>
        <v/>
      </c>
      <c r="V38" s="65" t="str">
        <f>IF(AND('Mapa de Riesgos'!$Y$24="Baja",'Mapa de Riesgos'!$AA$24="Moderado"),CONCATENATE("R3C",'Mapa de Riesgos'!$O$24),"")</f>
        <v/>
      </c>
      <c r="W38" s="66" t="str">
        <f>IF(AND('Mapa de Riesgos'!$Y$25="Baja",'Mapa de Riesgos'!$AA$25="Moderado"),CONCATENATE("R3C",'Mapa de Riesgos'!$O$25),"")</f>
        <v/>
      </c>
      <c r="X38" s="66" t="str">
        <f>IF(AND('Mapa de Riesgos'!$Y$26="Baja",'Mapa de Riesgos'!$AA$26="Moderado"),CONCATENATE("R3C",'Mapa de Riesgos'!$O$26),"")</f>
        <v/>
      </c>
      <c r="Y38" s="66" t="str">
        <f>IF(AND('Mapa de Riesgos'!$Y$27="Baja",'Mapa de Riesgos'!$AA$27="Moderado"),CONCATENATE("R3C",'Mapa de Riesgos'!$O$27),"")</f>
        <v/>
      </c>
      <c r="Z38" s="66" t="str">
        <f>IF(AND('Mapa de Riesgos'!$Y$28="Baja",'Mapa de Riesgos'!$AA$28="Moderado"),CONCATENATE("R3C",'Mapa de Riesgos'!$O$28),"")</f>
        <v/>
      </c>
      <c r="AA38" s="67" t="str">
        <f>IF(AND('Mapa de Riesgos'!$Y$29="Baja",'Mapa de Riesgos'!$AA$29="Moderado"),CONCATENATE("R3C",'Mapa de Riesgos'!$O$29),"")</f>
        <v/>
      </c>
      <c r="AB38" s="50" t="str">
        <f>IF(AND('Mapa de Riesgos'!$Y$24="Baja",'Mapa de Riesgos'!$AA$24="Mayor"),CONCATENATE("R3C",'Mapa de Riesgos'!$O$24),"")</f>
        <v/>
      </c>
      <c r="AC38" s="51" t="str">
        <f>IF(AND('Mapa de Riesgos'!$Y$25="Baja",'Mapa de Riesgos'!$AA$25="Mayor"),CONCATENATE("R3C",'Mapa de Riesgos'!$O$25),"")</f>
        <v/>
      </c>
      <c r="AD38" s="51" t="str">
        <f>IF(AND('Mapa de Riesgos'!$Y$26="Baja",'Mapa de Riesgos'!$AA$26="Mayor"),CONCATENATE("R3C",'Mapa de Riesgos'!$O$26),"")</f>
        <v/>
      </c>
      <c r="AE38" s="51" t="str">
        <f>IF(AND('Mapa de Riesgos'!$Y$27="Baja",'Mapa de Riesgos'!$AA$27="Mayor"),CONCATENATE("R3C",'Mapa de Riesgos'!$O$27),"")</f>
        <v/>
      </c>
      <c r="AF38" s="51" t="str">
        <f>IF(AND('Mapa de Riesgos'!$Y$28="Baja",'Mapa de Riesgos'!$AA$28="Mayor"),CONCATENATE("R3C",'Mapa de Riesgos'!$O$28),"")</f>
        <v/>
      </c>
      <c r="AG38" s="52" t="str">
        <f>IF(AND('Mapa de Riesgos'!$Y$29="Baja",'Mapa de Riesgos'!$AA$29="Mayor"),CONCATENATE("R3C",'Mapa de Riesgos'!$O$29),"")</f>
        <v/>
      </c>
      <c r="AH38" s="53" t="str">
        <f>IF(AND('Mapa de Riesgos'!$Y$24="Baja",'Mapa de Riesgos'!$AA$24="Catastrófico"),CONCATENATE("R3C",'Mapa de Riesgos'!$O$24),"")</f>
        <v/>
      </c>
      <c r="AI38" s="54" t="str">
        <f>IF(AND('Mapa de Riesgos'!$Y$25="Baja",'Mapa de Riesgos'!$AA$25="Catastrófico"),CONCATENATE("R3C",'Mapa de Riesgos'!$O$25),"")</f>
        <v/>
      </c>
      <c r="AJ38" s="54" t="str">
        <f>IF(AND('Mapa de Riesgos'!$Y$26="Baja",'Mapa de Riesgos'!$AA$26="Catastrófico"),CONCATENATE("R3C",'Mapa de Riesgos'!$O$26),"")</f>
        <v/>
      </c>
      <c r="AK38" s="54" t="str">
        <f>IF(AND('Mapa de Riesgos'!$Y$27="Baja",'Mapa de Riesgos'!$AA$27="Catastrófico"),CONCATENATE("R3C",'Mapa de Riesgos'!$O$27),"")</f>
        <v/>
      </c>
      <c r="AL38" s="54" t="str">
        <f>IF(AND('Mapa de Riesgos'!$Y$28="Baja",'Mapa de Riesgos'!$AA$28="Catastrófico"),CONCATENATE("R3C",'Mapa de Riesgos'!$O$28),"")</f>
        <v/>
      </c>
      <c r="AM38" s="55" t="str">
        <f>IF(AND('Mapa de Riesgos'!$Y$29="Baja",'Mapa de Riesgos'!$AA$29="Catastrófico"),CONCATENATE("R3C",'Mapa de Riesgos'!$O$29),"")</f>
        <v/>
      </c>
      <c r="AN38" s="81"/>
      <c r="AO38" s="538"/>
      <c r="AP38" s="539"/>
      <c r="AQ38" s="539"/>
      <c r="AR38" s="539"/>
      <c r="AS38" s="539"/>
      <c r="AT38" s="540"/>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5" customHeight="1" x14ac:dyDescent="0.25">
      <c r="A39" s="81"/>
      <c r="B39" s="466"/>
      <c r="C39" s="466"/>
      <c r="D39" s="467"/>
      <c r="E39" s="507"/>
      <c r="F39" s="508"/>
      <c r="G39" s="508"/>
      <c r="H39" s="508"/>
      <c r="I39" s="508"/>
      <c r="J39" s="74" t="str">
        <f>IF(AND('Mapa de Riesgos'!$Y$30="Baja",'Mapa de Riesgos'!$AA$30="Leve"),CONCATENATE("R4C",'Mapa de Riesgos'!$O$30),"")</f>
        <v/>
      </c>
      <c r="K39" s="75" t="str">
        <f>IF(AND('Mapa de Riesgos'!$Y$31="Baja",'Mapa de Riesgos'!$AA$31="Leve"),CONCATENATE("R4C",'Mapa de Riesgos'!$O$31),"")</f>
        <v/>
      </c>
      <c r="L39" s="75" t="str">
        <f>IF(AND('Mapa de Riesgos'!$Y$32="Baja",'Mapa de Riesgos'!$AA$32="Leve"),CONCATENATE("R4C",'Mapa de Riesgos'!$O$32),"")</f>
        <v/>
      </c>
      <c r="M39" s="75" t="str">
        <f>IF(AND('Mapa de Riesgos'!$Y$33="Baja",'Mapa de Riesgos'!$AA$33="Leve"),CONCATENATE("R4C",'Mapa de Riesgos'!$O$33),"")</f>
        <v/>
      </c>
      <c r="N39" s="75" t="str">
        <f>IF(AND('Mapa de Riesgos'!$Y$34="Baja",'Mapa de Riesgos'!$AA$34="Leve"),CONCATENATE("R4C",'Mapa de Riesgos'!$O$34),"")</f>
        <v/>
      </c>
      <c r="O39" s="76" t="str">
        <f>IF(AND('Mapa de Riesgos'!$Y$35="Baja",'Mapa de Riesgos'!$AA$35="Leve"),CONCATENATE("R4C",'Mapa de Riesgos'!$O$35),"")</f>
        <v/>
      </c>
      <c r="P39" s="65" t="str">
        <f>IF(AND('Mapa de Riesgos'!$Y$30="Baja",'Mapa de Riesgos'!$AA$30="Menor"),CONCATENATE("R4C",'Mapa de Riesgos'!$O$30),"")</f>
        <v/>
      </c>
      <c r="Q39" s="66" t="str">
        <f>IF(AND('Mapa de Riesgos'!$Y$31="Baja",'Mapa de Riesgos'!$AA$31="Menor"),CONCATENATE("R4C",'Mapa de Riesgos'!$O$31),"")</f>
        <v/>
      </c>
      <c r="R39" s="66" t="str">
        <f>IF(AND('Mapa de Riesgos'!$Y$32="Baja",'Mapa de Riesgos'!$AA$32="Menor"),CONCATENATE("R4C",'Mapa de Riesgos'!$O$32),"")</f>
        <v/>
      </c>
      <c r="S39" s="66" t="str">
        <f>IF(AND('Mapa de Riesgos'!$Y$33="Baja",'Mapa de Riesgos'!$AA$33="Menor"),CONCATENATE("R4C",'Mapa de Riesgos'!$O$33),"")</f>
        <v/>
      </c>
      <c r="T39" s="66" t="str">
        <f>IF(AND('Mapa de Riesgos'!$Y$34="Baja",'Mapa de Riesgos'!$AA$34="Menor"),CONCATENATE("R4C",'Mapa de Riesgos'!$O$34),"")</f>
        <v/>
      </c>
      <c r="U39" s="67" t="str">
        <f>IF(AND('Mapa de Riesgos'!$Y$35="Baja",'Mapa de Riesgos'!$AA$35="Menor"),CONCATENATE("R4C",'Mapa de Riesgos'!$O$35),"")</f>
        <v/>
      </c>
      <c r="V39" s="65" t="str">
        <f>IF(AND('Mapa de Riesgos'!$Y$30="Baja",'Mapa de Riesgos'!$AA$30="Moderado"),CONCATENATE("R4C",'Mapa de Riesgos'!$O$30),"")</f>
        <v>R4C1</v>
      </c>
      <c r="W39" s="66" t="str">
        <f>IF(AND('Mapa de Riesgos'!$Y$31="Baja",'Mapa de Riesgos'!$AA$31="Moderado"),CONCATENATE("R4C",'Mapa de Riesgos'!$O$31),"")</f>
        <v/>
      </c>
      <c r="X39" s="66" t="str">
        <f>IF(AND('Mapa de Riesgos'!$Y$32="Baja",'Mapa de Riesgos'!$AA$32="Moderado"),CONCATENATE("R4C",'Mapa de Riesgos'!$O$32),"")</f>
        <v/>
      </c>
      <c r="Y39" s="66" t="str">
        <f>IF(AND('Mapa de Riesgos'!$Y$33="Baja",'Mapa de Riesgos'!$AA$33="Moderado"),CONCATENATE("R4C",'Mapa de Riesgos'!$O$33),"")</f>
        <v/>
      </c>
      <c r="Z39" s="66" t="str">
        <f>IF(AND('Mapa de Riesgos'!$Y$34="Baja",'Mapa de Riesgos'!$AA$34="Moderado"),CONCATENATE("R4C",'Mapa de Riesgos'!$O$34),"")</f>
        <v/>
      </c>
      <c r="AA39" s="67" t="str">
        <f>IF(AND('Mapa de Riesgos'!$Y$35="Baja",'Mapa de Riesgos'!$AA$35="Moderado"),CONCATENATE("R4C",'Mapa de Riesgos'!$O$35),"")</f>
        <v/>
      </c>
      <c r="AB39" s="50" t="str">
        <f>IF(AND('Mapa de Riesgos'!$Y$30="Baja",'Mapa de Riesgos'!$AA$30="Mayor"),CONCATENATE("R4C",'Mapa de Riesgos'!$O$30),"")</f>
        <v/>
      </c>
      <c r="AC39" s="51" t="str">
        <f>IF(AND('Mapa de Riesgos'!$Y$31="Baja",'Mapa de Riesgos'!$AA$31="Mayor"),CONCATENATE("R4C",'Mapa de Riesgos'!$O$31),"")</f>
        <v/>
      </c>
      <c r="AD39" s="51" t="str">
        <f>IF(AND('Mapa de Riesgos'!$Y$32="Baja",'Mapa de Riesgos'!$AA$32="Mayor"),CONCATENATE("R4C",'Mapa de Riesgos'!$O$32),"")</f>
        <v/>
      </c>
      <c r="AE39" s="51" t="str">
        <f>IF(AND('Mapa de Riesgos'!$Y$33="Baja",'Mapa de Riesgos'!$AA$33="Mayor"),CONCATENATE("R4C",'Mapa de Riesgos'!$O$33),"")</f>
        <v/>
      </c>
      <c r="AF39" s="51" t="str">
        <f>IF(AND('Mapa de Riesgos'!$Y$34="Baja",'Mapa de Riesgos'!$AA$34="Mayor"),CONCATENATE("R4C",'Mapa de Riesgos'!$O$34),"")</f>
        <v/>
      </c>
      <c r="AG39" s="52" t="str">
        <f>IF(AND('Mapa de Riesgos'!$Y$35="Baja",'Mapa de Riesgos'!$AA$35="Mayor"),CONCATENATE("R4C",'Mapa de Riesgos'!$O$35),"")</f>
        <v/>
      </c>
      <c r="AH39" s="53" t="str">
        <f>IF(AND('Mapa de Riesgos'!$Y$30="Baja",'Mapa de Riesgos'!$AA$30="Catastrófico"),CONCATENATE("R4C",'Mapa de Riesgos'!$O$30),"")</f>
        <v/>
      </c>
      <c r="AI39" s="54" t="str">
        <f>IF(AND('Mapa de Riesgos'!$Y$31="Baja",'Mapa de Riesgos'!$AA$31="Catastrófico"),CONCATENATE("R4C",'Mapa de Riesgos'!$O$31),"")</f>
        <v/>
      </c>
      <c r="AJ39" s="54" t="str">
        <f>IF(AND('Mapa de Riesgos'!$Y$32="Baja",'Mapa de Riesgos'!$AA$32="Catastrófico"),CONCATENATE("R4C",'Mapa de Riesgos'!$O$32),"")</f>
        <v/>
      </c>
      <c r="AK39" s="54" t="str">
        <f>IF(AND('Mapa de Riesgos'!$Y$33="Baja",'Mapa de Riesgos'!$AA$33="Catastrófico"),CONCATENATE("R4C",'Mapa de Riesgos'!$O$33),"")</f>
        <v/>
      </c>
      <c r="AL39" s="54" t="str">
        <f>IF(AND('Mapa de Riesgos'!$Y$34="Baja",'Mapa de Riesgos'!$AA$34="Catastrófico"),CONCATENATE("R4C",'Mapa de Riesgos'!$O$34),"")</f>
        <v/>
      </c>
      <c r="AM39" s="55" t="str">
        <f>IF(AND('Mapa de Riesgos'!$Y$35="Baja",'Mapa de Riesgos'!$AA$35="Catastrófico"),CONCATENATE("R4C",'Mapa de Riesgos'!$O$35),"")</f>
        <v/>
      </c>
      <c r="AN39" s="81"/>
      <c r="AO39" s="538"/>
      <c r="AP39" s="539"/>
      <c r="AQ39" s="539"/>
      <c r="AR39" s="539"/>
      <c r="AS39" s="539"/>
      <c r="AT39" s="540"/>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5" customHeight="1" x14ac:dyDescent="0.25">
      <c r="A40" s="81"/>
      <c r="B40" s="466"/>
      <c r="C40" s="466"/>
      <c r="D40" s="467"/>
      <c r="E40" s="507"/>
      <c r="F40" s="508"/>
      <c r="G40" s="508"/>
      <c r="H40" s="508"/>
      <c r="I40" s="508"/>
      <c r="J40" s="74" t="str">
        <f>IF(AND('Mapa de Riesgos'!$Y$36="Baja",'Mapa de Riesgos'!$AA$36="Leve"),CONCATENATE("R5C",'Mapa de Riesgos'!$O$36),"")</f>
        <v/>
      </c>
      <c r="K40" s="75" t="str">
        <f>IF(AND('Mapa de Riesgos'!$Y$37="Baja",'Mapa de Riesgos'!$AA$37="Leve"),CONCATENATE("R5C",'Mapa de Riesgos'!$O$37),"")</f>
        <v/>
      </c>
      <c r="L40" s="75" t="str">
        <f>IF(AND('Mapa de Riesgos'!$Y$38="Baja",'Mapa de Riesgos'!$AA$38="Leve"),CONCATENATE("R5C",'Mapa de Riesgos'!$O$38),"")</f>
        <v/>
      </c>
      <c r="M40" s="75" t="str">
        <f>IF(AND('Mapa de Riesgos'!$Y$39="Baja",'Mapa de Riesgos'!$AA$39="Leve"),CONCATENATE("R5C",'Mapa de Riesgos'!$O$39),"")</f>
        <v/>
      </c>
      <c r="N40" s="75" t="str">
        <f>IF(AND('Mapa de Riesgos'!$Y$40="Baja",'Mapa de Riesgos'!$AA$40="Leve"),CONCATENATE("R5C",'Mapa de Riesgos'!$O$40),"")</f>
        <v/>
      </c>
      <c r="O40" s="76" t="str">
        <f>IF(AND('Mapa de Riesgos'!$Y$41="Baja",'Mapa de Riesgos'!$AA$41="Leve"),CONCATENATE("R5C",'Mapa de Riesgos'!$O$41),"")</f>
        <v/>
      </c>
      <c r="P40" s="65" t="str">
        <f>IF(AND('Mapa de Riesgos'!$Y$36="Baja",'Mapa de Riesgos'!$AA$36="Menor"),CONCATENATE("R5C",'Mapa de Riesgos'!$O$36),"")</f>
        <v/>
      </c>
      <c r="Q40" s="66" t="str">
        <f>IF(AND('Mapa de Riesgos'!$Y$37="Baja",'Mapa de Riesgos'!$AA$37="Menor"),CONCATENATE("R5C",'Mapa de Riesgos'!$O$37),"")</f>
        <v/>
      </c>
      <c r="R40" s="66" t="str">
        <f>IF(AND('Mapa de Riesgos'!$Y$38="Baja",'Mapa de Riesgos'!$AA$38="Menor"),CONCATENATE("R5C",'Mapa de Riesgos'!$O$38),"")</f>
        <v/>
      </c>
      <c r="S40" s="66" t="str">
        <f>IF(AND('Mapa de Riesgos'!$Y$39="Baja",'Mapa de Riesgos'!$AA$39="Menor"),CONCATENATE("R5C",'Mapa de Riesgos'!$O$39),"")</f>
        <v/>
      </c>
      <c r="T40" s="66" t="str">
        <f>IF(AND('Mapa de Riesgos'!$Y$40="Baja",'Mapa de Riesgos'!$AA$40="Menor"),CONCATENATE("R5C",'Mapa de Riesgos'!$O$40),"")</f>
        <v/>
      </c>
      <c r="U40" s="67" t="str">
        <f>IF(AND('Mapa de Riesgos'!$Y$41="Baja",'Mapa de Riesgos'!$AA$41="Menor"),CONCATENATE("R5C",'Mapa de Riesgos'!$O$41),"")</f>
        <v/>
      </c>
      <c r="V40" s="65" t="str">
        <f>IF(AND('Mapa de Riesgos'!$Y$36="Baja",'Mapa de Riesgos'!$AA$36="Moderado"),CONCATENATE("R5C",'Mapa de Riesgos'!$O$36),"")</f>
        <v>R5C1</v>
      </c>
      <c r="W40" s="66" t="str">
        <f>IF(AND('Mapa de Riesgos'!$Y$37="Baja",'Mapa de Riesgos'!$AA$37="Moderado"),CONCATENATE("R5C",'Mapa de Riesgos'!$O$37),"")</f>
        <v/>
      </c>
      <c r="X40" s="66" t="str">
        <f>IF(AND('Mapa de Riesgos'!$Y$38="Baja",'Mapa de Riesgos'!$AA$38="Moderado"),CONCATENATE("R5C",'Mapa de Riesgos'!$O$38),"")</f>
        <v/>
      </c>
      <c r="Y40" s="66" t="str">
        <f>IF(AND('Mapa de Riesgos'!$Y$39="Baja",'Mapa de Riesgos'!$AA$39="Moderado"),CONCATENATE("R5C",'Mapa de Riesgos'!$O$39),"")</f>
        <v/>
      </c>
      <c r="Z40" s="66" t="str">
        <f>IF(AND('Mapa de Riesgos'!$Y$40="Baja",'Mapa de Riesgos'!$AA$40="Moderado"),CONCATENATE("R5C",'Mapa de Riesgos'!$O$40),"")</f>
        <v/>
      </c>
      <c r="AA40" s="67" t="str">
        <f>IF(AND('Mapa de Riesgos'!$Y$41="Baja",'Mapa de Riesgos'!$AA$41="Moderado"),CONCATENATE("R5C",'Mapa de Riesgos'!$O$41),"")</f>
        <v/>
      </c>
      <c r="AB40" s="50" t="str">
        <f>IF(AND('Mapa de Riesgos'!$Y$36="Baja",'Mapa de Riesgos'!$AA$36="Mayor"),CONCATENATE("R5C",'Mapa de Riesgos'!$O$36),"")</f>
        <v/>
      </c>
      <c r="AC40" s="51" t="str">
        <f>IF(AND('Mapa de Riesgos'!$Y$37="Baja",'Mapa de Riesgos'!$AA$37="Mayor"),CONCATENATE("R5C",'Mapa de Riesgos'!$O$37),"")</f>
        <v/>
      </c>
      <c r="AD40" s="51" t="str">
        <f>IF(AND('Mapa de Riesgos'!$Y$38="Baja",'Mapa de Riesgos'!$AA$38="Mayor"),CONCATENATE("R5C",'Mapa de Riesgos'!$O$38),"")</f>
        <v/>
      </c>
      <c r="AE40" s="51" t="str">
        <f>IF(AND('Mapa de Riesgos'!$Y$39="Baja",'Mapa de Riesgos'!$AA$39="Mayor"),CONCATENATE("R5C",'Mapa de Riesgos'!$O$39),"")</f>
        <v/>
      </c>
      <c r="AF40" s="51" t="str">
        <f>IF(AND('Mapa de Riesgos'!$Y$40="Baja",'Mapa de Riesgos'!$AA$40="Mayor"),CONCATENATE("R5C",'Mapa de Riesgos'!$O$40),"")</f>
        <v/>
      </c>
      <c r="AG40" s="52" t="str">
        <f>IF(AND('Mapa de Riesgos'!$Y$41="Baja",'Mapa de Riesgos'!$AA$41="Mayor"),CONCATENATE("R5C",'Mapa de Riesgos'!$O$41),"")</f>
        <v/>
      </c>
      <c r="AH40" s="53" t="str">
        <f>IF(AND('Mapa de Riesgos'!$Y$36="Baja",'Mapa de Riesgos'!$AA$36="Catastrófico"),CONCATENATE("R5C",'Mapa de Riesgos'!$O$36),"")</f>
        <v/>
      </c>
      <c r="AI40" s="54" t="str">
        <f>IF(AND('Mapa de Riesgos'!$Y$37="Baja",'Mapa de Riesgos'!$AA$37="Catastrófico"),CONCATENATE("R5C",'Mapa de Riesgos'!$O$37),"")</f>
        <v/>
      </c>
      <c r="AJ40" s="54" t="str">
        <f>IF(AND('Mapa de Riesgos'!$Y$38="Baja",'Mapa de Riesgos'!$AA$38="Catastrófico"),CONCATENATE("R5C",'Mapa de Riesgos'!$O$38),"")</f>
        <v/>
      </c>
      <c r="AK40" s="54" t="str">
        <f>IF(AND('Mapa de Riesgos'!$Y$39="Baja",'Mapa de Riesgos'!$AA$39="Catastrófico"),CONCATENATE("R5C",'Mapa de Riesgos'!$O$39),"")</f>
        <v/>
      </c>
      <c r="AL40" s="54" t="str">
        <f>IF(AND('Mapa de Riesgos'!$Y$40="Baja",'Mapa de Riesgos'!$AA$40="Catastrófico"),CONCATENATE("R5C",'Mapa de Riesgos'!$O$40),"")</f>
        <v/>
      </c>
      <c r="AM40" s="55" t="str">
        <f>IF(AND('Mapa de Riesgos'!$Y$41="Baja",'Mapa de Riesgos'!$AA$41="Catastrófico"),CONCATENATE("R5C",'Mapa de Riesgos'!$O$41),"")</f>
        <v/>
      </c>
      <c r="AN40" s="81"/>
      <c r="AO40" s="538"/>
      <c r="AP40" s="539"/>
      <c r="AQ40" s="539"/>
      <c r="AR40" s="539"/>
      <c r="AS40" s="539"/>
      <c r="AT40" s="540"/>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5" customHeight="1" x14ac:dyDescent="0.25">
      <c r="A41" s="81"/>
      <c r="B41" s="466"/>
      <c r="C41" s="466"/>
      <c r="D41" s="467"/>
      <c r="E41" s="507"/>
      <c r="F41" s="508"/>
      <c r="G41" s="508"/>
      <c r="H41" s="508"/>
      <c r="I41" s="508"/>
      <c r="J41" s="74" t="str">
        <f>IF(AND('Mapa de Riesgos'!$Y$42="Baja",'Mapa de Riesgos'!$AA$42="Leve"),CONCATENATE("R6C",'Mapa de Riesgos'!$O$42),"")</f>
        <v/>
      </c>
      <c r="K41" s="75" t="str">
        <f>IF(AND('Mapa de Riesgos'!$Y$43="Baja",'Mapa de Riesgos'!$AA$43="Leve"),CONCATENATE("R6C",'Mapa de Riesgos'!$O$43),"")</f>
        <v/>
      </c>
      <c r="L41" s="75" t="str">
        <f>IF(AND('Mapa de Riesgos'!$Y$44="Baja",'Mapa de Riesgos'!$AA$44="Leve"),CONCATENATE("R6C",'Mapa de Riesgos'!$O$44),"")</f>
        <v/>
      </c>
      <c r="M41" s="75" t="str">
        <f>IF(AND('Mapa de Riesgos'!$Y$45="Baja",'Mapa de Riesgos'!$AA$45="Leve"),CONCATENATE("R6C",'Mapa de Riesgos'!$O$45),"")</f>
        <v/>
      </c>
      <c r="N41" s="75" t="str">
        <f>IF(AND('Mapa de Riesgos'!$Y$46="Baja",'Mapa de Riesgos'!$AA$46="Leve"),CONCATENATE("R6C",'Mapa de Riesgos'!$O$46),"")</f>
        <v/>
      </c>
      <c r="O41" s="76" t="str">
        <f>IF(AND('Mapa de Riesgos'!$Y$47="Baja",'Mapa de Riesgos'!$AA$47="Leve"),CONCATENATE("R6C",'Mapa de Riesgos'!$O$47),"")</f>
        <v/>
      </c>
      <c r="P41" s="65" t="str">
        <f>IF(AND('Mapa de Riesgos'!$Y$42="Baja",'Mapa de Riesgos'!$AA$42="Menor"),CONCATENATE("R6C",'Mapa de Riesgos'!$O$42),"")</f>
        <v/>
      </c>
      <c r="Q41" s="66" t="str">
        <f>IF(AND('Mapa de Riesgos'!$Y$43="Baja",'Mapa de Riesgos'!$AA$43="Menor"),CONCATENATE("R6C",'Mapa de Riesgos'!$O$43),"")</f>
        <v/>
      </c>
      <c r="R41" s="66" t="str">
        <f>IF(AND('Mapa de Riesgos'!$Y$44="Baja",'Mapa de Riesgos'!$AA$44="Menor"),CONCATENATE("R6C",'Mapa de Riesgos'!$O$44),"")</f>
        <v/>
      </c>
      <c r="S41" s="66" t="str">
        <f>IF(AND('Mapa de Riesgos'!$Y$45="Baja",'Mapa de Riesgos'!$AA$45="Menor"),CONCATENATE("R6C",'Mapa de Riesgos'!$O$45),"")</f>
        <v/>
      </c>
      <c r="T41" s="66" t="str">
        <f>IF(AND('Mapa de Riesgos'!$Y$46="Baja",'Mapa de Riesgos'!$AA$46="Menor"),CONCATENATE("R6C",'Mapa de Riesgos'!$O$46),"")</f>
        <v/>
      </c>
      <c r="U41" s="67" t="str">
        <f>IF(AND('Mapa de Riesgos'!$Y$47="Baja",'Mapa de Riesgos'!$AA$47="Menor"),CONCATENATE("R6C",'Mapa de Riesgos'!$O$47),"")</f>
        <v/>
      </c>
      <c r="V41" s="65" t="str">
        <f>IF(AND('Mapa de Riesgos'!$Y$42="Baja",'Mapa de Riesgos'!$AA$42="Moderado"),CONCATENATE("R6C",'Mapa de Riesgos'!$O$42),"")</f>
        <v>R6C1</v>
      </c>
      <c r="W41" s="66" t="str">
        <f>IF(AND('Mapa de Riesgos'!$Y$43="Baja",'Mapa de Riesgos'!$AA$43="Moderado"),CONCATENATE("R6C",'Mapa de Riesgos'!$O$43),"")</f>
        <v>R6C2</v>
      </c>
      <c r="X41" s="66" t="str">
        <f>IF(AND('Mapa de Riesgos'!$Y$44="Baja",'Mapa de Riesgos'!$AA$44="Moderado"),CONCATENATE("R6C",'Mapa de Riesgos'!$O$44),"")</f>
        <v/>
      </c>
      <c r="Y41" s="66" t="str">
        <f>IF(AND('Mapa de Riesgos'!$Y$45="Baja",'Mapa de Riesgos'!$AA$45="Moderado"),CONCATENATE("R6C",'Mapa de Riesgos'!$O$45),"")</f>
        <v/>
      </c>
      <c r="Z41" s="66" t="str">
        <f>IF(AND('Mapa de Riesgos'!$Y$46="Baja",'Mapa de Riesgos'!$AA$46="Moderado"),CONCATENATE("R6C",'Mapa de Riesgos'!$O$46),"")</f>
        <v/>
      </c>
      <c r="AA41" s="67" t="str">
        <f>IF(AND('Mapa de Riesgos'!$Y$47="Baja",'Mapa de Riesgos'!$AA$47="Moderado"),CONCATENATE("R6C",'Mapa de Riesgos'!$O$47),"")</f>
        <v/>
      </c>
      <c r="AB41" s="50" t="str">
        <f>IF(AND('Mapa de Riesgos'!$Y$42="Baja",'Mapa de Riesgos'!$AA$42="Mayor"),CONCATENATE("R6C",'Mapa de Riesgos'!$O$42),"")</f>
        <v/>
      </c>
      <c r="AC41" s="51" t="str">
        <f>IF(AND('Mapa de Riesgos'!$Y$43="Baja",'Mapa de Riesgos'!$AA$43="Mayor"),CONCATENATE("R6C",'Mapa de Riesgos'!$O$43),"")</f>
        <v/>
      </c>
      <c r="AD41" s="51" t="str">
        <f>IF(AND('Mapa de Riesgos'!$Y$44="Baja",'Mapa de Riesgos'!$AA$44="Mayor"),CONCATENATE("R6C",'Mapa de Riesgos'!$O$44),"")</f>
        <v/>
      </c>
      <c r="AE41" s="51" t="str">
        <f>IF(AND('Mapa de Riesgos'!$Y$45="Baja",'Mapa de Riesgos'!$AA$45="Mayor"),CONCATENATE("R6C",'Mapa de Riesgos'!$O$45),"")</f>
        <v/>
      </c>
      <c r="AF41" s="51" t="str">
        <f>IF(AND('Mapa de Riesgos'!$Y$46="Baja",'Mapa de Riesgos'!$AA$46="Mayor"),CONCATENATE("R6C",'Mapa de Riesgos'!$O$46),"")</f>
        <v/>
      </c>
      <c r="AG41" s="52" t="str">
        <f>IF(AND('Mapa de Riesgos'!$Y$47="Baja",'Mapa de Riesgos'!$AA$47="Mayor"),CONCATENATE("R6C",'Mapa de Riesgos'!$O$47),"")</f>
        <v/>
      </c>
      <c r="AH41" s="53" t="str">
        <f>IF(AND('Mapa de Riesgos'!$Y$42="Baja",'Mapa de Riesgos'!$AA$42="Catastrófico"),CONCATENATE("R6C",'Mapa de Riesgos'!$O$42),"")</f>
        <v/>
      </c>
      <c r="AI41" s="54" t="str">
        <f>IF(AND('Mapa de Riesgos'!$Y$43="Baja",'Mapa de Riesgos'!$AA$43="Catastrófico"),CONCATENATE("R6C",'Mapa de Riesgos'!$O$43),"")</f>
        <v/>
      </c>
      <c r="AJ41" s="54" t="str">
        <f>IF(AND('Mapa de Riesgos'!$Y$44="Baja",'Mapa de Riesgos'!$AA$44="Catastrófico"),CONCATENATE("R6C",'Mapa de Riesgos'!$O$44),"")</f>
        <v/>
      </c>
      <c r="AK41" s="54" t="str">
        <f>IF(AND('Mapa de Riesgos'!$Y$45="Baja",'Mapa de Riesgos'!$AA$45="Catastrófico"),CONCATENATE("R6C",'Mapa de Riesgos'!$O$45),"")</f>
        <v/>
      </c>
      <c r="AL41" s="54" t="str">
        <f>IF(AND('Mapa de Riesgos'!$Y$46="Baja",'Mapa de Riesgos'!$AA$46="Catastrófico"),CONCATENATE("R6C",'Mapa de Riesgos'!$O$46),"")</f>
        <v/>
      </c>
      <c r="AM41" s="55" t="str">
        <f>IF(AND('Mapa de Riesgos'!$Y$47="Baja",'Mapa de Riesgos'!$AA$47="Catastrófico"),CONCATENATE("R6C",'Mapa de Riesgos'!$O$47),"")</f>
        <v/>
      </c>
      <c r="AN41" s="81"/>
      <c r="AO41" s="538"/>
      <c r="AP41" s="539"/>
      <c r="AQ41" s="539"/>
      <c r="AR41" s="539"/>
      <c r="AS41" s="539"/>
      <c r="AT41" s="540"/>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5" customHeight="1" x14ac:dyDescent="0.25">
      <c r="A42" s="81"/>
      <c r="B42" s="466"/>
      <c r="C42" s="466"/>
      <c r="D42" s="467"/>
      <c r="E42" s="507"/>
      <c r="F42" s="508"/>
      <c r="G42" s="508"/>
      <c r="H42" s="508"/>
      <c r="I42" s="508"/>
      <c r="J42" s="74" t="str">
        <f>IF(AND('Mapa de Riesgos'!$Y$48="Baja",'Mapa de Riesgos'!$AA$48="Leve"),CONCATENATE("R7C",'Mapa de Riesgos'!$O$48),"")</f>
        <v/>
      </c>
      <c r="K42" s="75" t="str">
        <f>IF(AND('Mapa de Riesgos'!$Y$49="Baja",'Mapa de Riesgos'!$AA$49="Leve"),CONCATENATE("R7C",'Mapa de Riesgos'!$O$49),"")</f>
        <v/>
      </c>
      <c r="L42" s="75" t="str">
        <f>IF(AND('Mapa de Riesgos'!$Y$50="Baja",'Mapa de Riesgos'!$AA$50="Leve"),CONCATENATE("R7C",'Mapa de Riesgos'!$O$50),"")</f>
        <v/>
      </c>
      <c r="M42" s="75" t="str">
        <f>IF(AND('Mapa de Riesgos'!$Y$51="Baja",'Mapa de Riesgos'!$AA$51="Leve"),CONCATENATE("R7C",'Mapa de Riesgos'!$O$51),"")</f>
        <v/>
      </c>
      <c r="N42" s="75" t="str">
        <f>IF(AND('Mapa de Riesgos'!$Y$52="Baja",'Mapa de Riesgos'!$AA$52="Leve"),CONCATENATE("R7C",'Mapa de Riesgos'!$O$52),"")</f>
        <v/>
      </c>
      <c r="O42" s="76" t="str">
        <f>IF(AND('Mapa de Riesgos'!$Y$53="Baja",'Mapa de Riesgos'!$AA$53="Leve"),CONCATENATE("R7C",'Mapa de Riesgos'!$O$53),"")</f>
        <v/>
      </c>
      <c r="P42" s="65" t="str">
        <f>IF(AND('Mapa de Riesgos'!$Y$48="Baja",'Mapa de Riesgos'!$AA$48="Menor"),CONCATENATE("R7C",'Mapa de Riesgos'!$O$48),"")</f>
        <v/>
      </c>
      <c r="Q42" s="66" t="str">
        <f>IF(AND('Mapa de Riesgos'!$Y$49="Baja",'Mapa de Riesgos'!$AA$49="Menor"),CONCATENATE("R7C",'Mapa de Riesgos'!$O$49),"")</f>
        <v/>
      </c>
      <c r="R42" s="66" t="str">
        <f>IF(AND('Mapa de Riesgos'!$Y$50="Baja",'Mapa de Riesgos'!$AA$50="Menor"),CONCATENATE("R7C",'Mapa de Riesgos'!$O$50),"")</f>
        <v/>
      </c>
      <c r="S42" s="66" t="str">
        <f>IF(AND('Mapa de Riesgos'!$Y$51="Baja",'Mapa de Riesgos'!$AA$51="Menor"),CONCATENATE("R7C",'Mapa de Riesgos'!$O$51),"")</f>
        <v/>
      </c>
      <c r="T42" s="66" t="str">
        <f>IF(AND('Mapa de Riesgos'!$Y$52="Baja",'Mapa de Riesgos'!$AA$52="Menor"),CONCATENATE("R7C",'Mapa de Riesgos'!$O$52),"")</f>
        <v/>
      </c>
      <c r="U42" s="67" t="str">
        <f>IF(AND('Mapa de Riesgos'!$Y$53="Baja",'Mapa de Riesgos'!$AA$53="Menor"),CONCATENATE("R7C",'Mapa de Riesgos'!$O$53),"")</f>
        <v/>
      </c>
      <c r="V42" s="65" t="str">
        <f>IF(AND('Mapa de Riesgos'!$Y$48="Baja",'Mapa de Riesgos'!$AA$48="Moderado"),CONCATENATE("R7C",'Mapa de Riesgos'!$O$48),"")</f>
        <v>R7C1</v>
      </c>
      <c r="W42" s="66" t="str">
        <f>IF(AND('Mapa de Riesgos'!$Y$49="Baja",'Mapa de Riesgos'!$AA$49="Moderado"),CONCATENATE("R7C",'Mapa de Riesgos'!$O$49),"")</f>
        <v/>
      </c>
      <c r="X42" s="66" t="str">
        <f>IF(AND('Mapa de Riesgos'!$Y$50="Baja",'Mapa de Riesgos'!$AA$50="Moderado"),CONCATENATE("R7C",'Mapa de Riesgos'!$O$50),"")</f>
        <v/>
      </c>
      <c r="Y42" s="66" t="str">
        <f>IF(AND('Mapa de Riesgos'!$Y$51="Baja",'Mapa de Riesgos'!$AA$51="Moderado"),CONCATENATE("R7C",'Mapa de Riesgos'!$O$51),"")</f>
        <v/>
      </c>
      <c r="Z42" s="66" t="str">
        <f>IF(AND('Mapa de Riesgos'!$Y$52="Baja",'Mapa de Riesgos'!$AA$52="Moderado"),CONCATENATE("R7C",'Mapa de Riesgos'!$O$52),"")</f>
        <v/>
      </c>
      <c r="AA42" s="67" t="str">
        <f>IF(AND('Mapa de Riesgos'!$Y$53="Baja",'Mapa de Riesgos'!$AA$53="Moderado"),CONCATENATE("R7C",'Mapa de Riesgos'!$O$53),"")</f>
        <v/>
      </c>
      <c r="AB42" s="50" t="str">
        <f>IF(AND('Mapa de Riesgos'!$Y$48="Baja",'Mapa de Riesgos'!$AA$48="Mayor"),CONCATENATE("R7C",'Mapa de Riesgos'!$O$48),"")</f>
        <v/>
      </c>
      <c r="AC42" s="51" t="str">
        <f>IF(AND('Mapa de Riesgos'!$Y$49="Baja",'Mapa de Riesgos'!$AA$49="Mayor"),CONCATENATE("R7C",'Mapa de Riesgos'!$O$49),"")</f>
        <v/>
      </c>
      <c r="AD42" s="51" t="str">
        <f>IF(AND('Mapa de Riesgos'!$Y$50="Baja",'Mapa de Riesgos'!$AA$50="Mayor"),CONCATENATE("R7C",'Mapa de Riesgos'!$O$50),"")</f>
        <v/>
      </c>
      <c r="AE42" s="51" t="str">
        <f>IF(AND('Mapa de Riesgos'!$Y$51="Baja",'Mapa de Riesgos'!$AA$51="Mayor"),CONCATENATE("R7C",'Mapa de Riesgos'!$O$51),"")</f>
        <v/>
      </c>
      <c r="AF42" s="51" t="str">
        <f>IF(AND('Mapa de Riesgos'!$Y$52="Baja",'Mapa de Riesgos'!$AA$52="Mayor"),CONCATENATE("R7C",'Mapa de Riesgos'!$O$52),"")</f>
        <v/>
      </c>
      <c r="AG42" s="52" t="str">
        <f>IF(AND('Mapa de Riesgos'!$Y$53="Baja",'Mapa de Riesgos'!$AA$53="Mayor"),CONCATENATE("R7C",'Mapa de Riesgos'!$O$53),"")</f>
        <v/>
      </c>
      <c r="AH42" s="53" t="str">
        <f>IF(AND('Mapa de Riesgos'!$Y$48="Baja",'Mapa de Riesgos'!$AA$48="Catastrófico"),CONCATENATE("R7C",'Mapa de Riesgos'!$O$48),"")</f>
        <v/>
      </c>
      <c r="AI42" s="54" t="str">
        <f>IF(AND('Mapa de Riesgos'!$Y$49="Baja",'Mapa de Riesgos'!$AA$49="Catastrófico"),CONCATENATE("R7C",'Mapa de Riesgos'!$O$49),"")</f>
        <v/>
      </c>
      <c r="AJ42" s="54" t="str">
        <f>IF(AND('Mapa de Riesgos'!$Y$50="Baja",'Mapa de Riesgos'!$AA$50="Catastrófico"),CONCATENATE("R7C",'Mapa de Riesgos'!$O$50),"")</f>
        <v/>
      </c>
      <c r="AK42" s="54" t="str">
        <f>IF(AND('Mapa de Riesgos'!$Y$51="Baja",'Mapa de Riesgos'!$AA$51="Catastrófico"),CONCATENATE("R7C",'Mapa de Riesgos'!$O$51),"")</f>
        <v/>
      </c>
      <c r="AL42" s="54" t="str">
        <f>IF(AND('Mapa de Riesgos'!$Y$52="Baja",'Mapa de Riesgos'!$AA$52="Catastrófico"),CONCATENATE("R7C",'Mapa de Riesgos'!$O$52),"")</f>
        <v/>
      </c>
      <c r="AM42" s="55" t="str">
        <f>IF(AND('Mapa de Riesgos'!$Y$53="Baja",'Mapa de Riesgos'!$AA$53="Catastrófico"),CONCATENATE("R7C",'Mapa de Riesgos'!$O$53),"")</f>
        <v/>
      </c>
      <c r="AN42" s="81"/>
      <c r="AO42" s="538"/>
      <c r="AP42" s="539"/>
      <c r="AQ42" s="539"/>
      <c r="AR42" s="539"/>
      <c r="AS42" s="539"/>
      <c r="AT42" s="540"/>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5" customHeight="1" x14ac:dyDescent="0.25">
      <c r="A43" s="81"/>
      <c r="B43" s="466"/>
      <c r="C43" s="466"/>
      <c r="D43" s="467"/>
      <c r="E43" s="507"/>
      <c r="F43" s="508"/>
      <c r="G43" s="508"/>
      <c r="H43" s="508"/>
      <c r="I43" s="508"/>
      <c r="J43" s="74" t="str">
        <f>IF(AND('Mapa de Riesgos'!$Y$54="Baja",'Mapa de Riesgos'!$AA$54="Leve"),CONCATENATE("R8C",'Mapa de Riesgos'!$O$54),"")</f>
        <v/>
      </c>
      <c r="K43" s="75" t="str">
        <f>IF(AND('Mapa de Riesgos'!$Y$55="Baja",'Mapa de Riesgos'!$AA$55="Leve"),CONCATENATE("R8C",'Mapa de Riesgos'!$O$55),"")</f>
        <v/>
      </c>
      <c r="L43" s="75" t="str">
        <f>IF(AND('Mapa de Riesgos'!$Y$56="Baja",'Mapa de Riesgos'!$AA$56="Leve"),CONCATENATE("R8C",'Mapa de Riesgos'!$O$56),"")</f>
        <v/>
      </c>
      <c r="M43" s="75" t="str">
        <f>IF(AND('Mapa de Riesgos'!$Y$57="Baja",'Mapa de Riesgos'!$AA$57="Leve"),CONCATENATE("R8C",'Mapa de Riesgos'!$O$57),"")</f>
        <v/>
      </c>
      <c r="N43" s="75" t="str">
        <f>IF(AND('Mapa de Riesgos'!$Y$58="Baja",'Mapa de Riesgos'!$AA$58="Leve"),CONCATENATE("R8C",'Mapa de Riesgos'!$O$58),"")</f>
        <v/>
      </c>
      <c r="O43" s="76" t="str">
        <f>IF(AND('Mapa de Riesgos'!$Y$59="Baja",'Mapa de Riesgos'!$AA$59="Leve"),CONCATENATE("R8C",'Mapa de Riesgos'!$O$59),"")</f>
        <v/>
      </c>
      <c r="P43" s="65" t="str">
        <f>IF(AND('Mapa de Riesgos'!$Y$54="Baja",'Mapa de Riesgos'!$AA$54="Menor"),CONCATENATE("R8C",'Mapa de Riesgos'!$O$54),"")</f>
        <v/>
      </c>
      <c r="Q43" s="66" t="str">
        <f>IF(AND('Mapa de Riesgos'!$Y$55="Baja",'Mapa de Riesgos'!$AA$55="Menor"),CONCATENATE("R8C",'Mapa de Riesgos'!$O$55),"")</f>
        <v/>
      </c>
      <c r="R43" s="66" t="str">
        <f>IF(AND('Mapa de Riesgos'!$Y$56="Baja",'Mapa de Riesgos'!$AA$56="Menor"),CONCATENATE("R8C",'Mapa de Riesgos'!$O$56),"")</f>
        <v/>
      </c>
      <c r="S43" s="66" t="str">
        <f>IF(AND('Mapa de Riesgos'!$Y$57="Baja",'Mapa de Riesgos'!$AA$57="Menor"),CONCATENATE("R8C",'Mapa de Riesgos'!$O$57),"")</f>
        <v/>
      </c>
      <c r="T43" s="66" t="str">
        <f>IF(AND('Mapa de Riesgos'!$Y$58="Baja",'Mapa de Riesgos'!$AA$58="Menor"),CONCATENATE("R8C",'Mapa de Riesgos'!$O$58),"")</f>
        <v/>
      </c>
      <c r="U43" s="67" t="str">
        <f>IF(AND('Mapa de Riesgos'!$Y$59="Baja",'Mapa de Riesgos'!$AA$59="Menor"),CONCATENATE("R8C",'Mapa de Riesgos'!$O$59),"")</f>
        <v/>
      </c>
      <c r="V43" s="65" t="str">
        <f>IF(AND('Mapa de Riesgos'!$Y$54="Baja",'Mapa de Riesgos'!$AA$54="Moderado"),CONCATENATE("R8C",'Mapa de Riesgos'!$O$54),"")</f>
        <v>R8C1</v>
      </c>
      <c r="W43" s="66" t="str">
        <f>IF(AND('Mapa de Riesgos'!$Y$55="Baja",'Mapa de Riesgos'!$AA$55="Moderado"),CONCATENATE("R8C",'Mapa de Riesgos'!$O$55),"")</f>
        <v>R8C2</v>
      </c>
      <c r="X43" s="66" t="str">
        <f>IF(AND('Mapa de Riesgos'!$Y$56="Baja",'Mapa de Riesgos'!$AA$56="Moderado"),CONCATENATE("R8C",'Mapa de Riesgos'!$O$56),"")</f>
        <v/>
      </c>
      <c r="Y43" s="66" t="str">
        <f>IF(AND('Mapa de Riesgos'!$Y$57="Baja",'Mapa de Riesgos'!$AA$57="Moderado"),CONCATENATE("R8C",'Mapa de Riesgos'!$O$57),"")</f>
        <v/>
      </c>
      <c r="Z43" s="66" t="str">
        <f>IF(AND('Mapa de Riesgos'!$Y$58="Baja",'Mapa de Riesgos'!$AA$58="Moderado"),CONCATENATE("R8C",'Mapa de Riesgos'!$O$58),"")</f>
        <v/>
      </c>
      <c r="AA43" s="67" t="str">
        <f>IF(AND('Mapa de Riesgos'!$Y$59="Baja",'Mapa de Riesgos'!$AA$59="Moderado"),CONCATENATE("R8C",'Mapa de Riesgos'!$O$59),"")</f>
        <v/>
      </c>
      <c r="AB43" s="50" t="str">
        <f>IF(AND('Mapa de Riesgos'!$Y$54="Baja",'Mapa de Riesgos'!$AA$54="Mayor"),CONCATENATE("R8C",'Mapa de Riesgos'!$O$54),"")</f>
        <v/>
      </c>
      <c r="AC43" s="51" t="str">
        <f>IF(AND('Mapa de Riesgos'!$Y$55="Baja",'Mapa de Riesgos'!$AA$55="Mayor"),CONCATENATE("R8C",'Mapa de Riesgos'!$O$55),"")</f>
        <v/>
      </c>
      <c r="AD43" s="51" t="str">
        <f>IF(AND('Mapa de Riesgos'!$Y$56="Baja",'Mapa de Riesgos'!$AA$56="Mayor"),CONCATENATE("R8C",'Mapa de Riesgos'!$O$56),"")</f>
        <v/>
      </c>
      <c r="AE43" s="51" t="str">
        <f>IF(AND('Mapa de Riesgos'!$Y$57="Baja",'Mapa de Riesgos'!$AA$57="Mayor"),CONCATENATE("R8C",'Mapa de Riesgos'!$O$57),"")</f>
        <v/>
      </c>
      <c r="AF43" s="51" t="str">
        <f>IF(AND('Mapa de Riesgos'!$Y$58="Baja",'Mapa de Riesgos'!$AA$58="Mayor"),CONCATENATE("R8C",'Mapa de Riesgos'!$O$58),"")</f>
        <v/>
      </c>
      <c r="AG43" s="52" t="str">
        <f>IF(AND('Mapa de Riesgos'!$Y$59="Baja",'Mapa de Riesgos'!$AA$59="Mayor"),CONCATENATE("R8C",'Mapa de Riesgos'!$O$59),"")</f>
        <v/>
      </c>
      <c r="AH43" s="53" t="str">
        <f>IF(AND('Mapa de Riesgos'!$Y$54="Baja",'Mapa de Riesgos'!$AA$54="Catastrófico"),CONCATENATE("R8C",'Mapa de Riesgos'!$O$54),"")</f>
        <v/>
      </c>
      <c r="AI43" s="54" t="str">
        <f>IF(AND('Mapa de Riesgos'!$Y$55="Baja",'Mapa de Riesgos'!$AA$55="Catastrófico"),CONCATENATE("R8C",'Mapa de Riesgos'!$O$55),"")</f>
        <v/>
      </c>
      <c r="AJ43" s="54" t="str">
        <f>IF(AND('Mapa de Riesgos'!$Y$56="Baja",'Mapa de Riesgos'!$AA$56="Catastrófico"),CONCATENATE("R8C",'Mapa de Riesgos'!$O$56),"")</f>
        <v/>
      </c>
      <c r="AK43" s="54" t="str">
        <f>IF(AND('Mapa de Riesgos'!$Y$57="Baja",'Mapa de Riesgos'!$AA$57="Catastrófico"),CONCATENATE("R8C",'Mapa de Riesgos'!$O$57),"")</f>
        <v/>
      </c>
      <c r="AL43" s="54" t="str">
        <f>IF(AND('Mapa de Riesgos'!$Y$58="Baja",'Mapa de Riesgos'!$AA$58="Catastrófico"),CONCATENATE("R8C",'Mapa de Riesgos'!$O$58),"")</f>
        <v/>
      </c>
      <c r="AM43" s="55" t="str">
        <f>IF(AND('Mapa de Riesgos'!$Y$59="Baja",'Mapa de Riesgos'!$AA$59="Catastrófico"),CONCATENATE("R8C",'Mapa de Riesgos'!$O$59),"")</f>
        <v/>
      </c>
      <c r="AN43" s="81"/>
      <c r="AO43" s="538"/>
      <c r="AP43" s="539"/>
      <c r="AQ43" s="539"/>
      <c r="AR43" s="539"/>
      <c r="AS43" s="539"/>
      <c r="AT43" s="540"/>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5" customHeight="1" x14ac:dyDescent="0.25">
      <c r="A44" s="81"/>
      <c r="B44" s="466"/>
      <c r="C44" s="466"/>
      <c r="D44" s="467"/>
      <c r="E44" s="507"/>
      <c r="F44" s="508"/>
      <c r="G44" s="508"/>
      <c r="H44" s="508"/>
      <c r="I44" s="508"/>
      <c r="J44" s="74" t="str">
        <f>IF(AND('Mapa de Riesgos'!$Y$60="Baja",'Mapa de Riesgos'!$AA$60="Leve"),CONCATENATE("R9C",'Mapa de Riesgos'!$O$60),"")</f>
        <v/>
      </c>
      <c r="K44" s="75" t="str">
        <f>IF(AND('Mapa de Riesgos'!$Y$61="Baja",'Mapa de Riesgos'!$AA$61="Leve"),CONCATENATE("R9C",'Mapa de Riesgos'!$O$61),"")</f>
        <v/>
      </c>
      <c r="L44" s="75" t="str">
        <f>IF(AND('Mapa de Riesgos'!$Y$62="Baja",'Mapa de Riesgos'!$AA$62="Leve"),CONCATENATE("R9C",'Mapa de Riesgos'!$O$62),"")</f>
        <v/>
      </c>
      <c r="M44" s="75" t="str">
        <f>IF(AND('Mapa de Riesgos'!$Y$63="Baja",'Mapa de Riesgos'!$AA$63="Leve"),CONCATENATE("R9C",'Mapa de Riesgos'!$O$63),"")</f>
        <v/>
      </c>
      <c r="N44" s="75" t="str">
        <f>IF(AND('Mapa de Riesgos'!$Y$64="Baja",'Mapa de Riesgos'!$AA$64="Leve"),CONCATENATE("R9C",'Mapa de Riesgos'!$O$64),"")</f>
        <v/>
      </c>
      <c r="O44" s="76" t="str">
        <f>IF(AND('Mapa de Riesgos'!$Y$65="Baja",'Mapa de Riesgos'!$AA$65="Leve"),CONCATENATE("R9C",'Mapa de Riesgos'!$O$65),"")</f>
        <v/>
      </c>
      <c r="P44" s="65" t="str">
        <f>IF(AND('Mapa de Riesgos'!$Y$60="Baja",'Mapa de Riesgos'!$AA$60="Menor"),CONCATENATE("R9C",'Mapa de Riesgos'!$O$60),"")</f>
        <v/>
      </c>
      <c r="Q44" s="66" t="str">
        <f>IF(AND('Mapa de Riesgos'!$Y$61="Baja",'Mapa de Riesgos'!$AA$61="Menor"),CONCATENATE("R9C",'Mapa de Riesgos'!$O$61),"")</f>
        <v/>
      </c>
      <c r="R44" s="66" t="str">
        <f>IF(AND('Mapa de Riesgos'!$Y$62="Baja",'Mapa de Riesgos'!$AA$62="Menor"),CONCATENATE("R9C",'Mapa de Riesgos'!$O$62),"")</f>
        <v/>
      </c>
      <c r="S44" s="66" t="str">
        <f>IF(AND('Mapa de Riesgos'!$Y$63="Baja",'Mapa de Riesgos'!$AA$63="Menor"),CONCATENATE("R9C",'Mapa de Riesgos'!$O$63),"")</f>
        <v/>
      </c>
      <c r="T44" s="66" t="str">
        <f>IF(AND('Mapa de Riesgos'!$Y$64="Baja",'Mapa de Riesgos'!$AA$64="Menor"),CONCATENATE("R9C",'Mapa de Riesgos'!$O$64),"")</f>
        <v/>
      </c>
      <c r="U44" s="67" t="str">
        <f>IF(AND('Mapa de Riesgos'!$Y$65="Baja",'Mapa de Riesgos'!$AA$65="Menor"),CONCATENATE("R9C",'Mapa de Riesgos'!$O$65),"")</f>
        <v/>
      </c>
      <c r="V44" s="65" t="str">
        <f>IF(AND('Mapa de Riesgos'!$Y$60="Baja",'Mapa de Riesgos'!$AA$60="Moderado"),CONCATENATE("R9C",'Mapa de Riesgos'!$O$60),"")</f>
        <v>R9C1</v>
      </c>
      <c r="W44" s="66" t="str">
        <f>IF(AND('Mapa de Riesgos'!$Y$61="Baja",'Mapa de Riesgos'!$AA$61="Moderado"),CONCATENATE("R9C",'Mapa de Riesgos'!$O$61),"")</f>
        <v/>
      </c>
      <c r="X44" s="66" t="str">
        <f>IF(AND('Mapa de Riesgos'!$Y$62="Baja",'Mapa de Riesgos'!$AA$62="Moderado"),CONCATENATE("R9C",'Mapa de Riesgos'!$O$62),"")</f>
        <v/>
      </c>
      <c r="Y44" s="66" t="str">
        <f>IF(AND('Mapa de Riesgos'!$Y$63="Baja",'Mapa de Riesgos'!$AA$63="Moderado"),CONCATENATE("R9C",'Mapa de Riesgos'!$O$63),"")</f>
        <v/>
      </c>
      <c r="Z44" s="66" t="str">
        <f>IF(AND('Mapa de Riesgos'!$Y$64="Baja",'Mapa de Riesgos'!$AA$64="Moderado"),CONCATENATE("R9C",'Mapa de Riesgos'!$O$64),"")</f>
        <v/>
      </c>
      <c r="AA44" s="67" t="str">
        <f>IF(AND('Mapa de Riesgos'!$Y$65="Baja",'Mapa de Riesgos'!$AA$65="Moderado"),CONCATENATE("R9C",'Mapa de Riesgos'!$O$65),"")</f>
        <v/>
      </c>
      <c r="AB44" s="50" t="str">
        <f>IF(AND('Mapa de Riesgos'!$Y$60="Baja",'Mapa de Riesgos'!$AA$60="Mayor"),CONCATENATE("R9C",'Mapa de Riesgos'!$O$60),"")</f>
        <v/>
      </c>
      <c r="AC44" s="51" t="str">
        <f>IF(AND('Mapa de Riesgos'!$Y$61="Baja",'Mapa de Riesgos'!$AA$61="Mayor"),CONCATENATE("R9C",'Mapa de Riesgos'!$O$61),"")</f>
        <v/>
      </c>
      <c r="AD44" s="51" t="str">
        <f>IF(AND('Mapa de Riesgos'!$Y$62="Baja",'Mapa de Riesgos'!$AA$62="Mayor"),CONCATENATE("R9C",'Mapa de Riesgos'!$O$62),"")</f>
        <v/>
      </c>
      <c r="AE44" s="51" t="str">
        <f>IF(AND('Mapa de Riesgos'!$Y$63="Baja",'Mapa de Riesgos'!$AA$63="Mayor"),CONCATENATE("R9C",'Mapa de Riesgos'!$O$63),"")</f>
        <v/>
      </c>
      <c r="AF44" s="51" t="str">
        <f>IF(AND('Mapa de Riesgos'!$Y$64="Baja",'Mapa de Riesgos'!$AA$64="Mayor"),CONCATENATE("R9C",'Mapa de Riesgos'!$O$64),"")</f>
        <v/>
      </c>
      <c r="AG44" s="52" t="str">
        <f>IF(AND('Mapa de Riesgos'!$Y$65="Baja",'Mapa de Riesgos'!$AA$65="Mayor"),CONCATENATE("R9C",'Mapa de Riesgos'!$O$65),"")</f>
        <v/>
      </c>
      <c r="AH44" s="53" t="str">
        <f>IF(AND('Mapa de Riesgos'!$Y$60="Baja",'Mapa de Riesgos'!$AA$60="Catastrófico"),CONCATENATE("R9C",'Mapa de Riesgos'!$O$60),"")</f>
        <v/>
      </c>
      <c r="AI44" s="54" t="str">
        <f>IF(AND('Mapa de Riesgos'!$Y$61="Baja",'Mapa de Riesgos'!$AA$61="Catastrófico"),CONCATENATE("R9C",'Mapa de Riesgos'!$O$61),"")</f>
        <v/>
      </c>
      <c r="AJ44" s="54" t="str">
        <f>IF(AND('Mapa de Riesgos'!$Y$62="Baja",'Mapa de Riesgos'!$AA$62="Catastrófico"),CONCATENATE("R9C",'Mapa de Riesgos'!$O$62),"")</f>
        <v/>
      </c>
      <c r="AK44" s="54" t="str">
        <f>IF(AND('Mapa de Riesgos'!$Y$63="Baja",'Mapa de Riesgos'!$AA$63="Catastrófico"),CONCATENATE("R9C",'Mapa de Riesgos'!$O$63),"")</f>
        <v/>
      </c>
      <c r="AL44" s="54" t="str">
        <f>IF(AND('Mapa de Riesgos'!$Y$64="Baja",'Mapa de Riesgos'!$AA$64="Catastrófico"),CONCATENATE("R9C",'Mapa de Riesgos'!$O$64),"")</f>
        <v/>
      </c>
      <c r="AM44" s="55" t="str">
        <f>IF(AND('Mapa de Riesgos'!$Y$65="Baja",'Mapa de Riesgos'!$AA$65="Catastrófico"),CONCATENATE("R9C",'Mapa de Riesgos'!$O$65),"")</f>
        <v/>
      </c>
      <c r="AN44" s="81"/>
      <c r="AO44" s="538"/>
      <c r="AP44" s="539"/>
      <c r="AQ44" s="539"/>
      <c r="AR44" s="539"/>
      <c r="AS44" s="539"/>
      <c r="AT44" s="540"/>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75" customHeight="1" thickBot="1" x14ac:dyDescent="0.3">
      <c r="A45" s="81"/>
      <c r="B45" s="466"/>
      <c r="C45" s="466"/>
      <c r="D45" s="467"/>
      <c r="E45" s="510"/>
      <c r="F45" s="511"/>
      <c r="G45" s="511"/>
      <c r="H45" s="511"/>
      <c r="I45" s="511"/>
      <c r="J45" s="77" t="str">
        <f>IF(AND('Mapa de Riesgos'!$Y$66="Baja",'Mapa de Riesgos'!$AA$66="Leve"),CONCATENATE("R10C",'Mapa de Riesgos'!$O$66),"")</f>
        <v/>
      </c>
      <c r="K45" s="78" t="str">
        <f>IF(AND('Mapa de Riesgos'!$Y$68="Baja",'Mapa de Riesgos'!$AA$68="Leve"),CONCATENATE("R10C",'Mapa de Riesgos'!$O$68),"")</f>
        <v/>
      </c>
      <c r="L45" s="78" t="str">
        <f>IF(AND('Mapa de Riesgos'!$Y$69="Baja",'Mapa de Riesgos'!$AA$69="Leve"),CONCATENATE("R10C",'Mapa de Riesgos'!$O$69),"")</f>
        <v/>
      </c>
      <c r="M45" s="78" t="str">
        <f>IF(AND('Mapa de Riesgos'!$Y$70="Baja",'Mapa de Riesgos'!$AA$70="Leve"),CONCATENATE("R10C",'Mapa de Riesgos'!$O$70),"")</f>
        <v/>
      </c>
      <c r="N45" s="78" t="str">
        <f>IF(AND('Mapa de Riesgos'!$Y$71="Baja",'Mapa de Riesgos'!$AA$71="Leve"),CONCATENATE("R10C",'Mapa de Riesgos'!$O$71),"")</f>
        <v/>
      </c>
      <c r="O45" s="79" t="str">
        <f>IF(AND('Mapa de Riesgos'!$Y$72="Baja",'Mapa de Riesgos'!$AA$72="Leve"),CONCATENATE("R10C",'Mapa de Riesgos'!$O$72),"")</f>
        <v/>
      </c>
      <c r="P45" s="65" t="str">
        <f>IF(AND('Mapa de Riesgos'!$Y$66="Baja",'Mapa de Riesgos'!$AA$66="Menor"),CONCATENATE("R10C",'Mapa de Riesgos'!$O$66),"")</f>
        <v/>
      </c>
      <c r="Q45" s="66" t="str">
        <f>IF(AND('Mapa de Riesgos'!$Y$68="Baja",'Mapa de Riesgos'!$AA$68="Menor"),CONCATENATE("R10C",'Mapa de Riesgos'!$O$68),"")</f>
        <v/>
      </c>
      <c r="R45" s="66" t="str">
        <f>IF(AND('Mapa de Riesgos'!$Y$69="Baja",'Mapa de Riesgos'!$AA$69="Menor"),CONCATENATE("R10C",'Mapa de Riesgos'!$O$69),"")</f>
        <v/>
      </c>
      <c r="S45" s="66" t="str">
        <f>IF(AND('Mapa de Riesgos'!$Y$70="Baja",'Mapa de Riesgos'!$AA$70="Menor"),CONCATENATE("R10C",'Mapa de Riesgos'!$O$70),"")</f>
        <v/>
      </c>
      <c r="T45" s="66" t="str">
        <f>IF(AND('Mapa de Riesgos'!$Y$71="Baja",'Mapa de Riesgos'!$AA$71="Menor"),CONCATENATE("R10C",'Mapa de Riesgos'!$O$71),"")</f>
        <v/>
      </c>
      <c r="U45" s="67" t="str">
        <f>IF(AND('Mapa de Riesgos'!$Y$72="Baja",'Mapa de Riesgos'!$AA$72="Menor"),CONCATENATE("R10C",'Mapa de Riesgos'!$O$72),"")</f>
        <v/>
      </c>
      <c r="V45" s="68" t="str">
        <f>IF(AND('Mapa de Riesgos'!$Y$66="Baja",'Mapa de Riesgos'!$AA$66="Moderado"),CONCATENATE("R10C",'Mapa de Riesgos'!$O$66),"")</f>
        <v>R10C1</v>
      </c>
      <c r="W45" s="69" t="str">
        <f>IF(AND('Mapa de Riesgos'!$Y$68="Baja",'Mapa de Riesgos'!$AA$68="Moderado"),CONCATENATE("R10C",'Mapa de Riesgos'!$O$68),"")</f>
        <v/>
      </c>
      <c r="X45" s="69" t="str">
        <f>IF(AND('Mapa de Riesgos'!$Y$69="Baja",'Mapa de Riesgos'!$AA$69="Moderado"),CONCATENATE("R10C",'Mapa de Riesgos'!$O$69),"")</f>
        <v/>
      </c>
      <c r="Y45" s="69" t="str">
        <f>IF(AND('Mapa de Riesgos'!$Y$70="Baja",'Mapa de Riesgos'!$AA$70="Moderado"),CONCATENATE("R10C",'Mapa de Riesgos'!$O$70),"")</f>
        <v/>
      </c>
      <c r="Z45" s="69" t="str">
        <f>IF(AND('Mapa de Riesgos'!$Y$71="Baja",'Mapa de Riesgos'!$AA$71="Moderado"),CONCATENATE("R10C",'Mapa de Riesgos'!$O$71),"")</f>
        <v/>
      </c>
      <c r="AA45" s="70" t="str">
        <f>IF(AND('Mapa de Riesgos'!$Y$72="Baja",'Mapa de Riesgos'!$AA$72="Moderado"),CONCATENATE("R10C",'Mapa de Riesgos'!$O$72),"")</f>
        <v/>
      </c>
      <c r="AB45" s="56" t="str">
        <f>IF(AND('Mapa de Riesgos'!$Y$66="Baja",'Mapa de Riesgos'!$AA$66="Mayor"),CONCATENATE("R10C",'Mapa de Riesgos'!$O$66),"")</f>
        <v/>
      </c>
      <c r="AC45" s="57" t="str">
        <f>IF(AND('Mapa de Riesgos'!$Y$68="Baja",'Mapa de Riesgos'!$AA$68="Mayor"),CONCATENATE("R10C",'Mapa de Riesgos'!$O$68),"")</f>
        <v/>
      </c>
      <c r="AD45" s="57" t="str">
        <f>IF(AND('Mapa de Riesgos'!$Y$69="Baja",'Mapa de Riesgos'!$AA$69="Mayor"),CONCATENATE("R10C",'Mapa de Riesgos'!$O$69),"")</f>
        <v/>
      </c>
      <c r="AE45" s="57" t="str">
        <f>IF(AND('Mapa de Riesgos'!$Y$70="Baja",'Mapa de Riesgos'!$AA$70="Mayor"),CONCATENATE("R10C",'Mapa de Riesgos'!$O$70),"")</f>
        <v/>
      </c>
      <c r="AF45" s="57" t="str">
        <f>IF(AND('Mapa de Riesgos'!$Y$71="Baja",'Mapa de Riesgos'!$AA$71="Mayor"),CONCATENATE("R10C",'Mapa de Riesgos'!$O$71),"")</f>
        <v/>
      </c>
      <c r="AG45" s="58" t="str">
        <f>IF(AND('Mapa de Riesgos'!$Y$72="Baja",'Mapa de Riesgos'!$AA$72="Mayor"),CONCATENATE("R10C",'Mapa de Riesgos'!$O$72),"")</f>
        <v/>
      </c>
      <c r="AH45" s="59" t="str">
        <f>IF(AND('Mapa de Riesgos'!$Y$66="Baja",'Mapa de Riesgos'!$AA$66="Catastrófico"),CONCATENATE("R10C",'Mapa de Riesgos'!$O$66),"")</f>
        <v/>
      </c>
      <c r="AI45" s="60" t="str">
        <f>IF(AND('Mapa de Riesgos'!$Y$68="Baja",'Mapa de Riesgos'!$AA$68="Catastrófico"),CONCATENATE("R10C",'Mapa de Riesgos'!$O$68),"")</f>
        <v/>
      </c>
      <c r="AJ45" s="60" t="str">
        <f>IF(AND('Mapa de Riesgos'!$Y$69="Baja",'Mapa de Riesgos'!$AA$69="Catastrófico"),CONCATENATE("R10C",'Mapa de Riesgos'!$O$69),"")</f>
        <v/>
      </c>
      <c r="AK45" s="60" t="str">
        <f>IF(AND('Mapa de Riesgos'!$Y$70="Baja",'Mapa de Riesgos'!$AA$70="Catastrófico"),CONCATENATE("R10C",'Mapa de Riesgos'!$O$70),"")</f>
        <v/>
      </c>
      <c r="AL45" s="60" t="str">
        <f>IF(AND('Mapa de Riesgos'!$Y$71="Baja",'Mapa de Riesgos'!$AA$71="Catastrófico"),CONCATENATE("R10C",'Mapa de Riesgos'!$O$71),"")</f>
        <v/>
      </c>
      <c r="AM45" s="61" t="str">
        <f>IF(AND('Mapa de Riesgos'!$Y$72="Baja",'Mapa de Riesgos'!$AA$72="Catastrófico"),CONCATENATE("R10C",'Mapa de Riesgos'!$O$72),"")</f>
        <v/>
      </c>
      <c r="AN45" s="81"/>
      <c r="AO45" s="541"/>
      <c r="AP45" s="542"/>
      <c r="AQ45" s="542"/>
      <c r="AR45" s="542"/>
      <c r="AS45" s="542"/>
      <c r="AT45" s="543"/>
    </row>
    <row r="46" spans="1:80" ht="46.5" customHeight="1" x14ac:dyDescent="0.35">
      <c r="A46" s="81"/>
      <c r="B46" s="466"/>
      <c r="C46" s="466"/>
      <c r="D46" s="467"/>
      <c r="E46" s="504" t="s">
        <v>206</v>
      </c>
      <c r="F46" s="505"/>
      <c r="G46" s="505"/>
      <c r="H46" s="505"/>
      <c r="I46" s="506"/>
      <c r="J46" s="71" t="str">
        <f>IF(AND('Mapa de Riesgos'!$Y$12="Muy Baja",'Mapa de Riesgos'!$AA$12="Leve"),CONCATENATE("R1C",'Mapa de Riesgos'!$O$12),"")</f>
        <v/>
      </c>
      <c r="K46" s="72" t="str">
        <f>IF(AND('Mapa de Riesgos'!$Y$13="Muy Baja",'Mapa de Riesgos'!$AA$13="Leve"),CONCATENATE("R1C",'Mapa de Riesgos'!$O$13),"")</f>
        <v/>
      </c>
      <c r="L46" s="72" t="str">
        <f>IF(AND('Mapa de Riesgos'!$Y$14="Muy Baja",'Mapa de Riesgos'!$AA$14="Leve"),CONCATENATE("R1C",'Mapa de Riesgos'!$O$14),"")</f>
        <v/>
      </c>
      <c r="M46" s="72" t="str">
        <f>IF(AND('Mapa de Riesgos'!$Y$15="Muy Baja",'Mapa de Riesgos'!$AA$15="Leve"),CONCATENATE("R1C",'Mapa de Riesgos'!$O$15),"")</f>
        <v/>
      </c>
      <c r="N46" s="72" t="str">
        <f>IF(AND('Mapa de Riesgos'!$Y$16="Muy Baja",'Mapa de Riesgos'!$AA$16="Leve"),CONCATENATE("R1C",'Mapa de Riesgos'!$O$16),"")</f>
        <v/>
      </c>
      <c r="O46" s="73" t="str">
        <f>IF(AND('Mapa de Riesgos'!$Y$17="Muy Baja",'Mapa de Riesgos'!$AA$17="Leve"),CONCATENATE("R1C",'Mapa de Riesgos'!$O$17),"")</f>
        <v/>
      </c>
      <c r="P46" s="71" t="str">
        <f>IF(AND('Mapa de Riesgos'!$Y$12="Muy Baja",'Mapa de Riesgos'!$AA$12="Menor"),CONCATENATE("R1C",'Mapa de Riesgos'!$O$12),"")</f>
        <v/>
      </c>
      <c r="Q46" s="72" t="str">
        <f>IF(AND('Mapa de Riesgos'!$Y$13="Muy Baja",'Mapa de Riesgos'!$AA$13="Menor"),CONCATENATE("R1C",'Mapa de Riesgos'!$O$13),"")</f>
        <v/>
      </c>
      <c r="R46" s="72" t="str">
        <f>IF(AND('Mapa de Riesgos'!$Y$14="Muy Baja",'Mapa de Riesgos'!$AA$14="Menor"),CONCATENATE("R1C",'Mapa de Riesgos'!$O$14),"")</f>
        <v/>
      </c>
      <c r="S46" s="72" t="str">
        <f>IF(AND('Mapa de Riesgos'!$Y$15="Muy Baja",'Mapa de Riesgos'!$AA$15="Menor"),CONCATENATE("R1C",'Mapa de Riesgos'!$O$15),"")</f>
        <v/>
      </c>
      <c r="T46" s="72" t="str">
        <f>IF(AND('Mapa de Riesgos'!$Y$16="Muy Baja",'Mapa de Riesgos'!$AA$16="Menor"),CONCATENATE("R1C",'Mapa de Riesgos'!$O$16),"")</f>
        <v/>
      </c>
      <c r="U46" s="73" t="str">
        <f>IF(AND('Mapa de Riesgos'!$Y$17="Muy Baja",'Mapa de Riesgos'!$AA$17="Menor"),CONCATENATE("R1C",'Mapa de Riesgos'!$O$17),"")</f>
        <v/>
      </c>
      <c r="V46" s="62" t="str">
        <f>IF(AND('Mapa de Riesgos'!$Y$12="Muy Baja",'Mapa de Riesgos'!$AA$12="Moderado"),CONCATENATE("R1C",'Mapa de Riesgos'!$O$12),"")</f>
        <v/>
      </c>
      <c r="W46" s="80" t="str">
        <f>IF(AND('Mapa de Riesgos'!$Y$13="Muy Baja",'Mapa de Riesgos'!$AA$13="Moderado"),CONCATENATE("R1C",'Mapa de Riesgos'!$O$13),"")</f>
        <v/>
      </c>
      <c r="X46" s="63" t="str">
        <f>IF(AND('Mapa de Riesgos'!$Y$14="Muy Baja",'Mapa de Riesgos'!$AA$14="Moderado"),CONCATENATE("R1C",'Mapa de Riesgos'!$O$14),"")</f>
        <v/>
      </c>
      <c r="Y46" s="63" t="str">
        <f>IF(AND('Mapa de Riesgos'!$Y$15="Muy Baja",'Mapa de Riesgos'!$AA$15="Moderado"),CONCATENATE("R1C",'Mapa de Riesgos'!$O$15),"")</f>
        <v/>
      </c>
      <c r="Z46" s="63" t="str">
        <f>IF(AND('Mapa de Riesgos'!$Y$16="Muy Baja",'Mapa de Riesgos'!$AA$16="Moderado"),CONCATENATE("R1C",'Mapa de Riesgos'!$O$16),"")</f>
        <v/>
      </c>
      <c r="AA46" s="64" t="str">
        <f>IF(AND('Mapa de Riesgos'!$Y$17="Muy Baja",'Mapa de Riesgos'!$AA$17="Moderado"),CONCATENATE("R1C",'Mapa de Riesgos'!$O$17),"")</f>
        <v/>
      </c>
      <c r="AB46" s="44" t="str">
        <f>IF(AND('Mapa de Riesgos'!$Y$12="Muy Baja",'Mapa de Riesgos'!$AA$12="Mayor"),CONCATENATE("R1C",'Mapa de Riesgos'!$O$12),"")</f>
        <v/>
      </c>
      <c r="AC46" s="45" t="str">
        <f>IF(AND('Mapa de Riesgos'!$Y$13="Muy Baja",'Mapa de Riesgos'!$AA$13="Mayor"),CONCATENATE("R1C",'Mapa de Riesgos'!$O$13),"")</f>
        <v/>
      </c>
      <c r="AD46" s="45" t="str">
        <f>IF(AND('Mapa de Riesgos'!$Y$14="Muy Baja",'Mapa de Riesgos'!$AA$14="Mayor"),CONCATENATE("R1C",'Mapa de Riesgos'!$O$14),"")</f>
        <v/>
      </c>
      <c r="AE46" s="45" t="str">
        <f>IF(AND('Mapa de Riesgos'!$Y$15="Muy Baja",'Mapa de Riesgos'!$AA$15="Mayor"),CONCATENATE("R1C",'Mapa de Riesgos'!$O$15),"")</f>
        <v/>
      </c>
      <c r="AF46" s="45" t="str">
        <f>IF(AND('Mapa de Riesgos'!$Y$16="Muy Baja",'Mapa de Riesgos'!$AA$16="Mayor"),CONCATENATE("R1C",'Mapa de Riesgos'!$O$16),"")</f>
        <v/>
      </c>
      <c r="AG46" s="46" t="str">
        <f>IF(AND('Mapa de Riesgos'!$Y$17="Muy Baja",'Mapa de Riesgos'!$AA$17="Mayor"),CONCATENATE("R1C",'Mapa de Riesgos'!$O$17),"")</f>
        <v/>
      </c>
      <c r="AH46" s="47" t="str">
        <f>IF(AND('Mapa de Riesgos'!$Y$12="Muy Baja",'Mapa de Riesgos'!$AA$12="Catastrófico"),CONCATENATE("R1C",'Mapa de Riesgos'!$O$12),"")</f>
        <v/>
      </c>
      <c r="AI46" s="48" t="str">
        <f>IF(AND('Mapa de Riesgos'!$Y$13="Muy Baja",'Mapa de Riesgos'!$AA$13="Catastrófico"),CONCATENATE("R1C",'Mapa de Riesgos'!$O$13),"")</f>
        <v/>
      </c>
      <c r="AJ46" s="48" t="str">
        <f>IF(AND('Mapa de Riesgos'!$Y$14="Muy Baja",'Mapa de Riesgos'!$AA$14="Catastrófico"),CONCATENATE("R1C",'Mapa de Riesgos'!$O$14),"")</f>
        <v/>
      </c>
      <c r="AK46" s="48" t="str">
        <f>IF(AND('Mapa de Riesgos'!$Y$15="Muy Baja",'Mapa de Riesgos'!$AA$15="Catastrófico"),CONCATENATE("R1C",'Mapa de Riesgos'!$O$15),"")</f>
        <v/>
      </c>
      <c r="AL46" s="48" t="str">
        <f>IF(AND('Mapa de Riesgos'!$Y$16="Muy Baja",'Mapa de Riesgos'!$AA$16="Catastrófico"),CONCATENATE("R1C",'Mapa de Riesgos'!$O$16),"")</f>
        <v/>
      </c>
      <c r="AM46" s="49" t="str">
        <f>IF(AND('Mapa de Riesgos'!$Y$17="Muy Baja",'Mapa de Riesgos'!$AA$17="Catastrófico"),CONCATENATE("R1C",'Mapa de Riesgos'!$O$17),"")</f>
        <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 customHeight="1" x14ac:dyDescent="0.25">
      <c r="A47" s="81"/>
      <c r="B47" s="466"/>
      <c r="C47" s="466"/>
      <c r="D47" s="467"/>
      <c r="E47" s="523"/>
      <c r="F47" s="508"/>
      <c r="G47" s="508"/>
      <c r="H47" s="508"/>
      <c r="I47" s="509"/>
      <c r="J47" s="74" t="str">
        <f>IF(AND('Mapa de Riesgos'!$Y$18="Muy Baja",'Mapa de Riesgos'!$AA$18="Leve"),CONCATENATE("R2C",'Mapa de Riesgos'!$O$18),"")</f>
        <v/>
      </c>
      <c r="K47" s="75" t="str">
        <f>IF(AND('Mapa de Riesgos'!$Y$19="Muy Baja",'Mapa de Riesgos'!$AA$19="Leve"),CONCATENATE("R2C",'Mapa de Riesgos'!$O$19),"")</f>
        <v/>
      </c>
      <c r="L47" s="75" t="str">
        <f>IF(AND('Mapa de Riesgos'!$Y$20="Muy Baja",'Mapa de Riesgos'!$AA$20="Leve"),CONCATENATE("R2C",'Mapa de Riesgos'!$O$20),"")</f>
        <v/>
      </c>
      <c r="M47" s="75" t="str">
        <f>IF(AND('Mapa de Riesgos'!$Y$21="Muy Baja",'Mapa de Riesgos'!$AA$21="Leve"),CONCATENATE("R2C",'Mapa de Riesgos'!$O$21),"")</f>
        <v/>
      </c>
      <c r="N47" s="75" t="str">
        <f>IF(AND('Mapa de Riesgos'!$Y$22="Muy Baja",'Mapa de Riesgos'!$AA$22="Leve"),CONCATENATE("R2C",'Mapa de Riesgos'!$O$22),"")</f>
        <v/>
      </c>
      <c r="O47" s="76" t="str">
        <f>IF(AND('Mapa de Riesgos'!$Y$23="Muy Baja",'Mapa de Riesgos'!$AA$23="Leve"),CONCATENATE("R2C",'Mapa de Riesgos'!$O$23),"")</f>
        <v/>
      </c>
      <c r="P47" s="74" t="str">
        <f>IF(AND('Mapa de Riesgos'!$Y$18="Muy Baja",'Mapa de Riesgos'!$AA$18="Menor"),CONCATENATE("R2C",'Mapa de Riesgos'!$O$18),"")</f>
        <v/>
      </c>
      <c r="Q47" s="75" t="str">
        <f>IF(AND('Mapa de Riesgos'!$Y$19="Muy Baja",'Mapa de Riesgos'!$AA$19="Menor"),CONCATENATE("R2C",'Mapa de Riesgos'!$O$19),"")</f>
        <v/>
      </c>
      <c r="R47" s="75" t="str">
        <f>IF(AND('Mapa de Riesgos'!$Y$20="Muy Baja",'Mapa de Riesgos'!$AA$20="Menor"),CONCATENATE("R2C",'Mapa de Riesgos'!$O$20),"")</f>
        <v/>
      </c>
      <c r="S47" s="75" t="str">
        <f>IF(AND('Mapa de Riesgos'!$Y$21="Muy Baja",'Mapa de Riesgos'!$AA$21="Menor"),CONCATENATE("R2C",'Mapa de Riesgos'!$O$21),"")</f>
        <v/>
      </c>
      <c r="T47" s="75" t="str">
        <f>IF(AND('Mapa de Riesgos'!$Y$22="Muy Baja",'Mapa de Riesgos'!$AA$22="Menor"),CONCATENATE("R2C",'Mapa de Riesgos'!$O$22),"")</f>
        <v/>
      </c>
      <c r="U47" s="76" t="str">
        <f>IF(AND('Mapa de Riesgos'!$Y$23="Muy Baja",'Mapa de Riesgos'!$AA$23="Menor"),CONCATENATE("R2C",'Mapa de Riesgos'!$O$23),"")</f>
        <v/>
      </c>
      <c r="V47" s="65" t="str">
        <f>IF(AND('Mapa de Riesgos'!$Y$18="Muy Baja",'Mapa de Riesgos'!$AA$18="Moderado"),CONCATENATE("R2C",'Mapa de Riesgos'!$O$18),"")</f>
        <v/>
      </c>
      <c r="W47" s="66" t="str">
        <f>IF(AND('Mapa de Riesgos'!$Y$19="Muy Baja",'Mapa de Riesgos'!$AA$19="Moderado"),CONCATENATE("R2C",'Mapa de Riesgos'!$O$19),"")</f>
        <v/>
      </c>
      <c r="X47" s="66" t="str">
        <f>IF(AND('Mapa de Riesgos'!$Y$20="Muy Baja",'Mapa de Riesgos'!$AA$20="Moderado"),CONCATENATE("R2C",'Mapa de Riesgos'!$O$20),"")</f>
        <v/>
      </c>
      <c r="Y47" s="66" t="str">
        <f>IF(AND('Mapa de Riesgos'!$Y$21="Muy Baja",'Mapa de Riesgos'!$AA$21="Moderado"),CONCATENATE("R2C",'Mapa de Riesgos'!$O$21),"")</f>
        <v/>
      </c>
      <c r="Z47" s="66" t="str">
        <f>IF(AND('Mapa de Riesgos'!$Y$22="Muy Baja",'Mapa de Riesgos'!$AA$22="Moderado"),CONCATENATE("R2C",'Mapa de Riesgos'!$O$22),"")</f>
        <v/>
      </c>
      <c r="AA47" s="67" t="str">
        <f>IF(AND('Mapa de Riesgos'!$Y$23="Muy Baja",'Mapa de Riesgos'!$AA$23="Moderado"),CONCATENATE("R2C",'Mapa de Riesgos'!$O$23),"")</f>
        <v/>
      </c>
      <c r="AB47" s="50" t="str">
        <f>IF(AND('Mapa de Riesgos'!$Y$18="Muy Baja",'Mapa de Riesgos'!$AA$18="Mayor"),CONCATENATE("R2C",'Mapa de Riesgos'!$O$18),"")</f>
        <v/>
      </c>
      <c r="AC47" s="51" t="str">
        <f>IF(AND('Mapa de Riesgos'!$Y$19="Muy Baja",'Mapa de Riesgos'!$AA$19="Mayor"),CONCATENATE("R2C",'Mapa de Riesgos'!$O$19),"")</f>
        <v/>
      </c>
      <c r="AD47" s="51" t="str">
        <f>IF(AND('Mapa de Riesgos'!$Y$20="Muy Baja",'Mapa de Riesgos'!$AA$20="Mayor"),CONCATENATE("R2C",'Mapa de Riesgos'!$O$20),"")</f>
        <v/>
      </c>
      <c r="AE47" s="51" t="str">
        <f>IF(AND('Mapa de Riesgos'!$Y$21="Muy Baja",'Mapa de Riesgos'!$AA$21="Mayor"),CONCATENATE("R2C",'Mapa de Riesgos'!$O$21),"")</f>
        <v/>
      </c>
      <c r="AF47" s="51" t="str">
        <f>IF(AND('Mapa de Riesgos'!$Y$22="Muy Baja",'Mapa de Riesgos'!$AA$22="Mayor"),CONCATENATE("R2C",'Mapa de Riesgos'!$O$22),"")</f>
        <v/>
      </c>
      <c r="AG47" s="52" t="str">
        <f>IF(AND('Mapa de Riesgos'!$Y$23="Muy Baja",'Mapa de Riesgos'!$AA$23="Mayor"),CONCATENATE("R2C",'Mapa de Riesgos'!$O$23),"")</f>
        <v/>
      </c>
      <c r="AH47" s="53" t="str">
        <f>IF(AND('Mapa de Riesgos'!$Y$18="Muy Baja",'Mapa de Riesgos'!$AA$18="Catastrófico"),CONCATENATE("R2C",'Mapa de Riesgos'!$O$18),"")</f>
        <v/>
      </c>
      <c r="AI47" s="54" t="str">
        <f>IF(AND('Mapa de Riesgos'!$Y$19="Muy Baja",'Mapa de Riesgos'!$AA$19="Catastrófico"),CONCATENATE("R2C",'Mapa de Riesgos'!$O$19),"")</f>
        <v/>
      </c>
      <c r="AJ47" s="54" t="str">
        <f>IF(AND('Mapa de Riesgos'!$Y$20="Muy Baja",'Mapa de Riesgos'!$AA$20="Catastrófico"),CONCATENATE("R2C",'Mapa de Riesgos'!$O$20),"")</f>
        <v/>
      </c>
      <c r="AK47" s="54" t="str">
        <f>IF(AND('Mapa de Riesgos'!$Y$21="Muy Baja",'Mapa de Riesgos'!$AA$21="Catastrófico"),CONCATENATE("R2C",'Mapa de Riesgos'!$O$21),"")</f>
        <v/>
      </c>
      <c r="AL47" s="54" t="str">
        <f>IF(AND('Mapa de Riesgos'!$Y$22="Muy Baja",'Mapa de Riesgos'!$AA$22="Catastrófico"),CONCATENATE("R2C",'Mapa de Riesgos'!$O$22),"")</f>
        <v/>
      </c>
      <c r="AM47" s="55" t="str">
        <f>IF(AND('Mapa de Riesgos'!$Y$23="Muy Baja",'Mapa de Riesgos'!$AA$23="Catastrófico"),CONCATENATE("R2C",'Mapa de Riesgos'!$O$23),"")</f>
        <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5" customHeight="1" x14ac:dyDescent="0.25">
      <c r="A48" s="81"/>
      <c r="B48" s="466"/>
      <c r="C48" s="466"/>
      <c r="D48" s="467"/>
      <c r="E48" s="523"/>
      <c r="F48" s="508"/>
      <c r="G48" s="508"/>
      <c r="H48" s="508"/>
      <c r="I48" s="509"/>
      <c r="J48" s="74" t="str">
        <f>IF(AND('Mapa de Riesgos'!$Y$24="Muy Baja",'Mapa de Riesgos'!$AA$24="Leve"),CONCATENATE("R3C",'Mapa de Riesgos'!$O$24),"")</f>
        <v/>
      </c>
      <c r="K48" s="75" t="str">
        <f>IF(AND('Mapa de Riesgos'!$Y$25="Muy Baja",'Mapa de Riesgos'!$AA$25="Leve"),CONCATENATE("R3C",'Mapa de Riesgos'!$O$25),"")</f>
        <v/>
      </c>
      <c r="L48" s="75" t="str">
        <f>IF(AND('Mapa de Riesgos'!$Y$26="Muy Baja",'Mapa de Riesgos'!$AA$26="Leve"),CONCATENATE("R3C",'Mapa de Riesgos'!$O$26),"")</f>
        <v/>
      </c>
      <c r="M48" s="75" t="str">
        <f>IF(AND('Mapa de Riesgos'!$Y$27="Muy Baja",'Mapa de Riesgos'!$AA$27="Leve"),CONCATENATE("R3C",'Mapa de Riesgos'!$O$27),"")</f>
        <v/>
      </c>
      <c r="N48" s="75" t="str">
        <f>IF(AND('Mapa de Riesgos'!$Y$28="Muy Baja",'Mapa de Riesgos'!$AA$28="Leve"),CONCATENATE("R3C",'Mapa de Riesgos'!$O$28),"")</f>
        <v/>
      </c>
      <c r="O48" s="76" t="str">
        <f>IF(AND('Mapa de Riesgos'!$Y$29="Muy Baja",'Mapa de Riesgos'!$AA$29="Leve"),CONCATENATE("R3C",'Mapa de Riesgos'!$O$29),"")</f>
        <v/>
      </c>
      <c r="P48" s="74" t="str">
        <f>IF(AND('Mapa de Riesgos'!$Y$24="Muy Baja",'Mapa de Riesgos'!$AA$24="Menor"),CONCATENATE("R3C",'Mapa de Riesgos'!$O$24),"")</f>
        <v/>
      </c>
      <c r="Q48" s="75" t="str">
        <f>IF(AND('Mapa de Riesgos'!$Y$25="Muy Baja",'Mapa de Riesgos'!$AA$25="Menor"),CONCATENATE("R3C",'Mapa de Riesgos'!$O$25),"")</f>
        <v/>
      </c>
      <c r="R48" s="75" t="str">
        <f>IF(AND('Mapa de Riesgos'!$Y$26="Muy Baja",'Mapa de Riesgos'!$AA$26="Menor"),CONCATENATE("R3C",'Mapa de Riesgos'!$O$26),"")</f>
        <v/>
      </c>
      <c r="S48" s="75" t="str">
        <f>IF(AND('Mapa de Riesgos'!$Y$27="Muy Baja",'Mapa de Riesgos'!$AA$27="Menor"),CONCATENATE("R3C",'Mapa de Riesgos'!$O$27),"")</f>
        <v/>
      </c>
      <c r="T48" s="75" t="str">
        <f>IF(AND('Mapa de Riesgos'!$Y$28="Muy Baja",'Mapa de Riesgos'!$AA$28="Menor"),CONCATENATE("R3C",'Mapa de Riesgos'!$O$28),"")</f>
        <v/>
      </c>
      <c r="U48" s="76" t="str">
        <f>IF(AND('Mapa de Riesgos'!$Y$29="Muy Baja",'Mapa de Riesgos'!$AA$29="Menor"),CONCATENATE("R3C",'Mapa de Riesgos'!$O$29),"")</f>
        <v/>
      </c>
      <c r="V48" s="65" t="str">
        <f>IF(AND('Mapa de Riesgos'!$Y$24="Muy Baja",'Mapa de Riesgos'!$AA$24="Moderado"),CONCATENATE("R3C",'Mapa de Riesgos'!$O$24),"")</f>
        <v/>
      </c>
      <c r="W48" s="66" t="str">
        <f>IF(AND('Mapa de Riesgos'!$Y$25="Muy Baja",'Mapa de Riesgos'!$AA$25="Moderado"),CONCATENATE("R3C",'Mapa de Riesgos'!$O$25),"")</f>
        <v/>
      </c>
      <c r="X48" s="66" t="str">
        <f>IF(AND('Mapa de Riesgos'!$Y$26="Muy Baja",'Mapa de Riesgos'!$AA$26="Moderado"),CONCATENATE("R3C",'Mapa de Riesgos'!$O$26),"")</f>
        <v/>
      </c>
      <c r="Y48" s="66" t="str">
        <f>IF(AND('Mapa de Riesgos'!$Y$27="Muy Baja",'Mapa de Riesgos'!$AA$27="Moderado"),CONCATENATE("R3C",'Mapa de Riesgos'!$O$27),"")</f>
        <v/>
      </c>
      <c r="Z48" s="66" t="str">
        <f>IF(AND('Mapa de Riesgos'!$Y$28="Muy Baja",'Mapa de Riesgos'!$AA$28="Moderado"),CONCATENATE("R3C",'Mapa de Riesgos'!$O$28),"")</f>
        <v/>
      </c>
      <c r="AA48" s="67" t="str">
        <f>IF(AND('Mapa de Riesgos'!$Y$29="Muy Baja",'Mapa de Riesgos'!$AA$29="Moderado"),CONCATENATE("R3C",'Mapa de Riesgos'!$O$29),"")</f>
        <v/>
      </c>
      <c r="AB48" s="50" t="str">
        <f>IF(AND('Mapa de Riesgos'!$Y$24="Muy Baja",'Mapa de Riesgos'!$AA$24="Mayor"),CONCATENATE("R3C",'Mapa de Riesgos'!$O$24),"")</f>
        <v/>
      </c>
      <c r="AC48" s="51" t="str">
        <f>IF(AND('Mapa de Riesgos'!$Y$25="Muy Baja",'Mapa de Riesgos'!$AA$25="Mayor"),CONCATENATE("R3C",'Mapa de Riesgos'!$O$25),"")</f>
        <v/>
      </c>
      <c r="AD48" s="51" t="str">
        <f>IF(AND('Mapa de Riesgos'!$Y$26="Muy Baja",'Mapa de Riesgos'!$AA$26="Mayor"),CONCATENATE("R3C",'Mapa de Riesgos'!$O$26),"")</f>
        <v/>
      </c>
      <c r="AE48" s="51" t="str">
        <f>IF(AND('Mapa de Riesgos'!$Y$27="Muy Baja",'Mapa de Riesgos'!$AA$27="Mayor"),CONCATENATE("R3C",'Mapa de Riesgos'!$O$27),"")</f>
        <v/>
      </c>
      <c r="AF48" s="51" t="str">
        <f>IF(AND('Mapa de Riesgos'!$Y$28="Muy Baja",'Mapa de Riesgos'!$AA$28="Mayor"),CONCATENATE("R3C",'Mapa de Riesgos'!$O$28),"")</f>
        <v/>
      </c>
      <c r="AG48" s="52" t="str">
        <f>IF(AND('Mapa de Riesgos'!$Y$29="Muy Baja",'Mapa de Riesgos'!$AA$29="Mayor"),CONCATENATE("R3C",'Mapa de Riesgos'!$O$29),"")</f>
        <v/>
      </c>
      <c r="AH48" s="53" t="str">
        <f>IF(AND('Mapa de Riesgos'!$Y$24="Muy Baja",'Mapa de Riesgos'!$AA$24="Catastrófico"),CONCATENATE("R3C",'Mapa de Riesgos'!$O$24),"")</f>
        <v/>
      </c>
      <c r="AI48" s="54" t="str">
        <f>IF(AND('Mapa de Riesgos'!$Y$25="Muy Baja",'Mapa de Riesgos'!$AA$25="Catastrófico"),CONCATENATE("R3C",'Mapa de Riesgos'!$O$25),"")</f>
        <v/>
      </c>
      <c r="AJ48" s="54" t="str">
        <f>IF(AND('Mapa de Riesgos'!$Y$26="Muy Baja",'Mapa de Riesgos'!$AA$26="Catastrófico"),CONCATENATE("R3C",'Mapa de Riesgos'!$O$26),"")</f>
        <v/>
      </c>
      <c r="AK48" s="54" t="str">
        <f>IF(AND('Mapa de Riesgos'!$Y$27="Muy Baja",'Mapa de Riesgos'!$AA$27="Catastrófico"),CONCATENATE("R3C",'Mapa de Riesgos'!$O$27),"")</f>
        <v/>
      </c>
      <c r="AL48" s="54" t="str">
        <f>IF(AND('Mapa de Riesgos'!$Y$28="Muy Baja",'Mapa de Riesgos'!$AA$28="Catastrófico"),CONCATENATE("R3C",'Mapa de Riesgos'!$O$28),"")</f>
        <v/>
      </c>
      <c r="AM48" s="55" t="str">
        <f>IF(AND('Mapa de Riesgos'!$Y$29="Muy Baja",'Mapa de Riesgos'!$AA$29="Catastrófico"),CONCATENATE("R3C",'Mapa de Riesgos'!$O$29),"")</f>
        <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5" customHeight="1" x14ac:dyDescent="0.25">
      <c r="A49" s="81"/>
      <c r="B49" s="466"/>
      <c r="C49" s="466"/>
      <c r="D49" s="467"/>
      <c r="E49" s="507"/>
      <c r="F49" s="508"/>
      <c r="G49" s="508"/>
      <c r="H49" s="508"/>
      <c r="I49" s="509"/>
      <c r="J49" s="74" t="str">
        <f>IF(AND('Mapa de Riesgos'!$Y$30="Muy Baja",'Mapa de Riesgos'!$AA$30="Leve"),CONCATENATE("R4C",'Mapa de Riesgos'!$O$30),"")</f>
        <v/>
      </c>
      <c r="K49" s="75" t="str">
        <f>IF(AND('Mapa de Riesgos'!$Y$31="Muy Baja",'Mapa de Riesgos'!$AA$31="Leve"),CONCATENATE("R4C",'Mapa de Riesgos'!$O$31),"")</f>
        <v/>
      </c>
      <c r="L49" s="75" t="str">
        <f>IF(AND('Mapa de Riesgos'!$Y$32="Muy Baja",'Mapa de Riesgos'!$AA$32="Leve"),CONCATENATE("R4C",'Mapa de Riesgos'!$O$32),"")</f>
        <v/>
      </c>
      <c r="M49" s="75" t="str">
        <f>IF(AND('Mapa de Riesgos'!$Y$33="Muy Baja",'Mapa de Riesgos'!$AA$33="Leve"),CONCATENATE("R4C",'Mapa de Riesgos'!$O$33),"")</f>
        <v/>
      </c>
      <c r="N49" s="75" t="str">
        <f>IF(AND('Mapa de Riesgos'!$Y$34="Muy Baja",'Mapa de Riesgos'!$AA$34="Leve"),CONCATENATE("R4C",'Mapa de Riesgos'!$O$34),"")</f>
        <v/>
      </c>
      <c r="O49" s="76" t="str">
        <f>IF(AND('Mapa de Riesgos'!$Y$35="Muy Baja",'Mapa de Riesgos'!$AA$35="Leve"),CONCATENATE("R4C",'Mapa de Riesgos'!$O$35),"")</f>
        <v/>
      </c>
      <c r="P49" s="74" t="str">
        <f>IF(AND('Mapa de Riesgos'!$Y$30="Muy Baja",'Mapa de Riesgos'!$AA$30="Menor"),CONCATENATE("R4C",'Mapa de Riesgos'!$O$30),"")</f>
        <v/>
      </c>
      <c r="Q49" s="75" t="str">
        <f>IF(AND('Mapa de Riesgos'!$Y$31="Muy Baja",'Mapa de Riesgos'!$AA$31="Menor"),CONCATENATE("R4C",'Mapa de Riesgos'!$O$31),"")</f>
        <v/>
      </c>
      <c r="R49" s="75" t="str">
        <f>IF(AND('Mapa de Riesgos'!$Y$32="Muy Baja",'Mapa de Riesgos'!$AA$32="Menor"),CONCATENATE("R4C",'Mapa de Riesgos'!$O$32),"")</f>
        <v/>
      </c>
      <c r="S49" s="75" t="str">
        <f>IF(AND('Mapa de Riesgos'!$Y$33="Muy Baja",'Mapa de Riesgos'!$AA$33="Menor"),CONCATENATE("R4C",'Mapa de Riesgos'!$O$33),"")</f>
        <v/>
      </c>
      <c r="T49" s="75" t="str">
        <f>IF(AND('Mapa de Riesgos'!$Y$34="Muy Baja",'Mapa de Riesgos'!$AA$34="Menor"),CONCATENATE("R4C",'Mapa de Riesgos'!$O$34),"")</f>
        <v/>
      </c>
      <c r="U49" s="76" t="str">
        <f>IF(AND('Mapa de Riesgos'!$Y$35="Muy Baja",'Mapa de Riesgos'!$AA$35="Menor"),CONCATENATE("R4C",'Mapa de Riesgos'!$O$35),"")</f>
        <v/>
      </c>
      <c r="V49" s="65" t="str">
        <f>IF(AND('Mapa de Riesgos'!$Y$30="Muy Baja",'Mapa de Riesgos'!$AA$30="Moderado"),CONCATENATE("R4C",'Mapa de Riesgos'!$O$30),"")</f>
        <v/>
      </c>
      <c r="W49" s="66" t="str">
        <f>IF(AND('Mapa de Riesgos'!$Y$31="Muy Baja",'Mapa de Riesgos'!$AA$31="Moderado"),CONCATENATE("R4C",'Mapa de Riesgos'!$O$31),"")</f>
        <v/>
      </c>
      <c r="X49" s="66" t="str">
        <f>IF(AND('Mapa de Riesgos'!$Y$32="Muy Baja",'Mapa de Riesgos'!$AA$32="Moderado"),CONCATENATE("R4C",'Mapa de Riesgos'!$O$32),"")</f>
        <v/>
      </c>
      <c r="Y49" s="66" t="str">
        <f>IF(AND('Mapa de Riesgos'!$Y$33="Muy Baja",'Mapa de Riesgos'!$AA$33="Moderado"),CONCATENATE("R4C",'Mapa de Riesgos'!$O$33),"")</f>
        <v/>
      </c>
      <c r="Z49" s="66" t="str">
        <f>IF(AND('Mapa de Riesgos'!$Y$34="Muy Baja",'Mapa de Riesgos'!$AA$34="Moderado"),CONCATENATE("R4C",'Mapa de Riesgos'!$O$34),"")</f>
        <v/>
      </c>
      <c r="AA49" s="67" t="str">
        <f>IF(AND('Mapa de Riesgos'!$Y$35="Muy Baja",'Mapa de Riesgos'!$AA$35="Moderado"),CONCATENATE("R4C",'Mapa de Riesgos'!$O$35),"")</f>
        <v/>
      </c>
      <c r="AB49" s="50" t="str">
        <f>IF(AND('Mapa de Riesgos'!$Y$30="Muy Baja",'Mapa de Riesgos'!$AA$30="Mayor"),CONCATENATE("R4C",'Mapa de Riesgos'!$O$30),"")</f>
        <v/>
      </c>
      <c r="AC49" s="51" t="str">
        <f>IF(AND('Mapa de Riesgos'!$Y$31="Muy Baja",'Mapa de Riesgos'!$AA$31="Mayor"),CONCATENATE("R4C",'Mapa de Riesgos'!$O$31),"")</f>
        <v/>
      </c>
      <c r="AD49" s="51" t="str">
        <f>IF(AND('Mapa de Riesgos'!$Y$32="Muy Baja",'Mapa de Riesgos'!$AA$32="Mayor"),CONCATENATE("R4C",'Mapa de Riesgos'!$O$32),"")</f>
        <v/>
      </c>
      <c r="AE49" s="51" t="str">
        <f>IF(AND('Mapa de Riesgos'!$Y$33="Muy Baja",'Mapa de Riesgos'!$AA$33="Mayor"),CONCATENATE("R4C",'Mapa de Riesgos'!$O$33),"")</f>
        <v/>
      </c>
      <c r="AF49" s="51" t="str">
        <f>IF(AND('Mapa de Riesgos'!$Y$34="Muy Baja",'Mapa de Riesgos'!$AA$34="Mayor"),CONCATENATE("R4C",'Mapa de Riesgos'!$O$34),"")</f>
        <v/>
      </c>
      <c r="AG49" s="52" t="str">
        <f>IF(AND('Mapa de Riesgos'!$Y$35="Muy Baja",'Mapa de Riesgos'!$AA$35="Mayor"),CONCATENATE("R4C",'Mapa de Riesgos'!$O$35),"")</f>
        <v/>
      </c>
      <c r="AH49" s="53" t="str">
        <f>IF(AND('Mapa de Riesgos'!$Y$30="Muy Baja",'Mapa de Riesgos'!$AA$30="Catastrófico"),CONCATENATE("R4C",'Mapa de Riesgos'!$O$30),"")</f>
        <v/>
      </c>
      <c r="AI49" s="54" t="str">
        <f>IF(AND('Mapa de Riesgos'!$Y$31="Muy Baja",'Mapa de Riesgos'!$AA$31="Catastrófico"),CONCATENATE("R4C",'Mapa de Riesgos'!$O$31),"")</f>
        <v/>
      </c>
      <c r="AJ49" s="54" t="str">
        <f>IF(AND('Mapa de Riesgos'!$Y$32="Muy Baja",'Mapa de Riesgos'!$AA$32="Catastrófico"),CONCATENATE("R4C",'Mapa de Riesgos'!$O$32),"")</f>
        <v/>
      </c>
      <c r="AK49" s="54" t="str">
        <f>IF(AND('Mapa de Riesgos'!$Y$33="Muy Baja",'Mapa de Riesgos'!$AA$33="Catastrófico"),CONCATENATE("R4C",'Mapa de Riesgos'!$O$33),"")</f>
        <v/>
      </c>
      <c r="AL49" s="54" t="str">
        <f>IF(AND('Mapa de Riesgos'!$Y$34="Muy Baja",'Mapa de Riesgos'!$AA$34="Catastrófico"),CONCATENATE("R4C",'Mapa de Riesgos'!$O$34),"")</f>
        <v/>
      </c>
      <c r="AM49" s="55" t="str">
        <f>IF(AND('Mapa de Riesgos'!$Y$35="Muy Baja",'Mapa de Riesgos'!$AA$35="Catastrófico"),CONCATENATE("R4C",'Mapa de Riesgos'!$O$35),"")</f>
        <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5" customHeight="1" x14ac:dyDescent="0.25">
      <c r="A50" s="81"/>
      <c r="B50" s="466"/>
      <c r="C50" s="466"/>
      <c r="D50" s="467"/>
      <c r="E50" s="507"/>
      <c r="F50" s="508"/>
      <c r="G50" s="508"/>
      <c r="H50" s="508"/>
      <c r="I50" s="509"/>
      <c r="J50" s="74" t="str">
        <f>IF(AND('Mapa de Riesgos'!$Y$36="Muy Baja",'Mapa de Riesgos'!$AA$36="Leve"),CONCATENATE("R5C",'Mapa de Riesgos'!$O$36),"")</f>
        <v/>
      </c>
      <c r="K50" s="75" t="str">
        <f>IF(AND('Mapa de Riesgos'!$Y$37="Muy Baja",'Mapa de Riesgos'!$AA$37="Leve"),CONCATENATE("R5C",'Mapa de Riesgos'!$O$37),"")</f>
        <v/>
      </c>
      <c r="L50" s="75" t="str">
        <f>IF(AND('Mapa de Riesgos'!$Y$38="Muy Baja",'Mapa de Riesgos'!$AA$38="Leve"),CONCATENATE("R5C",'Mapa de Riesgos'!$O$38),"")</f>
        <v/>
      </c>
      <c r="M50" s="75" t="str">
        <f>IF(AND('Mapa de Riesgos'!$Y$39="Muy Baja",'Mapa de Riesgos'!$AA$39="Leve"),CONCATENATE("R5C",'Mapa de Riesgos'!$O$39),"")</f>
        <v/>
      </c>
      <c r="N50" s="75" t="str">
        <f>IF(AND('Mapa de Riesgos'!$Y$40="Muy Baja",'Mapa de Riesgos'!$AA$40="Leve"),CONCATENATE("R5C",'Mapa de Riesgos'!$O$40),"")</f>
        <v/>
      </c>
      <c r="O50" s="76" t="str">
        <f>IF(AND('Mapa de Riesgos'!$Y$41="Muy Baja",'Mapa de Riesgos'!$AA$41="Leve"),CONCATENATE("R5C",'Mapa de Riesgos'!$O$41),"")</f>
        <v/>
      </c>
      <c r="P50" s="74" t="str">
        <f>IF(AND('Mapa de Riesgos'!$Y$36="Muy Baja",'Mapa de Riesgos'!$AA$36="Menor"),CONCATENATE("R5C",'Mapa de Riesgos'!$O$36),"")</f>
        <v/>
      </c>
      <c r="Q50" s="75" t="str">
        <f>IF(AND('Mapa de Riesgos'!$Y$37="Muy Baja",'Mapa de Riesgos'!$AA$37="Menor"),CONCATENATE("R5C",'Mapa de Riesgos'!$O$37),"")</f>
        <v/>
      </c>
      <c r="R50" s="75" t="str">
        <f>IF(AND('Mapa de Riesgos'!$Y$38="Muy Baja",'Mapa de Riesgos'!$AA$38="Menor"),CONCATENATE("R5C",'Mapa de Riesgos'!$O$38),"")</f>
        <v/>
      </c>
      <c r="S50" s="75" t="str">
        <f>IF(AND('Mapa de Riesgos'!$Y$39="Muy Baja",'Mapa de Riesgos'!$AA$39="Menor"),CONCATENATE("R5C",'Mapa de Riesgos'!$O$39),"")</f>
        <v/>
      </c>
      <c r="T50" s="75" t="str">
        <f>IF(AND('Mapa de Riesgos'!$Y$40="Muy Baja",'Mapa de Riesgos'!$AA$40="Menor"),CONCATENATE("R5C",'Mapa de Riesgos'!$O$40),"")</f>
        <v/>
      </c>
      <c r="U50" s="76" t="str">
        <f>IF(AND('Mapa de Riesgos'!$Y$41="Muy Baja",'Mapa de Riesgos'!$AA$41="Menor"),CONCATENATE("R5C",'Mapa de Riesgos'!$O$41),"")</f>
        <v/>
      </c>
      <c r="V50" s="65" t="str">
        <f>IF(AND('Mapa de Riesgos'!$Y$36="Muy Baja",'Mapa de Riesgos'!$AA$36="Moderado"),CONCATENATE("R5C",'Mapa de Riesgos'!$O$36),"")</f>
        <v/>
      </c>
      <c r="W50" s="66" t="str">
        <f>IF(AND('Mapa de Riesgos'!$Y$37="Muy Baja",'Mapa de Riesgos'!$AA$37="Moderado"),CONCATENATE("R5C",'Mapa de Riesgos'!$O$37),"")</f>
        <v/>
      </c>
      <c r="X50" s="66" t="str">
        <f>IF(AND('Mapa de Riesgos'!$Y$38="Muy Baja",'Mapa de Riesgos'!$AA$38="Moderado"),CONCATENATE("R5C",'Mapa de Riesgos'!$O$38),"")</f>
        <v/>
      </c>
      <c r="Y50" s="66" t="str">
        <f>IF(AND('Mapa de Riesgos'!$Y$39="Muy Baja",'Mapa de Riesgos'!$AA$39="Moderado"),CONCATENATE("R5C",'Mapa de Riesgos'!$O$39),"")</f>
        <v/>
      </c>
      <c r="Z50" s="66" t="str">
        <f>IF(AND('Mapa de Riesgos'!$Y$40="Muy Baja",'Mapa de Riesgos'!$AA$40="Moderado"),CONCATENATE("R5C",'Mapa de Riesgos'!$O$40),"")</f>
        <v/>
      </c>
      <c r="AA50" s="67" t="str">
        <f>IF(AND('Mapa de Riesgos'!$Y$41="Muy Baja",'Mapa de Riesgos'!$AA$41="Moderado"),CONCATENATE("R5C",'Mapa de Riesgos'!$O$41),"")</f>
        <v/>
      </c>
      <c r="AB50" s="50" t="str">
        <f>IF(AND('Mapa de Riesgos'!$Y$36="Muy Baja",'Mapa de Riesgos'!$AA$36="Mayor"),CONCATENATE("R5C",'Mapa de Riesgos'!$O$36),"")</f>
        <v/>
      </c>
      <c r="AC50" s="51" t="str">
        <f>IF(AND('Mapa de Riesgos'!$Y$37="Muy Baja",'Mapa de Riesgos'!$AA$37="Mayor"),CONCATENATE("R5C",'Mapa de Riesgos'!$O$37),"")</f>
        <v/>
      </c>
      <c r="AD50" s="51" t="str">
        <f>IF(AND('Mapa de Riesgos'!$Y$38="Muy Baja",'Mapa de Riesgos'!$AA$38="Mayor"),CONCATENATE("R5C",'Mapa de Riesgos'!$O$38),"")</f>
        <v/>
      </c>
      <c r="AE50" s="51" t="str">
        <f>IF(AND('Mapa de Riesgos'!$Y$39="Muy Baja",'Mapa de Riesgos'!$AA$39="Mayor"),CONCATENATE("R5C",'Mapa de Riesgos'!$O$39),"")</f>
        <v/>
      </c>
      <c r="AF50" s="51" t="str">
        <f>IF(AND('Mapa de Riesgos'!$Y$40="Muy Baja",'Mapa de Riesgos'!$AA$40="Mayor"),CONCATENATE("R5C",'Mapa de Riesgos'!$O$40),"")</f>
        <v/>
      </c>
      <c r="AG50" s="52" t="str">
        <f>IF(AND('Mapa de Riesgos'!$Y$41="Muy Baja",'Mapa de Riesgos'!$AA$41="Mayor"),CONCATENATE("R5C",'Mapa de Riesgos'!$O$41),"")</f>
        <v/>
      </c>
      <c r="AH50" s="53" t="str">
        <f>IF(AND('Mapa de Riesgos'!$Y$36="Muy Baja",'Mapa de Riesgos'!$AA$36="Catastrófico"),CONCATENATE("R5C",'Mapa de Riesgos'!$O$36),"")</f>
        <v/>
      </c>
      <c r="AI50" s="54" t="str">
        <f>IF(AND('Mapa de Riesgos'!$Y$37="Muy Baja",'Mapa de Riesgos'!$AA$37="Catastrófico"),CONCATENATE("R5C",'Mapa de Riesgos'!$O$37),"")</f>
        <v/>
      </c>
      <c r="AJ50" s="54" t="str">
        <f>IF(AND('Mapa de Riesgos'!$Y$38="Muy Baja",'Mapa de Riesgos'!$AA$38="Catastrófico"),CONCATENATE("R5C",'Mapa de Riesgos'!$O$38),"")</f>
        <v/>
      </c>
      <c r="AK50" s="54" t="str">
        <f>IF(AND('Mapa de Riesgos'!$Y$39="Muy Baja",'Mapa de Riesgos'!$AA$39="Catastrófico"),CONCATENATE("R5C",'Mapa de Riesgos'!$O$39),"")</f>
        <v/>
      </c>
      <c r="AL50" s="54" t="str">
        <f>IF(AND('Mapa de Riesgos'!$Y$40="Muy Baja",'Mapa de Riesgos'!$AA$40="Catastrófico"),CONCATENATE("R5C",'Mapa de Riesgos'!$O$40),"")</f>
        <v/>
      </c>
      <c r="AM50" s="55" t="str">
        <f>IF(AND('Mapa de Riesgos'!$Y$41="Muy Baja",'Mapa de Riesgos'!$AA$41="Catastrófico"),CONCATENATE("R5C",'Mapa de Riesgos'!$O$41),"")</f>
        <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 customHeight="1" x14ac:dyDescent="0.25">
      <c r="A51" s="81"/>
      <c r="B51" s="466"/>
      <c r="C51" s="466"/>
      <c r="D51" s="467"/>
      <c r="E51" s="507"/>
      <c r="F51" s="508"/>
      <c r="G51" s="508"/>
      <c r="H51" s="508"/>
      <c r="I51" s="509"/>
      <c r="J51" s="74" t="str">
        <f>IF(AND('Mapa de Riesgos'!$Y$42="Muy Baja",'Mapa de Riesgos'!$AA$42="Leve"),CONCATENATE("R6C",'Mapa de Riesgos'!$O$42),"")</f>
        <v/>
      </c>
      <c r="K51" s="75" t="str">
        <f>IF(AND('Mapa de Riesgos'!$Y$43="Muy Baja",'Mapa de Riesgos'!$AA$43="Leve"),CONCATENATE("R6C",'Mapa de Riesgos'!$O$43),"")</f>
        <v/>
      </c>
      <c r="L51" s="75" t="str">
        <f>IF(AND('Mapa de Riesgos'!$Y$44="Muy Baja",'Mapa de Riesgos'!$AA$44="Leve"),CONCATENATE("R6C",'Mapa de Riesgos'!$O$44),"")</f>
        <v/>
      </c>
      <c r="M51" s="75" t="str">
        <f>IF(AND('Mapa de Riesgos'!$Y$45="Muy Baja",'Mapa de Riesgos'!$AA$45="Leve"),CONCATENATE("R6C",'Mapa de Riesgos'!$O$45),"")</f>
        <v/>
      </c>
      <c r="N51" s="75" t="str">
        <f>IF(AND('Mapa de Riesgos'!$Y$46="Muy Baja",'Mapa de Riesgos'!$AA$46="Leve"),CONCATENATE("R6C",'Mapa de Riesgos'!$O$46),"")</f>
        <v/>
      </c>
      <c r="O51" s="76" t="str">
        <f>IF(AND('Mapa de Riesgos'!$Y$47="Muy Baja",'Mapa de Riesgos'!$AA$47="Leve"),CONCATENATE("R6C",'Mapa de Riesgos'!$O$47),"")</f>
        <v/>
      </c>
      <c r="P51" s="74" t="str">
        <f>IF(AND('Mapa de Riesgos'!$Y$42="Muy Baja",'Mapa de Riesgos'!$AA$42="Menor"),CONCATENATE("R6C",'Mapa de Riesgos'!$O$42),"")</f>
        <v/>
      </c>
      <c r="Q51" s="75" t="str">
        <f>IF(AND('Mapa de Riesgos'!$Y$43="Muy Baja",'Mapa de Riesgos'!$AA$43="Menor"),CONCATENATE("R6C",'Mapa de Riesgos'!$O$43),"")</f>
        <v/>
      </c>
      <c r="R51" s="75" t="str">
        <f>IF(AND('Mapa de Riesgos'!$Y$44="Muy Baja",'Mapa de Riesgos'!$AA$44="Menor"),CONCATENATE("R6C",'Mapa de Riesgos'!$O$44),"")</f>
        <v/>
      </c>
      <c r="S51" s="75" t="str">
        <f>IF(AND('Mapa de Riesgos'!$Y$45="Muy Baja",'Mapa de Riesgos'!$AA$45="Menor"),CONCATENATE("R6C",'Mapa de Riesgos'!$O$45),"")</f>
        <v/>
      </c>
      <c r="T51" s="75" t="str">
        <f>IF(AND('Mapa de Riesgos'!$Y$46="Muy Baja",'Mapa de Riesgos'!$AA$46="Menor"),CONCATENATE("R6C",'Mapa de Riesgos'!$O$46),"")</f>
        <v/>
      </c>
      <c r="U51" s="76" t="str">
        <f>IF(AND('Mapa de Riesgos'!$Y$47="Muy Baja",'Mapa de Riesgos'!$AA$47="Menor"),CONCATENATE("R6C",'Mapa de Riesgos'!$O$47),"")</f>
        <v/>
      </c>
      <c r="V51" s="65" t="str">
        <f>IF(AND('Mapa de Riesgos'!$Y$42="Muy Baja",'Mapa de Riesgos'!$AA$42="Moderado"),CONCATENATE("R6C",'Mapa de Riesgos'!$O$42),"")</f>
        <v/>
      </c>
      <c r="W51" s="66" t="str">
        <f>IF(AND('Mapa de Riesgos'!$Y$43="Muy Baja",'Mapa de Riesgos'!$AA$43="Moderado"),CONCATENATE("R6C",'Mapa de Riesgos'!$O$43),"")</f>
        <v/>
      </c>
      <c r="X51" s="66" t="str">
        <f>IF(AND('Mapa de Riesgos'!$Y$44="Muy Baja",'Mapa de Riesgos'!$AA$44="Moderado"),CONCATENATE("R6C",'Mapa de Riesgos'!$O$44),"")</f>
        <v>R6C3</v>
      </c>
      <c r="Y51" s="66" t="str">
        <f>IF(AND('Mapa de Riesgos'!$Y$45="Muy Baja",'Mapa de Riesgos'!$AA$45="Moderado"),CONCATENATE("R6C",'Mapa de Riesgos'!$O$45),"")</f>
        <v/>
      </c>
      <c r="Z51" s="66" t="str">
        <f>IF(AND('Mapa de Riesgos'!$Y$46="Muy Baja",'Mapa de Riesgos'!$AA$46="Moderado"),CONCATENATE("R6C",'Mapa de Riesgos'!$O$46),"")</f>
        <v/>
      </c>
      <c r="AA51" s="67" t="str">
        <f>IF(AND('Mapa de Riesgos'!$Y$47="Muy Baja",'Mapa de Riesgos'!$AA$47="Moderado"),CONCATENATE("R6C",'Mapa de Riesgos'!$O$47),"")</f>
        <v/>
      </c>
      <c r="AB51" s="50" t="str">
        <f>IF(AND('Mapa de Riesgos'!$Y$42="Muy Baja",'Mapa de Riesgos'!$AA$42="Mayor"),CONCATENATE("R6C",'Mapa de Riesgos'!$O$42),"")</f>
        <v/>
      </c>
      <c r="AC51" s="51" t="str">
        <f>IF(AND('Mapa de Riesgos'!$Y$43="Muy Baja",'Mapa de Riesgos'!$AA$43="Mayor"),CONCATENATE("R6C",'Mapa de Riesgos'!$O$43),"")</f>
        <v/>
      </c>
      <c r="AD51" s="51" t="str">
        <f>IF(AND('Mapa de Riesgos'!$Y$44="Muy Baja",'Mapa de Riesgos'!$AA$44="Mayor"),CONCATENATE("R6C",'Mapa de Riesgos'!$O$44),"")</f>
        <v/>
      </c>
      <c r="AE51" s="51" t="str">
        <f>IF(AND('Mapa de Riesgos'!$Y$45="Muy Baja",'Mapa de Riesgos'!$AA$45="Mayor"),CONCATENATE("R6C",'Mapa de Riesgos'!$O$45),"")</f>
        <v/>
      </c>
      <c r="AF51" s="51" t="str">
        <f>IF(AND('Mapa de Riesgos'!$Y$46="Muy Baja",'Mapa de Riesgos'!$AA$46="Mayor"),CONCATENATE("R6C",'Mapa de Riesgos'!$O$46),"")</f>
        <v/>
      </c>
      <c r="AG51" s="52" t="str">
        <f>IF(AND('Mapa de Riesgos'!$Y$47="Muy Baja",'Mapa de Riesgos'!$AA$47="Mayor"),CONCATENATE("R6C",'Mapa de Riesgos'!$O$47),"")</f>
        <v/>
      </c>
      <c r="AH51" s="53" t="str">
        <f>IF(AND('Mapa de Riesgos'!$Y$42="Muy Baja",'Mapa de Riesgos'!$AA$42="Catastrófico"),CONCATENATE("R6C",'Mapa de Riesgos'!$O$42),"")</f>
        <v/>
      </c>
      <c r="AI51" s="54" t="str">
        <f>IF(AND('Mapa de Riesgos'!$Y$43="Muy Baja",'Mapa de Riesgos'!$AA$43="Catastrófico"),CONCATENATE("R6C",'Mapa de Riesgos'!$O$43),"")</f>
        <v/>
      </c>
      <c r="AJ51" s="54" t="str">
        <f>IF(AND('Mapa de Riesgos'!$Y$44="Muy Baja",'Mapa de Riesgos'!$AA$44="Catastrófico"),CONCATENATE("R6C",'Mapa de Riesgos'!$O$44),"")</f>
        <v/>
      </c>
      <c r="AK51" s="54" t="str">
        <f>IF(AND('Mapa de Riesgos'!$Y$45="Muy Baja",'Mapa de Riesgos'!$AA$45="Catastrófico"),CONCATENATE("R6C",'Mapa de Riesgos'!$O$45),"")</f>
        <v/>
      </c>
      <c r="AL51" s="54" t="str">
        <f>IF(AND('Mapa de Riesgos'!$Y$46="Muy Baja",'Mapa de Riesgos'!$AA$46="Catastrófico"),CONCATENATE("R6C",'Mapa de Riesgos'!$O$46),"")</f>
        <v/>
      </c>
      <c r="AM51" s="55" t="str">
        <f>IF(AND('Mapa de Riesgos'!$Y$47="Muy Baja",'Mapa de Riesgos'!$AA$47="Catastrófico"),CONCATENATE("R6C",'Mapa de Riesgos'!$O$47),"")</f>
        <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5" customHeight="1" x14ac:dyDescent="0.25">
      <c r="A52" s="81"/>
      <c r="B52" s="466"/>
      <c r="C52" s="466"/>
      <c r="D52" s="467"/>
      <c r="E52" s="507"/>
      <c r="F52" s="508"/>
      <c r="G52" s="508"/>
      <c r="H52" s="508"/>
      <c r="I52" s="509"/>
      <c r="J52" s="74" t="str">
        <f>IF(AND('Mapa de Riesgos'!$Y$48="Muy Baja",'Mapa de Riesgos'!$AA$48="Leve"),CONCATENATE("R7C",'Mapa de Riesgos'!$O$48),"")</f>
        <v/>
      </c>
      <c r="K52" s="75" t="str">
        <f>IF(AND('Mapa de Riesgos'!$Y$49="Muy Baja",'Mapa de Riesgos'!$AA$49="Leve"),CONCATENATE("R7C",'Mapa de Riesgos'!$O$49),"")</f>
        <v/>
      </c>
      <c r="L52" s="75" t="str">
        <f>IF(AND('Mapa de Riesgos'!$Y$50="Muy Baja",'Mapa de Riesgos'!$AA$50="Leve"),CONCATENATE("R7C",'Mapa de Riesgos'!$O$50),"")</f>
        <v/>
      </c>
      <c r="M52" s="75" t="str">
        <f>IF(AND('Mapa de Riesgos'!$Y$51="Muy Baja",'Mapa de Riesgos'!$AA$51="Leve"),CONCATENATE("R7C",'Mapa de Riesgos'!$O$51),"")</f>
        <v/>
      </c>
      <c r="N52" s="75" t="str">
        <f>IF(AND('Mapa de Riesgos'!$Y$52="Muy Baja",'Mapa de Riesgos'!$AA$52="Leve"),CONCATENATE("R7C",'Mapa de Riesgos'!$O$52),"")</f>
        <v/>
      </c>
      <c r="O52" s="76" t="str">
        <f>IF(AND('Mapa de Riesgos'!$Y$53="Muy Baja",'Mapa de Riesgos'!$AA$53="Leve"),CONCATENATE("R7C",'Mapa de Riesgos'!$O$53),"")</f>
        <v/>
      </c>
      <c r="P52" s="74" t="str">
        <f>IF(AND('Mapa de Riesgos'!$Y$48="Muy Baja",'Mapa de Riesgos'!$AA$48="Menor"),CONCATENATE("R7C",'Mapa de Riesgos'!$O$48),"")</f>
        <v/>
      </c>
      <c r="Q52" s="75" t="str">
        <f>IF(AND('Mapa de Riesgos'!$Y$49="Muy Baja",'Mapa de Riesgos'!$AA$49="Menor"),CONCATENATE("R7C",'Mapa de Riesgos'!$O$49),"")</f>
        <v/>
      </c>
      <c r="R52" s="75" t="str">
        <f>IF(AND('Mapa de Riesgos'!$Y$50="Muy Baja",'Mapa de Riesgos'!$AA$50="Menor"),CONCATENATE("R7C",'Mapa de Riesgos'!$O$50),"")</f>
        <v/>
      </c>
      <c r="S52" s="75" t="str">
        <f>IF(AND('Mapa de Riesgos'!$Y$51="Muy Baja",'Mapa de Riesgos'!$AA$51="Menor"),CONCATENATE("R7C",'Mapa de Riesgos'!$O$51),"")</f>
        <v/>
      </c>
      <c r="T52" s="75" t="str">
        <f>IF(AND('Mapa de Riesgos'!$Y$52="Muy Baja",'Mapa de Riesgos'!$AA$52="Menor"),CONCATENATE("R7C",'Mapa de Riesgos'!$O$52),"")</f>
        <v/>
      </c>
      <c r="U52" s="76" t="str">
        <f>IF(AND('Mapa de Riesgos'!$Y$53="Muy Baja",'Mapa de Riesgos'!$AA$53="Menor"),CONCATENATE("R7C",'Mapa de Riesgos'!$O$53),"")</f>
        <v/>
      </c>
      <c r="V52" s="65" t="str">
        <f>IF(AND('Mapa de Riesgos'!$Y$48="Muy Baja",'Mapa de Riesgos'!$AA$48="Moderado"),CONCATENATE("R7C",'Mapa de Riesgos'!$O$48),"")</f>
        <v/>
      </c>
      <c r="W52" s="66" t="str">
        <f>IF(AND('Mapa de Riesgos'!$Y$49="Muy Baja",'Mapa de Riesgos'!$AA$49="Moderado"),CONCATENATE("R7C",'Mapa de Riesgos'!$O$49),"")</f>
        <v/>
      </c>
      <c r="X52" s="66" t="str">
        <f>IF(AND('Mapa de Riesgos'!$Y$50="Muy Baja",'Mapa de Riesgos'!$AA$50="Moderado"),CONCATENATE("R7C",'Mapa de Riesgos'!$O$50),"")</f>
        <v/>
      </c>
      <c r="Y52" s="66" t="str">
        <f>IF(AND('Mapa de Riesgos'!$Y$51="Muy Baja",'Mapa de Riesgos'!$AA$51="Moderado"),CONCATENATE("R7C",'Mapa de Riesgos'!$O$51),"")</f>
        <v/>
      </c>
      <c r="Z52" s="66" t="str">
        <f>IF(AND('Mapa de Riesgos'!$Y$52="Muy Baja",'Mapa de Riesgos'!$AA$52="Moderado"),CONCATENATE("R7C",'Mapa de Riesgos'!$O$52),"")</f>
        <v/>
      </c>
      <c r="AA52" s="67" t="str">
        <f>IF(AND('Mapa de Riesgos'!$Y$53="Muy Baja",'Mapa de Riesgos'!$AA$53="Moderado"),CONCATENATE("R7C",'Mapa de Riesgos'!$O$53),"")</f>
        <v/>
      </c>
      <c r="AB52" s="50" t="str">
        <f>IF(AND('Mapa de Riesgos'!$Y$48="Muy Baja",'Mapa de Riesgos'!$AA$48="Mayor"),CONCATENATE("R7C",'Mapa de Riesgos'!$O$48),"")</f>
        <v/>
      </c>
      <c r="AC52" s="51" t="str">
        <f>IF(AND('Mapa de Riesgos'!$Y$49="Muy Baja",'Mapa de Riesgos'!$AA$49="Mayor"),CONCATENATE("R7C",'Mapa de Riesgos'!$O$49),"")</f>
        <v/>
      </c>
      <c r="AD52" s="51" t="str">
        <f>IF(AND('Mapa de Riesgos'!$Y$50="Muy Baja",'Mapa de Riesgos'!$AA$50="Mayor"),CONCATENATE("R7C",'Mapa de Riesgos'!$O$50),"")</f>
        <v/>
      </c>
      <c r="AE52" s="51" t="str">
        <f>IF(AND('Mapa de Riesgos'!$Y$51="Muy Baja",'Mapa de Riesgos'!$AA$51="Mayor"),CONCATENATE("R7C",'Mapa de Riesgos'!$O$51),"")</f>
        <v/>
      </c>
      <c r="AF52" s="51" t="str">
        <f>IF(AND('Mapa de Riesgos'!$Y$52="Muy Baja",'Mapa de Riesgos'!$AA$52="Mayor"),CONCATENATE("R7C",'Mapa de Riesgos'!$O$52),"")</f>
        <v/>
      </c>
      <c r="AG52" s="52" t="str">
        <f>IF(AND('Mapa de Riesgos'!$Y$53="Muy Baja",'Mapa de Riesgos'!$AA$53="Mayor"),CONCATENATE("R7C",'Mapa de Riesgos'!$O$53),"")</f>
        <v/>
      </c>
      <c r="AH52" s="53" t="str">
        <f>IF(AND('Mapa de Riesgos'!$Y$48="Muy Baja",'Mapa de Riesgos'!$AA$48="Catastrófico"),CONCATENATE("R7C",'Mapa de Riesgos'!$O$48),"")</f>
        <v/>
      </c>
      <c r="AI52" s="54" t="str">
        <f>IF(AND('Mapa de Riesgos'!$Y$49="Muy Baja",'Mapa de Riesgos'!$AA$49="Catastrófico"),CONCATENATE("R7C",'Mapa de Riesgos'!$O$49),"")</f>
        <v/>
      </c>
      <c r="AJ52" s="54" t="str">
        <f>IF(AND('Mapa de Riesgos'!$Y$50="Muy Baja",'Mapa de Riesgos'!$AA$50="Catastrófico"),CONCATENATE("R7C",'Mapa de Riesgos'!$O$50),"")</f>
        <v/>
      </c>
      <c r="AK52" s="54" t="str">
        <f>IF(AND('Mapa de Riesgos'!$Y$51="Muy Baja",'Mapa de Riesgos'!$AA$51="Catastrófico"),CONCATENATE("R7C",'Mapa de Riesgos'!$O$51),"")</f>
        <v/>
      </c>
      <c r="AL52" s="54" t="str">
        <f>IF(AND('Mapa de Riesgos'!$Y$52="Muy Baja",'Mapa de Riesgos'!$AA$52="Catastrófico"),CONCATENATE("R7C",'Mapa de Riesgos'!$O$52),"")</f>
        <v/>
      </c>
      <c r="AM52" s="55" t="str">
        <f>IF(AND('Mapa de Riesgos'!$Y$53="Muy Baja",'Mapa de Riesgos'!$AA$53="Catastrófico"),CONCATENATE("R7C",'Mapa de Riesgos'!$O$53),"")</f>
        <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466"/>
      <c r="C53" s="466"/>
      <c r="D53" s="467"/>
      <c r="E53" s="507"/>
      <c r="F53" s="508"/>
      <c r="G53" s="508"/>
      <c r="H53" s="508"/>
      <c r="I53" s="509"/>
      <c r="J53" s="74" t="str">
        <f>IF(AND('Mapa de Riesgos'!$Y$54="Muy Baja",'Mapa de Riesgos'!$AA$54="Leve"),CONCATENATE("R8C",'Mapa de Riesgos'!$O$54),"")</f>
        <v/>
      </c>
      <c r="K53" s="75" t="str">
        <f>IF(AND('Mapa de Riesgos'!$Y$55="Muy Baja",'Mapa de Riesgos'!$AA$55="Leve"),CONCATENATE("R8C",'Mapa de Riesgos'!$O$55),"")</f>
        <v/>
      </c>
      <c r="L53" s="75" t="str">
        <f>IF(AND('Mapa de Riesgos'!$Y$56="Muy Baja",'Mapa de Riesgos'!$AA$56="Leve"),CONCATENATE("R8C",'Mapa de Riesgos'!$O$56),"")</f>
        <v/>
      </c>
      <c r="M53" s="75" t="str">
        <f>IF(AND('Mapa de Riesgos'!$Y$57="Muy Baja",'Mapa de Riesgos'!$AA$57="Leve"),CONCATENATE("R8C",'Mapa de Riesgos'!$O$57),"")</f>
        <v/>
      </c>
      <c r="N53" s="75" t="str">
        <f>IF(AND('Mapa de Riesgos'!$Y$58="Muy Baja",'Mapa de Riesgos'!$AA$58="Leve"),CONCATENATE("R8C",'Mapa de Riesgos'!$O$58),"")</f>
        <v/>
      </c>
      <c r="O53" s="76" t="str">
        <f>IF(AND('Mapa de Riesgos'!$Y$59="Muy Baja",'Mapa de Riesgos'!$AA$59="Leve"),CONCATENATE("R8C",'Mapa de Riesgos'!$O$59),"")</f>
        <v/>
      </c>
      <c r="P53" s="74" t="str">
        <f>IF(AND('Mapa de Riesgos'!$Y$54="Muy Baja",'Mapa de Riesgos'!$AA$54="Menor"),CONCATENATE("R8C",'Mapa de Riesgos'!$O$54),"")</f>
        <v/>
      </c>
      <c r="Q53" s="75" t="str">
        <f>IF(AND('Mapa de Riesgos'!$Y$55="Muy Baja",'Mapa de Riesgos'!$AA$55="Menor"),CONCATENATE("R8C",'Mapa de Riesgos'!$O$55),"")</f>
        <v/>
      </c>
      <c r="R53" s="75" t="str">
        <f>IF(AND('Mapa de Riesgos'!$Y$56="Muy Baja",'Mapa de Riesgos'!$AA$56="Menor"),CONCATENATE("R8C",'Mapa de Riesgos'!$O$56),"")</f>
        <v/>
      </c>
      <c r="S53" s="75" t="str">
        <f>IF(AND('Mapa de Riesgos'!$Y$57="Muy Baja",'Mapa de Riesgos'!$AA$57="Menor"),CONCATENATE("R8C",'Mapa de Riesgos'!$O$57),"")</f>
        <v/>
      </c>
      <c r="T53" s="75" t="str">
        <f>IF(AND('Mapa de Riesgos'!$Y$58="Muy Baja",'Mapa de Riesgos'!$AA$58="Menor"),CONCATENATE("R8C",'Mapa de Riesgos'!$O$58),"")</f>
        <v/>
      </c>
      <c r="U53" s="76" t="str">
        <f>IF(AND('Mapa de Riesgos'!$Y$59="Muy Baja",'Mapa de Riesgos'!$AA$59="Menor"),CONCATENATE("R8C",'Mapa de Riesgos'!$O$59),"")</f>
        <v/>
      </c>
      <c r="V53" s="65" t="str">
        <f>IF(AND('Mapa de Riesgos'!$Y$54="Muy Baja",'Mapa de Riesgos'!$AA$54="Moderado"),CONCATENATE("R8C",'Mapa de Riesgos'!$O$54),"")</f>
        <v/>
      </c>
      <c r="W53" s="66" t="str">
        <f>IF(AND('Mapa de Riesgos'!$Y$55="Muy Baja",'Mapa de Riesgos'!$AA$55="Moderado"),CONCATENATE("R8C",'Mapa de Riesgos'!$O$55),"")</f>
        <v/>
      </c>
      <c r="X53" s="66" t="str">
        <f>IF(AND('Mapa de Riesgos'!$Y$56="Muy Baja",'Mapa de Riesgos'!$AA$56="Moderado"),CONCATENATE("R8C",'Mapa de Riesgos'!$O$56),"")</f>
        <v/>
      </c>
      <c r="Y53" s="66" t="str">
        <f>IF(AND('Mapa de Riesgos'!$Y$57="Muy Baja",'Mapa de Riesgos'!$AA$57="Moderado"),CONCATENATE("R8C",'Mapa de Riesgos'!$O$57),"")</f>
        <v/>
      </c>
      <c r="Z53" s="66" t="str">
        <f>IF(AND('Mapa de Riesgos'!$Y$58="Muy Baja",'Mapa de Riesgos'!$AA$58="Moderado"),CONCATENATE("R8C",'Mapa de Riesgos'!$O$58),"")</f>
        <v/>
      </c>
      <c r="AA53" s="67" t="str">
        <f>IF(AND('Mapa de Riesgos'!$Y$59="Muy Baja",'Mapa de Riesgos'!$AA$59="Moderado"),CONCATENATE("R8C",'Mapa de Riesgos'!$O$59),"")</f>
        <v/>
      </c>
      <c r="AB53" s="50" t="str">
        <f>IF(AND('Mapa de Riesgos'!$Y$54="Muy Baja",'Mapa de Riesgos'!$AA$54="Mayor"),CONCATENATE("R8C",'Mapa de Riesgos'!$O$54),"")</f>
        <v/>
      </c>
      <c r="AC53" s="51" t="str">
        <f>IF(AND('Mapa de Riesgos'!$Y$55="Muy Baja",'Mapa de Riesgos'!$AA$55="Mayor"),CONCATENATE("R8C",'Mapa de Riesgos'!$O$55),"")</f>
        <v/>
      </c>
      <c r="AD53" s="51" t="str">
        <f>IF(AND('Mapa de Riesgos'!$Y$56="Muy Baja",'Mapa de Riesgos'!$AA$56="Mayor"),CONCATENATE("R8C",'Mapa de Riesgos'!$O$56),"")</f>
        <v/>
      </c>
      <c r="AE53" s="51" t="str">
        <f>IF(AND('Mapa de Riesgos'!$Y$57="Muy Baja",'Mapa de Riesgos'!$AA$57="Mayor"),CONCATENATE("R8C",'Mapa de Riesgos'!$O$57),"")</f>
        <v/>
      </c>
      <c r="AF53" s="51" t="str">
        <f>IF(AND('Mapa de Riesgos'!$Y$58="Muy Baja",'Mapa de Riesgos'!$AA$58="Mayor"),CONCATENATE("R8C",'Mapa de Riesgos'!$O$58),"")</f>
        <v/>
      </c>
      <c r="AG53" s="52" t="str">
        <f>IF(AND('Mapa de Riesgos'!$Y$59="Muy Baja",'Mapa de Riesgos'!$AA$59="Mayor"),CONCATENATE("R8C",'Mapa de Riesgos'!$O$59),"")</f>
        <v/>
      </c>
      <c r="AH53" s="53" t="str">
        <f>IF(AND('Mapa de Riesgos'!$Y$54="Muy Baja",'Mapa de Riesgos'!$AA$54="Catastrófico"),CONCATENATE("R8C",'Mapa de Riesgos'!$O$54),"")</f>
        <v/>
      </c>
      <c r="AI53" s="54" t="str">
        <f>IF(AND('Mapa de Riesgos'!$Y$55="Muy Baja",'Mapa de Riesgos'!$AA$55="Catastrófico"),CONCATENATE("R8C",'Mapa de Riesgos'!$O$55),"")</f>
        <v/>
      </c>
      <c r="AJ53" s="54" t="str">
        <f>IF(AND('Mapa de Riesgos'!$Y$56="Muy Baja",'Mapa de Riesgos'!$AA$56="Catastrófico"),CONCATENATE("R8C",'Mapa de Riesgos'!$O$56),"")</f>
        <v/>
      </c>
      <c r="AK53" s="54" t="str">
        <f>IF(AND('Mapa de Riesgos'!$Y$57="Muy Baja",'Mapa de Riesgos'!$AA$57="Catastrófico"),CONCATENATE("R8C",'Mapa de Riesgos'!$O$57),"")</f>
        <v/>
      </c>
      <c r="AL53" s="54" t="str">
        <f>IF(AND('Mapa de Riesgos'!$Y$58="Muy Baja",'Mapa de Riesgos'!$AA$58="Catastrófico"),CONCATENATE("R8C",'Mapa de Riesgos'!$O$58),"")</f>
        <v/>
      </c>
      <c r="AM53" s="55" t="str">
        <f>IF(AND('Mapa de Riesgos'!$Y$59="Muy Baja",'Mapa de Riesgos'!$AA$59="Catastrófico"),CONCATENATE("R8C",'Mapa de Riesgos'!$O$59),"")</f>
        <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466"/>
      <c r="C54" s="466"/>
      <c r="D54" s="467"/>
      <c r="E54" s="507"/>
      <c r="F54" s="508"/>
      <c r="G54" s="508"/>
      <c r="H54" s="508"/>
      <c r="I54" s="509"/>
      <c r="J54" s="74" t="str">
        <f>IF(AND('Mapa de Riesgos'!$Y$60="Muy Baja",'Mapa de Riesgos'!$AA$60="Leve"),CONCATENATE("R9C",'Mapa de Riesgos'!$O$60),"")</f>
        <v/>
      </c>
      <c r="K54" s="75" t="str">
        <f>IF(AND('Mapa de Riesgos'!$Y$61="Muy Baja",'Mapa de Riesgos'!$AA$61="Leve"),CONCATENATE("R9C",'Mapa de Riesgos'!$O$61),"")</f>
        <v/>
      </c>
      <c r="L54" s="75" t="str">
        <f>IF(AND('Mapa de Riesgos'!$Y$62="Muy Baja",'Mapa de Riesgos'!$AA$62="Leve"),CONCATENATE("R9C",'Mapa de Riesgos'!$O$62),"")</f>
        <v/>
      </c>
      <c r="M54" s="75" t="str">
        <f>IF(AND('Mapa de Riesgos'!$Y$63="Muy Baja",'Mapa de Riesgos'!$AA$63="Leve"),CONCATENATE("R9C",'Mapa de Riesgos'!$O$63),"")</f>
        <v/>
      </c>
      <c r="N54" s="75" t="str">
        <f>IF(AND('Mapa de Riesgos'!$Y$64="Muy Baja",'Mapa de Riesgos'!$AA$64="Leve"),CONCATENATE("R9C",'Mapa de Riesgos'!$O$64),"")</f>
        <v/>
      </c>
      <c r="O54" s="76" t="str">
        <f>IF(AND('Mapa de Riesgos'!$Y$65="Muy Baja",'Mapa de Riesgos'!$AA$65="Leve"),CONCATENATE("R9C",'Mapa de Riesgos'!$O$65),"")</f>
        <v/>
      </c>
      <c r="P54" s="74" t="str">
        <f>IF(AND('Mapa de Riesgos'!$Y$60="Muy Baja",'Mapa de Riesgos'!$AA$60="Menor"),CONCATENATE("R9C",'Mapa de Riesgos'!$O$60),"")</f>
        <v/>
      </c>
      <c r="Q54" s="75" t="str">
        <f>IF(AND('Mapa de Riesgos'!$Y$61="Muy Baja",'Mapa de Riesgos'!$AA$61="Menor"),CONCATENATE("R9C",'Mapa de Riesgos'!$O$61),"")</f>
        <v/>
      </c>
      <c r="R54" s="75" t="str">
        <f>IF(AND('Mapa de Riesgos'!$Y$62="Muy Baja",'Mapa de Riesgos'!$AA$62="Menor"),CONCATENATE("R9C",'Mapa de Riesgos'!$O$62),"")</f>
        <v/>
      </c>
      <c r="S54" s="75" t="str">
        <f>IF(AND('Mapa de Riesgos'!$Y$63="Muy Baja",'Mapa de Riesgos'!$AA$63="Menor"),CONCATENATE("R9C",'Mapa de Riesgos'!$O$63),"")</f>
        <v/>
      </c>
      <c r="T54" s="75" t="str">
        <f>IF(AND('Mapa de Riesgos'!$Y$64="Muy Baja",'Mapa de Riesgos'!$AA$64="Menor"),CONCATENATE("R9C",'Mapa de Riesgos'!$O$64),"")</f>
        <v/>
      </c>
      <c r="U54" s="76" t="str">
        <f>IF(AND('Mapa de Riesgos'!$Y$65="Muy Baja",'Mapa de Riesgos'!$AA$65="Menor"),CONCATENATE("R9C",'Mapa de Riesgos'!$O$65),"")</f>
        <v/>
      </c>
      <c r="V54" s="65" t="str">
        <f>IF(AND('Mapa de Riesgos'!$Y$60="Muy Baja",'Mapa de Riesgos'!$AA$60="Moderado"),CONCATENATE("R9C",'Mapa de Riesgos'!$O$60),"")</f>
        <v/>
      </c>
      <c r="W54" s="66" t="str">
        <f>IF(AND('Mapa de Riesgos'!$Y$61="Muy Baja",'Mapa de Riesgos'!$AA$61="Moderado"),CONCATENATE("R9C",'Mapa de Riesgos'!$O$61),"")</f>
        <v/>
      </c>
      <c r="X54" s="66" t="str">
        <f>IF(AND('Mapa de Riesgos'!$Y$62="Muy Baja",'Mapa de Riesgos'!$AA$62="Moderado"),CONCATENATE("R9C",'Mapa de Riesgos'!$O$62),"")</f>
        <v/>
      </c>
      <c r="Y54" s="66" t="str">
        <f>IF(AND('Mapa de Riesgos'!$Y$63="Muy Baja",'Mapa de Riesgos'!$AA$63="Moderado"),CONCATENATE("R9C",'Mapa de Riesgos'!$O$63),"")</f>
        <v/>
      </c>
      <c r="Z54" s="66" t="str">
        <f>IF(AND('Mapa de Riesgos'!$Y$64="Muy Baja",'Mapa de Riesgos'!$AA$64="Moderado"),CONCATENATE("R9C",'Mapa de Riesgos'!$O$64),"")</f>
        <v/>
      </c>
      <c r="AA54" s="67" t="str">
        <f>IF(AND('Mapa de Riesgos'!$Y$65="Muy Baja",'Mapa de Riesgos'!$AA$65="Moderado"),CONCATENATE("R9C",'Mapa de Riesgos'!$O$65),"")</f>
        <v/>
      </c>
      <c r="AB54" s="50" t="str">
        <f>IF(AND('Mapa de Riesgos'!$Y$60="Muy Baja",'Mapa de Riesgos'!$AA$60="Mayor"),CONCATENATE("R9C",'Mapa de Riesgos'!$O$60),"")</f>
        <v/>
      </c>
      <c r="AC54" s="51" t="str">
        <f>IF(AND('Mapa de Riesgos'!$Y$61="Muy Baja",'Mapa de Riesgos'!$AA$61="Mayor"),CONCATENATE("R9C",'Mapa de Riesgos'!$O$61),"")</f>
        <v/>
      </c>
      <c r="AD54" s="51" t="str">
        <f>IF(AND('Mapa de Riesgos'!$Y$62="Muy Baja",'Mapa de Riesgos'!$AA$62="Mayor"),CONCATENATE("R9C",'Mapa de Riesgos'!$O$62),"")</f>
        <v/>
      </c>
      <c r="AE54" s="51" t="str">
        <f>IF(AND('Mapa de Riesgos'!$Y$63="Muy Baja",'Mapa de Riesgos'!$AA$63="Mayor"),CONCATENATE("R9C",'Mapa de Riesgos'!$O$63),"")</f>
        <v/>
      </c>
      <c r="AF54" s="51" t="str">
        <f>IF(AND('Mapa de Riesgos'!$Y$64="Muy Baja",'Mapa de Riesgos'!$AA$64="Mayor"),CONCATENATE("R9C",'Mapa de Riesgos'!$O$64),"")</f>
        <v/>
      </c>
      <c r="AG54" s="52" t="str">
        <f>IF(AND('Mapa de Riesgos'!$Y$65="Muy Baja",'Mapa de Riesgos'!$AA$65="Mayor"),CONCATENATE("R9C",'Mapa de Riesgos'!$O$65),"")</f>
        <v/>
      </c>
      <c r="AH54" s="53" t="str">
        <f>IF(AND('Mapa de Riesgos'!$Y$60="Muy Baja",'Mapa de Riesgos'!$AA$60="Catastrófico"),CONCATENATE("R9C",'Mapa de Riesgos'!$O$60),"")</f>
        <v/>
      </c>
      <c r="AI54" s="54" t="str">
        <f>IF(AND('Mapa de Riesgos'!$Y$61="Muy Baja",'Mapa de Riesgos'!$AA$61="Catastrófico"),CONCATENATE("R9C",'Mapa de Riesgos'!$O$61),"")</f>
        <v/>
      </c>
      <c r="AJ54" s="54" t="str">
        <f>IF(AND('Mapa de Riesgos'!$Y$62="Muy Baja",'Mapa de Riesgos'!$AA$62="Catastrófico"),CONCATENATE("R9C",'Mapa de Riesgos'!$O$62),"")</f>
        <v/>
      </c>
      <c r="AK54" s="54" t="str">
        <f>IF(AND('Mapa de Riesgos'!$Y$63="Muy Baja",'Mapa de Riesgos'!$AA$63="Catastrófico"),CONCATENATE("R9C",'Mapa de Riesgos'!$O$63),"")</f>
        <v/>
      </c>
      <c r="AL54" s="54" t="str">
        <f>IF(AND('Mapa de Riesgos'!$Y$64="Muy Baja",'Mapa de Riesgos'!$AA$64="Catastrófico"),CONCATENATE("R9C",'Mapa de Riesgos'!$O$64),"")</f>
        <v/>
      </c>
      <c r="AM54" s="55" t="str">
        <f>IF(AND('Mapa de Riesgos'!$Y$65="Muy Baja",'Mapa de Riesgos'!$AA$65="Catastrófico"),CONCATENATE("R9C",'Mapa de Riesgos'!$O$65),"")</f>
        <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75" customHeight="1" thickBot="1" x14ac:dyDescent="0.3">
      <c r="A55" s="81"/>
      <c r="B55" s="466"/>
      <c r="C55" s="466"/>
      <c r="D55" s="467"/>
      <c r="E55" s="510"/>
      <c r="F55" s="511"/>
      <c r="G55" s="511"/>
      <c r="H55" s="511"/>
      <c r="I55" s="512"/>
      <c r="J55" s="77" t="str">
        <f>IF(AND('Mapa de Riesgos'!$Y$66="Muy Baja",'Mapa de Riesgos'!$AA$66="Leve"),CONCATENATE("R10C",'Mapa de Riesgos'!$O$66),"")</f>
        <v/>
      </c>
      <c r="K55" s="78" t="str">
        <f>IF(AND('Mapa de Riesgos'!$Y$68="Muy Baja",'Mapa de Riesgos'!$AA$68="Leve"),CONCATENATE("R10C",'Mapa de Riesgos'!$O$68),"")</f>
        <v/>
      </c>
      <c r="L55" s="78" t="str">
        <f>IF(AND('Mapa de Riesgos'!$Y$69="Muy Baja",'Mapa de Riesgos'!$AA$69="Leve"),CONCATENATE("R10C",'Mapa de Riesgos'!$O$69),"")</f>
        <v/>
      </c>
      <c r="M55" s="78" t="str">
        <f>IF(AND('Mapa de Riesgos'!$Y$70="Muy Baja",'Mapa de Riesgos'!$AA$70="Leve"),CONCATENATE("R10C",'Mapa de Riesgos'!$O$70),"")</f>
        <v/>
      </c>
      <c r="N55" s="78" t="str">
        <f>IF(AND('Mapa de Riesgos'!$Y$71="Muy Baja",'Mapa de Riesgos'!$AA$71="Leve"),CONCATENATE("R10C",'Mapa de Riesgos'!$O$71),"")</f>
        <v/>
      </c>
      <c r="O55" s="79" t="str">
        <f>IF(AND('Mapa de Riesgos'!$Y$72="Muy Baja",'Mapa de Riesgos'!$AA$72="Leve"),CONCATENATE("R10C",'Mapa de Riesgos'!$O$72),"")</f>
        <v/>
      </c>
      <c r="P55" s="77" t="str">
        <f>IF(AND('Mapa de Riesgos'!$Y$66="Muy Baja",'Mapa de Riesgos'!$AA$66="Menor"),CONCATENATE("R10C",'Mapa de Riesgos'!$O$66),"")</f>
        <v/>
      </c>
      <c r="Q55" s="78" t="str">
        <f>IF(AND('Mapa de Riesgos'!$Y$68="Muy Baja",'Mapa de Riesgos'!$AA$68="Menor"),CONCATENATE("R10C",'Mapa de Riesgos'!$O$68),"")</f>
        <v/>
      </c>
      <c r="R55" s="78" t="str">
        <f>IF(AND('Mapa de Riesgos'!$Y$69="Muy Baja",'Mapa de Riesgos'!$AA$69="Menor"),CONCATENATE("R10C",'Mapa de Riesgos'!$O$69),"")</f>
        <v/>
      </c>
      <c r="S55" s="78" t="str">
        <f>IF(AND('Mapa de Riesgos'!$Y$70="Muy Baja",'Mapa de Riesgos'!$AA$70="Menor"),CONCATENATE("R10C",'Mapa de Riesgos'!$O$70),"")</f>
        <v/>
      </c>
      <c r="T55" s="78" t="str">
        <f>IF(AND('Mapa de Riesgos'!$Y$71="Muy Baja",'Mapa de Riesgos'!$AA$71="Menor"),CONCATENATE("R10C",'Mapa de Riesgos'!$O$71),"")</f>
        <v/>
      </c>
      <c r="U55" s="79" t="str">
        <f>IF(AND('Mapa de Riesgos'!$Y$72="Muy Baja",'Mapa de Riesgos'!$AA$72="Menor"),CONCATENATE("R10C",'Mapa de Riesgos'!$O$72),"")</f>
        <v/>
      </c>
      <c r="V55" s="68" t="str">
        <f>IF(AND('Mapa de Riesgos'!$Y$66="Muy Baja",'Mapa de Riesgos'!$AA$66="Moderado"),CONCATENATE("R10C",'Mapa de Riesgos'!$O$66),"")</f>
        <v/>
      </c>
      <c r="W55" s="69" t="str">
        <f>IF(AND('Mapa de Riesgos'!$Y$68="Muy Baja",'Mapa de Riesgos'!$AA$68="Moderado"),CONCATENATE("R10C",'Mapa de Riesgos'!$O$68),"")</f>
        <v/>
      </c>
      <c r="X55" s="69" t="str">
        <f>IF(AND('Mapa de Riesgos'!$Y$69="Muy Baja",'Mapa de Riesgos'!$AA$69="Moderado"),CONCATENATE("R10C",'Mapa de Riesgos'!$O$69),"")</f>
        <v/>
      </c>
      <c r="Y55" s="69" t="str">
        <f>IF(AND('Mapa de Riesgos'!$Y$70="Muy Baja",'Mapa de Riesgos'!$AA$70="Moderado"),CONCATENATE("R10C",'Mapa de Riesgos'!$O$70),"")</f>
        <v/>
      </c>
      <c r="Z55" s="69" t="str">
        <f>IF(AND('Mapa de Riesgos'!$Y$71="Muy Baja",'Mapa de Riesgos'!$AA$71="Moderado"),CONCATENATE("R10C",'Mapa de Riesgos'!$O$71),"")</f>
        <v/>
      </c>
      <c r="AA55" s="70" t="str">
        <f>IF(AND('Mapa de Riesgos'!$Y$72="Muy Baja",'Mapa de Riesgos'!$AA$72="Moderado"),CONCATENATE("R10C",'Mapa de Riesgos'!$O$72),"")</f>
        <v/>
      </c>
      <c r="AB55" s="56" t="str">
        <f>IF(AND('Mapa de Riesgos'!$Y$66="Muy Baja",'Mapa de Riesgos'!$AA$66="Mayor"),CONCATENATE("R10C",'Mapa de Riesgos'!$O$66),"")</f>
        <v/>
      </c>
      <c r="AC55" s="57" t="str">
        <f>IF(AND('Mapa de Riesgos'!$Y$68="Muy Baja",'Mapa de Riesgos'!$AA$68="Mayor"),CONCATENATE("R10C",'Mapa de Riesgos'!$O$68),"")</f>
        <v/>
      </c>
      <c r="AD55" s="57" t="str">
        <f>IF(AND('Mapa de Riesgos'!$Y$69="Muy Baja",'Mapa de Riesgos'!$AA$69="Mayor"),CONCATENATE("R10C",'Mapa de Riesgos'!$O$69),"")</f>
        <v/>
      </c>
      <c r="AE55" s="57" t="str">
        <f>IF(AND('Mapa de Riesgos'!$Y$70="Muy Baja",'Mapa de Riesgos'!$AA$70="Mayor"),CONCATENATE("R10C",'Mapa de Riesgos'!$O$70),"")</f>
        <v/>
      </c>
      <c r="AF55" s="57" t="str">
        <f>IF(AND('Mapa de Riesgos'!$Y$71="Muy Baja",'Mapa de Riesgos'!$AA$71="Mayor"),CONCATENATE("R10C",'Mapa de Riesgos'!$O$71),"")</f>
        <v/>
      </c>
      <c r="AG55" s="58" t="str">
        <f>IF(AND('Mapa de Riesgos'!$Y$72="Muy Baja",'Mapa de Riesgos'!$AA$72="Mayor"),CONCATENATE("R10C",'Mapa de Riesgos'!$O$72),"")</f>
        <v/>
      </c>
      <c r="AH55" s="59" t="str">
        <f>IF(AND('Mapa de Riesgos'!$Y$66="Muy Baja",'Mapa de Riesgos'!$AA$66="Catastrófico"),CONCATENATE("R10C",'Mapa de Riesgos'!$O$66),"")</f>
        <v/>
      </c>
      <c r="AI55" s="60" t="str">
        <f>IF(AND('Mapa de Riesgos'!$Y$68="Muy Baja",'Mapa de Riesgos'!$AA$68="Catastrófico"),CONCATENATE("R10C",'Mapa de Riesgos'!$O$68),"")</f>
        <v/>
      </c>
      <c r="AJ55" s="60" t="str">
        <f>IF(AND('Mapa de Riesgos'!$Y$69="Muy Baja",'Mapa de Riesgos'!$AA$69="Catastrófico"),CONCATENATE("R10C",'Mapa de Riesgos'!$O$69),"")</f>
        <v/>
      </c>
      <c r="AK55" s="60" t="str">
        <f>IF(AND('Mapa de Riesgos'!$Y$70="Muy Baja",'Mapa de Riesgos'!$AA$70="Catastrófico"),CONCATENATE("R10C",'Mapa de Riesgos'!$O$70),"")</f>
        <v/>
      </c>
      <c r="AL55" s="60" t="str">
        <f>IF(AND('Mapa de Riesgos'!$Y$71="Muy Baja",'Mapa de Riesgos'!$AA$71="Catastrófico"),CONCATENATE("R10C",'Mapa de Riesgos'!$O$71),"")</f>
        <v/>
      </c>
      <c r="AM55" s="61" t="str">
        <f>IF(AND('Mapa de Riesgos'!$Y$72="Muy Baja",'Mapa de Riesgos'!$AA$72="Catastrófico"),CONCATENATE("R10C",'Mapa de Riesgos'!$O$72),"")</f>
        <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504" t="s">
        <v>207</v>
      </c>
      <c r="K56" s="505"/>
      <c r="L56" s="505"/>
      <c r="M56" s="505"/>
      <c r="N56" s="505"/>
      <c r="O56" s="506"/>
      <c r="P56" s="504" t="s">
        <v>208</v>
      </c>
      <c r="Q56" s="505"/>
      <c r="R56" s="505"/>
      <c r="S56" s="505"/>
      <c r="T56" s="505"/>
      <c r="U56" s="506"/>
      <c r="V56" s="504" t="s">
        <v>209</v>
      </c>
      <c r="W56" s="505"/>
      <c r="X56" s="505"/>
      <c r="Y56" s="505"/>
      <c r="Z56" s="505"/>
      <c r="AA56" s="506"/>
      <c r="AB56" s="504" t="s">
        <v>210</v>
      </c>
      <c r="AC56" s="513"/>
      <c r="AD56" s="505"/>
      <c r="AE56" s="505"/>
      <c r="AF56" s="505"/>
      <c r="AG56" s="506"/>
      <c r="AH56" s="504" t="s">
        <v>211</v>
      </c>
      <c r="AI56" s="505"/>
      <c r="AJ56" s="505"/>
      <c r="AK56" s="505"/>
      <c r="AL56" s="505"/>
      <c r="AM56" s="506"/>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507"/>
      <c r="K57" s="508"/>
      <c r="L57" s="508"/>
      <c r="M57" s="508"/>
      <c r="N57" s="508"/>
      <c r="O57" s="509"/>
      <c r="P57" s="507"/>
      <c r="Q57" s="508"/>
      <c r="R57" s="508"/>
      <c r="S57" s="508"/>
      <c r="T57" s="508"/>
      <c r="U57" s="509"/>
      <c r="V57" s="507"/>
      <c r="W57" s="508"/>
      <c r="X57" s="508"/>
      <c r="Y57" s="508"/>
      <c r="Z57" s="508"/>
      <c r="AA57" s="509"/>
      <c r="AB57" s="507"/>
      <c r="AC57" s="508"/>
      <c r="AD57" s="508"/>
      <c r="AE57" s="508"/>
      <c r="AF57" s="508"/>
      <c r="AG57" s="509"/>
      <c r="AH57" s="507"/>
      <c r="AI57" s="508"/>
      <c r="AJ57" s="508"/>
      <c r="AK57" s="508"/>
      <c r="AL57" s="508"/>
      <c r="AM57" s="509"/>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507"/>
      <c r="K58" s="508"/>
      <c r="L58" s="508"/>
      <c r="M58" s="508"/>
      <c r="N58" s="508"/>
      <c r="O58" s="509"/>
      <c r="P58" s="507"/>
      <c r="Q58" s="508"/>
      <c r="R58" s="508"/>
      <c r="S58" s="508"/>
      <c r="T58" s="508"/>
      <c r="U58" s="509"/>
      <c r="V58" s="507"/>
      <c r="W58" s="508"/>
      <c r="X58" s="508"/>
      <c r="Y58" s="508"/>
      <c r="Z58" s="508"/>
      <c r="AA58" s="509"/>
      <c r="AB58" s="507"/>
      <c r="AC58" s="508"/>
      <c r="AD58" s="508"/>
      <c r="AE58" s="508"/>
      <c r="AF58" s="508"/>
      <c r="AG58" s="509"/>
      <c r="AH58" s="507"/>
      <c r="AI58" s="508"/>
      <c r="AJ58" s="508"/>
      <c r="AK58" s="508"/>
      <c r="AL58" s="508"/>
      <c r="AM58" s="509"/>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507"/>
      <c r="K59" s="508"/>
      <c r="L59" s="508"/>
      <c r="M59" s="508"/>
      <c r="N59" s="508"/>
      <c r="O59" s="509"/>
      <c r="P59" s="507"/>
      <c r="Q59" s="508"/>
      <c r="R59" s="508"/>
      <c r="S59" s="508"/>
      <c r="T59" s="508"/>
      <c r="U59" s="509"/>
      <c r="V59" s="507"/>
      <c r="W59" s="508"/>
      <c r="X59" s="508"/>
      <c r="Y59" s="508"/>
      <c r="Z59" s="508"/>
      <c r="AA59" s="509"/>
      <c r="AB59" s="507"/>
      <c r="AC59" s="508"/>
      <c r="AD59" s="508"/>
      <c r="AE59" s="508"/>
      <c r="AF59" s="508"/>
      <c r="AG59" s="509"/>
      <c r="AH59" s="507"/>
      <c r="AI59" s="508"/>
      <c r="AJ59" s="508"/>
      <c r="AK59" s="508"/>
      <c r="AL59" s="508"/>
      <c r="AM59" s="509"/>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507"/>
      <c r="K60" s="508"/>
      <c r="L60" s="508"/>
      <c r="M60" s="508"/>
      <c r="N60" s="508"/>
      <c r="O60" s="509"/>
      <c r="P60" s="507"/>
      <c r="Q60" s="508"/>
      <c r="R60" s="508"/>
      <c r="S60" s="508"/>
      <c r="T60" s="508"/>
      <c r="U60" s="509"/>
      <c r="V60" s="507"/>
      <c r="W60" s="508"/>
      <c r="X60" s="508"/>
      <c r="Y60" s="508"/>
      <c r="Z60" s="508"/>
      <c r="AA60" s="509"/>
      <c r="AB60" s="507"/>
      <c r="AC60" s="508"/>
      <c r="AD60" s="508"/>
      <c r="AE60" s="508"/>
      <c r="AF60" s="508"/>
      <c r="AG60" s="509"/>
      <c r="AH60" s="507"/>
      <c r="AI60" s="508"/>
      <c r="AJ60" s="508"/>
      <c r="AK60" s="508"/>
      <c r="AL60" s="508"/>
      <c r="AM60" s="509"/>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5.75" thickBot="1" x14ac:dyDescent="0.3">
      <c r="A61" s="81"/>
      <c r="B61" s="81"/>
      <c r="C61" s="81"/>
      <c r="D61" s="81"/>
      <c r="E61" s="81"/>
      <c r="F61" s="81"/>
      <c r="G61" s="81"/>
      <c r="H61" s="81"/>
      <c r="I61" s="81"/>
      <c r="J61" s="510"/>
      <c r="K61" s="511"/>
      <c r="L61" s="511"/>
      <c r="M61" s="511"/>
      <c r="N61" s="511"/>
      <c r="O61" s="512"/>
      <c r="P61" s="510"/>
      <c r="Q61" s="511"/>
      <c r="R61" s="511"/>
      <c r="S61" s="511"/>
      <c r="T61" s="511"/>
      <c r="U61" s="512"/>
      <c r="V61" s="510"/>
      <c r="W61" s="511"/>
      <c r="X61" s="511"/>
      <c r="Y61" s="511"/>
      <c r="Z61" s="511"/>
      <c r="AA61" s="512"/>
      <c r="AB61" s="510"/>
      <c r="AC61" s="511"/>
      <c r="AD61" s="511"/>
      <c r="AE61" s="511"/>
      <c r="AF61" s="511"/>
      <c r="AG61" s="512"/>
      <c r="AH61" s="510"/>
      <c r="AI61" s="511"/>
      <c r="AJ61" s="511"/>
      <c r="AK61" s="511"/>
      <c r="AL61" s="511"/>
      <c r="AM61" s="512"/>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5" customHeight="1" x14ac:dyDescent="0.25">
      <c r="A63" s="81"/>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1"/>
      <c r="AV63" s="81"/>
      <c r="AW63" s="81"/>
      <c r="AX63" s="81"/>
      <c r="AY63" s="81"/>
      <c r="AZ63" s="81"/>
      <c r="BA63" s="81"/>
      <c r="BB63" s="81"/>
      <c r="BC63" s="81"/>
      <c r="BD63" s="81"/>
      <c r="BE63" s="81"/>
      <c r="BF63" s="81"/>
      <c r="BG63" s="81"/>
      <c r="BH63" s="81"/>
    </row>
    <row r="64" spans="1:80" ht="15" customHeight="1" x14ac:dyDescent="0.25">
      <c r="A64" s="8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1"/>
      <c r="AV64" s="81"/>
      <c r="AW64" s="81"/>
      <c r="AX64" s="81"/>
      <c r="AY64" s="81"/>
      <c r="AZ64" s="81"/>
      <c r="BA64" s="81"/>
      <c r="BB64" s="81"/>
      <c r="BC64" s="81"/>
      <c r="BD64" s="81"/>
      <c r="BE64" s="81"/>
      <c r="BF64" s="81"/>
      <c r="BG64" s="81"/>
      <c r="BH64" s="81"/>
    </row>
    <row r="65" spans="1:6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x14ac:dyDescent="0.25">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x14ac:dyDescent="0.25">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x14ac:dyDescent="0.25">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x14ac:dyDescent="0.25">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x14ac:dyDescent="0.25">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x14ac:dyDescent="0.25">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x14ac:dyDescent="0.25">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x14ac:dyDescent="0.25">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x14ac:dyDescent="0.25">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x14ac:dyDescent="0.25">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x14ac:dyDescent="0.25">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x14ac:dyDescent="0.25">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x14ac:dyDescent="0.25">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x14ac:dyDescent="0.25">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x14ac:dyDescent="0.25">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x14ac:dyDescent="0.25">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x14ac:dyDescent="0.25">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x14ac:dyDescent="0.25">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x14ac:dyDescent="0.25">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x14ac:dyDescent="0.25">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x14ac:dyDescent="0.25">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x14ac:dyDescent="0.25">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x14ac:dyDescent="0.25">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x14ac:dyDescent="0.25">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x14ac:dyDescent="0.25">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x14ac:dyDescent="0.25">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x14ac:dyDescent="0.25">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x14ac:dyDescent="0.25">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x14ac:dyDescent="0.25">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x14ac:dyDescent="0.25">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x14ac:dyDescent="0.25">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x14ac:dyDescent="0.25">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x14ac:dyDescent="0.25">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x14ac:dyDescent="0.25">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x14ac:dyDescent="0.25">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x14ac:dyDescent="0.25">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x14ac:dyDescent="0.25">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x14ac:dyDescent="0.25">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x14ac:dyDescent="0.25">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x14ac:dyDescent="0.25">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x14ac:dyDescent="0.25">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x14ac:dyDescent="0.25">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x14ac:dyDescent="0.25">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x14ac:dyDescent="0.25">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x14ac:dyDescent="0.25">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x14ac:dyDescent="0.25">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x14ac:dyDescent="0.25">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x14ac:dyDescent="0.25">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x14ac:dyDescent="0.25">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x14ac:dyDescent="0.25">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x14ac:dyDescent="0.25">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x14ac:dyDescent="0.25">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x14ac:dyDescent="0.25">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x14ac:dyDescent="0.25">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x14ac:dyDescent="0.25">
      <c r="A245" s="81"/>
    </row>
    <row r="246" spans="1:60" x14ac:dyDescent="0.25">
      <c r="A246" s="81"/>
    </row>
    <row r="247" spans="1:60" x14ac:dyDescent="0.25">
      <c r="A247" s="81"/>
    </row>
    <row r="248" spans="1:60" x14ac:dyDescent="0.25">
      <c r="A248" s="81"/>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1"/>
      <c r="B1" s="553" t="s">
        <v>213</v>
      </c>
      <c r="C1" s="553"/>
      <c r="D1" s="553"/>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x14ac:dyDescent="0.25">
      <c r="A3" s="81"/>
      <c r="B3" s="10"/>
      <c r="C3" s="11" t="s">
        <v>214</v>
      </c>
      <c r="D3" s="11" t="s">
        <v>197</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x14ac:dyDescent="0.25">
      <c r="A4" s="81"/>
      <c r="B4" s="12" t="s">
        <v>215</v>
      </c>
      <c r="C4" s="13" t="s">
        <v>216</v>
      </c>
      <c r="D4" s="14">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x14ac:dyDescent="0.25">
      <c r="A5" s="81"/>
      <c r="B5" s="15" t="s">
        <v>217</v>
      </c>
      <c r="C5" s="16" t="s">
        <v>218</v>
      </c>
      <c r="D5" s="17">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x14ac:dyDescent="0.25">
      <c r="A6" s="81"/>
      <c r="B6" s="18" t="s">
        <v>219</v>
      </c>
      <c r="C6" s="16" t="s">
        <v>220</v>
      </c>
      <c r="D6" s="17">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x14ac:dyDescent="0.25">
      <c r="A7" s="81"/>
      <c r="B7" s="19" t="s">
        <v>221</v>
      </c>
      <c r="C7" s="16" t="s">
        <v>222</v>
      </c>
      <c r="D7" s="17">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x14ac:dyDescent="0.25">
      <c r="A8" s="81"/>
      <c r="B8" s="20" t="s">
        <v>223</v>
      </c>
      <c r="C8" s="16" t="s">
        <v>224</v>
      </c>
      <c r="D8" s="17">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2"/>
      <c r="C9" s="102"/>
      <c r="D9" s="102"/>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x14ac:dyDescent="0.25">
      <c r="A10" s="81"/>
      <c r="B10" s="103"/>
      <c r="C10" s="102"/>
      <c r="D10" s="102"/>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2"/>
      <c r="C11" s="102"/>
      <c r="D11" s="102"/>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2"/>
      <c r="C12" s="102"/>
      <c r="D12" s="102"/>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2"/>
      <c r="C13" s="102"/>
      <c r="D13" s="102"/>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2"/>
      <c r="C14" s="102"/>
      <c r="D14" s="102"/>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2"/>
      <c r="C15" s="102"/>
      <c r="D15" s="102"/>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2"/>
      <c r="C16" s="102"/>
      <c r="D16" s="102"/>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2"/>
      <c r="C17" s="102"/>
      <c r="D17" s="102"/>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2"/>
      <c r="C18" s="102"/>
      <c r="D18" s="102"/>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1"/>
      <c r="B1" s="554" t="s">
        <v>225</v>
      </c>
      <c r="C1" s="554"/>
      <c r="D1" s="554"/>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60" x14ac:dyDescent="0.25">
      <c r="A3" s="81"/>
      <c r="B3" s="99"/>
      <c r="C3" s="34" t="s">
        <v>226</v>
      </c>
      <c r="D3" s="34" t="s">
        <v>227</v>
      </c>
      <c r="E3" s="81"/>
      <c r="F3" s="81"/>
      <c r="G3" s="81"/>
      <c r="H3" s="81"/>
      <c r="I3" s="81"/>
      <c r="J3" s="81"/>
      <c r="K3" s="81"/>
      <c r="L3" s="81"/>
      <c r="M3" s="81"/>
      <c r="N3" s="81"/>
      <c r="O3" s="81"/>
      <c r="P3" s="81"/>
      <c r="Q3" s="81"/>
      <c r="R3" s="81"/>
      <c r="S3" s="81"/>
      <c r="T3" s="81"/>
      <c r="U3" s="81"/>
    </row>
    <row r="4" spans="1:21" ht="33.75" x14ac:dyDescent="0.25">
      <c r="A4" s="98" t="s">
        <v>228</v>
      </c>
      <c r="B4" s="37" t="s">
        <v>229</v>
      </c>
      <c r="C4" s="42" t="s">
        <v>230</v>
      </c>
      <c r="D4" s="35" t="s">
        <v>231</v>
      </c>
      <c r="E4" s="81"/>
      <c r="F4" s="81"/>
      <c r="G4" s="81"/>
      <c r="H4" s="81"/>
      <c r="I4" s="81"/>
      <c r="J4" s="81"/>
      <c r="K4" s="81"/>
      <c r="L4" s="81"/>
      <c r="M4" s="81"/>
      <c r="N4" s="81"/>
      <c r="O4" s="81"/>
      <c r="P4" s="81"/>
      <c r="Q4" s="81"/>
      <c r="R4" s="81"/>
      <c r="S4" s="81"/>
      <c r="T4" s="81"/>
      <c r="U4" s="81"/>
    </row>
    <row r="5" spans="1:21" ht="101.25" x14ac:dyDescent="0.25">
      <c r="A5" s="98" t="s">
        <v>232</v>
      </c>
      <c r="B5" s="38" t="s">
        <v>233</v>
      </c>
      <c r="C5" s="43" t="s">
        <v>234</v>
      </c>
      <c r="D5" s="36" t="s">
        <v>235</v>
      </c>
      <c r="E5" s="81"/>
      <c r="F5" s="81"/>
      <c r="G5" s="81"/>
      <c r="H5" s="81"/>
      <c r="I5" s="81"/>
      <c r="J5" s="81"/>
      <c r="K5" s="81"/>
      <c r="L5" s="81"/>
      <c r="M5" s="81"/>
      <c r="N5" s="81"/>
      <c r="O5" s="81"/>
      <c r="P5" s="81"/>
      <c r="Q5" s="81"/>
      <c r="R5" s="81"/>
      <c r="S5" s="81"/>
      <c r="T5" s="81"/>
      <c r="U5" s="81"/>
    </row>
    <row r="6" spans="1:21" ht="67.5" x14ac:dyDescent="0.25">
      <c r="A6" s="98" t="s">
        <v>203</v>
      </c>
      <c r="B6" s="39" t="s">
        <v>236</v>
      </c>
      <c r="C6" s="43" t="s">
        <v>237</v>
      </c>
      <c r="D6" s="36" t="s">
        <v>238</v>
      </c>
      <c r="E6" s="81"/>
      <c r="F6" s="81"/>
      <c r="G6" s="81"/>
      <c r="H6" s="81"/>
      <c r="I6" s="81"/>
      <c r="J6" s="81"/>
      <c r="K6" s="81"/>
      <c r="L6" s="81"/>
      <c r="M6" s="81"/>
      <c r="N6" s="81"/>
      <c r="O6" s="81"/>
      <c r="P6" s="81"/>
      <c r="Q6" s="81"/>
      <c r="R6" s="81"/>
      <c r="S6" s="81"/>
      <c r="T6" s="81"/>
      <c r="U6" s="81"/>
    </row>
    <row r="7" spans="1:21" ht="101.25" x14ac:dyDescent="0.25">
      <c r="A7" s="98" t="s">
        <v>239</v>
      </c>
      <c r="B7" s="40" t="s">
        <v>240</v>
      </c>
      <c r="C7" s="43" t="s">
        <v>241</v>
      </c>
      <c r="D7" s="36" t="s">
        <v>242</v>
      </c>
      <c r="E7" s="81"/>
      <c r="F7" s="81"/>
      <c r="G7" s="81"/>
      <c r="H7" s="81"/>
      <c r="I7" s="81"/>
      <c r="J7" s="81"/>
      <c r="K7" s="81"/>
      <c r="L7" s="81"/>
      <c r="M7" s="81"/>
      <c r="N7" s="81"/>
      <c r="O7" s="81"/>
      <c r="P7" s="81"/>
      <c r="Q7" s="81"/>
      <c r="R7" s="81"/>
      <c r="S7" s="81"/>
      <c r="T7" s="81"/>
      <c r="U7" s="81"/>
    </row>
    <row r="8" spans="1:21" ht="67.5" x14ac:dyDescent="0.25">
      <c r="A8" s="98" t="s">
        <v>243</v>
      </c>
      <c r="B8" s="41" t="s">
        <v>244</v>
      </c>
      <c r="C8" s="43" t="s">
        <v>245</v>
      </c>
      <c r="D8" s="36" t="s">
        <v>246</v>
      </c>
      <c r="E8" s="81"/>
      <c r="F8" s="81"/>
      <c r="G8" s="81"/>
      <c r="H8" s="81"/>
      <c r="I8" s="81"/>
      <c r="J8" s="81"/>
      <c r="K8" s="81"/>
      <c r="L8" s="81"/>
      <c r="M8" s="81"/>
      <c r="N8" s="81"/>
      <c r="O8" s="81"/>
      <c r="P8" s="81"/>
      <c r="Q8" s="81"/>
      <c r="R8" s="81"/>
      <c r="S8" s="81"/>
      <c r="T8" s="81"/>
      <c r="U8" s="81"/>
    </row>
    <row r="9" spans="1:21" ht="20.25" x14ac:dyDescent="0.25">
      <c r="A9" s="98"/>
      <c r="B9" s="98"/>
      <c r="C9" s="100"/>
      <c r="D9" s="100"/>
      <c r="E9" s="81"/>
      <c r="F9" s="81"/>
      <c r="G9" s="81"/>
      <c r="H9" s="81"/>
      <c r="I9" s="81"/>
      <c r="J9" s="81"/>
      <c r="K9" s="81"/>
      <c r="L9" s="81"/>
      <c r="M9" s="81"/>
      <c r="N9" s="81"/>
      <c r="O9" s="81"/>
      <c r="P9" s="81"/>
      <c r="Q9" s="81"/>
      <c r="R9" s="81"/>
      <c r="S9" s="81"/>
      <c r="T9" s="81"/>
      <c r="U9" s="81"/>
    </row>
    <row r="10" spans="1:21" ht="16.5" x14ac:dyDescent="0.25">
      <c r="A10" s="98"/>
      <c r="B10" s="101"/>
      <c r="C10" s="101"/>
      <c r="D10" s="101"/>
      <c r="E10" s="81"/>
      <c r="F10" s="81"/>
      <c r="G10" s="81"/>
      <c r="H10" s="81"/>
      <c r="I10" s="81"/>
      <c r="J10" s="81"/>
      <c r="K10" s="81"/>
      <c r="L10" s="81"/>
      <c r="M10" s="81"/>
      <c r="N10" s="81"/>
      <c r="O10" s="81"/>
      <c r="P10" s="81"/>
      <c r="Q10" s="81"/>
      <c r="R10" s="81"/>
      <c r="S10" s="81"/>
      <c r="T10" s="81"/>
      <c r="U10" s="81"/>
    </row>
    <row r="11" spans="1:21" x14ac:dyDescent="0.25">
      <c r="A11" s="98"/>
      <c r="B11" s="98" t="s">
        <v>247</v>
      </c>
      <c r="C11" s="98" t="s">
        <v>248</v>
      </c>
      <c r="D11" s="98" t="s">
        <v>249</v>
      </c>
      <c r="E11" s="81"/>
      <c r="F11" s="81"/>
      <c r="G11" s="81"/>
      <c r="H11" s="81"/>
      <c r="I11" s="81"/>
      <c r="J11" s="81"/>
      <c r="K11" s="81"/>
      <c r="L11" s="81"/>
      <c r="M11" s="81"/>
      <c r="N11" s="81"/>
      <c r="O11" s="81"/>
      <c r="P11" s="81"/>
      <c r="Q11" s="81"/>
      <c r="R11" s="81"/>
      <c r="S11" s="81"/>
      <c r="T11" s="81"/>
      <c r="U11" s="81"/>
    </row>
    <row r="12" spans="1:21" x14ac:dyDescent="0.25">
      <c r="A12" s="98"/>
      <c r="B12" s="98" t="s">
        <v>250</v>
      </c>
      <c r="C12" s="98" t="s">
        <v>178</v>
      </c>
      <c r="D12" s="98" t="s">
        <v>251</v>
      </c>
      <c r="E12" s="81"/>
      <c r="F12" s="81"/>
      <c r="G12" s="81"/>
      <c r="H12" s="81"/>
      <c r="I12" s="81"/>
      <c r="J12" s="81"/>
      <c r="K12" s="81"/>
      <c r="L12" s="81"/>
      <c r="M12" s="81"/>
      <c r="N12" s="81"/>
      <c r="O12" s="81"/>
      <c r="P12" s="81"/>
      <c r="Q12" s="81"/>
      <c r="R12" s="81"/>
      <c r="S12" s="81"/>
      <c r="T12" s="81"/>
      <c r="U12" s="81"/>
    </row>
    <row r="13" spans="1:21" x14ac:dyDescent="0.25">
      <c r="A13" s="98"/>
      <c r="B13" s="98"/>
      <c r="C13" s="98" t="s">
        <v>252</v>
      </c>
      <c r="D13" s="98" t="s">
        <v>172</v>
      </c>
      <c r="E13" s="81"/>
      <c r="F13" s="81"/>
      <c r="G13" s="81"/>
      <c r="H13" s="81"/>
      <c r="I13" s="81"/>
      <c r="J13" s="81"/>
      <c r="K13" s="81"/>
      <c r="L13" s="81"/>
      <c r="M13" s="81"/>
      <c r="N13" s="81"/>
      <c r="O13" s="81"/>
      <c r="P13" s="81"/>
      <c r="Q13" s="81"/>
      <c r="R13" s="81"/>
      <c r="S13" s="81"/>
      <c r="T13" s="81"/>
      <c r="U13" s="81"/>
    </row>
    <row r="14" spans="1:21" x14ac:dyDescent="0.25">
      <c r="A14" s="98"/>
      <c r="B14" s="98"/>
      <c r="C14" s="98" t="s">
        <v>253</v>
      </c>
      <c r="D14" s="98" t="s">
        <v>193</v>
      </c>
      <c r="E14" s="81"/>
      <c r="F14" s="81"/>
      <c r="G14" s="81"/>
      <c r="H14" s="81"/>
      <c r="I14" s="81"/>
      <c r="J14" s="81"/>
      <c r="K14" s="81"/>
      <c r="L14" s="81"/>
      <c r="M14" s="81"/>
      <c r="N14" s="81"/>
      <c r="O14" s="81"/>
      <c r="P14" s="81"/>
      <c r="Q14" s="81"/>
      <c r="R14" s="81"/>
      <c r="S14" s="81"/>
      <c r="T14" s="81"/>
      <c r="U14" s="81"/>
    </row>
    <row r="15" spans="1:21" x14ac:dyDescent="0.25">
      <c r="A15" s="98"/>
      <c r="B15" s="98"/>
      <c r="C15" s="98" t="s">
        <v>161</v>
      </c>
      <c r="D15" s="98" t="s">
        <v>254</v>
      </c>
      <c r="E15" s="81"/>
      <c r="F15" s="81"/>
      <c r="G15" s="81"/>
      <c r="H15" s="81"/>
      <c r="I15" s="81"/>
      <c r="J15" s="81"/>
      <c r="K15" s="81"/>
      <c r="L15" s="81"/>
      <c r="M15" s="81"/>
      <c r="N15" s="81"/>
      <c r="O15" s="81"/>
      <c r="P15" s="81"/>
      <c r="Q15" s="81"/>
      <c r="R15" s="81"/>
      <c r="S15" s="81"/>
      <c r="T15" s="81"/>
      <c r="U15" s="81"/>
    </row>
    <row r="16" spans="1:21" x14ac:dyDescent="0.25">
      <c r="A16" s="98"/>
      <c r="B16" s="98"/>
      <c r="C16" s="98"/>
      <c r="D16" s="98"/>
      <c r="E16" s="81"/>
      <c r="F16" s="81"/>
      <c r="G16" s="81"/>
      <c r="H16" s="81"/>
      <c r="I16" s="81"/>
      <c r="J16" s="81"/>
      <c r="K16" s="81"/>
      <c r="L16" s="81"/>
      <c r="M16" s="81"/>
      <c r="N16" s="81"/>
      <c r="O16" s="81"/>
    </row>
    <row r="17" spans="1:15" x14ac:dyDescent="0.25">
      <c r="A17" s="98"/>
      <c r="B17" s="98"/>
      <c r="C17" s="98"/>
      <c r="D17" s="98"/>
      <c r="E17" s="81"/>
      <c r="F17" s="81"/>
      <c r="G17" s="81"/>
      <c r="H17" s="81"/>
      <c r="I17" s="81"/>
      <c r="J17" s="81"/>
      <c r="K17" s="81"/>
      <c r="L17" s="81"/>
      <c r="M17" s="81"/>
      <c r="N17" s="81"/>
      <c r="O17" s="81"/>
    </row>
    <row r="18" spans="1:15" x14ac:dyDescent="0.25">
      <c r="A18" s="98"/>
      <c r="B18" s="102"/>
      <c r="C18" s="102"/>
      <c r="D18" s="102"/>
      <c r="E18" s="81"/>
      <c r="F18" s="81"/>
      <c r="G18" s="81"/>
      <c r="H18" s="81"/>
      <c r="I18" s="81"/>
      <c r="J18" s="81"/>
      <c r="K18" s="81"/>
      <c r="L18" s="81"/>
      <c r="M18" s="81"/>
      <c r="N18" s="81"/>
      <c r="O18" s="81"/>
    </row>
    <row r="19" spans="1:15" x14ac:dyDescent="0.25">
      <c r="A19" s="98"/>
      <c r="B19" s="102"/>
      <c r="C19" s="102"/>
      <c r="D19" s="102"/>
      <c r="E19" s="81"/>
      <c r="F19" s="81"/>
      <c r="G19" s="81"/>
      <c r="H19" s="81"/>
      <c r="I19" s="81"/>
      <c r="J19" s="81"/>
      <c r="K19" s="81"/>
      <c r="L19" s="81"/>
      <c r="M19" s="81"/>
      <c r="N19" s="81"/>
      <c r="O19" s="81"/>
    </row>
    <row r="20" spans="1:15" x14ac:dyDescent="0.25">
      <c r="A20" s="98"/>
      <c r="B20" s="102"/>
      <c r="C20" s="102"/>
      <c r="D20" s="102"/>
      <c r="E20" s="81"/>
      <c r="F20" s="81"/>
      <c r="G20" s="81"/>
      <c r="H20" s="81"/>
      <c r="I20" s="81"/>
      <c r="J20" s="81"/>
      <c r="K20" s="81"/>
      <c r="L20" s="81"/>
      <c r="M20" s="81"/>
      <c r="N20" s="81"/>
      <c r="O20" s="81"/>
    </row>
    <row r="21" spans="1:15" x14ac:dyDescent="0.25">
      <c r="A21" s="98"/>
      <c r="B21" s="102"/>
      <c r="C21" s="102"/>
      <c r="D21" s="102"/>
      <c r="E21" s="81"/>
      <c r="F21" s="81"/>
      <c r="G21" s="81"/>
      <c r="H21" s="81"/>
      <c r="I21" s="81"/>
      <c r="J21" s="81"/>
      <c r="K21" s="81"/>
      <c r="L21" s="81"/>
      <c r="M21" s="81"/>
      <c r="N21" s="81"/>
      <c r="O21" s="81"/>
    </row>
    <row r="22" spans="1:15" ht="20.25" x14ac:dyDescent="0.25">
      <c r="A22" s="98"/>
      <c r="B22" s="98"/>
      <c r="C22" s="100"/>
      <c r="D22" s="100"/>
      <c r="E22" s="81"/>
      <c r="F22" s="81"/>
      <c r="G22" s="81"/>
      <c r="H22" s="81"/>
      <c r="I22" s="81"/>
      <c r="J22" s="81"/>
      <c r="K22" s="81"/>
      <c r="L22" s="81"/>
      <c r="M22" s="81"/>
      <c r="N22" s="81"/>
      <c r="O22" s="81"/>
    </row>
    <row r="23" spans="1:15" ht="20.25" x14ac:dyDescent="0.25">
      <c r="A23" s="98"/>
      <c r="B23" s="98"/>
      <c r="C23" s="100"/>
      <c r="D23" s="100"/>
      <c r="E23" s="81"/>
      <c r="F23" s="81"/>
      <c r="G23" s="81"/>
      <c r="H23" s="81"/>
      <c r="I23" s="81"/>
      <c r="J23" s="81"/>
      <c r="K23" s="81"/>
      <c r="L23" s="81"/>
      <c r="M23" s="81"/>
      <c r="N23" s="81"/>
      <c r="O23" s="81"/>
    </row>
    <row r="24" spans="1:15" ht="20.25" x14ac:dyDescent="0.25">
      <c r="A24" s="98"/>
      <c r="B24" s="98"/>
      <c r="C24" s="100"/>
      <c r="D24" s="100"/>
      <c r="E24" s="81"/>
      <c r="F24" s="81"/>
      <c r="G24" s="81"/>
      <c r="H24" s="81"/>
      <c r="I24" s="81"/>
      <c r="J24" s="81"/>
      <c r="K24" s="81"/>
      <c r="L24" s="81"/>
      <c r="M24" s="81"/>
      <c r="N24" s="81"/>
      <c r="O24" s="81"/>
    </row>
    <row r="25" spans="1:15" ht="20.25" x14ac:dyDescent="0.25">
      <c r="A25" s="98"/>
      <c r="B25" s="98"/>
      <c r="C25" s="100"/>
      <c r="D25" s="100"/>
      <c r="E25" s="81"/>
      <c r="F25" s="81"/>
      <c r="G25" s="81"/>
      <c r="H25" s="81"/>
      <c r="I25" s="81"/>
      <c r="J25" s="81"/>
      <c r="K25" s="81"/>
      <c r="L25" s="81"/>
      <c r="M25" s="81"/>
      <c r="N25" s="81"/>
      <c r="O25" s="81"/>
    </row>
    <row r="26" spans="1:15" ht="20.25" x14ac:dyDescent="0.25">
      <c r="A26" s="98"/>
      <c r="B26" s="98"/>
      <c r="C26" s="100"/>
      <c r="D26" s="100"/>
      <c r="E26" s="81"/>
      <c r="F26" s="81"/>
      <c r="G26" s="81"/>
      <c r="H26" s="81"/>
      <c r="I26" s="81"/>
      <c r="J26" s="81"/>
      <c r="K26" s="81"/>
      <c r="L26" s="81"/>
      <c r="M26" s="81"/>
      <c r="N26" s="81"/>
      <c r="O26" s="81"/>
    </row>
    <row r="27" spans="1:15" ht="20.25" x14ac:dyDescent="0.25">
      <c r="A27" s="98"/>
      <c r="B27" s="98"/>
      <c r="C27" s="100"/>
      <c r="D27" s="100"/>
      <c r="E27" s="81"/>
      <c r="F27" s="81"/>
      <c r="G27" s="81"/>
      <c r="H27" s="81"/>
      <c r="I27" s="81"/>
      <c r="J27" s="81"/>
      <c r="K27" s="81"/>
      <c r="L27" s="81"/>
      <c r="M27" s="81"/>
      <c r="N27" s="81"/>
      <c r="O27" s="81"/>
    </row>
    <row r="28" spans="1:15" ht="20.25" x14ac:dyDescent="0.25">
      <c r="A28" s="98"/>
      <c r="B28" s="98"/>
      <c r="C28" s="100"/>
      <c r="D28" s="100"/>
      <c r="E28" s="81"/>
      <c r="F28" s="81"/>
      <c r="G28" s="81"/>
      <c r="H28" s="81"/>
      <c r="I28" s="81"/>
      <c r="J28" s="81"/>
      <c r="K28" s="81"/>
      <c r="L28" s="81"/>
      <c r="M28" s="81"/>
      <c r="N28" s="81"/>
      <c r="O28" s="81"/>
    </row>
    <row r="29" spans="1:15" ht="20.25" x14ac:dyDescent="0.25">
      <c r="A29" s="98"/>
      <c r="B29" s="98"/>
      <c r="C29" s="100"/>
      <c r="D29" s="100"/>
      <c r="E29" s="81"/>
      <c r="F29" s="81"/>
      <c r="G29" s="81"/>
      <c r="H29" s="81"/>
      <c r="I29" s="81"/>
      <c r="J29" s="81"/>
      <c r="K29" s="81"/>
      <c r="L29" s="81"/>
      <c r="M29" s="81"/>
      <c r="N29" s="81"/>
      <c r="O29" s="81"/>
    </row>
    <row r="30" spans="1:15" ht="20.25" x14ac:dyDescent="0.25">
      <c r="A30" s="98"/>
      <c r="B30" s="98"/>
      <c r="C30" s="100"/>
      <c r="D30" s="100"/>
      <c r="E30" s="81"/>
      <c r="F30" s="81"/>
      <c r="G30" s="81"/>
      <c r="H30" s="81"/>
      <c r="I30" s="81"/>
      <c r="J30" s="81"/>
      <c r="K30" s="81"/>
      <c r="L30" s="81"/>
      <c r="M30" s="81"/>
      <c r="N30" s="81"/>
      <c r="O30" s="81"/>
    </row>
    <row r="31" spans="1:15" ht="20.25" x14ac:dyDescent="0.25">
      <c r="A31" s="98"/>
      <c r="B31" s="98"/>
      <c r="C31" s="100"/>
      <c r="D31" s="100"/>
      <c r="E31" s="81"/>
      <c r="F31" s="81"/>
      <c r="G31" s="81"/>
      <c r="H31" s="81"/>
      <c r="I31" s="81"/>
      <c r="J31" s="81"/>
      <c r="K31" s="81"/>
      <c r="L31" s="81"/>
      <c r="M31" s="81"/>
      <c r="N31" s="81"/>
      <c r="O31" s="81"/>
    </row>
    <row r="32" spans="1:15" ht="20.25" x14ac:dyDescent="0.25">
      <c r="A32" s="98"/>
      <c r="B32" s="98"/>
      <c r="C32" s="100"/>
      <c r="D32" s="100"/>
      <c r="E32" s="81"/>
      <c r="F32" s="81"/>
      <c r="G32" s="81"/>
      <c r="H32" s="81"/>
      <c r="I32" s="81"/>
      <c r="J32" s="81"/>
      <c r="K32" s="81"/>
      <c r="L32" s="81"/>
      <c r="M32" s="81"/>
      <c r="N32" s="81"/>
      <c r="O32" s="81"/>
    </row>
    <row r="33" spans="1:15" ht="20.25" x14ac:dyDescent="0.25">
      <c r="A33" s="98"/>
      <c r="B33" s="98"/>
      <c r="C33" s="100"/>
      <c r="D33" s="100"/>
      <c r="E33" s="81"/>
      <c r="F33" s="81"/>
      <c r="G33" s="81"/>
      <c r="H33" s="81"/>
      <c r="I33" s="81"/>
      <c r="J33" s="81"/>
      <c r="K33" s="81"/>
      <c r="L33" s="81"/>
      <c r="M33" s="81"/>
      <c r="N33" s="81"/>
      <c r="O33" s="81"/>
    </row>
    <row r="34" spans="1:15" ht="20.25" x14ac:dyDescent="0.25">
      <c r="A34" s="98"/>
      <c r="B34" s="98"/>
      <c r="C34" s="100"/>
      <c r="D34" s="100"/>
      <c r="E34" s="81"/>
      <c r="F34" s="81"/>
      <c r="G34" s="81"/>
      <c r="H34" s="81"/>
      <c r="I34" s="81"/>
      <c r="J34" s="81"/>
      <c r="K34" s="81"/>
      <c r="L34" s="81"/>
      <c r="M34" s="81"/>
      <c r="N34" s="81"/>
      <c r="O34" s="81"/>
    </row>
    <row r="35" spans="1:15" ht="20.25" x14ac:dyDescent="0.25">
      <c r="A35" s="98"/>
      <c r="B35" s="98"/>
      <c r="C35" s="100"/>
      <c r="D35" s="100"/>
      <c r="E35" s="81"/>
      <c r="F35" s="81"/>
      <c r="G35" s="81"/>
      <c r="H35" s="81"/>
      <c r="I35" s="81"/>
      <c r="J35" s="81"/>
      <c r="K35" s="81"/>
      <c r="L35" s="81"/>
      <c r="M35" s="81"/>
      <c r="N35" s="81"/>
      <c r="O35" s="81"/>
    </row>
    <row r="36" spans="1:15" ht="20.25" x14ac:dyDescent="0.25">
      <c r="A36" s="98"/>
      <c r="B36" s="98"/>
      <c r="C36" s="100"/>
      <c r="D36" s="100"/>
      <c r="E36" s="81"/>
      <c r="F36" s="81"/>
      <c r="G36" s="81"/>
      <c r="H36" s="81"/>
      <c r="I36" s="81"/>
      <c r="J36" s="81"/>
      <c r="K36" s="81"/>
      <c r="L36" s="81"/>
      <c r="M36" s="81"/>
      <c r="N36" s="81"/>
      <c r="O36" s="81"/>
    </row>
    <row r="37" spans="1:15" ht="20.25" x14ac:dyDescent="0.25">
      <c r="A37" s="98"/>
      <c r="B37" s="98"/>
      <c r="C37" s="100"/>
      <c r="D37" s="100"/>
      <c r="E37" s="81"/>
      <c r="F37" s="81"/>
      <c r="G37" s="81"/>
      <c r="H37" s="81"/>
      <c r="I37" s="81"/>
      <c r="J37" s="81"/>
      <c r="K37" s="81"/>
      <c r="L37" s="81"/>
      <c r="M37" s="81"/>
      <c r="N37" s="81"/>
      <c r="O37" s="81"/>
    </row>
    <row r="38" spans="1:15" ht="20.25" x14ac:dyDescent="0.25">
      <c r="A38" s="98"/>
      <c r="B38" s="98"/>
      <c r="C38" s="100"/>
      <c r="D38" s="100"/>
      <c r="E38" s="81"/>
      <c r="F38" s="81"/>
      <c r="G38" s="81"/>
      <c r="H38" s="81"/>
      <c r="I38" s="81"/>
      <c r="J38" s="81"/>
      <c r="K38" s="81"/>
      <c r="L38" s="81"/>
      <c r="M38" s="81"/>
      <c r="N38" s="81"/>
      <c r="O38" s="81"/>
    </row>
    <row r="39" spans="1:15" ht="20.25" x14ac:dyDescent="0.25">
      <c r="A39" s="98"/>
      <c r="B39" s="98"/>
      <c r="C39" s="100"/>
      <c r="D39" s="100"/>
      <c r="E39" s="81"/>
      <c r="F39" s="81"/>
      <c r="G39" s="81"/>
      <c r="H39" s="81"/>
      <c r="I39" s="81"/>
      <c r="J39" s="81"/>
      <c r="K39" s="81"/>
      <c r="L39" s="81"/>
      <c r="M39" s="81"/>
      <c r="N39" s="81"/>
      <c r="O39" s="81"/>
    </row>
    <row r="40" spans="1:15" ht="20.25" x14ac:dyDescent="0.25">
      <c r="A40" s="98"/>
      <c r="B40" s="98"/>
      <c r="C40" s="100"/>
      <c r="D40" s="100"/>
      <c r="E40" s="81"/>
      <c r="F40" s="81"/>
      <c r="G40" s="81"/>
      <c r="H40" s="81"/>
      <c r="I40" s="81"/>
      <c r="J40" s="81"/>
      <c r="K40" s="81"/>
      <c r="L40" s="81"/>
      <c r="M40" s="81"/>
      <c r="N40" s="81"/>
      <c r="O40" s="81"/>
    </row>
    <row r="41" spans="1:15" ht="20.25" x14ac:dyDescent="0.25">
      <c r="A41" s="98"/>
      <c r="B41" s="98"/>
      <c r="C41" s="100"/>
      <c r="D41" s="100"/>
      <c r="E41" s="81"/>
      <c r="F41" s="81"/>
      <c r="G41" s="81"/>
      <c r="H41" s="81"/>
      <c r="I41" s="81"/>
      <c r="J41" s="81"/>
      <c r="K41" s="81"/>
      <c r="L41" s="81"/>
      <c r="M41" s="81"/>
      <c r="N41" s="81"/>
      <c r="O41" s="81"/>
    </row>
    <row r="42" spans="1:15" ht="20.25" x14ac:dyDescent="0.25">
      <c r="A42" s="98"/>
      <c r="B42" s="98"/>
      <c r="C42" s="100"/>
      <c r="D42" s="100"/>
      <c r="E42" s="81"/>
      <c r="F42" s="81"/>
      <c r="G42" s="81"/>
      <c r="H42" s="81"/>
      <c r="I42" s="81"/>
      <c r="J42" s="81"/>
      <c r="K42" s="81"/>
      <c r="L42" s="81"/>
      <c r="M42" s="81"/>
      <c r="N42" s="81"/>
      <c r="O42" s="81"/>
    </row>
    <row r="43" spans="1:15" ht="20.25" x14ac:dyDescent="0.25">
      <c r="A43" s="98"/>
      <c r="B43" s="98"/>
      <c r="C43" s="100"/>
      <c r="D43" s="100"/>
      <c r="E43" s="81"/>
      <c r="F43" s="81"/>
      <c r="G43" s="81"/>
      <c r="H43" s="81"/>
      <c r="I43" s="81"/>
      <c r="J43" s="81"/>
      <c r="K43" s="81"/>
      <c r="L43" s="81"/>
      <c r="M43" s="81"/>
      <c r="N43" s="81"/>
      <c r="O43" s="81"/>
    </row>
    <row r="44" spans="1:15" ht="20.25" x14ac:dyDescent="0.25">
      <c r="A44" s="98"/>
      <c r="B44" s="98"/>
      <c r="C44" s="100"/>
      <c r="D44" s="100"/>
      <c r="E44" s="81"/>
      <c r="F44" s="81"/>
      <c r="G44" s="81"/>
      <c r="H44" s="81"/>
      <c r="I44" s="81"/>
      <c r="J44" s="81"/>
      <c r="K44" s="81"/>
      <c r="L44" s="81"/>
      <c r="M44" s="81"/>
      <c r="N44" s="81"/>
      <c r="O44" s="81"/>
    </row>
    <row r="45" spans="1:15" ht="20.25" x14ac:dyDescent="0.25">
      <c r="A45" s="98"/>
      <c r="B45" s="98"/>
      <c r="C45" s="100"/>
      <c r="D45" s="100"/>
      <c r="E45" s="81"/>
      <c r="F45" s="81"/>
      <c r="G45" s="81"/>
      <c r="H45" s="81"/>
      <c r="I45" s="81"/>
      <c r="J45" s="81"/>
      <c r="K45" s="81"/>
      <c r="L45" s="81"/>
      <c r="M45" s="81"/>
      <c r="N45" s="81"/>
      <c r="O45" s="81"/>
    </row>
    <row r="46" spans="1:15" ht="20.25" x14ac:dyDescent="0.25">
      <c r="A46" s="98"/>
      <c r="B46" s="98"/>
      <c r="C46" s="100"/>
      <c r="D46" s="100"/>
      <c r="E46" s="81"/>
      <c r="F46" s="81"/>
      <c r="G46" s="81"/>
      <c r="H46" s="81"/>
      <c r="I46" s="81"/>
      <c r="J46" s="81"/>
      <c r="K46" s="81"/>
      <c r="L46" s="81"/>
      <c r="M46" s="81"/>
      <c r="N46" s="81"/>
      <c r="O46" s="81"/>
    </row>
    <row r="47" spans="1:15" ht="20.25" x14ac:dyDescent="0.25">
      <c r="A47" s="98"/>
      <c r="B47" s="98"/>
      <c r="C47" s="100"/>
      <c r="D47" s="100"/>
      <c r="E47" s="81"/>
      <c r="F47" s="81"/>
      <c r="G47" s="81"/>
      <c r="H47" s="81"/>
      <c r="I47" s="81"/>
      <c r="J47" s="81"/>
      <c r="K47" s="81"/>
      <c r="L47" s="81"/>
      <c r="M47" s="81"/>
      <c r="N47" s="81"/>
      <c r="O47" s="81"/>
    </row>
    <row r="48" spans="1:15" ht="20.25" x14ac:dyDescent="0.25">
      <c r="A48" s="98"/>
      <c r="B48" s="98"/>
      <c r="C48" s="100"/>
      <c r="D48" s="100"/>
      <c r="E48" s="81"/>
      <c r="F48" s="81"/>
      <c r="G48" s="81"/>
      <c r="H48" s="81"/>
      <c r="I48" s="81"/>
      <c r="J48" s="81"/>
      <c r="K48" s="81"/>
      <c r="L48" s="81"/>
      <c r="M48" s="81"/>
      <c r="N48" s="81"/>
      <c r="O48" s="81"/>
    </row>
    <row r="49" spans="1:15" ht="20.25" x14ac:dyDescent="0.25">
      <c r="A49" s="98"/>
      <c r="B49" s="98"/>
      <c r="C49" s="100"/>
      <c r="D49" s="100"/>
      <c r="E49" s="81"/>
      <c r="F49" s="81"/>
      <c r="G49" s="81"/>
      <c r="H49" s="81"/>
      <c r="I49" s="81"/>
      <c r="J49" s="81"/>
      <c r="K49" s="81"/>
      <c r="L49" s="81"/>
      <c r="M49" s="81"/>
      <c r="N49" s="81"/>
      <c r="O49" s="81"/>
    </row>
    <row r="50" spans="1:15" ht="20.25" x14ac:dyDescent="0.25">
      <c r="A50" s="98"/>
      <c r="B50" s="98"/>
      <c r="C50" s="100"/>
      <c r="D50" s="100"/>
      <c r="E50" s="81"/>
      <c r="F50" s="81"/>
      <c r="G50" s="81"/>
      <c r="H50" s="81"/>
      <c r="I50" s="81"/>
      <c r="J50" s="81"/>
      <c r="K50" s="81"/>
      <c r="L50" s="81"/>
      <c r="M50" s="81"/>
      <c r="N50" s="81"/>
      <c r="O50" s="81"/>
    </row>
    <row r="51" spans="1:15" ht="20.25" x14ac:dyDescent="0.25">
      <c r="A51" s="98"/>
      <c r="B51" s="98"/>
      <c r="C51" s="100"/>
      <c r="D51" s="100"/>
      <c r="E51" s="81"/>
      <c r="F51" s="81"/>
      <c r="G51" s="81"/>
      <c r="H51" s="81"/>
      <c r="I51" s="81"/>
      <c r="J51" s="81"/>
      <c r="K51" s="81"/>
      <c r="L51" s="81"/>
      <c r="M51" s="81"/>
      <c r="N51" s="81"/>
      <c r="O51" s="81"/>
    </row>
    <row r="52" spans="1:15" ht="20.25" x14ac:dyDescent="0.25">
      <c r="A52" s="98"/>
      <c r="B52" s="22"/>
      <c r="C52" s="32"/>
      <c r="D52" s="32"/>
    </row>
    <row r="53" spans="1:15" ht="20.25" x14ac:dyDescent="0.25">
      <c r="A53" s="98"/>
      <c r="B53" s="22"/>
      <c r="C53" s="32"/>
      <c r="D53" s="32"/>
    </row>
    <row r="54" spans="1:15" ht="20.25" x14ac:dyDescent="0.25">
      <c r="A54" s="98"/>
      <c r="B54" s="22"/>
      <c r="C54" s="32"/>
      <c r="D54" s="32"/>
    </row>
    <row r="55" spans="1:15" ht="20.25" x14ac:dyDescent="0.25">
      <c r="A55" s="98"/>
      <c r="B55" s="22"/>
      <c r="C55" s="32"/>
      <c r="D55" s="32"/>
    </row>
    <row r="56" spans="1:15" ht="20.25" x14ac:dyDescent="0.25">
      <c r="A56" s="98"/>
      <c r="B56" s="22"/>
      <c r="C56" s="32"/>
      <c r="D56" s="32"/>
    </row>
    <row r="57" spans="1:15" ht="20.25" x14ac:dyDescent="0.25">
      <c r="A57" s="98"/>
      <c r="B57" s="22"/>
      <c r="C57" s="32"/>
      <c r="D57" s="32"/>
    </row>
    <row r="58" spans="1:15" ht="20.25" x14ac:dyDescent="0.25">
      <c r="A58" s="98"/>
      <c r="B58" s="22"/>
      <c r="C58" s="32"/>
      <c r="D58" s="32"/>
    </row>
    <row r="59" spans="1:15" ht="20.25" x14ac:dyDescent="0.25">
      <c r="A59" s="98"/>
      <c r="B59" s="22"/>
      <c r="C59" s="32"/>
      <c r="D59" s="32"/>
    </row>
    <row r="60" spans="1:15" ht="20.25" x14ac:dyDescent="0.25">
      <c r="A60" s="98"/>
      <c r="B60" s="22"/>
      <c r="C60" s="32"/>
      <c r="D60" s="32"/>
    </row>
    <row r="61" spans="1:15" ht="20.25" x14ac:dyDescent="0.25">
      <c r="A61" s="98"/>
      <c r="B61" s="22"/>
      <c r="C61" s="32"/>
      <c r="D61" s="32"/>
    </row>
    <row r="62" spans="1:15" ht="20.25" x14ac:dyDescent="0.25">
      <c r="A62" s="98"/>
      <c r="B62" s="22"/>
      <c r="C62" s="32"/>
      <c r="D62" s="32"/>
    </row>
    <row r="63" spans="1:15" ht="20.25" x14ac:dyDescent="0.25">
      <c r="A63" s="98"/>
      <c r="B63" s="22"/>
      <c r="C63" s="32"/>
      <c r="D63" s="32"/>
    </row>
    <row r="64" spans="1:15" ht="20.25" x14ac:dyDescent="0.25">
      <c r="A64" s="98"/>
      <c r="B64" s="22"/>
      <c r="C64" s="32"/>
      <c r="D64" s="32"/>
    </row>
    <row r="65" spans="1:4" ht="20.25" x14ac:dyDescent="0.25">
      <c r="A65" s="98"/>
      <c r="B65" s="22"/>
      <c r="C65" s="32"/>
      <c r="D65" s="32"/>
    </row>
    <row r="66" spans="1:4" ht="20.25" x14ac:dyDescent="0.25">
      <c r="A66" s="98"/>
      <c r="B66" s="22"/>
      <c r="C66" s="32"/>
      <c r="D66" s="32"/>
    </row>
    <row r="67" spans="1:4" ht="20.25" x14ac:dyDescent="0.25">
      <c r="A67" s="98"/>
      <c r="B67" s="22"/>
      <c r="C67" s="32"/>
      <c r="D67" s="32"/>
    </row>
    <row r="68" spans="1:4" ht="20.25" x14ac:dyDescent="0.25">
      <c r="A68" s="98"/>
      <c r="B68" s="22"/>
      <c r="C68" s="32"/>
      <c r="D68" s="32"/>
    </row>
    <row r="69" spans="1:4" ht="20.25" x14ac:dyDescent="0.25">
      <c r="A69" s="98"/>
      <c r="B69" s="22"/>
      <c r="C69" s="32"/>
      <c r="D69" s="32"/>
    </row>
    <row r="70" spans="1:4" ht="20.25" x14ac:dyDescent="0.25">
      <c r="A70" s="98"/>
      <c r="B70" s="22"/>
      <c r="C70" s="32"/>
      <c r="D70" s="32"/>
    </row>
    <row r="71" spans="1:4" ht="20.25" x14ac:dyDescent="0.25">
      <c r="A71" s="98"/>
      <c r="B71" s="22"/>
      <c r="C71" s="32"/>
      <c r="D71" s="32"/>
    </row>
    <row r="72" spans="1:4" ht="20.25" x14ac:dyDescent="0.25">
      <c r="A72" s="98"/>
      <c r="B72" s="22"/>
      <c r="C72" s="32"/>
      <c r="D72" s="32"/>
    </row>
    <row r="73" spans="1:4" ht="20.25" x14ac:dyDescent="0.25">
      <c r="A73" s="98"/>
      <c r="B73" s="22"/>
      <c r="C73" s="32"/>
      <c r="D73" s="32"/>
    </row>
    <row r="74" spans="1:4" ht="20.25" x14ac:dyDescent="0.25">
      <c r="A74" s="98"/>
      <c r="B74" s="22"/>
      <c r="C74" s="32"/>
      <c r="D74" s="32"/>
    </row>
    <row r="75" spans="1:4" ht="20.25" x14ac:dyDescent="0.25">
      <c r="A75" s="98"/>
      <c r="B75" s="22"/>
      <c r="C75" s="32"/>
      <c r="D75" s="32"/>
    </row>
    <row r="76" spans="1:4" ht="20.25" x14ac:dyDescent="0.25">
      <c r="A76" s="98"/>
      <c r="B76" s="22"/>
      <c r="C76" s="32"/>
      <c r="D76" s="32"/>
    </row>
    <row r="77" spans="1:4" ht="20.25" x14ac:dyDescent="0.25">
      <c r="A77" s="98"/>
      <c r="B77" s="22"/>
      <c r="C77" s="32"/>
      <c r="D77" s="32"/>
    </row>
    <row r="78" spans="1:4" ht="20.25" x14ac:dyDescent="0.25">
      <c r="A78" s="98"/>
      <c r="B78" s="22"/>
      <c r="C78" s="32"/>
      <c r="D78" s="32"/>
    </row>
    <row r="79" spans="1:4" ht="20.25" x14ac:dyDescent="0.25">
      <c r="A79" s="98"/>
      <c r="B79" s="22"/>
      <c r="C79" s="32"/>
      <c r="D79" s="32"/>
    </row>
    <row r="80" spans="1:4" ht="20.25" x14ac:dyDescent="0.25">
      <c r="A80" s="98"/>
      <c r="B80" s="22"/>
      <c r="C80" s="32"/>
      <c r="D80" s="32"/>
    </row>
    <row r="81" spans="1:4" ht="20.25" x14ac:dyDescent="0.25">
      <c r="A81" s="98"/>
      <c r="B81" s="22"/>
      <c r="C81" s="32"/>
      <c r="D81" s="32"/>
    </row>
    <row r="82" spans="1:4" ht="20.25" x14ac:dyDescent="0.25">
      <c r="A82" s="98"/>
      <c r="B82" s="22"/>
      <c r="C82" s="32"/>
      <c r="D82" s="32"/>
    </row>
    <row r="83" spans="1:4" ht="20.25" x14ac:dyDescent="0.25">
      <c r="A83" s="98"/>
      <c r="B83" s="22"/>
      <c r="C83" s="32"/>
      <c r="D83" s="32"/>
    </row>
    <row r="84" spans="1:4" ht="20.25" x14ac:dyDescent="0.25">
      <c r="A84" s="98"/>
      <c r="B84" s="22"/>
      <c r="C84" s="32"/>
      <c r="D84" s="32"/>
    </row>
    <row r="85" spans="1:4" ht="20.25" x14ac:dyDescent="0.25">
      <c r="A85" s="98"/>
      <c r="B85" s="22"/>
      <c r="C85" s="32"/>
      <c r="D85" s="32"/>
    </row>
    <row r="86" spans="1:4" ht="20.25" x14ac:dyDescent="0.25">
      <c r="A86" s="98"/>
      <c r="B86" s="22"/>
      <c r="C86" s="32"/>
      <c r="D86" s="32"/>
    </row>
    <row r="87" spans="1:4" ht="20.25" x14ac:dyDescent="0.25">
      <c r="A87" s="98"/>
      <c r="B87" s="22"/>
      <c r="C87" s="32"/>
      <c r="D87" s="32"/>
    </row>
    <row r="88" spans="1:4" ht="20.25" x14ac:dyDescent="0.25">
      <c r="A88" s="98"/>
      <c r="B88" s="22"/>
      <c r="C88" s="32"/>
      <c r="D88" s="32"/>
    </row>
    <row r="89" spans="1:4" ht="20.25" x14ac:dyDescent="0.25">
      <c r="A89" s="98"/>
      <c r="B89" s="22"/>
      <c r="C89" s="32"/>
      <c r="D89" s="32"/>
    </row>
    <row r="90" spans="1:4" ht="20.25" x14ac:dyDescent="0.25">
      <c r="A90" s="98"/>
      <c r="B90" s="22"/>
      <c r="C90" s="32"/>
      <c r="D90" s="32"/>
    </row>
    <row r="91" spans="1:4" ht="20.25" x14ac:dyDescent="0.25">
      <c r="A91" s="98"/>
      <c r="B91" s="22"/>
      <c r="C91" s="32"/>
      <c r="D91" s="32"/>
    </row>
    <row r="92" spans="1:4" ht="20.25" x14ac:dyDescent="0.25">
      <c r="A92" s="98"/>
      <c r="B92" s="22"/>
      <c r="C92" s="32"/>
      <c r="D92" s="32"/>
    </row>
    <row r="93" spans="1:4" ht="20.25" x14ac:dyDescent="0.25">
      <c r="A93" s="98"/>
      <c r="B93" s="22"/>
      <c r="C93" s="32"/>
      <c r="D93" s="32"/>
    </row>
    <row r="94" spans="1:4" ht="20.25" x14ac:dyDescent="0.25">
      <c r="A94" s="98"/>
      <c r="B94" s="22"/>
      <c r="C94" s="32"/>
      <c r="D94" s="32"/>
    </row>
    <row r="95" spans="1:4" ht="20.25" x14ac:dyDescent="0.25">
      <c r="A95" s="98"/>
      <c r="B95" s="22"/>
      <c r="C95" s="32"/>
      <c r="D95" s="32"/>
    </row>
    <row r="96" spans="1:4" ht="20.25" x14ac:dyDescent="0.25">
      <c r="A96" s="98"/>
      <c r="B96" s="22"/>
      <c r="C96" s="32"/>
      <c r="D96" s="32"/>
    </row>
    <row r="97" spans="1:4" ht="20.25" x14ac:dyDescent="0.25">
      <c r="A97" s="98"/>
      <c r="B97" s="22"/>
      <c r="C97" s="32"/>
      <c r="D97" s="32"/>
    </row>
    <row r="98" spans="1:4" ht="20.25" x14ac:dyDescent="0.25">
      <c r="A98" s="98"/>
      <c r="B98" s="22"/>
      <c r="C98" s="32"/>
      <c r="D98" s="32"/>
    </row>
    <row r="99" spans="1:4" ht="20.25" x14ac:dyDescent="0.25">
      <c r="A99" s="98"/>
      <c r="B99" s="22"/>
      <c r="C99" s="32"/>
      <c r="D99" s="32"/>
    </row>
    <row r="100" spans="1:4" ht="20.25" x14ac:dyDescent="0.25">
      <c r="A100" s="98"/>
      <c r="B100" s="22"/>
      <c r="C100" s="32"/>
      <c r="D100" s="32"/>
    </row>
    <row r="101" spans="1:4" ht="20.25" x14ac:dyDescent="0.25">
      <c r="A101" s="98"/>
      <c r="B101" s="22"/>
      <c r="C101" s="32"/>
      <c r="D101" s="32"/>
    </row>
    <row r="102" spans="1:4" ht="20.25" x14ac:dyDescent="0.25">
      <c r="A102" s="98"/>
      <c r="B102" s="22"/>
      <c r="C102" s="32"/>
      <c r="D102" s="32"/>
    </row>
    <row r="103" spans="1:4" ht="20.25" x14ac:dyDescent="0.25">
      <c r="A103" s="98"/>
      <c r="B103" s="22"/>
      <c r="C103" s="32"/>
      <c r="D103" s="32"/>
    </row>
    <row r="104" spans="1:4" ht="20.25" x14ac:dyDescent="0.25">
      <c r="A104" s="98"/>
      <c r="B104" s="22"/>
      <c r="C104" s="32"/>
      <c r="D104" s="32"/>
    </row>
    <row r="105" spans="1:4" ht="20.25" x14ac:dyDescent="0.25">
      <c r="A105" s="98"/>
      <c r="B105" s="22"/>
      <c r="C105" s="32"/>
      <c r="D105" s="32"/>
    </row>
    <row r="106" spans="1:4" ht="20.25" x14ac:dyDescent="0.25">
      <c r="A106" s="98"/>
      <c r="B106" s="22"/>
      <c r="C106" s="32"/>
      <c r="D106" s="32"/>
    </row>
    <row r="107" spans="1:4" ht="20.25" x14ac:dyDescent="0.25">
      <c r="A107" s="98"/>
      <c r="B107" s="22"/>
      <c r="C107" s="32"/>
      <c r="D107" s="32"/>
    </row>
    <row r="108" spans="1:4" ht="20.25" x14ac:dyDescent="0.25">
      <c r="A108" s="98"/>
      <c r="B108" s="22"/>
      <c r="C108" s="32"/>
      <c r="D108" s="32"/>
    </row>
    <row r="109" spans="1:4" ht="20.25" x14ac:dyDescent="0.25">
      <c r="A109" s="98"/>
      <c r="B109" s="22"/>
      <c r="C109" s="32"/>
      <c r="D109" s="32"/>
    </row>
    <row r="110" spans="1:4" ht="20.25" x14ac:dyDescent="0.25">
      <c r="A110" s="98"/>
      <c r="B110" s="22"/>
      <c r="C110" s="32"/>
      <c r="D110" s="32"/>
    </row>
    <row r="111" spans="1:4" ht="20.25" x14ac:dyDescent="0.25">
      <c r="A111" s="98"/>
      <c r="B111" s="22"/>
      <c r="C111" s="32"/>
      <c r="D111" s="32"/>
    </row>
    <row r="112" spans="1:4" ht="20.25" x14ac:dyDescent="0.25">
      <c r="A112" s="98"/>
      <c r="B112" s="22"/>
      <c r="C112" s="32"/>
      <c r="D112" s="32"/>
    </row>
    <row r="113" spans="1:4" ht="20.25" x14ac:dyDescent="0.25">
      <c r="A113" s="98"/>
      <c r="B113" s="22"/>
      <c r="C113" s="32"/>
      <c r="D113" s="32"/>
    </row>
    <row r="114" spans="1:4" ht="20.25" x14ac:dyDescent="0.25">
      <c r="A114" s="98"/>
      <c r="B114" s="22"/>
      <c r="C114" s="32"/>
      <c r="D114" s="32"/>
    </row>
    <row r="115" spans="1:4" ht="20.25" x14ac:dyDescent="0.25">
      <c r="A115" s="98"/>
      <c r="B115" s="22"/>
      <c r="C115" s="32"/>
      <c r="D115" s="32"/>
    </row>
    <row r="116" spans="1:4" ht="20.25" x14ac:dyDescent="0.25">
      <c r="A116" s="98"/>
      <c r="B116" s="22"/>
      <c r="C116" s="32"/>
      <c r="D116" s="32"/>
    </row>
    <row r="117" spans="1:4" ht="20.25" x14ac:dyDescent="0.25">
      <c r="A117" s="98"/>
      <c r="B117" s="22"/>
      <c r="C117" s="32"/>
      <c r="D117" s="32"/>
    </row>
    <row r="118" spans="1:4" ht="20.25" x14ac:dyDescent="0.25">
      <c r="A118" s="98"/>
      <c r="B118" s="22"/>
      <c r="C118" s="32"/>
      <c r="D118" s="32"/>
    </row>
    <row r="119" spans="1:4" ht="20.25" x14ac:dyDescent="0.25">
      <c r="A119" s="98"/>
      <c r="B119" s="22"/>
      <c r="C119" s="32"/>
      <c r="D119" s="32"/>
    </row>
    <row r="120" spans="1:4" ht="20.25" x14ac:dyDescent="0.25">
      <c r="A120" s="98"/>
      <c r="B120" s="22"/>
      <c r="C120" s="32"/>
      <c r="D120" s="32"/>
    </row>
    <row r="121" spans="1:4" ht="20.25" x14ac:dyDescent="0.25">
      <c r="A121" s="98"/>
      <c r="B121" s="22"/>
      <c r="C121" s="32"/>
      <c r="D121" s="32"/>
    </row>
    <row r="122" spans="1:4" ht="20.25" x14ac:dyDescent="0.25">
      <c r="A122" s="98"/>
      <c r="B122" s="22"/>
      <c r="C122" s="32"/>
      <c r="D122" s="32"/>
    </row>
    <row r="123" spans="1:4" ht="20.25" x14ac:dyDescent="0.25">
      <c r="A123" s="98"/>
      <c r="B123" s="22"/>
      <c r="C123" s="32"/>
      <c r="D123" s="32"/>
    </row>
    <row r="124" spans="1:4" ht="20.25" x14ac:dyDescent="0.25">
      <c r="A124" s="98"/>
      <c r="B124" s="22"/>
      <c r="C124" s="32"/>
      <c r="D124" s="32"/>
    </row>
    <row r="125" spans="1:4" ht="20.25" x14ac:dyDescent="0.25">
      <c r="A125" s="98"/>
      <c r="B125" s="22"/>
      <c r="C125" s="32"/>
      <c r="D125" s="32"/>
    </row>
    <row r="126" spans="1:4" ht="20.25" x14ac:dyDescent="0.25">
      <c r="A126" s="98"/>
      <c r="B126" s="22"/>
      <c r="C126" s="32"/>
      <c r="D126" s="32"/>
    </row>
    <row r="127" spans="1:4" ht="20.25" x14ac:dyDescent="0.25">
      <c r="A127" s="98"/>
      <c r="B127" s="22"/>
      <c r="C127" s="32"/>
      <c r="D127" s="32"/>
    </row>
    <row r="128" spans="1:4" ht="20.25" x14ac:dyDescent="0.25">
      <c r="A128" s="98"/>
      <c r="B128" s="22"/>
      <c r="C128" s="32"/>
      <c r="D128" s="32"/>
    </row>
    <row r="129" spans="1:4" ht="20.25" x14ac:dyDescent="0.25">
      <c r="A129" s="98"/>
      <c r="B129" s="22"/>
      <c r="C129" s="32"/>
      <c r="D129" s="32"/>
    </row>
    <row r="130" spans="1:4" ht="20.25" x14ac:dyDescent="0.25">
      <c r="A130" s="98"/>
      <c r="B130" s="22"/>
      <c r="C130" s="32"/>
      <c r="D130" s="32"/>
    </row>
    <row r="131" spans="1:4" ht="20.25" x14ac:dyDescent="0.25">
      <c r="A131" s="98"/>
      <c r="B131" s="22"/>
      <c r="C131" s="32"/>
      <c r="D131" s="32"/>
    </row>
    <row r="132" spans="1:4" ht="20.25" x14ac:dyDescent="0.25">
      <c r="A132" s="98"/>
      <c r="B132" s="22"/>
      <c r="C132" s="32"/>
      <c r="D132" s="32"/>
    </row>
    <row r="133" spans="1:4" ht="20.25" x14ac:dyDescent="0.25">
      <c r="A133" s="98"/>
      <c r="B133" s="22"/>
      <c r="C133" s="32"/>
      <c r="D133" s="32"/>
    </row>
    <row r="134" spans="1:4" ht="20.25" x14ac:dyDescent="0.25">
      <c r="A134" s="98"/>
      <c r="B134" s="22"/>
      <c r="C134" s="32"/>
      <c r="D134" s="32"/>
    </row>
    <row r="135" spans="1:4" ht="20.25" x14ac:dyDescent="0.25">
      <c r="A135" s="98"/>
      <c r="B135" s="22"/>
      <c r="C135" s="32"/>
      <c r="D135" s="32"/>
    </row>
    <row r="136" spans="1:4" ht="20.25" x14ac:dyDescent="0.25">
      <c r="A136" s="98"/>
      <c r="B136" s="22"/>
      <c r="C136" s="32"/>
      <c r="D136" s="32"/>
    </row>
    <row r="137" spans="1:4" ht="20.25" x14ac:dyDescent="0.25">
      <c r="A137" s="98"/>
      <c r="B137" s="22"/>
      <c r="C137" s="32"/>
      <c r="D137" s="32"/>
    </row>
    <row r="138" spans="1:4" ht="20.25" x14ac:dyDescent="0.25">
      <c r="A138" s="98"/>
      <c r="B138" s="22"/>
      <c r="C138" s="32"/>
      <c r="D138" s="32"/>
    </row>
    <row r="139" spans="1:4" ht="20.25" x14ac:dyDescent="0.25">
      <c r="A139" s="98"/>
      <c r="B139" s="22"/>
      <c r="C139" s="32"/>
      <c r="D139" s="32"/>
    </row>
    <row r="140" spans="1:4" ht="20.25" x14ac:dyDescent="0.25">
      <c r="A140" s="98"/>
      <c r="B140" s="22"/>
      <c r="C140" s="32"/>
      <c r="D140" s="32"/>
    </row>
    <row r="141" spans="1:4" ht="20.25" x14ac:dyDescent="0.25">
      <c r="A141" s="98"/>
      <c r="B141" s="22"/>
      <c r="C141" s="32"/>
      <c r="D141" s="32"/>
    </row>
    <row r="142" spans="1:4" ht="20.25" x14ac:dyDescent="0.25">
      <c r="A142" s="98"/>
      <c r="B142" s="22"/>
      <c r="C142" s="32"/>
      <c r="D142" s="32"/>
    </row>
    <row r="143" spans="1:4" ht="20.25" x14ac:dyDescent="0.25">
      <c r="A143" s="98"/>
      <c r="B143" s="22"/>
      <c r="C143" s="32"/>
      <c r="D143" s="32"/>
    </row>
    <row r="144" spans="1:4" ht="20.25" x14ac:dyDescent="0.25">
      <c r="A144" s="98"/>
      <c r="B144" s="22"/>
      <c r="C144" s="32"/>
      <c r="D144" s="32"/>
    </row>
    <row r="145" spans="1:4" ht="20.25" x14ac:dyDescent="0.25">
      <c r="A145" s="98"/>
      <c r="B145" s="22"/>
      <c r="C145" s="32"/>
      <c r="D145" s="32"/>
    </row>
    <row r="146" spans="1:4" ht="20.25" x14ac:dyDescent="0.25">
      <c r="A146" s="98"/>
      <c r="B146" s="22"/>
      <c r="C146" s="32"/>
      <c r="D146" s="32"/>
    </row>
    <row r="147" spans="1:4" ht="20.25" x14ac:dyDescent="0.25">
      <c r="A147" s="98"/>
      <c r="B147" s="22"/>
      <c r="C147" s="32"/>
      <c r="D147" s="32"/>
    </row>
    <row r="148" spans="1:4" ht="20.25" x14ac:dyDescent="0.25">
      <c r="A148" s="98"/>
      <c r="B148" s="22"/>
      <c r="C148" s="32"/>
      <c r="D148" s="32"/>
    </row>
    <row r="149" spans="1:4" ht="20.25" x14ac:dyDescent="0.25">
      <c r="A149" s="98"/>
      <c r="B149" s="22"/>
      <c r="C149" s="32"/>
      <c r="D149" s="32"/>
    </row>
    <row r="150" spans="1:4" ht="20.25" x14ac:dyDescent="0.25">
      <c r="A150" s="98"/>
      <c r="B150" s="22"/>
      <c r="C150" s="32"/>
      <c r="D150" s="32"/>
    </row>
    <row r="151" spans="1:4" ht="20.25" x14ac:dyDescent="0.25">
      <c r="A151" s="98"/>
      <c r="B151" s="22"/>
      <c r="C151" s="32"/>
      <c r="D151" s="32"/>
    </row>
    <row r="152" spans="1:4" ht="20.25" x14ac:dyDescent="0.25">
      <c r="A152" s="98"/>
      <c r="B152" s="22"/>
      <c r="C152" s="32"/>
      <c r="D152" s="32"/>
    </row>
    <row r="153" spans="1:4" ht="20.25" x14ac:dyDescent="0.25">
      <c r="A153" s="98"/>
      <c r="B153" s="22"/>
      <c r="C153" s="32"/>
      <c r="D153" s="32"/>
    </row>
    <row r="154" spans="1:4" ht="20.25" x14ac:dyDescent="0.25">
      <c r="A154" s="98"/>
      <c r="B154" s="22"/>
      <c r="C154" s="32"/>
      <c r="D154" s="32"/>
    </row>
    <row r="155" spans="1:4" ht="20.25" x14ac:dyDescent="0.25">
      <c r="A155" s="98"/>
      <c r="B155" s="22"/>
      <c r="C155" s="32"/>
      <c r="D155" s="32"/>
    </row>
    <row r="156" spans="1:4" ht="20.25" x14ac:dyDescent="0.25">
      <c r="A156" s="98"/>
      <c r="B156" s="22"/>
      <c r="C156" s="32"/>
      <c r="D156" s="32"/>
    </row>
    <row r="157" spans="1:4" ht="20.25" x14ac:dyDescent="0.25">
      <c r="A157" s="98"/>
      <c r="B157" s="22"/>
      <c r="C157" s="32"/>
      <c r="D157" s="32"/>
    </row>
    <row r="158" spans="1:4" ht="20.25" x14ac:dyDescent="0.25">
      <c r="A158" s="98"/>
      <c r="B158" s="22"/>
      <c r="C158" s="32"/>
      <c r="D158" s="32"/>
    </row>
    <row r="159" spans="1:4" ht="20.25" x14ac:dyDescent="0.25">
      <c r="A159" s="98"/>
      <c r="B159" s="22"/>
      <c r="C159" s="32"/>
      <c r="D159" s="32"/>
    </row>
    <row r="160" spans="1:4" ht="20.25" x14ac:dyDescent="0.25">
      <c r="A160" s="98"/>
      <c r="B160" s="22"/>
      <c r="C160" s="32"/>
      <c r="D160" s="32"/>
    </row>
    <row r="161" spans="1:4" ht="20.25" x14ac:dyDescent="0.25">
      <c r="A161" s="98"/>
      <c r="B161" s="22"/>
      <c r="C161" s="32"/>
      <c r="D161" s="32"/>
    </row>
    <row r="162" spans="1:4" ht="20.25" x14ac:dyDescent="0.25">
      <c r="A162" s="98"/>
      <c r="B162" s="22"/>
      <c r="C162" s="32"/>
      <c r="D162" s="32"/>
    </row>
    <row r="163" spans="1:4" ht="20.25" x14ac:dyDescent="0.25">
      <c r="A163" s="98"/>
      <c r="B163" s="22"/>
      <c r="C163" s="32"/>
      <c r="D163" s="32"/>
    </row>
    <row r="164" spans="1:4" ht="20.25" x14ac:dyDescent="0.25">
      <c r="A164" s="98"/>
      <c r="B164" s="22"/>
      <c r="C164" s="32"/>
      <c r="D164" s="32"/>
    </row>
    <row r="165" spans="1:4" ht="20.25" x14ac:dyDescent="0.25">
      <c r="A165" s="98"/>
      <c r="B165" s="22"/>
      <c r="C165" s="32"/>
      <c r="D165" s="32"/>
    </row>
    <row r="166" spans="1:4" ht="20.25" x14ac:dyDescent="0.25">
      <c r="A166" s="98"/>
      <c r="B166" s="22"/>
      <c r="C166" s="32"/>
      <c r="D166" s="32"/>
    </row>
    <row r="167" spans="1:4" ht="20.25" x14ac:dyDescent="0.25">
      <c r="A167" s="98"/>
      <c r="B167" s="22"/>
      <c r="C167" s="32"/>
      <c r="D167" s="32"/>
    </row>
    <row r="168" spans="1:4" ht="20.25" x14ac:dyDescent="0.25">
      <c r="A168" s="98"/>
      <c r="B168" s="22"/>
      <c r="C168" s="32"/>
      <c r="D168" s="32"/>
    </row>
    <row r="169" spans="1:4" ht="20.25" x14ac:dyDescent="0.25">
      <c r="A169" s="98"/>
      <c r="B169" s="22"/>
      <c r="C169" s="32"/>
      <c r="D169" s="32"/>
    </row>
    <row r="170" spans="1:4" ht="20.25" x14ac:dyDescent="0.25">
      <c r="A170" s="98"/>
      <c r="B170" s="22"/>
      <c r="C170" s="32"/>
      <c r="D170" s="32"/>
    </row>
    <row r="171" spans="1:4" ht="20.25" x14ac:dyDescent="0.25">
      <c r="A171" s="98"/>
      <c r="B171" s="22"/>
      <c r="C171" s="32"/>
      <c r="D171" s="32"/>
    </row>
    <row r="172" spans="1:4" ht="20.25" x14ac:dyDescent="0.25">
      <c r="A172" s="98"/>
      <c r="B172" s="22"/>
      <c r="C172" s="32"/>
      <c r="D172" s="32"/>
    </row>
    <row r="173" spans="1:4" ht="20.25" x14ac:dyDescent="0.25">
      <c r="A173" s="98"/>
      <c r="B173" s="22"/>
      <c r="C173" s="32"/>
      <c r="D173" s="32"/>
    </row>
    <row r="174" spans="1:4" ht="20.25" x14ac:dyDescent="0.25">
      <c r="A174" s="98"/>
      <c r="B174" s="22"/>
      <c r="C174" s="32"/>
      <c r="D174" s="32"/>
    </row>
    <row r="175" spans="1:4" ht="20.25" x14ac:dyDescent="0.25">
      <c r="A175" s="98"/>
      <c r="B175" s="22"/>
      <c r="C175" s="32"/>
      <c r="D175" s="32"/>
    </row>
    <row r="176" spans="1:4" ht="20.25" x14ac:dyDescent="0.25">
      <c r="A176" s="98"/>
      <c r="B176" s="22"/>
      <c r="C176" s="32"/>
      <c r="D176" s="32"/>
    </row>
    <row r="177" spans="1:4" ht="20.25" x14ac:dyDescent="0.25">
      <c r="A177" s="98"/>
      <c r="B177" s="22"/>
      <c r="C177" s="32"/>
      <c r="D177" s="32"/>
    </row>
    <row r="178" spans="1:4" ht="20.25" x14ac:dyDescent="0.25">
      <c r="A178" s="98"/>
      <c r="B178" s="22"/>
      <c r="C178" s="32"/>
      <c r="D178" s="32"/>
    </row>
    <row r="179" spans="1:4" ht="20.25" x14ac:dyDescent="0.25">
      <c r="A179" s="98"/>
      <c r="B179" s="22"/>
      <c r="C179" s="32"/>
      <c r="D179" s="32"/>
    </row>
    <row r="180" spans="1:4" ht="20.25" x14ac:dyDescent="0.25">
      <c r="A180" s="98"/>
      <c r="B180" s="22"/>
      <c r="C180" s="32"/>
      <c r="D180" s="32"/>
    </row>
    <row r="181" spans="1:4" ht="20.25" x14ac:dyDescent="0.25">
      <c r="A181" s="98"/>
      <c r="B181" s="22"/>
      <c r="C181" s="32"/>
      <c r="D181" s="32"/>
    </row>
    <row r="182" spans="1:4" ht="20.25" x14ac:dyDescent="0.25">
      <c r="A182" s="98"/>
      <c r="B182" s="22"/>
      <c r="C182" s="32"/>
      <c r="D182" s="32"/>
    </row>
    <row r="183" spans="1:4" ht="20.25" x14ac:dyDescent="0.25">
      <c r="A183" s="98"/>
      <c r="B183" s="22"/>
      <c r="C183" s="32"/>
      <c r="D183" s="32"/>
    </row>
    <row r="184" spans="1:4" ht="20.25" x14ac:dyDescent="0.25">
      <c r="A184" s="98"/>
      <c r="B184" s="22"/>
      <c r="C184" s="32"/>
      <c r="D184" s="32"/>
    </row>
    <row r="185" spans="1:4" ht="20.25" x14ac:dyDescent="0.25">
      <c r="A185" s="98"/>
      <c r="B185" s="22"/>
      <c r="C185" s="32"/>
      <c r="D185" s="32"/>
    </row>
    <row r="186" spans="1:4" ht="20.25" x14ac:dyDescent="0.25">
      <c r="A186" s="98"/>
      <c r="B186" s="22"/>
      <c r="C186" s="32"/>
      <c r="D186" s="32"/>
    </row>
    <row r="187" spans="1:4" ht="20.25" x14ac:dyDescent="0.25">
      <c r="A187" s="98"/>
      <c r="B187" s="22"/>
      <c r="C187" s="32"/>
      <c r="D187" s="32"/>
    </row>
    <row r="188" spans="1:4" ht="20.25" x14ac:dyDescent="0.25">
      <c r="A188" s="98"/>
      <c r="B188" s="22"/>
      <c r="C188" s="32"/>
      <c r="D188" s="32"/>
    </row>
    <row r="189" spans="1:4" ht="20.25" x14ac:dyDescent="0.25">
      <c r="A189" s="98"/>
      <c r="B189" s="22"/>
      <c r="C189" s="32"/>
      <c r="D189" s="32"/>
    </row>
    <row r="190" spans="1:4" ht="20.25" x14ac:dyDescent="0.25">
      <c r="A190" s="98"/>
      <c r="B190" s="22"/>
      <c r="C190" s="32"/>
      <c r="D190" s="32"/>
    </row>
    <row r="191" spans="1:4" ht="20.25" x14ac:dyDescent="0.25">
      <c r="A191" s="98"/>
      <c r="B191" s="22"/>
      <c r="C191" s="32"/>
      <c r="D191" s="32"/>
    </row>
    <row r="192" spans="1:4" ht="20.25" x14ac:dyDescent="0.25">
      <c r="A192" s="98"/>
      <c r="B192" s="22"/>
      <c r="C192" s="32"/>
      <c r="D192" s="32"/>
    </row>
    <row r="193" spans="1:4" ht="20.25" x14ac:dyDescent="0.25">
      <c r="A193" s="98"/>
      <c r="B193" s="22"/>
      <c r="C193" s="32"/>
      <c r="D193" s="32"/>
    </row>
    <row r="194" spans="1:4" ht="20.25" x14ac:dyDescent="0.25">
      <c r="A194" s="98"/>
      <c r="B194" s="22"/>
      <c r="C194" s="32"/>
      <c r="D194" s="32"/>
    </row>
    <row r="195" spans="1:4" ht="20.25" x14ac:dyDescent="0.25">
      <c r="A195" s="98"/>
      <c r="B195" s="22"/>
      <c r="C195" s="32"/>
      <c r="D195" s="32"/>
    </row>
    <row r="196" spans="1:4" ht="20.25" x14ac:dyDescent="0.25">
      <c r="A196" s="98"/>
      <c r="B196" s="22"/>
      <c r="C196" s="32"/>
      <c r="D196" s="32"/>
    </row>
    <row r="197" spans="1:4" ht="20.25" x14ac:dyDescent="0.25">
      <c r="A197" s="98"/>
      <c r="B197" s="22"/>
      <c r="C197" s="32"/>
      <c r="D197" s="32"/>
    </row>
    <row r="198" spans="1:4" ht="20.25" x14ac:dyDescent="0.25">
      <c r="A198" s="98"/>
      <c r="B198" s="22"/>
      <c r="C198" s="32"/>
      <c r="D198" s="32"/>
    </row>
    <row r="199" spans="1:4" ht="20.25" x14ac:dyDescent="0.25">
      <c r="A199" s="98"/>
      <c r="B199" s="22"/>
      <c r="C199" s="32"/>
      <c r="D199" s="32"/>
    </row>
    <row r="200" spans="1:4" ht="20.25" x14ac:dyDescent="0.25">
      <c r="A200" s="98"/>
      <c r="B200" s="22"/>
      <c r="C200" s="32"/>
      <c r="D200" s="32"/>
    </row>
    <row r="201" spans="1:4" ht="20.25" x14ac:dyDescent="0.25">
      <c r="A201" s="98"/>
      <c r="B201" s="22"/>
      <c r="C201" s="32"/>
      <c r="D201" s="32"/>
    </row>
    <row r="202" spans="1:4" ht="20.25" x14ac:dyDescent="0.25">
      <c r="A202" s="98"/>
      <c r="B202" s="22"/>
      <c r="C202" s="32"/>
      <c r="D202" s="32"/>
    </row>
    <row r="203" spans="1:4" ht="20.25" x14ac:dyDescent="0.25">
      <c r="A203" s="98"/>
      <c r="B203" s="22"/>
      <c r="C203" s="32"/>
      <c r="D203" s="32"/>
    </row>
    <row r="204" spans="1:4" ht="20.25" x14ac:dyDescent="0.25">
      <c r="A204" s="98"/>
      <c r="B204" s="22"/>
      <c r="C204" s="32"/>
      <c r="D204" s="32"/>
    </row>
    <row r="205" spans="1:4" ht="20.25" x14ac:dyDescent="0.25">
      <c r="A205" s="98"/>
      <c r="B205" s="22"/>
      <c r="C205" s="32"/>
      <c r="D205" s="32"/>
    </row>
    <row r="206" spans="1:4" ht="20.25" x14ac:dyDescent="0.25">
      <c r="A206" s="98"/>
      <c r="B206" s="22"/>
      <c r="C206" s="32"/>
      <c r="D206" s="32"/>
    </row>
    <row r="207" spans="1:4" ht="20.25" x14ac:dyDescent="0.25">
      <c r="A207" s="98"/>
      <c r="B207" s="22"/>
      <c r="C207" s="32"/>
      <c r="D207" s="32"/>
    </row>
    <row r="208" spans="1:4" x14ac:dyDescent="0.25">
      <c r="A208" s="81"/>
      <c r="B208" s="22"/>
      <c r="C208" s="22"/>
      <c r="D208" s="22"/>
    </row>
    <row r="209" spans="1:8" ht="20.25" x14ac:dyDescent="0.25">
      <c r="A209" s="81"/>
      <c r="B209" s="28" t="s">
        <v>255</v>
      </c>
      <c r="C209" s="28" t="s">
        <v>256</v>
      </c>
      <c r="D209" s="31" t="s">
        <v>255</v>
      </c>
      <c r="E209" s="31" t="s">
        <v>256</v>
      </c>
    </row>
    <row r="210" spans="1:8" ht="21" x14ac:dyDescent="0.35">
      <c r="A210" s="81"/>
      <c r="B210" s="29" t="s">
        <v>257</v>
      </c>
      <c r="C210" s="29" t="s">
        <v>258</v>
      </c>
      <c r="D210" t="s">
        <v>257</v>
      </c>
      <c r="F210" t="str">
        <f>IF(NOT(ISBLANK(D210)),D210,IF(NOT(ISBLANK(E210)),"     "&amp;E210,FALSE))</f>
        <v>Afectación Económica o presupuestal</v>
      </c>
      <c r="G210" t="s">
        <v>257</v>
      </c>
      <c r="H210" t="str">
        <f>IF(NOT(ISERROR(MATCH(G210,_xlfn.ANCHORARRAY(B221),0))),F223&amp;"Por favor no seleccionar los criterios de impacto",G210)</f>
        <v>❌Por favor no seleccionar los criterios de impacto</v>
      </c>
    </row>
    <row r="211" spans="1:8" ht="21" x14ac:dyDescent="0.35">
      <c r="A211" s="81"/>
      <c r="B211" s="29" t="s">
        <v>257</v>
      </c>
      <c r="C211" s="29" t="s">
        <v>234</v>
      </c>
      <c r="E211" t="s">
        <v>258</v>
      </c>
      <c r="F211" t="str">
        <f t="shared" ref="F211:F221" si="0">IF(NOT(ISBLANK(D211)),D211,IF(NOT(ISBLANK(E211)),"     "&amp;E211,FALSE))</f>
        <v xml:space="preserve">     Afectación menor a 10 SMLMV .</v>
      </c>
    </row>
    <row r="212" spans="1:8" ht="21" x14ac:dyDescent="0.35">
      <c r="A212" s="81"/>
      <c r="B212" s="29" t="s">
        <v>257</v>
      </c>
      <c r="C212" s="29" t="s">
        <v>237</v>
      </c>
      <c r="E212" t="s">
        <v>234</v>
      </c>
      <c r="F212" t="str">
        <f t="shared" si="0"/>
        <v xml:space="preserve">     Entre 10 y 50 SMLMV </v>
      </c>
    </row>
    <row r="213" spans="1:8" ht="21" x14ac:dyDescent="0.35">
      <c r="A213" s="81"/>
      <c r="B213" s="29" t="s">
        <v>257</v>
      </c>
      <c r="C213" s="29" t="s">
        <v>241</v>
      </c>
      <c r="E213" t="s">
        <v>237</v>
      </c>
      <c r="F213" t="str">
        <f t="shared" si="0"/>
        <v xml:space="preserve">     Entre 50 y 100 SMLMV </v>
      </c>
    </row>
    <row r="214" spans="1:8" ht="21" x14ac:dyDescent="0.35">
      <c r="A214" s="81"/>
      <c r="B214" s="29" t="s">
        <v>257</v>
      </c>
      <c r="C214" s="29" t="s">
        <v>245</v>
      </c>
      <c r="E214" t="s">
        <v>241</v>
      </c>
      <c r="F214" t="str">
        <f t="shared" si="0"/>
        <v xml:space="preserve">     Entre 100 y 500 SMLMV </v>
      </c>
    </row>
    <row r="215" spans="1:8" ht="21" x14ac:dyDescent="0.35">
      <c r="A215" s="81"/>
      <c r="B215" s="29" t="s">
        <v>227</v>
      </c>
      <c r="C215" s="29" t="s">
        <v>231</v>
      </c>
      <c r="E215" t="s">
        <v>245</v>
      </c>
      <c r="F215" t="str">
        <f t="shared" si="0"/>
        <v xml:space="preserve">     Mayor a 500 SMLMV </v>
      </c>
    </row>
    <row r="216" spans="1:8" ht="21" x14ac:dyDescent="0.35">
      <c r="A216" s="81"/>
      <c r="B216" s="29" t="s">
        <v>227</v>
      </c>
      <c r="C216" s="29" t="s">
        <v>235</v>
      </c>
      <c r="D216" t="s">
        <v>227</v>
      </c>
      <c r="F216" t="str">
        <f t="shared" si="0"/>
        <v>Pérdida Reputacional</v>
      </c>
    </row>
    <row r="217" spans="1:8" ht="21" x14ac:dyDescent="0.35">
      <c r="A217" s="81"/>
      <c r="B217" s="29" t="s">
        <v>227</v>
      </c>
      <c r="C217" s="29" t="s">
        <v>238</v>
      </c>
      <c r="E217" t="s">
        <v>231</v>
      </c>
      <c r="F217" t="str">
        <f t="shared" si="0"/>
        <v xml:space="preserve">     El riesgo afecta la imagen de alguna área de la organización</v>
      </c>
    </row>
    <row r="218" spans="1:8" ht="21" x14ac:dyDescent="0.35">
      <c r="A218" s="81"/>
      <c r="B218" s="29" t="s">
        <v>227</v>
      </c>
      <c r="C218" s="29" t="s">
        <v>242</v>
      </c>
      <c r="E218" t="s">
        <v>235</v>
      </c>
      <c r="F218" t="str">
        <f t="shared" si="0"/>
        <v xml:space="preserve">     El riesgo afecta la imagen de la entidad internamente, de conocimiento general, nivel interno, de junta dircetiva y accionistas y/o de provedores</v>
      </c>
    </row>
    <row r="219" spans="1:8" ht="21" x14ac:dyDescent="0.35">
      <c r="A219" s="81"/>
      <c r="B219" s="29" t="s">
        <v>227</v>
      </c>
      <c r="C219" s="29" t="s">
        <v>246</v>
      </c>
      <c r="E219" t="s">
        <v>238</v>
      </c>
      <c r="F219" t="str">
        <f t="shared" si="0"/>
        <v xml:space="preserve">     El riesgo afecta la imagen de la entidad con algunos usuarios de relevancia frente al logro de los objetivos</v>
      </c>
    </row>
    <row r="220" spans="1:8" x14ac:dyDescent="0.25">
      <c r="A220" s="81"/>
      <c r="B220" s="30"/>
      <c r="C220" s="30"/>
      <c r="E220" t="s">
        <v>242</v>
      </c>
      <c r="F220" t="str">
        <f t="shared" si="0"/>
        <v xml:space="preserve">     El riesgo afecta la imagen de de la entidad con efecto publicitario sostenido a nivel de sector administrativo, nivel departamental o municipal</v>
      </c>
    </row>
    <row r="221" spans="1:8" x14ac:dyDescent="0.25">
      <c r="A221" s="81"/>
      <c r="B221" s="30" t="str" cm="1">
        <f t="array" ref="B221:B223">_xlfn.UNIQUE(Tabla1[[#All],[Criterios]])</f>
        <v>Criterios</v>
      </c>
      <c r="C221" s="30"/>
      <c r="E221" t="s">
        <v>246</v>
      </c>
      <c r="F221" t="str">
        <f t="shared" si="0"/>
        <v xml:space="preserve">     El riesgo afecta la imagen de la entidad a nivel nacional, con efecto publicitarios sostenible a nivel país</v>
      </c>
    </row>
    <row r="222" spans="1:8" x14ac:dyDescent="0.25">
      <c r="A222" s="81"/>
      <c r="B222" s="30" t="str">
        <v>Afectación Económica o presupuestal</v>
      </c>
      <c r="C222" s="30"/>
    </row>
    <row r="223" spans="1:8" x14ac:dyDescent="0.25">
      <c r="B223" s="30" t="str">
        <v>Pérdida Reputacional</v>
      </c>
      <c r="C223" s="30"/>
      <c r="F223" s="33" t="s">
        <v>259</v>
      </c>
    </row>
    <row r="224" spans="1:8" x14ac:dyDescent="0.25">
      <c r="B224" s="21"/>
      <c r="C224" s="21"/>
      <c r="F224" s="33" t="s">
        <v>260</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3"/>
    <col min="3" max="3" width="17" style="83" customWidth="1"/>
    <col min="4" max="4" width="14.28515625" style="83"/>
    <col min="5" max="5" width="46" style="83" customWidth="1"/>
    <col min="6" max="16384" width="14.28515625" style="83"/>
  </cols>
  <sheetData>
    <row r="1" spans="2:6" ht="24" customHeight="1" thickBot="1" x14ac:dyDescent="0.25">
      <c r="B1" s="555" t="s">
        <v>261</v>
      </c>
      <c r="C1" s="556"/>
      <c r="D1" s="556"/>
      <c r="E1" s="556"/>
      <c r="F1" s="557"/>
    </row>
    <row r="2" spans="2:6" ht="16.5" thickBot="1" x14ac:dyDescent="0.3">
      <c r="B2" s="84"/>
      <c r="C2" s="84"/>
      <c r="D2" s="84"/>
      <c r="E2" s="84"/>
      <c r="F2" s="84"/>
    </row>
    <row r="3" spans="2:6" ht="16.5" thickBot="1" x14ac:dyDescent="0.25">
      <c r="B3" s="559" t="s">
        <v>262</v>
      </c>
      <c r="C3" s="560"/>
      <c r="D3" s="560"/>
      <c r="E3" s="96" t="s">
        <v>263</v>
      </c>
      <c r="F3" s="97" t="s">
        <v>264</v>
      </c>
    </row>
    <row r="4" spans="2:6" ht="31.5" x14ac:dyDescent="0.2">
      <c r="B4" s="561" t="s">
        <v>265</v>
      </c>
      <c r="C4" s="563" t="s">
        <v>152</v>
      </c>
      <c r="D4" s="85" t="s">
        <v>162</v>
      </c>
      <c r="E4" s="86" t="s">
        <v>266</v>
      </c>
      <c r="F4" s="87">
        <v>0.25</v>
      </c>
    </row>
    <row r="5" spans="2:6" ht="47.25" x14ac:dyDescent="0.2">
      <c r="B5" s="562"/>
      <c r="C5" s="564"/>
      <c r="D5" s="88" t="s">
        <v>267</v>
      </c>
      <c r="E5" s="89" t="s">
        <v>268</v>
      </c>
      <c r="F5" s="90">
        <v>0.15</v>
      </c>
    </row>
    <row r="6" spans="2:6" ht="47.25" x14ac:dyDescent="0.2">
      <c r="B6" s="562"/>
      <c r="C6" s="564"/>
      <c r="D6" s="88" t="s">
        <v>269</v>
      </c>
      <c r="E6" s="89" t="s">
        <v>270</v>
      </c>
      <c r="F6" s="90">
        <v>0.1</v>
      </c>
    </row>
    <row r="7" spans="2:6" ht="63" x14ac:dyDescent="0.2">
      <c r="B7" s="562"/>
      <c r="C7" s="564" t="s">
        <v>153</v>
      </c>
      <c r="D7" s="88" t="s">
        <v>271</v>
      </c>
      <c r="E7" s="89" t="s">
        <v>272</v>
      </c>
      <c r="F7" s="90">
        <v>0.25</v>
      </c>
    </row>
    <row r="8" spans="2:6" ht="31.5" x14ac:dyDescent="0.2">
      <c r="B8" s="562"/>
      <c r="C8" s="564"/>
      <c r="D8" s="88" t="s">
        <v>163</v>
      </c>
      <c r="E8" s="89" t="s">
        <v>273</v>
      </c>
      <c r="F8" s="90">
        <v>0.15</v>
      </c>
    </row>
    <row r="9" spans="2:6" ht="47.25" x14ac:dyDescent="0.2">
      <c r="B9" s="562" t="s">
        <v>274</v>
      </c>
      <c r="C9" s="564" t="s">
        <v>155</v>
      </c>
      <c r="D9" s="88" t="s">
        <v>164</v>
      </c>
      <c r="E9" s="89" t="s">
        <v>275</v>
      </c>
      <c r="F9" s="91" t="s">
        <v>276</v>
      </c>
    </row>
    <row r="10" spans="2:6" ht="63" x14ac:dyDescent="0.2">
      <c r="B10" s="562"/>
      <c r="C10" s="564"/>
      <c r="D10" s="88" t="s">
        <v>277</v>
      </c>
      <c r="E10" s="89" t="s">
        <v>278</v>
      </c>
      <c r="F10" s="91" t="s">
        <v>276</v>
      </c>
    </row>
    <row r="11" spans="2:6" ht="47.25" x14ac:dyDescent="0.2">
      <c r="B11" s="562"/>
      <c r="C11" s="564" t="s">
        <v>156</v>
      </c>
      <c r="D11" s="88" t="s">
        <v>165</v>
      </c>
      <c r="E11" s="89" t="s">
        <v>279</v>
      </c>
      <c r="F11" s="91" t="s">
        <v>276</v>
      </c>
    </row>
    <row r="12" spans="2:6" ht="47.25" x14ac:dyDescent="0.2">
      <c r="B12" s="562"/>
      <c r="C12" s="564"/>
      <c r="D12" s="88" t="s">
        <v>280</v>
      </c>
      <c r="E12" s="89" t="s">
        <v>281</v>
      </c>
      <c r="F12" s="91" t="s">
        <v>276</v>
      </c>
    </row>
    <row r="13" spans="2:6" ht="31.5" x14ac:dyDescent="0.2">
      <c r="B13" s="562"/>
      <c r="C13" s="564" t="s">
        <v>157</v>
      </c>
      <c r="D13" s="88" t="s">
        <v>166</v>
      </c>
      <c r="E13" s="89" t="s">
        <v>282</v>
      </c>
      <c r="F13" s="91" t="s">
        <v>276</v>
      </c>
    </row>
    <row r="14" spans="2:6" ht="32.25" thickBot="1" x14ac:dyDescent="0.25">
      <c r="B14" s="565"/>
      <c r="C14" s="566"/>
      <c r="D14" s="92" t="s">
        <v>283</v>
      </c>
      <c r="E14" s="93" t="s">
        <v>284</v>
      </c>
      <c r="F14" s="94" t="s">
        <v>276</v>
      </c>
    </row>
    <row r="15" spans="2:6" ht="49.5" customHeight="1" x14ac:dyDescent="0.2">
      <c r="B15" s="558" t="s">
        <v>285</v>
      </c>
      <c r="C15" s="558"/>
      <c r="D15" s="558"/>
      <c r="E15" s="558"/>
      <c r="F15" s="558"/>
    </row>
    <row r="16" spans="2:6" ht="27" customHeight="1" x14ac:dyDescent="0.25">
      <c r="B16" s="9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286</v>
      </c>
      <c r="E2" t="s">
        <v>287</v>
      </c>
    </row>
    <row r="3" spans="2:5" x14ac:dyDescent="0.25">
      <c r="B3" t="s">
        <v>288</v>
      </c>
      <c r="E3" t="s">
        <v>168</v>
      </c>
    </row>
    <row r="4" spans="2:5" x14ac:dyDescent="0.25">
      <c r="B4" t="s">
        <v>289</v>
      </c>
      <c r="E4" t="s">
        <v>158</v>
      </c>
    </row>
    <row r="5" spans="2:5" x14ac:dyDescent="0.25">
      <c r="B5" t="s">
        <v>167</v>
      </c>
    </row>
    <row r="8" spans="2:5" x14ac:dyDescent="0.25">
      <c r="B8" t="s">
        <v>290</v>
      </c>
    </row>
    <row r="9" spans="2:5" x14ac:dyDescent="0.25">
      <c r="B9" t="s">
        <v>291</v>
      </c>
    </row>
    <row r="10" spans="2:5" x14ac:dyDescent="0.25">
      <c r="B10" t="s">
        <v>292</v>
      </c>
    </row>
    <row r="13" spans="2:5" x14ac:dyDescent="0.25">
      <c r="B13" t="s">
        <v>293</v>
      </c>
    </row>
    <row r="14" spans="2:5" x14ac:dyDescent="0.25">
      <c r="B14" t="s">
        <v>160</v>
      </c>
    </row>
    <row r="15" spans="2:5" x14ac:dyDescent="0.25">
      <c r="B15" t="s">
        <v>294</v>
      </c>
    </row>
    <row r="16" spans="2:5" x14ac:dyDescent="0.25">
      <c r="B16" t="s">
        <v>295</v>
      </c>
    </row>
    <row r="17" spans="2:2" x14ac:dyDescent="0.25">
      <c r="B17" t="s">
        <v>296</v>
      </c>
    </row>
    <row r="18" spans="2:2" x14ac:dyDescent="0.25">
      <c r="B18" t="s">
        <v>297</v>
      </c>
    </row>
    <row r="19" spans="2:2" x14ac:dyDescent="0.25">
      <c r="B19" t="s">
        <v>298</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Yuli Prada♡</cp:lastModifiedBy>
  <cp:revision/>
  <dcterms:created xsi:type="dcterms:W3CDTF">2020-03-24T23:12:47Z</dcterms:created>
  <dcterms:modified xsi:type="dcterms:W3CDTF">2024-05-29T22:07:00Z</dcterms:modified>
  <cp:category/>
  <cp:contentStatus/>
</cp:coreProperties>
</file>