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INTERIOR\"/>
    </mc:Choice>
  </mc:AlternateContent>
  <xr:revisionPtr revIDLastSave="0" documentId="13_ncr:1_{6DB5AC2C-02E5-4509-9B15-88881704B558}"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1" l="1"/>
  <c r="L37" i="1" s="1"/>
  <c r="K30" i="1"/>
  <c r="K24" i="1"/>
  <c r="K42" i="1"/>
  <c r="K41" i="1"/>
  <c r="K40" i="1"/>
  <c r="K39" i="1"/>
  <c r="K38" i="1"/>
  <c r="T37" i="1"/>
  <c r="Q37" i="1"/>
  <c r="H37" i="1"/>
  <c r="I37" i="1" s="1"/>
  <c r="K18" i="1"/>
  <c r="M37" i="1" l="1"/>
  <c r="AB37" i="1"/>
  <c r="AA37" i="1" s="1"/>
  <c r="X37" i="1"/>
  <c r="N37" i="1"/>
  <c r="T30" i="1"/>
  <c r="Q30" i="1"/>
  <c r="H30" i="1"/>
  <c r="Y37" i="1" l="1"/>
  <c r="AC37" i="1" s="1"/>
  <c r="Z37" i="1"/>
  <c r="I30" i="1"/>
  <c r="X30" i="1" s="1"/>
  <c r="T26" i="1"/>
  <c r="T27" i="1"/>
  <c r="T28" i="1"/>
  <c r="T29" i="1"/>
  <c r="H61" i="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Z30" i="1" l="1"/>
  <c r="Y30" i="1"/>
  <c r="AB65" i="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24" i="1" l="1"/>
  <c r="T12" i="1" l="1"/>
  <c r="Q12" i="1"/>
  <c r="H12" i="1" l="1"/>
  <c r="I12" i="1" s="1"/>
  <c r="K60" i="1"/>
  <c r="K52" i="1"/>
  <c r="K57" i="1"/>
  <c r="K51" i="1"/>
  <c r="K29" i="1"/>
  <c r="K50" i="1"/>
  <c r="K59" i="1"/>
  <c r="K26" i="1"/>
  <c r="K53" i="1"/>
  <c r="K58" i="1"/>
  <c r="K28" i="1"/>
  <c r="K25" i="1"/>
  <c r="K56" i="1"/>
  <c r="K27" i="1"/>
  <c r="K54" i="1"/>
  <c r="F221" i="13" l="1"/>
  <c r="F211" i="13"/>
  <c r="F212" i="13"/>
  <c r="F213" i="13"/>
  <c r="F214" i="13"/>
  <c r="F215" i="13"/>
  <c r="F216" i="13"/>
  <c r="F217" i="13"/>
  <c r="F218" i="13"/>
  <c r="F219" i="13"/>
  <c r="F220" i="13"/>
  <c r="F210" i="13"/>
  <c r="K17" i="1"/>
  <c r="K16" i="1"/>
  <c r="K13" i="1"/>
  <c r="K14" i="1"/>
  <c r="B221" i="13" a="1"/>
  <c r="K15" i="1"/>
  <c r="B221" i="13" l="1"/>
  <c r="Q50" i="1"/>
  <c r="K61" i="1" l="1"/>
  <c r="L61" i="1" s="1"/>
  <c r="K67" i="1"/>
  <c r="L67"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7" i="1" l="1"/>
  <c r="N67" i="1"/>
  <c r="N61" i="1"/>
  <c r="M61" i="1"/>
  <c r="AB61" i="1" s="1"/>
  <c r="AA61" i="1" s="1"/>
  <c r="AC61" i="1" s="1"/>
  <c r="T60" i="1"/>
  <c r="Q60" i="1"/>
  <c r="T59" i="1"/>
  <c r="Q59" i="1"/>
  <c r="T58" i="1"/>
  <c r="Q58" i="1"/>
  <c r="T57" i="1"/>
  <c r="Q57" i="1"/>
  <c r="T56" i="1"/>
  <c r="Q56" i="1"/>
  <c r="T55" i="1"/>
  <c r="H55" i="1"/>
  <c r="I55" i="1" s="1"/>
  <c r="T54" i="1"/>
  <c r="Q54" i="1"/>
  <c r="T53" i="1"/>
  <c r="Q53" i="1"/>
  <c r="T52" i="1"/>
  <c r="Q52" i="1"/>
  <c r="T51" i="1"/>
  <c r="Q51" i="1"/>
  <c r="T50" i="1"/>
  <c r="T49" i="1"/>
  <c r="Q49" i="1"/>
  <c r="H49" i="1"/>
  <c r="I49" i="1" s="1"/>
  <c r="T35" i="1"/>
  <c r="Q35" i="1"/>
  <c r="T34" i="1"/>
  <c r="Q34" i="1"/>
  <c r="T33" i="1"/>
  <c r="Q33" i="1"/>
  <c r="T32" i="1"/>
  <c r="Q32" i="1"/>
  <c r="Q29" i="1"/>
  <c r="Q28" i="1"/>
  <c r="Q27" i="1"/>
  <c r="Q26" i="1"/>
  <c r="T25" i="1"/>
  <c r="Q25" i="1"/>
  <c r="Q24" i="1"/>
  <c r="H24" i="1"/>
  <c r="I24" i="1" s="1"/>
  <c r="H18" i="1"/>
  <c r="Q17" i="1"/>
  <c r="Q16" i="1"/>
  <c r="T23" i="1"/>
  <c r="Q23" i="1"/>
  <c r="T22" i="1"/>
  <c r="Q22" i="1"/>
  <c r="T21" i="1"/>
  <c r="Q21" i="1"/>
  <c r="T20" i="1"/>
  <c r="Q20" i="1"/>
  <c r="T19" i="1"/>
  <c r="Q19" i="1"/>
  <c r="T18" i="1"/>
  <c r="Q18" i="1"/>
  <c r="X55" i="1" l="1"/>
  <c r="X27" i="1"/>
  <c r="Y27" i="1" s="1"/>
  <c r="X59" i="1"/>
  <c r="X33" i="1"/>
  <c r="X29" i="1"/>
  <c r="Y29" i="1" s="1"/>
  <c r="X53" i="1"/>
  <c r="X36" i="1"/>
  <c r="X35" i="1"/>
  <c r="X34" i="1"/>
  <c r="AB56" i="1"/>
  <c r="X57" i="1"/>
  <c r="X56" i="1"/>
  <c r="X32" i="1"/>
  <c r="X52" i="1"/>
  <c r="X51" i="1"/>
  <c r="X54" i="1"/>
  <c r="X58" i="1"/>
  <c r="X60" i="1"/>
  <c r="X24" i="1"/>
  <c r="X26" i="1"/>
  <c r="Y26" i="1" s="1"/>
  <c r="X28" i="1"/>
  <c r="Y28" i="1" s="1"/>
  <c r="X49" i="1"/>
  <c r="AB32" i="1"/>
  <c r="AB53" i="1"/>
  <c r="AA53" i="1" s="1"/>
  <c r="AB54" i="1"/>
  <c r="AA54" i="1" s="1"/>
  <c r="I18" i="1"/>
  <c r="X18" i="1" s="1"/>
  <c r="Z18" i="1" s="1"/>
  <c r="Y55" i="1" l="1"/>
  <c r="Z55" i="1"/>
  <c r="Z56" i="1" s="1"/>
  <c r="Y54" i="1"/>
  <c r="Z54" i="1"/>
  <c r="Y53" i="1"/>
  <c r="Z53" i="1"/>
  <c r="Y49" i="1"/>
  <c r="Z49" i="1"/>
  <c r="X50" i="1" s="1"/>
  <c r="Z32" i="1"/>
  <c r="Y33" i="1" s="1"/>
  <c r="Y24" i="1"/>
  <c r="Z24" i="1"/>
  <c r="Y18" i="1"/>
  <c r="X19" i="1"/>
  <c r="X25" i="1" l="1"/>
  <c r="Y25" i="1" s="1"/>
  <c r="Y56" i="1"/>
  <c r="Y32"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6" i="1"/>
  <c r="T17" i="1"/>
  <c r="Z25" i="1" l="1"/>
  <c r="Y58" i="1"/>
  <c r="Z58" i="1"/>
  <c r="Z26" i="1"/>
  <c r="Z27" i="1" s="1"/>
  <c r="Y51" i="1"/>
  <c r="Z51" i="1"/>
  <c r="Y50" i="1"/>
  <c r="Z50" i="1"/>
  <c r="Y35" i="1"/>
  <c r="Y19" i="1"/>
  <c r="Z19" i="1"/>
  <c r="X20" i="1" s="1"/>
  <c r="Y20" i="1" s="1"/>
  <c r="Y59" i="1" l="1"/>
  <c r="Z59" i="1"/>
  <c r="Y52" i="1"/>
  <c r="Z52" i="1"/>
  <c r="Y34" i="1"/>
  <c r="Z34" i="1"/>
  <c r="Z35" i="1"/>
  <c r="Z20" i="1"/>
  <c r="X21" i="1" s="1"/>
  <c r="Y21" i="1" s="1"/>
  <c r="Y60" i="1" l="1"/>
  <c r="Z60" i="1"/>
  <c r="Z28" i="1"/>
  <c r="Y36" i="1"/>
  <c r="Z36" i="1"/>
  <c r="Z21" i="1"/>
  <c r="X22" i="1" s="1"/>
  <c r="Z22" i="1" s="1"/>
  <c r="X23" i="1" s="1"/>
  <c r="X12" i="1"/>
  <c r="Y12" i="1" s="1"/>
  <c r="Z29" i="1" l="1"/>
  <c r="Y22" i="1"/>
  <c r="Y23" i="1"/>
  <c r="Z23" i="1"/>
  <c r="Q13" i="1"/>
  <c r="Z12" i="1" l="1"/>
  <c r="X13" i="1" s="1"/>
  <c r="Y13" i="1" l="1"/>
  <c r="Z13" i="1" l="1"/>
  <c r="X16" i="1" l="1"/>
  <c r="Y16" i="1" l="1"/>
  <c r="Z16" i="1"/>
  <c r="X17" i="1" s="1"/>
  <c r="Y17" i="1" l="1"/>
  <c r="Z17" i="1"/>
  <c r="L30" i="1" l="1"/>
  <c r="L24" i="1"/>
  <c r="K55" i="1"/>
  <c r="L55" i="1" s="1"/>
  <c r="K49" i="1"/>
  <c r="L49" i="1" s="1"/>
  <c r="K12" i="1"/>
  <c r="L12" i="1" s="1"/>
  <c r="L18" i="1"/>
  <c r="M30" i="1" l="1"/>
  <c r="AB30" i="1" s="1"/>
  <c r="AA30" i="1" s="1"/>
  <c r="N30"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5" i="1"/>
  <c r="AJ42" i="18"/>
  <c r="AJ18" i="18"/>
  <c r="AD26" i="18"/>
  <c r="L10" i="18"/>
  <c r="AD10" i="18"/>
  <c r="X18" i="18"/>
  <c r="AD42" i="18"/>
  <c r="L18" i="18"/>
  <c r="R10" i="18"/>
  <c r="N55"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9" i="1"/>
  <c r="AH34" i="18"/>
  <c r="AH42" i="18"/>
  <c r="AH18" i="18"/>
  <c r="AB10" i="18"/>
  <c r="J26" i="18"/>
  <c r="V18" i="18"/>
  <c r="V42" i="18"/>
  <c r="J42" i="18"/>
  <c r="P10" i="18"/>
  <c r="AB26" i="18"/>
  <c r="J34" i="18"/>
  <c r="J18" i="18"/>
  <c r="AH10" i="18"/>
  <c r="AB34" i="18"/>
  <c r="P26" i="18"/>
  <c r="P34" i="18"/>
  <c r="V34" i="18"/>
  <c r="AH26" i="18"/>
  <c r="J10" i="18"/>
  <c r="N49" i="1"/>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C30" i="1" l="1"/>
  <c r="AB55" i="1"/>
  <c r="AA55" i="1" s="1"/>
  <c r="AA12" i="1"/>
  <c r="AB18" i="1"/>
  <c r="AB24" i="1"/>
  <c r="AB49" i="1"/>
  <c r="AA49" i="1" l="1"/>
  <c r="V22" i="19" s="1"/>
  <c r="AB50" i="1"/>
  <c r="AA24" i="1"/>
  <c r="V38" i="19" s="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AB28" i="19"/>
  <c r="P48" i="19"/>
  <c r="AH18" i="19"/>
  <c r="AB8" i="19"/>
  <c r="AA13" i="1"/>
  <c r="AB51" i="1"/>
  <c r="AA51" i="1" s="1"/>
  <c r="AB52" i="1"/>
  <c r="AA52" i="1" s="1"/>
  <c r="AA50" i="1"/>
  <c r="AA56" i="1"/>
  <c r="AB57" i="1"/>
  <c r="AA32" i="1"/>
  <c r="AB33" i="1"/>
  <c r="J38" i="19" l="1"/>
  <c r="AH28" i="19"/>
  <c r="P28" i="19"/>
  <c r="V28" i="19"/>
  <c r="AB48" i="19"/>
  <c r="AH8" i="19"/>
  <c r="V18" i="19"/>
  <c r="AH48" i="19"/>
  <c r="P38" i="19"/>
  <c r="AC24" i="1"/>
  <c r="J8" i="19"/>
  <c r="J48" i="19"/>
  <c r="V48" i="19"/>
  <c r="V8" i="19"/>
  <c r="J18" i="19"/>
  <c r="AB18" i="19"/>
  <c r="AH38" i="19"/>
  <c r="P8" i="19"/>
  <c r="AB38" i="19"/>
  <c r="J28" i="19"/>
  <c r="V37" i="19"/>
  <c r="J7" i="19"/>
  <c r="P47" i="19"/>
  <c r="V27" i="19"/>
  <c r="P7" i="19"/>
  <c r="AH17" i="19"/>
  <c r="AB17" i="19"/>
  <c r="P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1" i="1"/>
  <c r="AA20"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G39" i="19" l="1"/>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<sst xmlns="http://schemas.openxmlformats.org/spreadsheetml/2006/main" count="471" uniqueCount="314">
  <si>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</si>
  <si>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</si>
  <si>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</si>
  <si>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</si>
  <si>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</si>
  <si>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</si>
  <si>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</si>
  <si>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</si>
  <si>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</si>
  <si>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</si>
  <si>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</si>
  <si>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</si>
  <si>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</si>
  <si>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</si>
  <si>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</si>
  <si>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</si>
  <si>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</si>
  <si>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</si>
  <si>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</si>
  <si>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</si>
  <si>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</si>
  <si>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</si>
  <si>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</si>
  <si>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</si>
  <si>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</si>
  <si>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</si>
  <si>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</si>
  <si>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</si>
  <si>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</si>
  <si>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</si>
  <si>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</si>
  <si>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</si>
  <si>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</si>
  <si>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</si>
  <si>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</si>
  <si>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</si>
  <si>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</si>
  <si>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</si>
  <si>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</si>
  <si>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</si>
  <si>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</si>
  <si>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</si>
  <si>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</si>
  <si>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</si>
  <si>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</si>
  <si>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</si>
  <si>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</si>
  <si>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</si>
  <si>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</si>
  <si>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</si>
  <si>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</si>
  <si>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</si>
  <si>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</si>
  <si>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</si>
  <si>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</si>
  <si>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</si>
  <si>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</si>
  <si>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</si>
  <si>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</si>
  <si>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</si>
  <si>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</si>
  <si>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</si>
  <si>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</si>
  <si>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</si>
  <si>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</si>
  <si>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</si>
  <si>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</si>
  <si>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</si>
  <si>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</si>
  <si>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</si>
  <si>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</si>
  <si>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</si>
  <si>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</si>
  <si>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</si>
  <si>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</si>
  <si>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</si>
  <si>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</si>
  <si>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</si>
  <si>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Seguridad, protección y convivencia ciudadana</t>
  </si>
  <si>
    <t>ALCANCE:</t>
  </si>
  <si>
    <t>Inicia con la planeación, inspección, vigilancia y control de las actividades relacionadas con la seguridad, protección y convivencia ciudadana, y finaliza con el seguimiento y cumplimiento de las medidas correctivas impuestas.</t>
  </si>
  <si>
    <t>OBJETIVOS ESTRATÉGICOS</t>
  </si>
  <si>
    <t>OBJETIVO DEL PROCESO</t>
  </si>
  <si>
    <t>PLANEACIÓN INSTITUCIONAL</t>
  </si>
  <si>
    <t>PUNTOS DE RIESGO EN LA CADENA DE VALOR</t>
  </si>
  <si>
    <t>Velar  por  la  preservación,  restablecimiento  del  orden  público,  administración  de  justicia  y  reducción  de  los  hechos para contribuir con la seguridad, protección y convivencia ciudadana del Municipio de Bucaramanga</t>
  </si>
  <si>
    <t>Plan Integral de Seguridad y Convivencia Ciudadana - PISCC.
Estrategia de erradicación de la violencia contra la mujer y fortalecimiento de la protección en niños, niñas y adolescentes.
Estrategia de Mejoramiento para la prestación del Servicio de las Inspecciones de Policía y el Seguimiento a los procesos policivos.
Estrategia de Promoción y Efectividad del Código Nacional de Seguridad y Convivencia Ciudadana.
Estrategia de diagnostio y abordaje de conflictividades sociales.
Programa de Casa de Justicia, Tolerancia en Movimiento y Gestores de Convivencia.
Plan de Acción del Plan de Desarrollo Municipal de Bucaramanga.</t>
  </si>
  <si>
    <t>Recepción, distribución y gestión de procesos policivos, comparendos y procesos de comisarias de familia.
Inspección, vigilancia y control a establecimientos de comercio.
Atención a la ciudadanía.
Contratación.</t>
  </si>
  <si>
    <t>MATRIZ DOFA</t>
  </si>
  <si>
    <t>DEBILIDADES</t>
  </si>
  <si>
    <t>AMENAZAS</t>
  </si>
  <si>
    <t>Insuficiencia de recurso humano y financiero para atender toda la problemática del Municipio.</t>
  </si>
  <si>
    <t>Baja credibilidad y percepción de la justicia e instituciones.</t>
  </si>
  <si>
    <t>Falta de comunicación interna.</t>
  </si>
  <si>
    <t>Percepción de inseguirdad.</t>
  </si>
  <si>
    <t>Claridad en las funciones y competencias.</t>
  </si>
  <si>
    <t>Tramitología y burocracia externa.</t>
  </si>
  <si>
    <t>Perfiles inadecuados para los cargos.</t>
  </si>
  <si>
    <t>Posibles alteraciones del Orden Público.</t>
  </si>
  <si>
    <t>Falta de compromiso institucional.</t>
  </si>
  <si>
    <t>Parcialidad de los medios de comunicación y redes sociales.</t>
  </si>
  <si>
    <t xml:space="preserve">Alternancia en el trabajo </t>
  </si>
  <si>
    <t>Polarización Política Nacional.</t>
  </si>
  <si>
    <t>El espacio fisico y elementos tecnicos y tecnologicos de las oficinas no es adecuado para el desarrollo de las actividades propias y de atención a la comunidad.</t>
  </si>
  <si>
    <t>Alta tasa de informalidad.</t>
  </si>
  <si>
    <t>Sistematización de los procesos policivos y de comisarias de familia.</t>
  </si>
  <si>
    <t>Ubicaciones de oficinas y desarrollo de actividades con entornos de mayor afectación de seguridad.</t>
  </si>
  <si>
    <t xml:space="preserve">Cambios en la agenda legislativa </t>
  </si>
  <si>
    <t>FORTALEZAS</t>
  </si>
  <si>
    <t>OPORTUNIDADES</t>
  </si>
  <si>
    <t>Transversalidad del impacto en la sociedad.</t>
  </si>
  <si>
    <t>Promoción de los Derechos Humanos</t>
  </si>
  <si>
    <t>Apoyo interinstitucional con entidades como Policía, Migración, Fiscalía y entre otros.</t>
  </si>
  <si>
    <t>Institucionalidad</t>
  </si>
  <si>
    <t>Alto impacto en la gobernabilidad del Municipio de Bucaramanga.</t>
  </si>
  <si>
    <t>Políticas de transferencia de recursos.</t>
  </si>
  <si>
    <t>Interes general de comunidad en temas de Seguridad y Convivencia Ciudadana.</t>
  </si>
  <si>
    <t>Agenda legislativa,  proyecto régimen departamental, código nacional de policía, marco jurídico en pro de la gobernabilidad.</t>
  </si>
  <si>
    <t>Mayor presencia institucional y proximidad ciudadana.</t>
  </si>
  <si>
    <t>Permanente acción para la mejora de los procesos de la entidad.</t>
  </si>
  <si>
    <t>Acceso gratuito a la justicia formal y mecanismos alternativos de resolución de conflictos.</t>
  </si>
  <si>
    <t>Gestión de organizaciones nacionales e internacionales.</t>
  </si>
  <si>
    <t xml:space="preserve">Mayor cobertura del circuito cerrado de televisión </t>
  </si>
  <si>
    <t>Matriz Mapa Riesgos de Gestión</t>
  </si>
  <si>
    <t>Código: F-DPM-1210-238,37-013</t>
  </si>
  <si>
    <t>Versión: 3.0</t>
  </si>
  <si>
    <t>Fecha Aprobación: Octubre-19-2021</t>
  </si>
  <si>
    <t xml:space="preserve">Página: 1 de 1 </t>
  </si>
  <si>
    <t>Proceso:</t>
  </si>
  <si>
    <t>SEGURIDAD, PROTECCIÓN Y CONVIVENCIA CIUDADANA</t>
  </si>
  <si>
    <t>Objetivo:</t>
  </si>
  <si>
    <t>Alcance:</t>
  </si>
  <si>
    <t>Planeación, inspección, vigilancia y control de las actividades relacionadas con la seguridad, protección y convivencia ciudadana, y finaliza con el seguimiento y cumplimiento de las medidas correctivas impuestas.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</si>
  <si>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</si>
  <si>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</si>
  <si>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</si>
  <si>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</si>
  <si>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</si>
  <si>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</si>
  <si>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</si>
  <si>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</si>
  <si>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</si>
  <si>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</si>
  <si>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</si>
  <si>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</si>
  <si>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</si>
  <si>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</si>
  <si>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</si>
  <si>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</si>
  <si>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</si>
  <si>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</si>
  <si>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</si>
  <si>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</si>
  <si>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</si>
  <si>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</si>
  <si>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</si>
  <si>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</si>
  <si>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</si>
  <si>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</si>
  <si>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</si>
  <si>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</si>
  <si>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</si>
  <si>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</si>
  <si>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</si>
  <si>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Incumplimiento de la normatividad archivística en los documentos emanados de la Secretaría del Interior</t>
  </si>
  <si>
    <t>Posibilidad de afectación reputacional por posibles investigaciones y sanciones disciplinarias por entes de control, debido al incumplimiento de la Ley 594 del 2000 en los documentos emanados por la Secretaría del Interior</t>
  </si>
  <si>
    <t>Ejecucion y Administracion de procesos</t>
  </si>
  <si>
    <t xml:space="preserve">     El riesgo afecta la imagen de la entidad con algunos usuarios de relevancia frente al logro de los objetivos</t>
  </si>
  <si>
    <t>El profesional asignado al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</si>
  <si>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Preventivo</t>
  </si>
  <si>
    <t>Manual</t>
  </si>
  <si>
    <t>Documentado</t>
  </si>
  <si>
    <t>Continua</t>
  </si>
  <si>
    <t>Con Registro</t>
  </si>
  <si>
    <t>Reducir (mitigar)</t>
  </si>
  <si>
    <t xml:space="preserve">Realizar las Transferencias documentales de la Secretaría del Interior en los tiempos establecidos en el cronograma del  Archivo Central. </t>
  </si>
  <si>
    <t>Profesional encargado</t>
  </si>
  <si>
    <t>Investigaciones y sanciones por Entes de Control</t>
  </si>
  <si>
    <t xml:space="preserve">Respuestas extemporáneas de las  PQRSD asignadas a la Secretaría del Interior </t>
  </si>
  <si>
    <t xml:space="preserve">Posibilidad de afectación reputacional  por investigaciones y sanciones por entes de control, debido a las respuestas extemporáneas de las PQRSD asignadas a la Secretaría del Interior </t>
  </si>
  <si>
    <t>El responsable de las PQRSD de la Secretaría del Interior verifica las PQRSD próximas a vencer y vencidas asignadas a los funcionarios y contratistas de la secretaría, mediante seguimientos.</t>
  </si>
  <si>
    <t>Realizar un (1) acta por mesas de trabajos mensual de seguimiento a las PQRSD vencidas y por vencer con los responsables de dar respuesta de fondo y en los términos de ley.</t>
  </si>
  <si>
    <t>Subsecretaria del Interior</t>
  </si>
  <si>
    <t>Debido a la demora en los procesos de contratación y su continuidad de conformidad a la ley 1098 de 2006 lo cual genera un riesgo en la atención oportuna para los niños, niñas y adolescentes durante el periodo de restablecimiento de derechos (hogar de paso)</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</si>
  <si>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</si>
  <si>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 xml:space="preserve">     El riesgo afecta la imagen de de la entidad con efecto publicitario sostenido a nivel de sector administrativo, nivel departamental o municipal</t>
  </si>
  <si>
    <t>El Subsecretario del Interior y el comisario de familia, verifican la atención integral en el hogar de paso a los niños y niñas remitidos por las comisarías de familia ajustado a la normatividad vigente.</t>
  </si>
  <si>
    <t>Atender el 100% de los niños y niñas remitidos por las comisarías de familia.</t>
  </si>
  <si>
    <t>El Subsecretario del Interior y su equipo de trabajo del área de proyectos y contratación, verifica los procesos prioritarios que continúan para la próxima vigencia por medio de un seguimiento</t>
  </si>
  <si>
    <t>Realizar un seguimiento para la actualización oportuna del proyecto para la siguiente vigencia.</t>
  </si>
  <si>
    <t>Secretario del Interior</t>
  </si>
  <si>
    <t>Económico y Reputacional</t>
  </si>
  <si>
    <t>Investigaciones disciplinarias y fiscales promovidas por entes de control</t>
  </si>
  <si>
    <t xml:space="preserve">Suscripcion de contratos sin haber surtido el proceso de registro y/o actualización del proyecto de inversión </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</si>
  <si>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</si>
  <si>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 xml:space="preserve">     Entre 100 y 500 SMLMV </t>
  </si>
  <si>
    <t>El Secretario del Interior impartirá directrices al personal responsable de presupuesto y formuladores de proyectos de inversión, sobre los requerimientos para surtir el proceso de registro y/o actualización de proyectos en el marco de las normas vigentes.</t>
  </si>
  <si>
    <t xml:space="preserve">Emitir una (1) circular que contenga los lineamientos de articulación del equipo de presupuesto y formuladores de proyectos de inversión con el fin de surtir el proceso de registro y/o actualización de proyectos en el marco de las normas vigentes, previo a la adjudicación de los contratos </t>
  </si>
  <si>
    <t>Realizar un (1) informe semestral de seguimiento aleatorio al 10% de los contratos suscritos por la Secretaría del Interior donde se verifique la debida certificación del Banco de Proyectos previa a la adjudicación del contrato en el marco de las normas vigentes.</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</si>
  <si>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</si>
  <si>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</si>
  <si>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</si>
  <si>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El ordenador del gasto, el profesional líder de contratación y el profesional encargado de presupuesto en la Secretaría del Interior, realizarán el seguimiento al presupuesto en materia de contratación, conforme al principio de planeación, con el fin de evitar la constitución de reservas presupuestales a través del sistema financiero.</t>
  </si>
  <si>
    <t>Realizar 1 seguimiento trimestral a la planeación contractual programada para la vigencia, mediante una mesa de trabajo y la matriz de contratación de la Dependencia.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</si>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</sst>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8" tint="0.39997558519241921"/>
        <bgColor indexed="64"/>
      </patternFill>
    </fill>
  </fills>
  <borders count="11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ashed">
        <color theme="9" tint="-0.24994659260841701"/>
      </right>
      <top/>
      <bottom/>
      <diagonal/>
    </border>
    <border>
      <left/>
      <right style="thin">
        <color indexed="64"/>
      </right>
      <top style="medium">
        <color indexed="64"/>
      </top>
      <bottom/>
      <diagonal/>
    </border>
  </borders>
  <cellStyleXfs count="5">
    <xf numFmtId="0" fontId="0" fillId="0" borderId="0"/>
    <xf numFmtId="9" fontId="13" fillId="0" borderId="0" applyFont="0" applyFill="0" applyBorder="0" applyAlignment="0" applyProtection="0"/>
    <xf numFmtId="0" fontId="45" fillId="0" borderId="0"/>
    <xf numFmtId="0" fontId="46" fillId="0" borderId="0"/>
    <xf numFmtId="0" fontId="5" fillId="0" borderId="0"/>
  </cellStyleXfs>
  <cellXfs count="57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11" xfId="0" applyFont="1" applyFill="1" applyBorder="1" applyAlignment="1">
      <alignment horizontal="center" vertical="center" wrapText="1" readingOrder="1"/>
    </xf>
    <xf numFmtId="0" fontId="9" fillId="0" borderId="11" xfId="0" applyFont="1" applyBorder="1" applyAlignment="1">
      <alignment horizontal="justify" vertical="center" wrapText="1" readingOrder="1"/>
    </xf>
    <xf numFmtId="9" fontId="9" fillId="0" borderId="11"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1"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22" fillId="13" borderId="19" xfId="0" applyFont="1" applyFill="1" applyBorder="1" applyAlignment="1" applyProtection="1">
      <alignment horizontal="center" wrapText="1" readingOrder="1"/>
      <protection hidden="1"/>
    </xf>
    <xf numFmtId="0" fontId="0" fillId="3" borderId="0" xfId="0" applyFill="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34" xfId="0" applyFont="1" applyFill="1" applyBorder="1" applyAlignment="1">
      <alignment horizontal="center" vertical="center" wrapText="1" readingOrder="1"/>
    </xf>
    <xf numFmtId="0" fontId="36" fillId="3" borderId="34" xfId="0" applyFont="1" applyFill="1" applyBorder="1" applyAlignment="1">
      <alignment horizontal="justify" vertical="center" wrapText="1" readingOrder="1"/>
    </xf>
    <xf numFmtId="9" fontId="35" fillId="3" borderId="43" xfId="0" applyNumberFormat="1"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6" fillId="3" borderId="33" xfId="0" applyFont="1" applyFill="1" applyBorder="1" applyAlignment="1">
      <alignment horizontal="justify" vertical="center" wrapText="1" readingOrder="1"/>
    </xf>
    <xf numFmtId="9" fontId="35" fillId="3" borderId="38" xfId="0" applyNumberFormat="1"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xf numFmtId="0" fontId="36" fillId="3" borderId="40" xfId="0" applyFont="1" applyFill="1" applyBorder="1" applyAlignment="1">
      <alignment horizontal="justify" vertical="center" wrapText="1" readingOrder="1"/>
    </xf>
    <xf numFmtId="0" fontId="36" fillId="3" borderId="41" xfId="0" applyFont="1" applyFill="1" applyBorder="1" applyAlignment="1">
      <alignment horizontal="center" vertical="center" wrapText="1" readingOrder="1"/>
    </xf>
    <xf numFmtId="0" fontId="44" fillId="3" borderId="0" xfId="0" applyFont="1" applyFill="1"/>
    <xf numFmtId="0" fontId="35" fillId="14" borderId="45" xfId="0" applyFont="1" applyFill="1" applyBorder="1" applyAlignment="1">
      <alignment horizontal="center" vertical="center" wrapText="1" readingOrder="1"/>
    </xf>
    <xf numFmtId="0" fontId="35" fillId="14" borderId="46"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7" fillId="3" borderId="51" xfId="2" applyFont="1" applyFill="1" applyBorder="1"/>
    <xf numFmtId="0" fontId="47" fillId="3" borderId="52" xfId="2" applyFont="1" applyFill="1" applyBorder="1"/>
    <xf numFmtId="0" fontId="47" fillId="3" borderId="53" xfId="2" applyFont="1" applyFill="1" applyBorder="1"/>
    <xf numFmtId="0" fontId="0" fillId="3" borderId="15" xfId="0" applyFill="1" applyBorder="1"/>
    <xf numFmtId="0" fontId="49" fillId="3" borderId="0" xfId="2" quotePrefix="1" applyFont="1" applyFill="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47" fillId="0" borderId="75" xfId="2" quotePrefix="1" applyFont="1" applyBorder="1" applyAlignment="1">
      <alignment horizontal="left" vertical="top" wrapText="1"/>
    </xf>
    <xf numFmtId="0" fontId="51" fillId="3" borderId="0" xfId="2" quotePrefix="1" applyFont="1" applyFill="1" applyAlignment="1">
      <alignment horizontal="left" vertical="top" wrapText="1"/>
    </xf>
    <xf numFmtId="0" fontId="51" fillId="3" borderId="86" xfId="2" quotePrefix="1" applyFont="1" applyFill="1" applyBorder="1" applyAlignment="1">
      <alignment horizontal="left" vertical="top" wrapText="1"/>
    </xf>
    <xf numFmtId="0" fontId="51" fillId="3" borderId="75" xfId="2" quotePrefix="1" applyFont="1" applyFill="1" applyBorder="1" applyAlignment="1">
      <alignment horizontal="left" vertical="top" wrapText="1"/>
    </xf>
    <xf numFmtId="0" fontId="47" fillId="3" borderId="86" xfId="2" applyFont="1" applyFill="1" applyBorder="1"/>
    <xf numFmtId="0" fontId="47" fillId="3" borderId="0" xfId="2" applyFont="1" applyFill="1"/>
    <xf numFmtId="0" fontId="47" fillId="3" borderId="75" xfId="2" applyFont="1" applyFill="1" applyBorder="1"/>
    <xf numFmtId="0" fontId="47" fillId="3" borderId="15" xfId="2" applyFont="1" applyFill="1" applyBorder="1"/>
    <xf numFmtId="0" fontId="47" fillId="3" borderId="14" xfId="2"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2" applyFont="1" applyFill="1" applyAlignment="1">
      <alignment horizontal="left" vertical="top" wrapText="1"/>
    </xf>
    <xf numFmtId="0" fontId="47" fillId="3" borderId="14" xfId="2" applyFont="1" applyFill="1" applyBorder="1" applyAlignment="1">
      <alignment horizontal="left" vertical="top" wrapText="1"/>
    </xf>
    <xf numFmtId="0" fontId="47" fillId="3" borderId="15" xfId="2" applyFont="1" applyFill="1" applyBorder="1" applyAlignment="1">
      <alignment horizontal="left" vertical="top" wrapText="1"/>
    </xf>
    <xf numFmtId="0" fontId="47" fillId="3" borderId="16" xfId="2" applyFont="1" applyFill="1" applyBorder="1"/>
    <xf numFmtId="0" fontId="47" fillId="3" borderId="18" xfId="2" applyFont="1" applyFill="1" applyBorder="1"/>
    <xf numFmtId="0" fontId="47" fillId="3" borderId="17" xfId="2" applyFont="1" applyFill="1" applyBorder="1"/>
    <xf numFmtId="0" fontId="14" fillId="16" borderId="0" xfId="0" applyFont="1" applyFill="1" applyAlignment="1">
      <alignment horizontal="left" vertical="top" wrapText="1"/>
    </xf>
    <xf numFmtId="0" fontId="45" fillId="3" borderId="95" xfId="0" applyFont="1" applyFill="1" applyBorder="1" applyAlignment="1">
      <alignment vertical="center" wrapText="1"/>
    </xf>
    <xf numFmtId="0" fontId="45" fillId="3" borderId="97" xfId="0" applyFont="1" applyFill="1" applyBorder="1" applyAlignment="1">
      <alignment vertical="center" wrapText="1"/>
    </xf>
    <xf numFmtId="0" fontId="14" fillId="16" borderId="0" xfId="0" applyFont="1" applyFill="1" applyAlignment="1">
      <alignment wrapText="1"/>
    </xf>
    <xf numFmtId="0" fontId="5" fillId="0" borderId="0" xfId="0" applyFont="1" applyAlignment="1">
      <alignment vertical="top" wrapText="1"/>
    </xf>
    <xf numFmtId="0" fontId="59" fillId="0" borderId="0" xfId="0" applyFont="1" applyAlignment="1">
      <alignment horizontal="center" vertical="center" wrapText="1"/>
    </xf>
    <xf numFmtId="0" fontId="60" fillId="0" borderId="0" xfId="0" applyFont="1" applyAlignment="1">
      <alignment vertical="center" wrapText="1"/>
    </xf>
    <xf numFmtId="0" fontId="42" fillId="17" borderId="98" xfId="0" applyFont="1" applyFill="1" applyBorder="1" applyAlignment="1">
      <alignment horizontal="left" vertical="center" wrapText="1" indent="1"/>
    </xf>
    <xf numFmtId="0" fontId="42" fillId="17" borderId="100" xfId="0" applyFont="1" applyFill="1" applyBorder="1" applyAlignment="1">
      <alignment horizontal="left" vertical="center" wrapText="1" indent="1"/>
    </xf>
    <xf numFmtId="0" fontId="56" fillId="0" borderId="45" xfId="0" applyFont="1" applyBorder="1" applyAlignment="1">
      <alignment horizontal="center" vertical="center" wrapText="1"/>
    </xf>
    <xf numFmtId="0" fontId="56" fillId="0" borderId="104" xfId="0" applyFont="1" applyBorder="1" applyAlignment="1">
      <alignment horizontal="center" vertical="center" wrapText="1"/>
    </xf>
    <xf numFmtId="0" fontId="56" fillId="0" borderId="47" xfId="0" applyFont="1" applyBorder="1" applyAlignment="1">
      <alignment horizontal="center" vertical="center" wrapText="1"/>
    </xf>
    <xf numFmtId="0" fontId="58" fillId="0" borderId="0" xfId="0" applyFont="1" applyAlignment="1">
      <alignment horizontal="center" vertical="center"/>
    </xf>
    <xf numFmtId="0" fontId="61"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5" fillId="17" borderId="13" xfId="0" applyFont="1" applyFill="1" applyBorder="1" applyAlignment="1">
      <alignment horizontal="center" vertical="center" wrapText="1"/>
    </xf>
    <xf numFmtId="0" fontId="55" fillId="17" borderId="109" xfId="0" applyFont="1" applyFill="1" applyBorder="1" applyAlignment="1">
      <alignment horizontal="center" vertical="center" wrapText="1"/>
    </xf>
    <xf numFmtId="14" fontId="1" fillId="3" borderId="2" xfId="0" applyNumberFormat="1" applyFont="1" applyFill="1" applyBorder="1" applyAlignment="1" applyProtection="1">
      <alignment horizontal="center" vertical="center"/>
      <protection locked="0"/>
    </xf>
    <xf numFmtId="0" fontId="1" fillId="0" borderId="4" xfId="0" applyFont="1" applyBorder="1" applyAlignment="1">
      <alignment horizontal="center" vertical="center"/>
    </xf>
    <xf numFmtId="0" fontId="4" fillId="0" borderId="4"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164" fontId="1" fillId="0" borderId="4" xfId="1" applyNumberFormat="1" applyFont="1" applyBorder="1" applyAlignment="1">
      <alignment horizontal="center" vertical="center"/>
    </xf>
    <xf numFmtId="0" fontId="1" fillId="0" borderId="2" xfId="0" applyFont="1" applyBorder="1" applyAlignment="1" applyProtection="1">
      <alignment horizontal="justify" vertical="center" wrapText="1"/>
      <protection locked="0"/>
    </xf>
    <xf numFmtId="0" fontId="1" fillId="3" borderId="2" xfId="0" applyFont="1" applyFill="1" applyBorder="1" applyAlignment="1" applyProtection="1">
      <alignment horizontal="justify" vertical="center" wrapText="1"/>
      <protection locked="0"/>
    </xf>
    <xf numFmtId="14" fontId="1" fillId="3" borderId="2"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52" fillId="3" borderId="69" xfId="0" applyFont="1" applyFill="1" applyBorder="1" applyAlignment="1">
      <alignment horizontal="left" vertical="center" wrapText="1"/>
    </xf>
    <xf numFmtId="0" fontId="52" fillId="3" borderId="70" xfId="0" applyFont="1" applyFill="1" applyBorder="1" applyAlignment="1">
      <alignment horizontal="left" vertical="center" wrapText="1"/>
    </xf>
    <xf numFmtId="0" fontId="53" fillId="3" borderId="62" xfId="2" applyFont="1" applyFill="1" applyBorder="1" applyAlignment="1">
      <alignment horizontal="justify" vertical="center" wrapText="1"/>
    </xf>
    <xf numFmtId="0" fontId="53" fillId="3" borderId="63" xfId="2" applyFont="1" applyFill="1" applyBorder="1" applyAlignment="1">
      <alignment horizontal="justify" vertical="center" wrapText="1"/>
    </xf>
    <xf numFmtId="0" fontId="52" fillId="3" borderId="71" xfId="0" applyFont="1" applyFill="1" applyBorder="1" applyAlignment="1">
      <alignment horizontal="left" vertical="center" wrapText="1"/>
    </xf>
    <xf numFmtId="0" fontId="52" fillId="3" borderId="72" xfId="0" applyFont="1" applyFill="1" applyBorder="1" applyAlignment="1">
      <alignment horizontal="left" vertical="center" wrapText="1"/>
    </xf>
    <xf numFmtId="0" fontId="53" fillId="3" borderId="64" xfId="0" applyFont="1" applyFill="1" applyBorder="1" applyAlignment="1">
      <alignment horizontal="justify" vertical="center" wrapText="1"/>
    </xf>
    <xf numFmtId="0" fontId="53" fillId="3" borderId="65" xfId="0" applyFont="1" applyFill="1" applyBorder="1" applyAlignment="1">
      <alignment horizontal="justify" vertical="center" wrapText="1"/>
    </xf>
    <xf numFmtId="0" fontId="52" fillId="3" borderId="60" xfId="0" applyFont="1" applyFill="1" applyBorder="1" applyAlignment="1">
      <alignment horizontal="left" vertical="center" wrapText="1"/>
    </xf>
    <xf numFmtId="0" fontId="52" fillId="3" borderId="61" xfId="0" applyFont="1" applyFill="1" applyBorder="1" applyAlignment="1">
      <alignment horizontal="left" vertical="center" wrapText="1"/>
    </xf>
    <xf numFmtId="0" fontId="52" fillId="3" borderId="92" xfId="3" applyFont="1" applyFill="1" applyBorder="1" applyAlignment="1">
      <alignment horizontal="left" vertical="top" wrapText="1" readingOrder="1"/>
    </xf>
    <xf numFmtId="0" fontId="52" fillId="3" borderId="57" xfId="3" applyFont="1" applyFill="1" applyBorder="1" applyAlignment="1">
      <alignment horizontal="left" vertical="top" wrapText="1" readingOrder="1"/>
    </xf>
    <xf numFmtId="0" fontId="53" fillId="3" borderId="93" xfId="2" applyFont="1" applyFill="1" applyBorder="1" applyAlignment="1">
      <alignment horizontal="justify" vertical="center" wrapText="1"/>
    </xf>
    <xf numFmtId="0" fontId="53" fillId="3" borderId="80" xfId="2" applyFont="1" applyFill="1" applyBorder="1" applyAlignment="1">
      <alignment horizontal="justify" vertical="center" wrapText="1"/>
    </xf>
    <xf numFmtId="0" fontId="53" fillId="3" borderId="58" xfId="2" applyFont="1" applyFill="1" applyBorder="1" applyAlignment="1">
      <alignment horizontal="justify" vertical="center" wrapText="1"/>
    </xf>
    <xf numFmtId="0" fontId="53" fillId="3" borderId="59" xfId="2" applyFont="1" applyFill="1" applyBorder="1" applyAlignment="1">
      <alignment horizontal="justify" vertical="center" wrapText="1"/>
    </xf>
    <xf numFmtId="0" fontId="52" fillId="3" borderId="56" xfId="3" applyFont="1" applyFill="1" applyBorder="1" applyAlignment="1">
      <alignment horizontal="left" vertical="top" wrapText="1" readingOrder="1"/>
    </xf>
    <xf numFmtId="0" fontId="52" fillId="3" borderId="78" xfId="3" applyFont="1" applyFill="1" applyBorder="1" applyAlignment="1">
      <alignment horizontal="left" vertical="top" wrapText="1" readingOrder="1"/>
    </xf>
    <xf numFmtId="0" fontId="53" fillId="3" borderId="79" xfId="2" applyFont="1" applyFill="1" applyBorder="1" applyAlignment="1">
      <alignment horizontal="justify" vertical="center" wrapText="1"/>
    </xf>
    <xf numFmtId="0" fontId="53" fillId="3" borderId="81" xfId="2" applyFont="1" applyFill="1" applyBorder="1" applyAlignment="1">
      <alignment horizontal="justify" vertical="center" wrapText="1"/>
    </xf>
    <xf numFmtId="0" fontId="52" fillId="3" borderId="82" xfId="3" applyFont="1" applyFill="1" applyBorder="1" applyAlignment="1">
      <alignment horizontal="left" vertical="top" wrapText="1" readingOrder="1"/>
    </xf>
    <xf numFmtId="0" fontId="52" fillId="3" borderId="83" xfId="3" applyFont="1" applyFill="1" applyBorder="1" applyAlignment="1">
      <alignment horizontal="left" vertical="top" wrapText="1" readingOrder="1"/>
    </xf>
    <xf numFmtId="0" fontId="53" fillId="3" borderId="84" xfId="2" applyFont="1" applyFill="1" applyBorder="1" applyAlignment="1">
      <alignment horizontal="justify" vertical="center" wrapText="1"/>
    </xf>
    <xf numFmtId="0" fontId="53" fillId="3" borderId="85" xfId="2" applyFont="1" applyFill="1" applyBorder="1" applyAlignment="1">
      <alignment horizontal="justify" vertical="center" wrapText="1"/>
    </xf>
    <xf numFmtId="0" fontId="51" fillId="3" borderId="14" xfId="2" quotePrefix="1" applyFont="1" applyFill="1" applyBorder="1" applyAlignment="1">
      <alignment horizontal="center" vertical="top" wrapText="1"/>
    </xf>
    <xf numFmtId="0" fontId="51" fillId="3" borderId="0" xfId="2" quotePrefix="1" applyFont="1" applyFill="1" applyAlignment="1">
      <alignment horizontal="center" vertical="top" wrapText="1"/>
    </xf>
    <xf numFmtId="0" fontId="51" fillId="3" borderId="75" xfId="2" quotePrefix="1" applyFont="1" applyFill="1" applyBorder="1" applyAlignment="1">
      <alignment horizontal="center" vertical="top" wrapText="1"/>
    </xf>
    <xf numFmtId="0" fontId="52" fillId="15" borderId="87" xfId="3" applyFont="1" applyFill="1" applyBorder="1" applyAlignment="1">
      <alignment horizontal="center" vertical="center" wrapText="1"/>
    </xf>
    <xf numFmtId="0" fontId="52" fillId="15" borderId="77" xfId="3" applyFont="1" applyFill="1" applyBorder="1" applyAlignment="1">
      <alignment horizontal="center" vertical="center" wrapText="1"/>
    </xf>
    <xf numFmtId="0" fontId="52" fillId="15" borderId="54" xfId="2" applyFont="1" applyFill="1" applyBorder="1" applyAlignment="1">
      <alignment horizontal="center" vertical="center"/>
    </xf>
    <xf numFmtId="0" fontId="52" fillId="15" borderId="55" xfId="2" applyFont="1" applyFill="1" applyBorder="1" applyAlignment="1">
      <alignment horizontal="center" vertical="center"/>
    </xf>
    <xf numFmtId="0" fontId="52" fillId="3" borderId="88" xfId="3" applyFont="1" applyFill="1" applyBorder="1" applyAlignment="1">
      <alignment horizontal="left" vertical="top" wrapText="1" readingOrder="1"/>
    </xf>
    <xf numFmtId="0" fontId="52" fillId="3" borderId="89" xfId="3" applyFont="1" applyFill="1" applyBorder="1" applyAlignment="1">
      <alignment horizontal="left" vertical="top" wrapText="1" readingOrder="1"/>
    </xf>
    <xf numFmtId="0" fontId="53" fillId="3" borderId="90" xfId="2" applyFont="1" applyFill="1" applyBorder="1" applyAlignment="1">
      <alignment horizontal="justify" vertical="center" wrapText="1"/>
    </xf>
    <xf numFmtId="0" fontId="53" fillId="3" borderId="91" xfId="2" applyFont="1" applyFill="1" applyBorder="1" applyAlignment="1">
      <alignment horizontal="justify" vertical="center" wrapText="1"/>
    </xf>
    <xf numFmtId="0" fontId="52" fillId="15" borderId="76" xfId="3" applyFont="1" applyFill="1" applyBorder="1" applyAlignment="1">
      <alignment horizontal="center" vertical="center" wrapText="1"/>
    </xf>
    <xf numFmtId="0" fontId="48" fillId="15" borderId="48" xfId="2" applyFont="1" applyFill="1" applyBorder="1" applyAlignment="1">
      <alignment horizontal="center" vertical="center" wrapText="1"/>
    </xf>
    <xf numFmtId="0" fontId="48" fillId="15" borderId="49" xfId="2" applyFont="1" applyFill="1" applyBorder="1" applyAlignment="1">
      <alignment horizontal="center" vertical="center" wrapText="1"/>
    </xf>
    <xf numFmtId="0" fontId="48" fillId="15" borderId="50" xfId="2" applyFont="1" applyFill="1" applyBorder="1" applyAlignment="1">
      <alignment horizontal="center" vertical="center" wrapText="1"/>
    </xf>
    <xf numFmtId="0" fontId="47" fillId="0" borderId="14" xfId="2" quotePrefix="1" applyFont="1" applyBorder="1" applyAlignment="1">
      <alignment horizontal="left" vertical="center" wrapText="1"/>
    </xf>
    <xf numFmtId="0" fontId="47" fillId="0" borderId="0" xfId="2" quotePrefix="1" applyFont="1" applyAlignment="1">
      <alignment horizontal="left" vertical="center" wrapText="1"/>
    </xf>
    <xf numFmtId="0" fontId="47" fillId="0" borderId="15" xfId="2" quotePrefix="1" applyFont="1" applyBorder="1" applyAlignment="1">
      <alignment horizontal="left" vertical="center" wrapText="1"/>
    </xf>
    <xf numFmtId="0" fontId="47" fillId="0" borderId="66" xfId="2" quotePrefix="1" applyFont="1" applyBorder="1" applyAlignment="1">
      <alignment horizontal="left" vertical="center" wrapText="1"/>
    </xf>
    <xf numFmtId="0" fontId="47" fillId="0" borderId="67" xfId="2" quotePrefix="1" applyFont="1" applyBorder="1" applyAlignment="1">
      <alignment horizontal="left" vertical="center" wrapText="1"/>
    </xf>
    <xf numFmtId="0" fontId="47" fillId="0" borderId="68" xfId="2" quotePrefix="1" applyFont="1" applyBorder="1" applyAlignment="1">
      <alignment horizontal="left" vertical="center" wrapText="1"/>
    </xf>
    <xf numFmtId="0" fontId="49" fillId="3" borderId="52" xfId="2" quotePrefix="1" applyFont="1" applyFill="1" applyBorder="1" applyAlignment="1">
      <alignment horizontal="left" vertical="top" wrapText="1"/>
    </xf>
    <xf numFmtId="0" fontId="50" fillId="3" borderId="52" xfId="2" quotePrefix="1" applyFont="1" applyFill="1" applyBorder="1" applyAlignment="1">
      <alignment horizontal="left" vertical="top" wrapText="1"/>
    </xf>
    <xf numFmtId="0" fontId="50"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62" fillId="0" borderId="39" xfId="0" applyFont="1" applyBorder="1" applyAlignment="1">
      <alignment horizontal="left" vertical="center" wrapText="1"/>
    </xf>
    <xf numFmtId="0" fontId="62" fillId="0" borderId="40" xfId="0" applyFont="1" applyBorder="1" applyAlignment="1">
      <alignment horizontal="left" vertical="center" wrapText="1"/>
    </xf>
    <xf numFmtId="0" fontId="62" fillId="0" borderId="101" xfId="0" applyFont="1" applyBorder="1" applyAlignment="1">
      <alignment horizontal="left" vertical="center" wrapText="1"/>
    </xf>
    <xf numFmtId="0" fontId="1" fillId="0" borderId="39" xfId="0" applyFont="1" applyBorder="1" applyAlignment="1">
      <alignment horizontal="left"/>
    </xf>
    <xf numFmtId="0" fontId="1" fillId="0" borderId="41" xfId="0" applyFont="1" applyBorder="1" applyAlignment="1">
      <alignment horizontal="left"/>
    </xf>
    <xf numFmtId="0" fontId="62" fillId="0" borderId="37" xfId="0" applyFont="1" applyBorder="1" applyAlignment="1">
      <alignment horizontal="left" vertical="center" wrapText="1"/>
    </xf>
    <xf numFmtId="0" fontId="62" fillId="0" borderId="33" xfId="0" applyFont="1" applyBorder="1" applyAlignment="1">
      <alignment horizontal="left" vertical="center" wrapText="1"/>
    </xf>
    <xf numFmtId="0" fontId="62" fillId="0" borderId="81"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56" fillId="0" borderId="37" xfId="0" applyFont="1" applyBorder="1" applyAlignment="1">
      <alignment horizontal="left" vertical="center" wrapText="1"/>
    </xf>
    <xf numFmtId="0" fontId="56" fillId="0" borderId="33" xfId="0" applyFont="1" applyBorder="1" applyAlignment="1">
      <alignment horizontal="left" vertical="center" wrapText="1"/>
    </xf>
    <xf numFmtId="0" fontId="56" fillId="0" borderId="81" xfId="0" applyFont="1" applyBorder="1" applyAlignment="1">
      <alignment horizontal="left" vertical="center" wrapText="1"/>
    </xf>
    <xf numFmtId="0" fontId="33" fillId="0" borderId="37" xfId="0" applyFont="1" applyBorder="1" applyAlignment="1">
      <alignment horizontal="left" vertical="center" wrapText="1"/>
    </xf>
    <xf numFmtId="0" fontId="33" fillId="0" borderId="38" xfId="0" applyFont="1" applyBorder="1" applyAlignment="1">
      <alignment horizontal="left" vertical="center" wrapText="1"/>
    </xf>
    <xf numFmtId="0" fontId="56" fillId="0" borderId="37" xfId="0" applyFont="1" applyBorder="1" applyAlignment="1">
      <alignment horizontal="left" vertical="top" wrapText="1"/>
    </xf>
    <xf numFmtId="0" fontId="56" fillId="0" borderId="33" xfId="0" applyFont="1" applyBorder="1" applyAlignment="1">
      <alignment horizontal="left" vertical="top" wrapText="1"/>
    </xf>
    <xf numFmtId="0" fontId="56" fillId="0" borderId="81" xfId="0" applyFont="1" applyBorder="1" applyAlignment="1">
      <alignment horizontal="left" vertical="top" wrapText="1"/>
    </xf>
    <xf numFmtId="0" fontId="33" fillId="0" borderId="37" xfId="0" applyFont="1" applyBorder="1" applyAlignment="1">
      <alignment horizontal="left" wrapText="1"/>
    </xf>
    <xf numFmtId="0" fontId="33"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101" xfId="0" applyFont="1" applyFill="1" applyBorder="1" applyAlignment="1">
      <alignment horizontal="left" vertical="center"/>
    </xf>
    <xf numFmtId="0" fontId="62" fillId="0" borderId="39" xfId="0" applyFont="1" applyBorder="1" applyAlignment="1">
      <alignment horizontal="left" wrapText="1"/>
    </xf>
    <xf numFmtId="0" fontId="62" fillId="0" borderId="41" xfId="0" applyFont="1" applyBorder="1" applyAlignment="1">
      <alignment horizontal="left" wrapText="1"/>
    </xf>
    <xf numFmtId="0" fontId="42" fillId="20" borderId="14" xfId="0" applyFont="1" applyFill="1" applyBorder="1" applyAlignment="1">
      <alignment horizontal="center" vertical="center" wrapText="1"/>
    </xf>
    <xf numFmtId="0" fontId="42" fillId="20" borderId="0" xfId="0" applyFont="1" applyFill="1" applyAlignment="1">
      <alignment horizontal="center" vertical="center" wrapText="1"/>
    </xf>
    <xf numFmtId="0" fontId="42" fillId="20" borderId="15" xfId="0" applyFont="1" applyFill="1" applyBorder="1" applyAlignment="1">
      <alignment horizontal="center" vertical="center" wrapText="1"/>
    </xf>
    <xf numFmtId="0" fontId="56" fillId="0" borderId="98" xfId="0" applyFont="1" applyBorder="1" applyAlignment="1">
      <alignment vertical="top" wrapText="1"/>
    </xf>
    <xf numFmtId="0" fontId="56" fillId="0" borderId="105" xfId="0" applyFont="1" applyBorder="1" applyAlignment="1">
      <alignment vertical="top" wrapText="1"/>
    </xf>
    <xf numFmtId="0" fontId="56" fillId="0" borderId="99" xfId="0" applyFont="1" applyBorder="1" applyAlignment="1">
      <alignment vertical="top" wrapText="1"/>
    </xf>
    <xf numFmtId="0" fontId="33" fillId="0" borderId="98" xfId="0" applyFont="1" applyBorder="1" applyAlignment="1">
      <alignment horizontal="left" vertical="center" wrapText="1"/>
    </xf>
    <xf numFmtId="0" fontId="33" fillId="0" borderId="106" xfId="0" applyFont="1" applyBorder="1" applyAlignment="1">
      <alignment horizontal="left" vertical="center" wrapText="1"/>
    </xf>
    <xf numFmtId="0" fontId="33" fillId="0" borderId="33" xfId="0" applyFont="1" applyBorder="1" applyAlignment="1">
      <alignment horizontal="left" vertical="center" wrapText="1"/>
    </xf>
    <xf numFmtId="0" fontId="33" fillId="0" borderId="81"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81" xfId="0" applyFont="1" applyFill="1" applyBorder="1" applyAlignment="1">
      <alignment horizontal="left" vertical="center" wrapText="1"/>
    </xf>
    <xf numFmtId="0" fontId="33" fillId="0" borderId="37" xfId="0" applyFont="1" applyBorder="1" applyAlignment="1">
      <alignment horizontal="left" vertical="center"/>
    </xf>
    <xf numFmtId="0" fontId="33" fillId="0" borderId="38" xfId="0" applyFont="1" applyBorder="1" applyAlignment="1">
      <alignment horizontal="left" vertical="center"/>
    </xf>
    <xf numFmtId="0" fontId="33" fillId="0" borderId="107" xfId="0" applyFont="1" applyBorder="1" applyAlignment="1">
      <alignment horizontal="left" vertical="center" wrapText="1"/>
    </xf>
    <xf numFmtId="0" fontId="33" fillId="0" borderId="79" xfId="0" applyFont="1" applyBorder="1" applyAlignment="1">
      <alignment horizontal="left" vertical="center" wrapText="1"/>
    </xf>
    <xf numFmtId="0" fontId="33" fillId="0" borderId="107" xfId="0" applyFont="1" applyBorder="1" applyAlignment="1">
      <alignment horizontal="left" vertical="center"/>
    </xf>
    <xf numFmtId="0" fontId="33" fillId="0" borderId="79" xfId="0" applyFont="1" applyBorder="1" applyAlignment="1">
      <alignment horizontal="left" vertical="center"/>
    </xf>
    <xf numFmtId="0" fontId="59" fillId="0" borderId="0" xfId="0" applyFont="1" applyAlignment="1">
      <alignment horizontal="center" vertical="center"/>
    </xf>
    <xf numFmtId="0" fontId="42" fillId="20" borderId="12" xfId="0" applyFont="1" applyFill="1" applyBorder="1" applyAlignment="1">
      <alignment horizontal="center" vertical="center" wrapText="1"/>
    </xf>
    <xf numFmtId="0" fontId="42" fillId="20" borderId="19" xfId="0" applyFont="1" applyFill="1" applyBorder="1" applyAlignment="1">
      <alignment horizontal="center" vertical="center" wrapText="1"/>
    </xf>
    <xf numFmtId="0" fontId="42" fillId="20" borderId="13" xfId="0" applyFont="1" applyFill="1" applyBorder="1" applyAlignment="1">
      <alignment horizontal="center" vertical="center" wrapText="1"/>
    </xf>
    <xf numFmtId="0" fontId="33" fillId="0" borderId="98" xfId="0" applyFont="1" applyBorder="1" applyAlignment="1">
      <alignment horizontal="left" vertical="center"/>
    </xf>
    <xf numFmtId="0" fontId="33" fillId="0" borderId="105" xfId="0" applyFont="1" applyBorder="1" applyAlignment="1">
      <alignment horizontal="left" vertical="center"/>
    </xf>
    <xf numFmtId="0" fontId="33" fillId="0" borderId="99" xfId="0" applyFont="1" applyBorder="1" applyAlignment="1">
      <alignment horizontal="left" vertical="center"/>
    </xf>
    <xf numFmtId="0" fontId="33" fillId="0" borderId="106" xfId="0" applyFont="1" applyBorder="1" applyAlignment="1">
      <alignment horizontal="left" vertical="center"/>
    </xf>
    <xf numFmtId="0" fontId="55" fillId="17" borderId="12" xfId="0" applyFont="1" applyFill="1" applyBorder="1" applyAlignment="1">
      <alignment horizontal="center" vertical="center" wrapText="1"/>
    </xf>
    <xf numFmtId="0" fontId="55" fillId="17" borderId="109" xfId="0" applyFont="1" applyFill="1" applyBorder="1" applyAlignment="1">
      <alignment horizontal="center" vertical="center" wrapText="1"/>
    </xf>
    <xf numFmtId="0" fontId="56" fillId="0" borderId="35" xfId="0" applyFont="1" applyBorder="1" applyAlignment="1">
      <alignment horizontal="left" vertical="center" wrapText="1"/>
    </xf>
    <xf numFmtId="0" fontId="56" fillId="0" borderId="3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58" fillId="0" borderId="12"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0" xfId="0" applyFont="1" applyAlignment="1">
      <alignment horizontal="center" vertical="center" wrapText="1"/>
    </xf>
    <xf numFmtId="0" fontId="58" fillId="0" borderId="16" xfId="0" applyFont="1" applyBorder="1" applyAlignment="1">
      <alignment horizontal="center" vertical="center" wrapText="1"/>
    </xf>
    <xf numFmtId="0" fontId="58" fillId="0" borderId="18" xfId="0" applyFont="1" applyBorder="1" applyAlignment="1">
      <alignment horizontal="center" vertical="center" wrapText="1"/>
    </xf>
    <xf numFmtId="0" fontId="42" fillId="18" borderId="99" xfId="0" applyFont="1" applyFill="1" applyBorder="1" applyAlignment="1">
      <alignment horizontal="left" vertical="center" wrapText="1" indent="1"/>
    </xf>
    <xf numFmtId="0" fontId="42" fillId="18" borderId="49" xfId="0" applyFont="1" applyFill="1" applyBorder="1" applyAlignment="1">
      <alignment horizontal="left" vertical="center" wrapText="1" indent="1"/>
    </xf>
    <xf numFmtId="0" fontId="42" fillId="18" borderId="50" xfId="0" applyFont="1" applyFill="1" applyBorder="1" applyAlignment="1">
      <alignment horizontal="left" vertical="center" wrapText="1" indent="1"/>
    </xf>
    <xf numFmtId="0" fontId="56" fillId="18" borderId="101" xfId="0" applyFont="1" applyFill="1" applyBorder="1" applyAlignment="1">
      <alignment horizontal="left" vertical="center" wrapText="1" indent="1"/>
    </xf>
    <xf numFmtId="0" fontId="56" fillId="18" borderId="102" xfId="0" applyFont="1" applyFill="1" applyBorder="1" applyAlignment="1">
      <alignment horizontal="left" vertical="center" wrapText="1" indent="1"/>
    </xf>
    <xf numFmtId="0" fontId="56" fillId="18" borderId="103" xfId="0" applyFont="1" applyFill="1" applyBorder="1" applyAlignment="1">
      <alignment horizontal="left" vertical="center" wrapText="1" indent="1"/>
    </xf>
    <xf numFmtId="0" fontId="35" fillId="19" borderId="0" xfId="0" applyFont="1" applyFill="1" applyAlignment="1">
      <alignment horizontal="center" vertical="center" wrapText="1"/>
    </xf>
    <xf numFmtId="0" fontId="42" fillId="17" borderId="12" xfId="0" applyFont="1" applyFill="1" applyBorder="1" applyAlignment="1">
      <alignment horizontal="center" vertical="center" wrapText="1"/>
    </xf>
    <xf numFmtId="0" fontId="42" fillId="17" borderId="19" xfId="0" applyFont="1" applyFill="1" applyBorder="1" applyAlignment="1">
      <alignment horizontal="center" vertical="center" wrapText="1"/>
    </xf>
    <xf numFmtId="0" fontId="42" fillId="17" borderId="13" xfId="0" applyFont="1" applyFill="1" applyBorder="1" applyAlignment="1">
      <alignment horizontal="center" vertical="center" wrapText="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5" xfId="1" applyNumberFormat="1" applyFont="1" applyBorder="1" applyAlignment="1">
      <alignment horizontal="center" vertical="center"/>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64" fillId="2" borderId="6" xfId="0" applyFont="1" applyFill="1" applyBorder="1" applyAlignment="1">
      <alignment horizontal="left" vertical="center"/>
    </xf>
    <xf numFmtId="0" fontId="64" fillId="2" borderId="7" xfId="0" applyFont="1" applyFill="1" applyBorder="1" applyAlignment="1">
      <alignment horizontal="left" vertical="center"/>
    </xf>
    <xf numFmtId="0" fontId="51" fillId="2" borderId="6" xfId="0" applyFont="1" applyFill="1" applyBorder="1" applyAlignment="1">
      <alignment horizontal="left" vertical="center"/>
    </xf>
    <xf numFmtId="0" fontId="65" fillId="2" borderId="7" xfId="0" applyFont="1" applyFill="1" applyBorder="1" applyAlignment="1">
      <alignment horizontal="left" vertical="center"/>
    </xf>
    <xf numFmtId="0" fontId="51" fillId="2" borderId="7" xfId="0" applyFont="1" applyFill="1" applyBorder="1" applyAlignment="1">
      <alignment horizontal="left" vertical="center"/>
    </xf>
    <xf numFmtId="0" fontId="63" fillId="2" borderId="2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63" fillId="2" borderId="30" xfId="0" applyFont="1" applyFill="1" applyBorder="1" applyAlignment="1">
      <alignment horizontal="center" vertical="center" wrapText="1"/>
    </xf>
    <xf numFmtId="0" fontId="63" fillId="2" borderId="9" xfId="0" applyFont="1" applyFill="1" applyBorder="1" applyAlignment="1">
      <alignment horizontal="center" vertical="center" wrapText="1"/>
    </xf>
    <xf numFmtId="0" fontId="63" fillId="2" borderId="0" xfId="0" applyFont="1" applyFill="1" applyAlignment="1">
      <alignment horizontal="center" vertical="center" wrapText="1"/>
    </xf>
    <xf numFmtId="0" fontId="63" fillId="2" borderId="108"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31" xfId="0" applyFont="1" applyFill="1" applyBorder="1" applyAlignment="1">
      <alignment horizontal="center" vertical="center" wrapText="1"/>
    </xf>
    <xf numFmtId="0" fontId="63" fillId="2" borderId="32" xfId="0" applyFont="1" applyFill="1" applyBorder="1" applyAlignment="1">
      <alignment horizontal="center"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 fillId="21" borderId="30" xfId="0" applyFont="1" applyFill="1" applyBorder="1" applyAlignment="1" applyProtection="1">
      <alignment horizontal="center" vertical="center" wrapText="1"/>
      <protection locked="0"/>
    </xf>
    <xf numFmtId="0" fontId="2" fillId="21" borderId="108" xfId="0" applyFont="1" applyFill="1" applyBorder="1" applyAlignment="1" applyProtection="1">
      <alignment horizontal="center" vertical="center" wrapText="1"/>
      <protection locked="0"/>
    </xf>
    <xf numFmtId="0" fontId="2" fillId="21" borderId="3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3" borderId="6"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0" xfId="0" applyFont="1" applyFill="1" applyAlignment="1">
      <alignment horizontal="center" vertical="center"/>
    </xf>
    <xf numFmtId="0" fontId="23" fillId="3" borderId="108"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4" fillId="2" borderId="2" xfId="0" applyFont="1" applyFill="1" applyBorder="1" applyAlignment="1">
      <alignment horizontal="center" vertical="center" textRotation="90"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4" xfId="0"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3" borderId="6"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20" fillId="12" borderId="23"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24" xfId="0" applyFont="1" applyFill="1" applyBorder="1" applyAlignment="1">
      <alignment horizontal="center" vertical="center" wrapText="1" readingOrder="1"/>
    </xf>
    <xf numFmtId="0" fontId="20" fillId="12" borderId="25" xfId="0" applyFont="1" applyFill="1" applyBorder="1" applyAlignment="1">
      <alignment horizontal="center" vertical="center" wrapText="1" readingOrder="1"/>
    </xf>
    <xf numFmtId="0" fontId="20" fillId="12" borderId="26" xfId="0" applyFont="1" applyFill="1" applyBorder="1" applyAlignment="1">
      <alignment horizontal="center" vertical="center" wrapText="1" readingOrder="1"/>
    </xf>
    <xf numFmtId="0" fontId="20" fillId="12" borderId="27"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24" xfId="0" applyFont="1" applyFill="1" applyBorder="1" applyAlignment="1">
      <alignment horizontal="center" vertical="center" wrapText="1" readingOrder="1"/>
    </xf>
    <xf numFmtId="0" fontId="20" fillId="11" borderId="25" xfId="0" applyFont="1" applyFill="1" applyBorder="1" applyAlignment="1">
      <alignment horizontal="center" vertical="center" wrapText="1" readingOrder="1"/>
    </xf>
    <xf numFmtId="0" fontId="20" fillId="11" borderId="26" xfId="0" applyFont="1" applyFill="1" applyBorder="1" applyAlignment="1">
      <alignment horizontal="center" vertical="center" wrapText="1" readingOrder="1"/>
    </xf>
    <xf numFmtId="0" fontId="20" fillId="11" borderId="27"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20" fillId="13" borderId="23"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24" xfId="0" applyFont="1" applyFill="1" applyBorder="1" applyAlignment="1">
      <alignment horizontal="center" vertical="center" wrapText="1" readingOrder="1"/>
    </xf>
    <xf numFmtId="0" fontId="20" fillId="13" borderId="25" xfId="0" applyFont="1" applyFill="1" applyBorder="1" applyAlignment="1">
      <alignment horizontal="center" vertical="center" wrapText="1" readingOrder="1"/>
    </xf>
    <xf numFmtId="0" fontId="20" fillId="13" borderId="26" xfId="0" applyFont="1" applyFill="1" applyBorder="1" applyAlignment="1">
      <alignment horizontal="center" vertical="center" wrapText="1" readingOrder="1"/>
    </xf>
    <xf numFmtId="0" fontId="20" fillId="13" borderId="27"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20" fillId="5" borderId="23"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5" xfId="0" applyFont="1" applyFill="1" applyBorder="1" applyAlignment="1">
      <alignment horizontal="center" vertical="center" wrapText="1" readingOrder="1"/>
    </xf>
    <xf numFmtId="0" fontId="20" fillId="5" borderId="26" xfId="0" applyFont="1" applyFill="1" applyBorder="1" applyAlignment="1">
      <alignment horizontal="center" vertical="center" wrapText="1" readingOrder="1"/>
    </xf>
    <xf numFmtId="0" fontId="20" fillId="5" borderId="27" xfId="0" applyFont="1" applyFill="1" applyBorder="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19" xfId="0" applyFont="1" applyBorder="1" applyAlignment="1">
      <alignment horizontal="center" vertical="center" wrapText="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40" fillId="11" borderId="20" xfId="0" applyFont="1" applyFill="1" applyBorder="1" applyAlignment="1">
      <alignment horizontal="center" vertical="center" wrapText="1" readingOrder="1"/>
    </xf>
    <xf numFmtId="0" fontId="40" fillId="11" borderId="21" xfId="0" applyFont="1" applyFill="1" applyBorder="1" applyAlignment="1">
      <alignment horizontal="center" vertical="center" wrapText="1" readingOrder="1"/>
    </xf>
    <xf numFmtId="0" fontId="40" fillId="11" borderId="22" xfId="0" applyFont="1" applyFill="1" applyBorder="1" applyAlignment="1">
      <alignment horizontal="center" vertical="center" wrapText="1" readingOrder="1"/>
    </xf>
    <xf numFmtId="0" fontId="40" fillId="11" borderId="23"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24" xfId="0" applyFont="1" applyFill="1" applyBorder="1" applyAlignment="1">
      <alignment horizontal="center" vertical="center" wrapText="1" readingOrder="1"/>
    </xf>
    <xf numFmtId="0" fontId="40" fillId="11" borderId="25" xfId="0" applyFont="1" applyFill="1" applyBorder="1" applyAlignment="1">
      <alignment horizontal="center" vertical="center" wrapText="1" readingOrder="1"/>
    </xf>
    <xf numFmtId="0" fontId="40" fillId="11" borderId="26" xfId="0" applyFont="1" applyFill="1" applyBorder="1" applyAlignment="1">
      <alignment horizontal="center" vertical="center" wrapText="1" readingOrder="1"/>
    </xf>
    <xf numFmtId="0" fontId="40" fillId="11" borderId="2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center" vertical="center"/>
    </xf>
    <xf numFmtId="0" fontId="41" fillId="0" borderId="14" xfId="0" applyFont="1" applyBorder="1" applyAlignment="1">
      <alignment horizontal="center" vertical="center"/>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0" fillId="12" borderId="20" xfId="0" applyFont="1" applyFill="1" applyBorder="1" applyAlignment="1">
      <alignment horizontal="center" vertical="center" wrapText="1" readingOrder="1"/>
    </xf>
    <xf numFmtId="0" fontId="40" fillId="12" borderId="21" xfId="0" applyFont="1" applyFill="1" applyBorder="1" applyAlignment="1">
      <alignment horizontal="center" vertical="center" wrapText="1" readingOrder="1"/>
    </xf>
    <xf numFmtId="0" fontId="40" fillId="12" borderId="22" xfId="0" applyFont="1" applyFill="1" applyBorder="1" applyAlignment="1">
      <alignment horizontal="center" vertical="center" wrapText="1" readingOrder="1"/>
    </xf>
    <xf numFmtId="0" fontId="40" fillId="12" borderId="23"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24" xfId="0" applyFont="1" applyFill="1" applyBorder="1" applyAlignment="1">
      <alignment horizontal="center" vertical="center" wrapText="1" readingOrder="1"/>
    </xf>
    <xf numFmtId="0" fontId="40" fillId="12" borderId="25" xfId="0" applyFont="1" applyFill="1" applyBorder="1" applyAlignment="1">
      <alignment horizontal="center" vertical="center" wrapText="1" readingOrder="1"/>
    </xf>
    <xf numFmtId="0" fontId="40" fillId="12" borderId="26" xfId="0" applyFont="1" applyFill="1" applyBorder="1" applyAlignment="1">
      <alignment horizontal="center" vertical="center" wrapText="1" readingOrder="1"/>
    </xf>
    <xf numFmtId="0" fontId="40" fillId="12" borderId="2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40" fillId="5" borderId="20" xfId="0" applyFont="1" applyFill="1" applyBorder="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5" borderId="22" xfId="0" applyFont="1" applyFill="1" applyBorder="1" applyAlignment="1">
      <alignment horizontal="center" vertical="center" wrapText="1" readingOrder="1"/>
    </xf>
    <xf numFmtId="0" fontId="40" fillId="5" borderId="23"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24" xfId="0" applyFont="1" applyFill="1" applyBorder="1" applyAlignment="1">
      <alignment horizontal="center" vertical="center" wrapText="1" readingOrder="1"/>
    </xf>
    <xf numFmtId="0" fontId="40" fillId="5" borderId="25" xfId="0" applyFont="1" applyFill="1" applyBorder="1" applyAlignment="1">
      <alignment horizontal="center" vertical="center" wrapText="1" readingOrder="1"/>
    </xf>
    <xf numFmtId="0" fontId="40" fillId="5" borderId="26" xfId="0" applyFont="1" applyFill="1" applyBorder="1" applyAlignment="1">
      <alignment horizontal="center" vertical="center" wrapText="1" readingOrder="1"/>
    </xf>
    <xf numFmtId="0" fontId="40" fillId="5" borderId="27" xfId="0" applyFont="1" applyFill="1" applyBorder="1" applyAlignment="1">
      <alignment horizontal="center" vertical="center" wrapText="1" readingOrder="1"/>
    </xf>
    <xf numFmtId="0" fontId="40" fillId="13" borderId="20" xfId="0" applyFont="1" applyFill="1" applyBorder="1" applyAlignment="1">
      <alignment horizontal="center" vertical="center" wrapText="1" readingOrder="1"/>
    </xf>
    <xf numFmtId="0" fontId="40" fillId="13" borderId="21" xfId="0" applyFont="1" applyFill="1" applyBorder="1" applyAlignment="1">
      <alignment horizontal="center" vertical="center" wrapText="1" readingOrder="1"/>
    </xf>
    <xf numFmtId="0" fontId="40" fillId="13" borderId="22" xfId="0" applyFont="1" applyFill="1" applyBorder="1" applyAlignment="1">
      <alignment horizontal="center" vertical="center" wrapText="1" readingOrder="1"/>
    </xf>
    <xf numFmtId="0" fontId="40" fillId="13" borderId="23"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24" xfId="0" applyFont="1" applyFill="1" applyBorder="1" applyAlignment="1">
      <alignment horizontal="center" vertical="center" wrapText="1" readingOrder="1"/>
    </xf>
    <xf numFmtId="0" fontId="40" fillId="13" borderId="25" xfId="0" applyFont="1" applyFill="1" applyBorder="1" applyAlignment="1">
      <alignment horizontal="center" vertical="center" wrapText="1" readingOrder="1"/>
    </xf>
    <xf numFmtId="0" fontId="40" fillId="13" borderId="26" xfId="0" applyFont="1" applyFill="1" applyBorder="1" applyAlignment="1">
      <alignment horizontal="center" vertical="center" wrapText="1" readingOrder="1"/>
    </xf>
    <xf numFmtId="0" fontId="40" fillId="13" borderId="27" xfId="0" applyFont="1" applyFill="1" applyBorder="1" applyAlignment="1">
      <alignment horizontal="center" vertical="center" wrapText="1" readingOrder="1"/>
    </xf>
    <xf numFmtId="0" fontId="41" fillId="0" borderId="19" xfId="0" applyFont="1" applyBorder="1" applyAlignment="1">
      <alignment horizontal="center" vertical="center" wrapText="1"/>
    </xf>
    <xf numFmtId="0" fontId="23" fillId="0" borderId="0" xfId="0" applyFont="1" applyAlignment="1">
      <alignment horizontal="center" vertical="center"/>
    </xf>
    <xf numFmtId="0" fontId="43" fillId="0" borderId="0" xfId="0" applyFont="1" applyAlignment="1">
      <alignment horizontal="center" vertical="center"/>
    </xf>
    <xf numFmtId="0" fontId="38" fillId="14" borderId="35" xfId="0" applyFont="1" applyFill="1" applyBorder="1" applyAlignment="1">
      <alignment horizontal="center" vertical="center" wrapText="1" readingOrder="1"/>
    </xf>
    <xf numFmtId="0" fontId="38" fillId="14" borderId="36" xfId="0" applyFont="1" applyFill="1" applyBorder="1" applyAlignment="1">
      <alignment horizontal="center" vertical="center" wrapText="1" readingOrder="1"/>
    </xf>
    <xf numFmtId="0" fontId="38" fillId="14" borderId="47"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4" borderId="44" xfId="0" applyFont="1" applyFill="1" applyBorder="1" applyAlignment="1">
      <alignment horizontal="center" vertical="center" wrapText="1" readingOrder="1"/>
    </xf>
    <xf numFmtId="0" fontId="35" fillId="14" borderId="45" xfId="0" applyFont="1" applyFill="1" applyBorder="1" applyAlignment="1">
      <alignment horizontal="center" vertical="center" wrapText="1" readingOrder="1"/>
    </xf>
    <xf numFmtId="0" fontId="35" fillId="3" borderId="42" xfId="0" applyFont="1" applyFill="1" applyBorder="1" applyAlignment="1">
      <alignment horizontal="center" vertical="center" wrapText="1" readingOrder="1"/>
    </xf>
    <xf numFmtId="0" fontId="35" fillId="3" borderId="37" xfId="0" applyFont="1" applyFill="1" applyBorder="1" applyAlignment="1">
      <alignment horizontal="center" vertical="center" wrapText="1" readingOrder="1"/>
    </xf>
    <xf numFmtId="0" fontId="35" fillId="3" borderId="34" xfId="0"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5" fillId="3" borderId="39"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A4A5AB08-E799-4258-8193-709654902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1" t="s">
        <v>0</v>
      </c>
      <c r="C2" s="222"/>
      <c r="D2" s="222"/>
      <c r="E2" s="222"/>
      <c r="F2" s="222"/>
      <c r="G2" s="222"/>
      <c r="H2" s="223"/>
    </row>
    <row r="3" spans="1:8" x14ac:dyDescent="0.25">
      <c r="B3" s="117"/>
      <c r="C3" s="118"/>
      <c r="D3" s="118"/>
      <c r="E3" s="118"/>
      <c r="F3" s="118"/>
      <c r="G3" s="118"/>
      <c r="H3" s="119"/>
    </row>
    <row r="4" spans="1:8" ht="63" customHeight="1" x14ac:dyDescent="0.25">
      <c r="B4" s="224" t="s">
        <v>1</v>
      </c>
      <c r="C4" s="225"/>
      <c r="D4" s="225"/>
      <c r="E4" s="225"/>
      <c r="F4" s="225"/>
      <c r="G4" s="225"/>
      <c r="H4" s="226"/>
    </row>
    <row r="5" spans="1:8" ht="63" customHeight="1" x14ac:dyDescent="0.25">
      <c r="B5" s="227"/>
      <c r="C5" s="228"/>
      <c r="D5" s="228"/>
      <c r="E5" s="228"/>
      <c r="F5" s="228"/>
      <c r="G5" s="228"/>
      <c r="H5" s="229"/>
    </row>
    <row r="6" spans="1:8" ht="16.5" x14ac:dyDescent="0.25">
      <c r="A6" s="120"/>
      <c r="B6" s="230" t="s">
        <v>2</v>
      </c>
      <c r="C6" s="231"/>
      <c r="D6" s="231"/>
      <c r="E6" s="231"/>
      <c r="F6" s="231"/>
      <c r="G6" s="231"/>
      <c r="H6" s="232"/>
    </row>
    <row r="7" spans="1:8" ht="95.25" customHeight="1" x14ac:dyDescent="0.25">
      <c r="A7" s="120"/>
      <c r="B7" s="233" t="s">
        <v>3</v>
      </c>
      <c r="C7" s="233"/>
      <c r="D7" s="233"/>
      <c r="E7" s="233"/>
      <c r="F7" s="233"/>
      <c r="G7" s="233"/>
      <c r="H7" s="234"/>
    </row>
    <row r="8" spans="1:8" ht="16.5" x14ac:dyDescent="0.25">
      <c r="A8" s="120"/>
      <c r="B8" s="121"/>
      <c r="C8" s="122"/>
      <c r="D8" s="122"/>
      <c r="E8" s="122"/>
      <c r="F8" s="122"/>
      <c r="G8" s="122"/>
      <c r="H8" s="123"/>
    </row>
    <row r="9" spans="1:8" ht="16.5" customHeight="1" x14ac:dyDescent="0.25">
      <c r="A9" s="120"/>
      <c r="B9" s="235" t="s">
        <v>4</v>
      </c>
      <c r="C9" s="235"/>
      <c r="D9" s="235"/>
      <c r="E9" s="235"/>
      <c r="F9" s="235"/>
      <c r="G9" s="235"/>
      <c r="H9" s="236"/>
    </row>
    <row r="10" spans="1:8" ht="16.5" customHeight="1" x14ac:dyDescent="0.25">
      <c r="A10" s="120"/>
      <c r="B10" s="235"/>
      <c r="C10" s="235"/>
      <c r="D10" s="235"/>
      <c r="E10" s="235"/>
      <c r="F10" s="235"/>
      <c r="G10" s="235"/>
      <c r="H10" s="236"/>
    </row>
    <row r="11" spans="1:8" ht="11.65" customHeight="1" x14ac:dyDescent="0.25">
      <c r="A11" s="120"/>
      <c r="B11" s="235"/>
      <c r="C11" s="235"/>
      <c r="D11" s="235"/>
      <c r="E11" s="235"/>
      <c r="F11" s="235"/>
      <c r="G11" s="235"/>
      <c r="H11" s="236"/>
    </row>
    <row r="12" spans="1:8" ht="11.65" customHeight="1" thickBot="1" x14ac:dyDescent="0.3">
      <c r="A12" s="120"/>
      <c r="B12" s="124"/>
      <c r="C12" s="124"/>
      <c r="D12" s="124"/>
      <c r="E12" s="124"/>
      <c r="F12" s="124"/>
      <c r="G12" s="124"/>
      <c r="H12" s="125"/>
    </row>
    <row r="13" spans="1:8" ht="15.4" customHeight="1" thickTop="1" x14ac:dyDescent="0.25">
      <c r="A13" s="120"/>
      <c r="B13" s="124"/>
      <c r="C13" s="220" t="s">
        <v>5</v>
      </c>
      <c r="D13" s="213"/>
      <c r="E13" s="214" t="s">
        <v>6</v>
      </c>
      <c r="F13" s="215"/>
      <c r="G13" s="124"/>
      <c r="H13" s="125"/>
    </row>
    <row r="14" spans="1:8" ht="11.65" customHeight="1" x14ac:dyDescent="0.25">
      <c r="A14" s="120"/>
      <c r="B14" s="124"/>
      <c r="C14" s="201" t="s">
        <v>7</v>
      </c>
      <c r="D14" s="202"/>
      <c r="E14" s="203" t="s">
        <v>8</v>
      </c>
      <c r="F14" s="198"/>
      <c r="G14" s="124"/>
      <c r="H14" s="125"/>
    </row>
    <row r="15" spans="1:8" ht="11.65" customHeight="1" x14ac:dyDescent="0.25">
      <c r="A15" s="120"/>
      <c r="B15" s="124"/>
      <c r="C15" s="201" t="s">
        <v>9</v>
      </c>
      <c r="D15" s="202"/>
      <c r="E15" s="203" t="s">
        <v>10</v>
      </c>
      <c r="F15" s="198"/>
      <c r="G15" s="124"/>
      <c r="H15" s="125"/>
    </row>
    <row r="16" spans="1:8" ht="11.65" customHeight="1" x14ac:dyDescent="0.25">
      <c r="A16" s="120"/>
      <c r="B16" s="124"/>
      <c r="C16" s="201" t="s">
        <v>11</v>
      </c>
      <c r="D16" s="202"/>
      <c r="E16" s="203" t="s">
        <v>12</v>
      </c>
      <c r="F16" s="198"/>
      <c r="G16" s="124"/>
      <c r="H16" s="125"/>
    </row>
    <row r="17" spans="1:8" ht="13.5" customHeight="1" x14ac:dyDescent="0.25">
      <c r="A17" s="120"/>
      <c r="B17" s="124"/>
      <c r="C17" s="201" t="s">
        <v>13</v>
      </c>
      <c r="D17" s="202"/>
      <c r="E17" s="203" t="s">
        <v>14</v>
      </c>
      <c r="F17" s="198"/>
      <c r="G17" s="124"/>
      <c r="H17" s="126"/>
    </row>
    <row r="18" spans="1:8" ht="12.4" customHeight="1" x14ac:dyDescent="0.25">
      <c r="A18" s="120"/>
      <c r="B18" s="124"/>
      <c r="C18" s="201" t="s">
        <v>15</v>
      </c>
      <c r="D18" s="202"/>
      <c r="E18" s="204" t="s">
        <v>16</v>
      </c>
      <c r="F18" s="198"/>
      <c r="G18" s="124"/>
      <c r="H18" s="125"/>
    </row>
    <row r="19" spans="1:8" ht="24" customHeight="1" thickBot="1" x14ac:dyDescent="0.3">
      <c r="A19" s="120"/>
      <c r="B19" s="124"/>
      <c r="C19" s="205" t="s">
        <v>17</v>
      </c>
      <c r="D19" s="206"/>
      <c r="E19" s="207" t="s">
        <v>18</v>
      </c>
      <c r="F19" s="208"/>
      <c r="G19" s="124"/>
      <c r="H19" s="125"/>
    </row>
    <row r="20" spans="1:8" ht="11.65" customHeight="1" thickTop="1" x14ac:dyDescent="0.25">
      <c r="A20" s="120"/>
      <c r="B20" s="124"/>
      <c r="C20" s="127"/>
      <c r="D20" s="127"/>
      <c r="E20" s="127"/>
      <c r="F20" s="127"/>
      <c r="G20" s="124"/>
      <c r="H20" s="125"/>
    </row>
    <row r="21" spans="1:8" ht="27.4" customHeight="1" thickBot="1" x14ac:dyDescent="0.3">
      <c r="A21" s="120"/>
      <c r="B21" s="209" t="s">
        <v>19</v>
      </c>
      <c r="C21" s="210"/>
      <c r="D21" s="210"/>
      <c r="E21" s="210"/>
      <c r="F21" s="210"/>
      <c r="G21" s="210"/>
      <c r="H21" s="211"/>
    </row>
    <row r="22" spans="1:8" ht="15.75" thickTop="1" x14ac:dyDescent="0.25">
      <c r="A22" s="120"/>
      <c r="B22" s="128"/>
      <c r="C22" s="212" t="s">
        <v>5</v>
      </c>
      <c r="D22" s="213"/>
      <c r="E22" s="214" t="s">
        <v>6</v>
      </c>
      <c r="F22" s="215"/>
      <c r="G22" s="127"/>
      <c r="H22" s="129"/>
    </row>
    <row r="23" spans="1:8" ht="13.5" customHeight="1" x14ac:dyDescent="0.25">
      <c r="A23" s="120"/>
      <c r="B23" s="130"/>
      <c r="C23" s="216" t="s">
        <v>7</v>
      </c>
      <c r="D23" s="217"/>
      <c r="E23" s="218" t="s">
        <v>8</v>
      </c>
      <c r="F23" s="219"/>
      <c r="G23" s="131"/>
      <c r="H23" s="132"/>
    </row>
    <row r="24" spans="1:8" ht="13.5" customHeight="1" x14ac:dyDescent="0.25">
      <c r="A24" s="120"/>
      <c r="B24" s="130"/>
      <c r="C24" s="195" t="s">
        <v>20</v>
      </c>
      <c r="D24" s="196"/>
      <c r="E24" s="197" t="s">
        <v>14</v>
      </c>
      <c r="F24" s="198"/>
      <c r="G24" s="131"/>
      <c r="H24" s="132"/>
    </row>
    <row r="25" spans="1:8" ht="13.5" customHeight="1" x14ac:dyDescent="0.25">
      <c r="A25" s="120"/>
      <c r="B25" s="130"/>
      <c r="C25" s="195" t="s">
        <v>9</v>
      </c>
      <c r="D25" s="196"/>
      <c r="E25" s="197" t="s">
        <v>10</v>
      </c>
      <c r="F25" s="198"/>
      <c r="G25" s="131"/>
      <c r="H25" s="132"/>
    </row>
    <row r="26" spans="1:8" ht="22.9" customHeight="1" x14ac:dyDescent="0.25">
      <c r="A26" s="120"/>
      <c r="B26" s="130"/>
      <c r="C26" s="195" t="s">
        <v>21</v>
      </c>
      <c r="D26" s="196"/>
      <c r="E26" s="199" t="s">
        <v>22</v>
      </c>
      <c r="F26" s="200"/>
      <c r="G26" s="131"/>
      <c r="H26" s="132"/>
    </row>
    <row r="27" spans="1:8" ht="69.75" customHeight="1" x14ac:dyDescent="0.25">
      <c r="A27" s="120"/>
      <c r="B27" s="130"/>
      <c r="C27" s="186" t="s">
        <v>23</v>
      </c>
      <c r="D27" s="194"/>
      <c r="E27" s="187" t="s">
        <v>24</v>
      </c>
      <c r="F27" s="188"/>
      <c r="G27" s="131"/>
      <c r="H27" s="133"/>
    </row>
    <row r="28" spans="1:8" ht="34.5" customHeight="1" x14ac:dyDescent="0.25">
      <c r="B28" s="134"/>
      <c r="C28" s="193" t="s">
        <v>25</v>
      </c>
      <c r="D28" s="194"/>
      <c r="E28" s="187" t="s">
        <v>26</v>
      </c>
      <c r="F28" s="188"/>
      <c r="G28" s="131"/>
      <c r="H28" s="133"/>
    </row>
    <row r="29" spans="1:8" ht="27.75" customHeight="1" x14ac:dyDescent="0.25">
      <c r="B29" s="134"/>
      <c r="C29" s="193" t="s">
        <v>27</v>
      </c>
      <c r="D29" s="194"/>
      <c r="E29" s="187" t="s">
        <v>28</v>
      </c>
      <c r="F29" s="188"/>
      <c r="G29" s="131"/>
      <c r="H29" s="133"/>
    </row>
    <row r="30" spans="1:8" ht="28.5" customHeight="1" x14ac:dyDescent="0.25">
      <c r="B30" s="134"/>
      <c r="C30" s="193" t="s">
        <v>29</v>
      </c>
      <c r="D30" s="194"/>
      <c r="E30" s="187" t="s">
        <v>30</v>
      </c>
      <c r="F30" s="188"/>
      <c r="G30" s="131"/>
      <c r="H30" s="133"/>
    </row>
    <row r="31" spans="1:8" ht="72.75" customHeight="1" x14ac:dyDescent="0.25">
      <c r="B31" s="134"/>
      <c r="C31" s="193" t="s">
        <v>31</v>
      </c>
      <c r="D31" s="194"/>
      <c r="E31" s="187" t="s">
        <v>32</v>
      </c>
      <c r="F31" s="188"/>
      <c r="G31" s="131"/>
      <c r="H31" s="133"/>
    </row>
    <row r="32" spans="1:8" ht="64.5" customHeight="1" x14ac:dyDescent="0.25">
      <c r="B32" s="134"/>
      <c r="C32" s="193" t="s">
        <v>33</v>
      </c>
      <c r="D32" s="194"/>
      <c r="E32" s="187" t="s">
        <v>34</v>
      </c>
      <c r="F32" s="188"/>
      <c r="G32" s="131"/>
      <c r="H32" s="133"/>
    </row>
    <row r="33" spans="2:8" ht="71.25" customHeight="1" x14ac:dyDescent="0.25">
      <c r="B33" s="134"/>
      <c r="C33" s="185" t="s">
        <v>35</v>
      </c>
      <c r="D33" s="186"/>
      <c r="E33" s="187" t="s">
        <v>36</v>
      </c>
      <c r="F33" s="188"/>
      <c r="G33" s="131"/>
      <c r="H33" s="133"/>
    </row>
    <row r="34" spans="2:8" ht="55.5" customHeight="1" x14ac:dyDescent="0.25">
      <c r="B34" s="134"/>
      <c r="C34" s="185" t="s">
        <v>37</v>
      </c>
      <c r="D34" s="186"/>
      <c r="E34" s="187" t="s">
        <v>38</v>
      </c>
      <c r="F34" s="188"/>
      <c r="G34" s="131"/>
      <c r="H34" s="133"/>
    </row>
    <row r="35" spans="2:8" ht="42" customHeight="1" x14ac:dyDescent="0.25">
      <c r="B35" s="134"/>
      <c r="C35" s="185" t="s">
        <v>39</v>
      </c>
      <c r="D35" s="186"/>
      <c r="E35" s="187" t="s">
        <v>40</v>
      </c>
      <c r="F35" s="188"/>
      <c r="G35" s="131"/>
      <c r="H35" s="133"/>
    </row>
    <row r="36" spans="2:8" ht="59.25" customHeight="1" x14ac:dyDescent="0.25">
      <c r="B36" s="134"/>
      <c r="C36" s="185" t="s">
        <v>41</v>
      </c>
      <c r="D36" s="186"/>
      <c r="E36" s="187" t="s">
        <v>42</v>
      </c>
      <c r="F36" s="188"/>
      <c r="G36" s="131"/>
      <c r="H36" s="133"/>
    </row>
    <row r="37" spans="2:8" ht="23.25" customHeight="1" x14ac:dyDescent="0.25">
      <c r="B37" s="134"/>
      <c r="C37" s="185" t="s">
        <v>43</v>
      </c>
      <c r="D37" s="186"/>
      <c r="E37" s="187" t="s">
        <v>44</v>
      </c>
      <c r="F37" s="188"/>
      <c r="G37" s="131"/>
      <c r="H37" s="133"/>
    </row>
    <row r="38" spans="2:8" ht="30.75" customHeight="1" x14ac:dyDescent="0.25">
      <c r="B38" s="134"/>
      <c r="C38" s="185" t="s">
        <v>45</v>
      </c>
      <c r="D38" s="186"/>
      <c r="E38" s="187" t="s">
        <v>46</v>
      </c>
      <c r="F38" s="188"/>
      <c r="G38" s="131"/>
      <c r="H38" s="133"/>
    </row>
    <row r="39" spans="2:8" ht="35.25" customHeight="1" x14ac:dyDescent="0.25">
      <c r="B39" s="134"/>
      <c r="C39" s="185" t="s">
        <v>45</v>
      </c>
      <c r="D39" s="186"/>
      <c r="E39" s="187" t="s">
        <v>46</v>
      </c>
      <c r="F39" s="188"/>
      <c r="G39" s="131"/>
      <c r="H39" s="133"/>
    </row>
    <row r="40" spans="2:8" ht="33" customHeight="1" x14ac:dyDescent="0.25">
      <c r="B40" s="134"/>
      <c r="C40" s="185" t="s">
        <v>47</v>
      </c>
      <c r="D40" s="186"/>
      <c r="E40" s="187" t="s">
        <v>48</v>
      </c>
      <c r="F40" s="188"/>
      <c r="G40" s="131"/>
      <c r="H40" s="133"/>
    </row>
    <row r="41" spans="2:8" ht="30" customHeight="1" x14ac:dyDescent="0.25">
      <c r="B41" s="134"/>
      <c r="C41" s="185" t="s">
        <v>49</v>
      </c>
      <c r="D41" s="186"/>
      <c r="E41" s="187" t="s">
        <v>50</v>
      </c>
      <c r="F41" s="188"/>
      <c r="G41" s="131"/>
      <c r="H41" s="133"/>
    </row>
    <row r="42" spans="2:8" ht="35.25" customHeight="1" x14ac:dyDescent="0.25">
      <c r="B42" s="134"/>
      <c r="C42" s="185" t="s">
        <v>51</v>
      </c>
      <c r="D42" s="186"/>
      <c r="E42" s="187" t="s">
        <v>52</v>
      </c>
      <c r="F42" s="188"/>
      <c r="G42" s="131"/>
      <c r="H42" s="133"/>
    </row>
    <row r="43" spans="2:8" ht="31.5" customHeight="1" x14ac:dyDescent="0.25">
      <c r="B43" s="134"/>
      <c r="C43" s="185" t="s">
        <v>53</v>
      </c>
      <c r="D43" s="186"/>
      <c r="E43" s="187" t="s">
        <v>54</v>
      </c>
      <c r="F43" s="188"/>
      <c r="G43" s="131"/>
      <c r="H43" s="133"/>
    </row>
    <row r="44" spans="2:8" ht="54" customHeight="1" x14ac:dyDescent="0.25">
      <c r="B44" s="134"/>
      <c r="C44" s="185" t="s">
        <v>55</v>
      </c>
      <c r="D44" s="186"/>
      <c r="E44" s="187" t="s">
        <v>56</v>
      </c>
      <c r="F44" s="188"/>
      <c r="G44" s="131"/>
      <c r="H44" s="133"/>
    </row>
    <row r="45" spans="2:8" ht="59.25" customHeight="1" x14ac:dyDescent="0.25">
      <c r="B45" s="134"/>
      <c r="C45" s="185" t="s">
        <v>57</v>
      </c>
      <c r="D45" s="186"/>
      <c r="E45" s="187" t="s">
        <v>58</v>
      </c>
      <c r="F45" s="188"/>
      <c r="G45" s="131"/>
      <c r="H45" s="133"/>
    </row>
    <row r="46" spans="2:8" ht="84" customHeight="1" x14ac:dyDescent="0.25">
      <c r="B46" s="134"/>
      <c r="C46" s="185" t="s">
        <v>59</v>
      </c>
      <c r="D46" s="186"/>
      <c r="E46" s="187" t="s">
        <v>60</v>
      </c>
      <c r="F46" s="188"/>
      <c r="G46" s="131"/>
      <c r="H46" s="133"/>
    </row>
    <row r="47" spans="2:8" ht="82.5" customHeight="1" x14ac:dyDescent="0.25">
      <c r="B47" s="134"/>
      <c r="C47" s="185" t="s">
        <v>61</v>
      </c>
      <c r="D47" s="186"/>
      <c r="E47" s="187" t="s">
        <v>62</v>
      </c>
      <c r="F47" s="188"/>
      <c r="G47" s="131"/>
      <c r="H47" s="133"/>
    </row>
    <row r="48" spans="2:8" ht="46.5" customHeight="1" thickBot="1" x14ac:dyDescent="0.3">
      <c r="B48" s="134"/>
      <c r="C48" s="189"/>
      <c r="D48" s="190"/>
      <c r="E48" s="191"/>
      <c r="F48" s="192"/>
      <c r="G48" s="131"/>
      <c r="H48" s="133"/>
    </row>
    <row r="49" spans="2:8" ht="6.75" customHeight="1" thickTop="1" x14ac:dyDescent="0.25">
      <c r="B49" s="134"/>
      <c r="C49" s="135"/>
      <c r="D49" s="135"/>
      <c r="E49" s="136"/>
      <c r="F49" s="136"/>
      <c r="G49" s="131"/>
      <c r="H49" s="133"/>
    </row>
    <row r="50" spans="2:8" x14ac:dyDescent="0.25">
      <c r="B50" s="134"/>
      <c r="C50" s="137"/>
      <c r="D50" s="137"/>
      <c r="E50" s="137"/>
      <c r="F50" s="137"/>
      <c r="G50" s="131"/>
      <c r="H50" s="133"/>
    </row>
    <row r="51" spans="2:8" ht="21" customHeight="1" x14ac:dyDescent="0.25">
      <c r="B51" s="138" t="s">
        <v>63</v>
      </c>
      <c r="C51" s="137"/>
      <c r="D51" s="137"/>
      <c r="E51" s="137"/>
      <c r="F51" s="137"/>
      <c r="G51" s="137"/>
      <c r="H51" s="139"/>
    </row>
    <row r="52" spans="2:8" ht="20.25" customHeight="1" x14ac:dyDescent="0.25">
      <c r="B52" s="138" t="s">
        <v>64</v>
      </c>
      <c r="C52" s="137"/>
      <c r="D52" s="137"/>
      <c r="E52" s="137"/>
      <c r="F52" s="137"/>
      <c r="G52" s="137"/>
      <c r="H52" s="139"/>
    </row>
    <row r="53" spans="2:8" ht="20.25" customHeight="1" x14ac:dyDescent="0.25">
      <c r="B53" s="138" t="s">
        <v>65</v>
      </c>
      <c r="C53" s="137"/>
      <c r="D53" s="137"/>
      <c r="E53" s="137"/>
      <c r="F53" s="137"/>
      <c r="G53" s="137"/>
      <c r="H53" s="139"/>
    </row>
    <row r="54" spans="2:8" ht="20.25" customHeight="1" x14ac:dyDescent="0.25">
      <c r="B54" s="138" t="s">
        <v>66</v>
      </c>
      <c r="C54" s="137"/>
      <c r="D54" s="137"/>
      <c r="E54" s="137"/>
      <c r="F54" s="137"/>
      <c r="G54" s="137"/>
      <c r="H54" s="139"/>
    </row>
    <row r="55" spans="2:8" ht="14.65" customHeight="1" x14ac:dyDescent="0.25">
      <c r="B55" s="138" t="s">
        <v>67</v>
      </c>
      <c r="C55" s="137"/>
      <c r="D55" s="137"/>
      <c r="E55" s="137"/>
      <c r="F55" s="137"/>
      <c r="G55" s="137"/>
      <c r="H55" s="139"/>
    </row>
    <row r="56" spans="2:8" ht="15.75" thickBot="1" x14ac:dyDescent="0.3">
      <c r="B56" s="140"/>
      <c r="C56" s="141"/>
      <c r="D56" s="141"/>
      <c r="E56" s="141"/>
      <c r="F56" s="141"/>
      <c r="G56" s="141"/>
      <c r="H56" s="142"/>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169</v>
      </c>
    </row>
    <row r="4" spans="1:1" x14ac:dyDescent="0.2">
      <c r="A4" s="10" t="s">
        <v>278</v>
      </c>
    </row>
    <row r="5" spans="1:1" x14ac:dyDescent="0.2">
      <c r="A5" s="10" t="s">
        <v>280</v>
      </c>
    </row>
    <row r="6" spans="1:1" x14ac:dyDescent="0.2">
      <c r="A6" s="10" t="s">
        <v>282</v>
      </c>
    </row>
    <row r="7" spans="1:1" x14ac:dyDescent="0.2">
      <c r="A7" s="10" t="s">
        <v>170</v>
      </c>
    </row>
    <row r="8" spans="1:1" x14ac:dyDescent="0.2">
      <c r="A8" s="10" t="s">
        <v>171</v>
      </c>
    </row>
    <row r="9" spans="1:1" x14ac:dyDescent="0.2">
      <c r="A9" s="10" t="s">
        <v>288</v>
      </c>
    </row>
    <row r="10" spans="1:1" x14ac:dyDescent="0.2">
      <c r="A10" s="10" t="s">
        <v>172</v>
      </c>
    </row>
    <row r="11" spans="1:1" x14ac:dyDescent="0.2">
      <c r="A11" s="10" t="s">
        <v>291</v>
      </c>
    </row>
    <row r="12" spans="1:1" x14ac:dyDescent="0.2">
      <c r="A12" s="10" t="s">
        <v>310</v>
      </c>
    </row>
    <row r="13" spans="1:1" x14ac:dyDescent="0.2">
      <c r="A13" s="10" t="s">
        <v>311</v>
      </c>
    </row>
    <row r="14" spans="1:1" x14ac:dyDescent="0.2">
      <c r="A14" s="10" t="s">
        <v>312</v>
      </c>
    </row>
    <row r="16" spans="1:1" x14ac:dyDescent="0.2">
      <c r="A16" s="10" t="s">
        <v>313</v>
      </c>
    </row>
    <row r="17" spans="1:1" x14ac:dyDescent="0.2">
      <c r="A17" s="10" t="s">
        <v>297</v>
      </c>
    </row>
    <row r="18" spans="1:1" x14ac:dyDescent="0.2">
      <c r="A18" s="10" t="s">
        <v>299</v>
      </c>
    </row>
    <row r="20" spans="1:1" x14ac:dyDescent="0.2">
      <c r="A20" s="10" t="s">
        <v>302</v>
      </c>
    </row>
    <row r="21" spans="1:1" x14ac:dyDescent="0.2">
      <c r="A21" s="10"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A5C4-2750-4D0C-9B3C-7D9251994E9E}">
  <sheetPr>
    <tabColor theme="6" tint="0.39997558519241921"/>
  </sheetPr>
  <dimension ref="B1:AZ37"/>
  <sheetViews>
    <sheetView showGridLines="0" zoomScale="80" zoomScaleNormal="80" workbookViewId="0">
      <selection activeCell="B12" sqref="B12:C1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58.8554687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68</v>
      </c>
    </row>
    <row r="2" spans="2:52" ht="18" customHeight="1" thickBot="1" x14ac:dyDescent="0.3">
      <c r="B2" s="293"/>
      <c r="C2" s="296" t="s">
        <v>69</v>
      </c>
      <c r="D2" s="297"/>
      <c r="E2" s="297"/>
      <c r="F2" s="144" t="s">
        <v>70</v>
      </c>
      <c r="AZ2" s="143" t="s">
        <v>71</v>
      </c>
    </row>
    <row r="3" spans="2:52" ht="18" customHeight="1" thickBot="1" x14ac:dyDescent="0.3">
      <c r="B3" s="294"/>
      <c r="C3" s="298"/>
      <c r="D3" s="299"/>
      <c r="E3" s="299"/>
      <c r="F3" s="145" t="s">
        <v>72</v>
      </c>
      <c r="AZ3" s="143" t="s">
        <v>73</v>
      </c>
    </row>
    <row r="4" spans="2:52" ht="18" customHeight="1" thickBot="1" x14ac:dyDescent="0.3">
      <c r="B4" s="294"/>
      <c r="C4" s="298"/>
      <c r="D4" s="299"/>
      <c r="E4" s="299"/>
      <c r="F4" s="145" t="s">
        <v>74</v>
      </c>
      <c r="AZ4" s="143" t="s">
        <v>75</v>
      </c>
    </row>
    <row r="5" spans="2:52" ht="18" customHeight="1" thickBot="1" x14ac:dyDescent="0.3">
      <c r="B5" s="295"/>
      <c r="C5" s="300"/>
      <c r="D5" s="301"/>
      <c r="E5" s="301"/>
      <c r="F5" s="145" t="s">
        <v>76</v>
      </c>
      <c r="AZ5" s="146"/>
    </row>
    <row r="6" spans="2:52" ht="18" customHeight="1" thickBot="1" x14ac:dyDescent="0.3">
      <c r="B6" s="147"/>
      <c r="C6" s="148"/>
      <c r="D6" s="148"/>
      <c r="E6" s="148"/>
      <c r="F6" s="149"/>
      <c r="AZ6" s="146"/>
    </row>
    <row r="7" spans="2:52" ht="33.4" customHeight="1" x14ac:dyDescent="0.25">
      <c r="B7" s="150" t="s">
        <v>77</v>
      </c>
      <c r="C7" s="302" t="s">
        <v>78</v>
      </c>
      <c r="D7" s="303"/>
      <c r="E7" s="303"/>
      <c r="F7" s="304"/>
      <c r="AZ7" s="146"/>
    </row>
    <row r="8" spans="2:52" ht="33" customHeight="1" thickBot="1" x14ac:dyDescent="0.3">
      <c r="B8" s="151" t="s">
        <v>79</v>
      </c>
      <c r="C8" s="305" t="s">
        <v>80</v>
      </c>
      <c r="D8" s="306"/>
      <c r="E8" s="306"/>
      <c r="F8" s="307"/>
      <c r="AZ8" s="146"/>
    </row>
    <row r="9" spans="2:52" ht="16.5" thickBot="1" x14ac:dyDescent="0.3">
      <c r="B9" s="308"/>
      <c r="C9" s="308"/>
      <c r="D9" s="308"/>
      <c r="E9" s="308"/>
      <c r="F9" s="308"/>
    </row>
    <row r="10" spans="2:52" ht="15.6" customHeight="1" thickBot="1" x14ac:dyDescent="0.3">
      <c r="B10" s="309" t="s">
        <v>69</v>
      </c>
      <c r="C10" s="310"/>
      <c r="D10" s="310"/>
      <c r="E10" s="310"/>
      <c r="F10" s="311"/>
    </row>
    <row r="11" spans="2:52" ht="32.25" thickBot="1" x14ac:dyDescent="0.3">
      <c r="B11" s="289" t="s">
        <v>81</v>
      </c>
      <c r="C11" s="290"/>
      <c r="D11" s="172" t="s">
        <v>82</v>
      </c>
      <c r="E11" s="172" t="s">
        <v>83</v>
      </c>
      <c r="F11" s="171" t="s">
        <v>84</v>
      </c>
    </row>
    <row r="12" spans="2:52" ht="339" customHeight="1" thickBot="1" x14ac:dyDescent="0.3">
      <c r="B12" s="291" t="s">
        <v>71</v>
      </c>
      <c r="C12" s="292"/>
      <c r="D12" s="152" t="s">
        <v>85</v>
      </c>
      <c r="E12" s="153" t="s">
        <v>86</v>
      </c>
      <c r="F12" s="154" t="s">
        <v>87</v>
      </c>
    </row>
    <row r="14" spans="2:52" ht="18" x14ac:dyDescent="0.25">
      <c r="B14" s="281" t="s">
        <v>88</v>
      </c>
      <c r="C14" s="281"/>
      <c r="D14" s="281"/>
      <c r="E14" s="281"/>
      <c r="F14" s="281"/>
    </row>
    <row r="15" spans="2:52" ht="15.75" x14ac:dyDescent="0.25">
      <c r="B15" s="155"/>
    </row>
    <row r="16" spans="2:52" ht="15.75" thickBot="1" x14ac:dyDescent="0.3">
      <c r="B16" s="156"/>
    </row>
    <row r="17" spans="2:6" ht="16.5" thickBot="1" x14ac:dyDescent="0.3">
      <c r="B17" s="282" t="s">
        <v>89</v>
      </c>
      <c r="C17" s="283"/>
      <c r="D17" s="284"/>
      <c r="E17" s="282" t="s">
        <v>90</v>
      </c>
      <c r="F17" s="284"/>
    </row>
    <row r="18" spans="2:6" ht="15" customHeight="1" x14ac:dyDescent="0.25">
      <c r="B18" s="285" t="s">
        <v>91</v>
      </c>
      <c r="C18" s="286"/>
      <c r="D18" s="287"/>
      <c r="E18" s="285" t="s">
        <v>92</v>
      </c>
      <c r="F18" s="288"/>
    </row>
    <row r="19" spans="2:6" ht="15" customHeight="1" x14ac:dyDescent="0.25">
      <c r="B19" s="279" t="s">
        <v>93</v>
      </c>
      <c r="C19" s="280"/>
      <c r="D19" s="280"/>
      <c r="E19" s="275" t="s">
        <v>94</v>
      </c>
      <c r="F19" s="276"/>
    </row>
    <row r="20" spans="2:6" ht="15" customHeight="1" x14ac:dyDescent="0.25">
      <c r="B20" s="277" t="s">
        <v>95</v>
      </c>
      <c r="C20" s="278"/>
      <c r="D20" s="278"/>
      <c r="E20" s="250" t="s">
        <v>96</v>
      </c>
      <c r="F20" s="251"/>
    </row>
    <row r="21" spans="2:6" ht="15" customHeight="1" x14ac:dyDescent="0.25">
      <c r="B21" s="277" t="s">
        <v>97</v>
      </c>
      <c r="C21" s="278"/>
      <c r="D21" s="278"/>
      <c r="E21" s="250" t="s">
        <v>98</v>
      </c>
      <c r="F21" s="251"/>
    </row>
    <row r="22" spans="2:6" ht="15" customHeight="1" x14ac:dyDescent="0.25">
      <c r="B22" s="277" t="s">
        <v>99</v>
      </c>
      <c r="C22" s="278"/>
      <c r="D22" s="278"/>
      <c r="E22" s="275" t="s">
        <v>100</v>
      </c>
      <c r="F22" s="276"/>
    </row>
    <row r="23" spans="2:6" ht="15" customHeight="1" x14ac:dyDescent="0.25">
      <c r="B23" s="277" t="s">
        <v>101</v>
      </c>
      <c r="C23" s="278"/>
      <c r="D23" s="278"/>
      <c r="E23" s="250" t="s">
        <v>102</v>
      </c>
      <c r="F23" s="251"/>
    </row>
    <row r="24" spans="2:6" ht="34.5" customHeight="1" x14ac:dyDescent="0.25">
      <c r="B24" s="250" t="s">
        <v>103</v>
      </c>
      <c r="C24" s="270"/>
      <c r="D24" s="271"/>
      <c r="E24" s="250" t="s">
        <v>104</v>
      </c>
      <c r="F24" s="251"/>
    </row>
    <row r="25" spans="2:6" ht="15.75" customHeight="1" x14ac:dyDescent="0.25">
      <c r="B25" s="250" t="s">
        <v>105</v>
      </c>
      <c r="C25" s="270"/>
      <c r="D25" s="271"/>
      <c r="E25" s="250" t="s">
        <v>106</v>
      </c>
      <c r="F25" s="251"/>
    </row>
    <row r="26" spans="2:6" ht="15" customHeight="1" x14ac:dyDescent="0.25">
      <c r="B26" s="272"/>
      <c r="C26" s="273"/>
      <c r="D26" s="274"/>
      <c r="E26" s="275" t="s">
        <v>107</v>
      </c>
      <c r="F26" s="276"/>
    </row>
    <row r="27" spans="2:6" ht="15" customHeight="1" thickBot="1" x14ac:dyDescent="0.35">
      <c r="B27" s="257"/>
      <c r="C27" s="258"/>
      <c r="D27" s="259"/>
      <c r="E27" s="260"/>
      <c r="F27" s="261"/>
    </row>
    <row r="28" spans="2:6" ht="15" customHeight="1" thickBot="1" x14ac:dyDescent="0.3">
      <c r="B28" s="262" t="s">
        <v>108</v>
      </c>
      <c r="C28" s="263"/>
      <c r="D28" s="263"/>
      <c r="E28" s="262" t="s">
        <v>109</v>
      </c>
      <c r="F28" s="264"/>
    </row>
    <row r="29" spans="2:6" ht="15.75" customHeight="1" x14ac:dyDescent="0.25">
      <c r="B29" s="265" t="s">
        <v>110</v>
      </c>
      <c r="C29" s="266"/>
      <c r="D29" s="267"/>
      <c r="E29" s="268" t="s">
        <v>111</v>
      </c>
      <c r="F29" s="269"/>
    </row>
    <row r="30" spans="2:6" ht="15.75" x14ac:dyDescent="0.25">
      <c r="B30" s="252" t="s">
        <v>112</v>
      </c>
      <c r="C30" s="253"/>
      <c r="D30" s="254"/>
      <c r="E30" s="250" t="s">
        <v>113</v>
      </c>
      <c r="F30" s="251"/>
    </row>
    <row r="31" spans="2:6" ht="15.75" x14ac:dyDescent="0.25">
      <c r="B31" s="252" t="s">
        <v>114</v>
      </c>
      <c r="C31" s="253"/>
      <c r="D31" s="254"/>
      <c r="E31" s="250" t="s">
        <v>115</v>
      </c>
      <c r="F31" s="251"/>
    </row>
    <row r="32" spans="2:6" ht="15.75" x14ac:dyDescent="0.25">
      <c r="B32" s="252" t="s">
        <v>116</v>
      </c>
      <c r="C32" s="253"/>
      <c r="D32" s="254"/>
      <c r="E32" s="255" t="s">
        <v>117</v>
      </c>
      <c r="F32" s="256"/>
    </row>
    <row r="33" spans="2:6" ht="15.75" x14ac:dyDescent="0.25">
      <c r="B33" s="247" t="s">
        <v>118</v>
      </c>
      <c r="C33" s="248"/>
      <c r="D33" s="249"/>
      <c r="E33" s="250" t="s">
        <v>119</v>
      </c>
      <c r="F33" s="251"/>
    </row>
    <row r="34" spans="2:6" ht="15.75" x14ac:dyDescent="0.25">
      <c r="B34" s="252" t="s">
        <v>120</v>
      </c>
      <c r="C34" s="253"/>
      <c r="D34" s="254"/>
      <c r="E34" s="250" t="s">
        <v>121</v>
      </c>
      <c r="F34" s="251"/>
    </row>
    <row r="35" spans="2:6" ht="16.5" x14ac:dyDescent="0.25">
      <c r="B35" s="242" t="s">
        <v>122</v>
      </c>
      <c r="C35" s="243"/>
      <c r="D35" s="244"/>
      <c r="E35" s="245"/>
      <c r="F35" s="246"/>
    </row>
    <row r="36" spans="2:6" ht="16.5" x14ac:dyDescent="0.25">
      <c r="B36" s="242"/>
      <c r="C36" s="243"/>
      <c r="D36" s="244"/>
      <c r="E36" s="245"/>
      <c r="F36" s="246"/>
    </row>
    <row r="37" spans="2:6" ht="17.25" thickBot="1" x14ac:dyDescent="0.35">
      <c r="B37" s="237"/>
      <c r="C37" s="238"/>
      <c r="D37" s="239"/>
      <c r="E37" s="240"/>
      <c r="F37" s="241"/>
    </row>
  </sheetData>
  <mergeCells count="51">
    <mergeCell ref="B11:C11"/>
    <mergeCell ref="B12:C12"/>
    <mergeCell ref="B2:B5"/>
    <mergeCell ref="C2:E5"/>
    <mergeCell ref="C7:F7"/>
    <mergeCell ref="C8:F8"/>
    <mergeCell ref="B9:F9"/>
    <mergeCell ref="B10:F10"/>
    <mergeCell ref="B19:D19"/>
    <mergeCell ref="E19:F19"/>
    <mergeCell ref="B20:D20"/>
    <mergeCell ref="E20:F20"/>
    <mergeCell ref="B14:F14"/>
    <mergeCell ref="B17:D17"/>
    <mergeCell ref="E17:F17"/>
    <mergeCell ref="B18:D18"/>
    <mergeCell ref="E18:F18"/>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7:D37"/>
    <mergeCell ref="E37:F37"/>
    <mergeCell ref="B36:D36"/>
    <mergeCell ref="E36:F36"/>
    <mergeCell ref="B33:D33"/>
    <mergeCell ref="E33:F33"/>
    <mergeCell ref="B34:D34"/>
    <mergeCell ref="E34:F34"/>
    <mergeCell ref="B35:D35"/>
    <mergeCell ref="E35:F35"/>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84AC8944-BCEE-4B1A-8061-E0EEAB2BD7AF}">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5"/>
  <sheetViews>
    <sheetView tabSelected="1" topLeftCell="A26" zoomScale="90" zoomScaleNormal="90" workbookViewId="0">
      <selection activeCell="AH25" sqref="AH25"/>
    </sheetView>
  </sheetViews>
  <sheetFormatPr baseColWidth="10" defaultColWidth="11.42578125" defaultRowHeight="16.5" x14ac:dyDescent="0.3"/>
  <cols>
    <col min="1" max="1" width="4" style="2" bestFit="1" customWidth="1"/>
    <col min="2" max="2" width="14.140625" style="2" customWidth="1"/>
    <col min="3" max="3" width="20.85546875" style="2" customWidth="1"/>
    <col min="4" max="4" width="25.140625" style="2" customWidth="1"/>
    <col min="5" max="5" width="34.28515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3" customWidth="1"/>
    <col min="16" max="16" width="43.570312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7.2851562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92"/>
      <c r="B1" s="393"/>
      <c r="C1" s="393"/>
      <c r="D1" s="394"/>
      <c r="E1" s="358" t="s">
        <v>123</v>
      </c>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60"/>
      <c r="AJ1" s="353" t="s">
        <v>124</v>
      </c>
      <c r="AK1" s="354"/>
    </row>
    <row r="2" spans="1:69" ht="15" customHeight="1" x14ac:dyDescent="0.3">
      <c r="A2" s="395"/>
      <c r="B2" s="396"/>
      <c r="C2" s="396"/>
      <c r="D2" s="397"/>
      <c r="E2" s="361"/>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3"/>
      <c r="AJ2" s="355" t="s">
        <v>125</v>
      </c>
      <c r="AK2" s="356"/>
    </row>
    <row r="3" spans="1:69" ht="15" customHeight="1" x14ac:dyDescent="0.3">
      <c r="A3" s="395"/>
      <c r="B3" s="396"/>
      <c r="C3" s="396"/>
      <c r="D3" s="397"/>
      <c r="E3" s="361"/>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3"/>
      <c r="AJ3" s="355" t="s">
        <v>126</v>
      </c>
      <c r="AK3" s="357"/>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98"/>
      <c r="B4" s="399"/>
      <c r="C4" s="399"/>
      <c r="D4" s="400"/>
      <c r="E4" s="364"/>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6"/>
      <c r="AJ4" s="353" t="s">
        <v>127</v>
      </c>
      <c r="AK4" s="354"/>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26"/>
      <c r="P5" s="16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11" t="s">
        <v>128</v>
      </c>
      <c r="B6" s="412"/>
      <c r="C6" s="389" t="s">
        <v>129</v>
      </c>
      <c r="D6" s="390"/>
      <c r="E6" s="390"/>
      <c r="F6" s="390"/>
      <c r="G6" s="390"/>
      <c r="H6" s="390"/>
      <c r="I6" s="390"/>
      <c r="J6" s="390"/>
      <c r="K6" s="390"/>
      <c r="L6" s="390"/>
      <c r="M6" s="390"/>
      <c r="N6" s="391"/>
      <c r="O6" s="372"/>
      <c r="P6" s="372"/>
      <c r="Q6" s="37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25.5" customHeight="1" x14ac:dyDescent="0.3">
      <c r="A7" s="411" t="s">
        <v>130</v>
      </c>
      <c r="B7" s="412"/>
      <c r="C7" s="419" t="s">
        <v>85</v>
      </c>
      <c r="D7" s="420"/>
      <c r="E7" s="420"/>
      <c r="F7" s="420"/>
      <c r="G7" s="420"/>
      <c r="H7" s="420"/>
      <c r="I7" s="420"/>
      <c r="J7" s="420"/>
      <c r="K7" s="420"/>
      <c r="L7" s="420"/>
      <c r="M7" s="420"/>
      <c r="N7" s="421"/>
      <c r="O7" s="26"/>
      <c r="P7" s="16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30" customHeight="1" x14ac:dyDescent="0.3">
      <c r="A8" s="411" t="s">
        <v>131</v>
      </c>
      <c r="B8" s="412"/>
      <c r="C8" s="419" t="s">
        <v>132</v>
      </c>
      <c r="D8" s="420"/>
      <c r="E8" s="420"/>
      <c r="F8" s="420"/>
      <c r="G8" s="420"/>
      <c r="H8" s="420"/>
      <c r="I8" s="420"/>
      <c r="J8" s="420"/>
      <c r="K8" s="420"/>
      <c r="L8" s="420"/>
      <c r="M8" s="420"/>
      <c r="N8" s="421"/>
      <c r="O8" s="26"/>
      <c r="P8" s="16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373" t="s">
        <v>133</v>
      </c>
      <c r="B9" s="374"/>
      <c r="C9" s="374"/>
      <c r="D9" s="374"/>
      <c r="E9" s="374"/>
      <c r="F9" s="374"/>
      <c r="G9" s="375"/>
      <c r="H9" s="373" t="s">
        <v>134</v>
      </c>
      <c r="I9" s="374"/>
      <c r="J9" s="374"/>
      <c r="K9" s="374"/>
      <c r="L9" s="374"/>
      <c r="M9" s="374"/>
      <c r="N9" s="375"/>
      <c r="O9" s="373" t="s">
        <v>135</v>
      </c>
      <c r="P9" s="374"/>
      <c r="Q9" s="374"/>
      <c r="R9" s="374"/>
      <c r="S9" s="374"/>
      <c r="T9" s="374"/>
      <c r="U9" s="374"/>
      <c r="V9" s="374"/>
      <c r="W9" s="375"/>
      <c r="X9" s="373" t="s">
        <v>136</v>
      </c>
      <c r="Y9" s="374"/>
      <c r="Z9" s="374"/>
      <c r="AA9" s="374"/>
      <c r="AB9" s="374"/>
      <c r="AC9" s="374"/>
      <c r="AD9" s="375"/>
      <c r="AE9" s="373" t="s">
        <v>137</v>
      </c>
      <c r="AF9" s="374"/>
      <c r="AG9" s="374"/>
      <c r="AH9" s="374"/>
      <c r="AI9" s="374"/>
      <c r="AJ9" s="374"/>
      <c r="AK9" s="375"/>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13" t="s">
        <v>138</v>
      </c>
      <c r="B10" s="416" t="s">
        <v>23</v>
      </c>
      <c r="C10" s="371" t="s">
        <v>25</v>
      </c>
      <c r="D10" s="371" t="s">
        <v>27</v>
      </c>
      <c r="E10" s="415" t="s">
        <v>29</v>
      </c>
      <c r="F10" s="370" t="s">
        <v>31</v>
      </c>
      <c r="G10" s="371" t="s">
        <v>139</v>
      </c>
      <c r="H10" s="425" t="s">
        <v>140</v>
      </c>
      <c r="I10" s="426" t="s">
        <v>141</v>
      </c>
      <c r="J10" s="370" t="s">
        <v>142</v>
      </c>
      <c r="K10" s="370" t="s">
        <v>143</v>
      </c>
      <c r="L10" s="428" t="s">
        <v>144</v>
      </c>
      <c r="M10" s="426" t="s">
        <v>141</v>
      </c>
      <c r="N10" s="371" t="s">
        <v>37</v>
      </c>
      <c r="O10" s="417" t="s">
        <v>145</v>
      </c>
      <c r="P10" s="379" t="s">
        <v>39</v>
      </c>
      <c r="Q10" s="370" t="s">
        <v>41</v>
      </c>
      <c r="R10" s="379" t="s">
        <v>146</v>
      </c>
      <c r="S10" s="379"/>
      <c r="T10" s="379"/>
      <c r="U10" s="379"/>
      <c r="V10" s="379"/>
      <c r="W10" s="379"/>
      <c r="X10" s="401" t="s">
        <v>147</v>
      </c>
      <c r="Y10" s="401" t="s">
        <v>148</v>
      </c>
      <c r="Z10" s="401" t="s">
        <v>141</v>
      </c>
      <c r="AA10" s="401" t="s">
        <v>149</v>
      </c>
      <c r="AB10" s="401" t="s">
        <v>141</v>
      </c>
      <c r="AC10" s="401" t="s">
        <v>150</v>
      </c>
      <c r="AD10" s="417" t="s">
        <v>57</v>
      </c>
      <c r="AE10" s="379" t="s">
        <v>137</v>
      </c>
      <c r="AF10" s="379" t="s">
        <v>151</v>
      </c>
      <c r="AG10" s="379" t="s">
        <v>152</v>
      </c>
      <c r="AH10" s="370" t="s">
        <v>153</v>
      </c>
      <c r="AI10" s="379" t="s">
        <v>154</v>
      </c>
      <c r="AJ10" s="379" t="s">
        <v>155</v>
      </c>
      <c r="AK10" s="379"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14"/>
      <c r="B11" s="416"/>
      <c r="C11" s="379"/>
      <c r="D11" s="379"/>
      <c r="E11" s="416"/>
      <c r="F11" s="371"/>
      <c r="G11" s="379"/>
      <c r="H11" s="371"/>
      <c r="I11" s="427"/>
      <c r="J11" s="371"/>
      <c r="K11" s="371"/>
      <c r="L11" s="427"/>
      <c r="M11" s="427"/>
      <c r="N11" s="379"/>
      <c r="O11" s="418"/>
      <c r="P11" s="379"/>
      <c r="Q11" s="371"/>
      <c r="R11" s="7" t="s">
        <v>156</v>
      </c>
      <c r="S11" s="7" t="s">
        <v>157</v>
      </c>
      <c r="T11" s="7" t="s">
        <v>158</v>
      </c>
      <c r="U11" s="7" t="s">
        <v>159</v>
      </c>
      <c r="V11" s="7" t="s">
        <v>160</v>
      </c>
      <c r="W11" s="7" t="s">
        <v>161</v>
      </c>
      <c r="X11" s="401"/>
      <c r="Y11" s="401"/>
      <c r="Z11" s="401"/>
      <c r="AA11" s="401"/>
      <c r="AB11" s="401"/>
      <c r="AC11" s="401"/>
      <c r="AD11" s="418"/>
      <c r="AE11" s="379"/>
      <c r="AF11" s="379"/>
      <c r="AG11" s="379"/>
      <c r="AH11" s="371"/>
      <c r="AI11" s="379"/>
      <c r="AJ11" s="379"/>
      <c r="AK11" s="379"/>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181.5" x14ac:dyDescent="0.25">
      <c r="A12" s="341">
        <v>1</v>
      </c>
      <c r="B12" s="347" t="s">
        <v>162</v>
      </c>
      <c r="C12" s="347" t="s">
        <v>163</v>
      </c>
      <c r="D12" s="347" t="s">
        <v>164</v>
      </c>
      <c r="E12" s="344" t="s">
        <v>165</v>
      </c>
      <c r="F12" s="347" t="s">
        <v>166</v>
      </c>
      <c r="G12" s="402">
        <v>360</v>
      </c>
      <c r="H12" s="314" t="str">
        <f>IF(G12&lt;=0,"",IF(G12&lt;=2,"Muy Baja",IF(G12&lt;=24,"Baja",IF(G12&lt;=500,"Media",IF(G12&lt;=5000,"Alta","Muy Alta")))))</f>
        <v>Media</v>
      </c>
      <c r="I12" s="320">
        <f>IF(H12="","",IF(H12="Muy Baja",0.2,IF(H12="Baja",0.4,IF(H12="Media",0.6,IF(H12="Alta",0.8,IF(H12="Muy Alta",1,))))))</f>
        <v>0.6</v>
      </c>
      <c r="J12" s="338" t="s">
        <v>167</v>
      </c>
      <c r="K12" s="320"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14" t="str">
        <f>IF(OR(K12='Tabla Impacto'!$C$11,K12='Tabla Impacto'!$D$11),"Leve",IF(OR(K12='Tabla Impacto'!$C$12,K12='Tabla Impacto'!$D$12),"Menor",IF(OR(K12='Tabla Impacto'!$C$13,K12='Tabla Impacto'!$D$13),"Moderado",IF(OR(K12='Tabla Impacto'!$C$14,K12='Tabla Impacto'!$D$14),"Mayor",IF(OR(K12='Tabla Impacto'!$C$15,K12='Tabla Impacto'!$D$15),"Catastrófico","")))))</f>
        <v>Moderado</v>
      </c>
      <c r="M12" s="320">
        <f>IF(L12="","",IF(L12="Leve",0.2,IF(L12="Menor",0.4,IF(L12="Moderado",0.6,IF(L12="Mayor",0.8,IF(L12="Catastrófico",1,))))))</f>
        <v>0.6</v>
      </c>
      <c r="N12" s="31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79" t="s">
        <v>168</v>
      </c>
      <c r="Q12" s="158" t="str">
        <f>IF(OR(R12="Preventivo",R12="Detectivo"),"Probabilidad",IF(R12="Correctivo","Impacto",""))</f>
        <v>Probabilidad</v>
      </c>
      <c r="R12" s="162" t="s">
        <v>169</v>
      </c>
      <c r="S12" s="162" t="s">
        <v>170</v>
      </c>
      <c r="T12" s="163" t="str">
        <f>IF(AND(R12="Preventivo",S12="Automático"),"50%",IF(AND(R12="Preventivo",S12="Manual"),"40%",IF(AND(R12="Detectivo",S12="Automático"),"40%",IF(AND(R12="Detectivo",S12="Manual"),"30%",IF(AND(R12="Correctivo",S12="Automático"),"35%",IF(AND(R12="Correctivo",S12="Manual"),"25%",""))))))</f>
        <v>40%</v>
      </c>
      <c r="U12" s="162" t="s">
        <v>171</v>
      </c>
      <c r="V12" s="162" t="s">
        <v>172</v>
      </c>
      <c r="W12" s="162" t="s">
        <v>173</v>
      </c>
      <c r="X12" s="157">
        <f>IFERROR(IF(Q12="Probabilidad",(I12-(+I12*T12)),IF(Q12="Impacto",I12,"")),"")</f>
        <v>0.36</v>
      </c>
      <c r="Y12" s="164" t="str">
        <f>IFERROR(IF(X12="","",IF(X12&lt;=0.2,"Muy Baja",IF(X12&lt;=0.4,"Baja",IF(X12&lt;=0.6,"Media",IF(X12&lt;=0.8,"Alta","Muy Alta"))))),"")</f>
        <v>Baja</v>
      </c>
      <c r="Z12" s="165">
        <f>+X12</f>
        <v>0.36</v>
      </c>
      <c r="AA12" s="164" t="str">
        <f>IFERROR(IF(AB12="","",IF(AB12&lt;=0.2,"Leve",IF(AB12&lt;=0.4,"Menor",IF(AB12&lt;=0.6,"Moderado",IF(AB12&lt;=0.8,"Mayor","Catastrófico"))))),"")</f>
        <v>Moderado</v>
      </c>
      <c r="AB12" s="165">
        <f>IFERROR(IF(Q12="Impacto",(M12-(+M12*T12)),IF(Q12="Probabilidad",M12,"")),"")</f>
        <v>0.6</v>
      </c>
      <c r="AC12" s="16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7" t="s">
        <v>174</v>
      </c>
      <c r="AE12" s="180" t="s">
        <v>175</v>
      </c>
      <c r="AF12" s="181" t="s">
        <v>176</v>
      </c>
      <c r="AG12" s="173">
        <v>45373</v>
      </c>
      <c r="AH12" s="173">
        <v>45471</v>
      </c>
      <c r="AI12" s="161"/>
      <c r="AJ12" s="114"/>
      <c r="AK12" s="160"/>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12" customHeight="1" x14ac:dyDescent="0.3">
      <c r="A13" s="342"/>
      <c r="B13" s="348"/>
      <c r="C13" s="348"/>
      <c r="D13" s="348"/>
      <c r="E13" s="345"/>
      <c r="F13" s="348"/>
      <c r="G13" s="403"/>
      <c r="H13" s="315"/>
      <c r="I13" s="321"/>
      <c r="J13" s="339"/>
      <c r="K13" s="321">
        <f>IF(NOT(ISERROR(MATCH(J13,_xlfn.ANCHORARRAY(E24),0))),I26&amp;"Por favor no seleccionar los criterios de impacto",J13)</f>
        <v>0</v>
      </c>
      <c r="L13" s="315"/>
      <c r="M13" s="321"/>
      <c r="N13" s="318"/>
      <c r="O13" s="6">
        <v>2</v>
      </c>
      <c r="P13" s="179"/>
      <c r="Q13" s="158" t="str">
        <f>IF(OR(R13="Preventivo",R13="Detectivo"),"Probabilidad",IF(R13="Correctivo","Impacto",""))</f>
        <v/>
      </c>
      <c r="R13" s="162"/>
      <c r="S13" s="162"/>
      <c r="T13" s="163" t="str">
        <f t="shared" ref="T13:T17" si="0">IF(AND(R13="Preventivo",S13="Automático"),"50%",IF(AND(R13="Preventivo",S13="Manual"),"40%",IF(AND(R13="Detectivo",S13="Automático"),"40%",IF(AND(R13="Detectivo",S13="Manual"),"30%",IF(AND(R13="Correctivo",S13="Automático"),"35%",IF(AND(R13="Correctivo",S13="Manual"),"25%",""))))))</f>
        <v/>
      </c>
      <c r="U13" s="162"/>
      <c r="V13" s="162"/>
      <c r="W13" s="162"/>
      <c r="X13" s="157" t="str">
        <f>IFERROR(IF(AND(Q12="Probabilidad",Q13="Probabilidad"),(Z12-(+Z12*T13)),IF(Q13="Probabilidad",(I12-(+I12*T13)),IF(Q13="Impacto",Z12,""))),"")</f>
        <v/>
      </c>
      <c r="Y13" s="164" t="str">
        <f t="shared" ref="Y13:Y72" si="1">IFERROR(IF(X13="","",IF(X13&lt;=0.2,"Muy Baja",IF(X13&lt;=0.4,"Baja",IF(X13&lt;=0.6,"Media",IF(X13&lt;=0.8,"Alta","Muy Alta"))))),"")</f>
        <v/>
      </c>
      <c r="Z13" s="165" t="str">
        <f t="shared" ref="Z13:Z17" si="2">+X13</f>
        <v/>
      </c>
      <c r="AA13" s="164" t="str">
        <f t="shared" ref="AA13:AA72" si="3">IFERROR(IF(AB13="","",IF(AB13&lt;=0.2,"Leve",IF(AB13&lt;=0.4,"Menor",IF(AB13&lt;=0.6,"Moderado",IF(AB13&lt;=0.8,"Mayor","Catastrófico"))))),"")</f>
        <v/>
      </c>
      <c r="AB13" s="165" t="str">
        <f>IFERROR(IF(AND(Q12="Impacto",Q13="Impacto"),(AB12-(+AB12*T13)),IF(Q13="Impacto",(M12-(+M12*T13)),IF(Q13="Probabilidad",AB12,""))),"")</f>
        <v/>
      </c>
      <c r="AC13" s="166"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7"/>
      <c r="AE13" s="159"/>
      <c r="AF13" s="159"/>
      <c r="AG13" s="161"/>
      <c r="AH13" s="161"/>
      <c r="AI13" s="161"/>
      <c r="AJ13" s="114"/>
      <c r="AK13" s="160"/>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2" customHeight="1" x14ac:dyDescent="0.3">
      <c r="A14" s="342"/>
      <c r="B14" s="348"/>
      <c r="C14" s="348"/>
      <c r="D14" s="348"/>
      <c r="E14" s="345"/>
      <c r="F14" s="348"/>
      <c r="G14" s="403"/>
      <c r="H14" s="315"/>
      <c r="I14" s="321"/>
      <c r="J14" s="339"/>
      <c r="K14" s="321">
        <f>IF(NOT(ISERROR(MATCH(J14,_xlfn.ANCHORARRAY(E25),0))),I27&amp;"Por favor no seleccionar los criterios de impacto",J14)</f>
        <v>0</v>
      </c>
      <c r="L14" s="315"/>
      <c r="M14" s="321"/>
      <c r="N14" s="318"/>
      <c r="O14" s="6">
        <v>3</v>
      </c>
      <c r="P14" s="168"/>
      <c r="Q14" s="106"/>
      <c r="R14" s="107"/>
      <c r="S14" s="107"/>
      <c r="T14" s="108"/>
      <c r="U14" s="107"/>
      <c r="V14" s="107"/>
      <c r="W14" s="107"/>
      <c r="X14" s="109"/>
      <c r="Y14" s="110"/>
      <c r="Z14" s="111"/>
      <c r="AA14" s="110"/>
      <c r="AB14" s="111"/>
      <c r="AC14" s="112"/>
      <c r="AD14" s="113"/>
      <c r="AE14" s="114"/>
      <c r="AF14" s="115"/>
      <c r="AG14" s="116"/>
      <c r="AH14" s="116"/>
      <c r="AI14" s="116"/>
      <c r="AJ14" s="114"/>
      <c r="AK14" s="115"/>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2" customHeight="1" x14ac:dyDescent="0.3">
      <c r="A15" s="342"/>
      <c r="B15" s="348"/>
      <c r="C15" s="348"/>
      <c r="D15" s="348"/>
      <c r="E15" s="345"/>
      <c r="F15" s="348"/>
      <c r="G15" s="403"/>
      <c r="H15" s="315"/>
      <c r="I15" s="321"/>
      <c r="J15" s="339"/>
      <c r="K15" s="321">
        <f>IF(NOT(ISERROR(MATCH(J15,_xlfn.ANCHORARRAY(E26),0))),I28&amp;"Por favor no seleccionar los criterios de impacto",J15)</f>
        <v>0</v>
      </c>
      <c r="L15" s="315"/>
      <c r="M15" s="321"/>
      <c r="N15" s="318"/>
      <c r="O15" s="6">
        <v>4</v>
      </c>
      <c r="P15" s="179"/>
      <c r="Q15" s="106"/>
      <c r="R15" s="107"/>
      <c r="S15" s="107"/>
      <c r="T15" s="108"/>
      <c r="U15" s="107"/>
      <c r="V15" s="107"/>
      <c r="W15" s="107"/>
      <c r="X15" s="109"/>
      <c r="Y15" s="110"/>
      <c r="Z15" s="111"/>
      <c r="AA15" s="110"/>
      <c r="AB15" s="111"/>
      <c r="AC15" s="112"/>
      <c r="AD15" s="113"/>
      <c r="AE15" s="114"/>
      <c r="AF15" s="115"/>
      <c r="AG15" s="116"/>
      <c r="AH15" s="116"/>
      <c r="AI15" s="116"/>
      <c r="AJ15" s="114"/>
      <c r="AK15" s="11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2" customHeight="1" x14ac:dyDescent="0.3">
      <c r="A16" s="342"/>
      <c r="B16" s="348"/>
      <c r="C16" s="348"/>
      <c r="D16" s="348"/>
      <c r="E16" s="345"/>
      <c r="F16" s="348"/>
      <c r="G16" s="403"/>
      <c r="H16" s="315"/>
      <c r="I16" s="321"/>
      <c r="J16" s="339"/>
      <c r="K16" s="321">
        <f>IF(NOT(ISERROR(MATCH(J16,_xlfn.ANCHORARRAY(E27),0))),I29&amp;"Por favor no seleccionar los criterios de impacto",J16)</f>
        <v>0</v>
      </c>
      <c r="L16" s="315"/>
      <c r="M16" s="321"/>
      <c r="N16" s="318"/>
      <c r="O16" s="6">
        <v>5</v>
      </c>
      <c r="P16" s="179"/>
      <c r="Q16" s="106" t="str">
        <f t="shared" ref="Q16:Q17" si="5">IF(OR(R16="Preventivo",R16="Detectivo"),"Probabilidad",IF(R16="Correctivo","Impacto",""))</f>
        <v/>
      </c>
      <c r="R16" s="107"/>
      <c r="S16" s="107"/>
      <c r="T16" s="108" t="str">
        <f t="shared" si="0"/>
        <v/>
      </c>
      <c r="U16" s="107"/>
      <c r="V16" s="107"/>
      <c r="W16" s="107"/>
      <c r="X16" s="109" t="str">
        <f t="shared" ref="X16:X17" si="6">IFERROR(IF(AND(Q15="Probabilidad",Q16="Probabilidad"),(Z15-(+Z15*T16)),IF(AND(Q15="Impacto",Q16="Probabilidad"),(Z14-(+Z14*T16)),IF(Q16="Impacto",Z15,""))),"")</f>
        <v/>
      </c>
      <c r="Y16" s="110" t="str">
        <f t="shared" si="1"/>
        <v/>
      </c>
      <c r="Z16" s="111" t="str">
        <f t="shared" si="2"/>
        <v/>
      </c>
      <c r="AA16" s="110" t="str">
        <f t="shared" si="3"/>
        <v/>
      </c>
      <c r="AB16" s="111" t="str">
        <f t="shared" ref="AB16:AB17" si="7">IFERROR(IF(AND(Q15="Impacto",Q16="Impacto"),(AB15-(+AB15*T16)),IF(AND(Q15="Probabilidad",Q16="Impacto"),(AB14-(+AB14*T16)),IF(Q16="Probabilidad",AB15,""))),"")</f>
        <v/>
      </c>
      <c r="AC16" s="112" t="str">
        <f t="shared" si="4"/>
        <v/>
      </c>
      <c r="AD16" s="113"/>
      <c r="AE16" s="114"/>
      <c r="AF16" s="115"/>
      <c r="AG16" s="116"/>
      <c r="AH16" s="116"/>
      <c r="AI16" s="116"/>
      <c r="AJ16" s="114"/>
      <c r="AK16" s="115"/>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2" customHeight="1" x14ac:dyDescent="0.3">
      <c r="A17" s="343"/>
      <c r="B17" s="349"/>
      <c r="C17" s="349"/>
      <c r="D17" s="349"/>
      <c r="E17" s="346"/>
      <c r="F17" s="349"/>
      <c r="G17" s="404"/>
      <c r="H17" s="316"/>
      <c r="I17" s="322"/>
      <c r="J17" s="340"/>
      <c r="K17" s="322">
        <f>IF(NOT(ISERROR(MATCH(J17,_xlfn.ANCHORARRAY(E28),0))),I30&amp;"Por favor no seleccionar los criterios de impacto",J17)</f>
        <v>0</v>
      </c>
      <c r="L17" s="316"/>
      <c r="M17" s="322"/>
      <c r="N17" s="319"/>
      <c r="O17" s="6">
        <v>6</v>
      </c>
      <c r="P17" s="179"/>
      <c r="Q17" s="106" t="str">
        <f t="shared" si="5"/>
        <v/>
      </c>
      <c r="R17" s="107"/>
      <c r="S17" s="107"/>
      <c r="T17" s="108" t="str">
        <f t="shared" si="0"/>
        <v/>
      </c>
      <c r="U17" s="107"/>
      <c r="V17" s="107"/>
      <c r="W17" s="107"/>
      <c r="X17" s="109" t="str">
        <f t="shared" si="6"/>
        <v/>
      </c>
      <c r="Y17" s="110" t="str">
        <f t="shared" si="1"/>
        <v/>
      </c>
      <c r="Z17" s="111" t="str">
        <f t="shared" si="2"/>
        <v/>
      </c>
      <c r="AA17" s="110" t="str">
        <f t="shared" si="3"/>
        <v/>
      </c>
      <c r="AB17" s="111" t="str">
        <f t="shared" si="7"/>
        <v/>
      </c>
      <c r="AC17" s="112" t="str">
        <f t="shared" si="4"/>
        <v/>
      </c>
      <c r="AD17" s="113"/>
      <c r="AE17" s="114"/>
      <c r="AF17" s="115"/>
      <c r="AG17" s="116"/>
      <c r="AH17" s="116"/>
      <c r="AI17" s="116"/>
      <c r="AJ17" s="114"/>
      <c r="AK17" s="115"/>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77.25" customHeight="1" x14ac:dyDescent="0.3">
      <c r="A18" s="341">
        <v>2</v>
      </c>
      <c r="B18" s="347" t="s">
        <v>162</v>
      </c>
      <c r="C18" s="347" t="s">
        <v>177</v>
      </c>
      <c r="D18" s="347" t="s">
        <v>178</v>
      </c>
      <c r="E18" s="344" t="s">
        <v>179</v>
      </c>
      <c r="F18" s="347" t="s">
        <v>166</v>
      </c>
      <c r="G18" s="402">
        <v>21504</v>
      </c>
      <c r="H18" s="314" t="str">
        <f>IF(G18&lt;=0,"",IF(G18&lt;=2,"Muy Baja",IF(G18&lt;=24,"Baja",IF(G18&lt;=500,"Media",IF(G18&lt;=5000,"Alta","Muy Alta")))))</f>
        <v>Muy Alta</v>
      </c>
      <c r="I18" s="320">
        <f>IF(H18="","",IF(H18="Muy Baja",0.2,IF(H18="Baja",0.4,IF(H18="Media",0.6,IF(H18="Alta",0.8,IF(H18="Muy Alta",1,))))))</f>
        <v>1</v>
      </c>
      <c r="J18" s="338" t="s">
        <v>167</v>
      </c>
      <c r="K18" s="320"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14" t="str">
        <f>IF(OR(K18='Tabla Impacto'!$C$11,K18='Tabla Impacto'!$D$11),"Leve",IF(OR(K18='Tabla Impacto'!$C$12,K18='Tabla Impacto'!$D$12),"Menor",IF(OR(K18='Tabla Impacto'!$C$13,K18='Tabla Impacto'!$D$13),"Moderado",IF(OR(K18='Tabla Impacto'!$C$14,K18='Tabla Impacto'!$D$14),"Mayor",IF(OR(K18='Tabla Impacto'!$C$15,K18='Tabla Impacto'!$D$15),"Catastrófico","")))))</f>
        <v>Moderado</v>
      </c>
      <c r="M18" s="320">
        <f>IF(L18="","",IF(L18="Leve",0.2,IF(L18="Menor",0.4,IF(L18="Moderado",0.6,IF(L18="Mayor",0.8,IF(L18="Catastrófico",1,))))))</f>
        <v>0.6</v>
      </c>
      <c r="N18" s="317"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174">
        <v>1</v>
      </c>
      <c r="P18" s="182" t="s">
        <v>180</v>
      </c>
      <c r="Q18" s="176" t="str">
        <f>IF(OR(R18="Preventivo",R18="Detectivo"),"Probabilidad",IF(R18="Correctivo","Impacto",""))</f>
        <v>Probabilidad</v>
      </c>
      <c r="R18" s="167" t="s">
        <v>169</v>
      </c>
      <c r="S18" s="167" t="s">
        <v>170</v>
      </c>
      <c r="T18" s="165" t="str">
        <f>IF(AND(R18="Preventivo",S18="Automático"),"50%",IF(AND(R18="Preventivo",S18="Manual"),"40%",IF(AND(R18="Detectivo",S18="Automático"),"40%",IF(AND(R18="Detectivo",S18="Manual"),"30%",IF(AND(R18="Correctivo",S18="Automático"),"35%",IF(AND(R18="Correctivo",S18="Manual"),"25%",""))))))</f>
        <v>40%</v>
      </c>
      <c r="U18" s="167" t="s">
        <v>171</v>
      </c>
      <c r="V18" s="167" t="s">
        <v>172</v>
      </c>
      <c r="W18" s="167" t="s">
        <v>173</v>
      </c>
      <c r="X18" s="178">
        <f>IFERROR(IF(Q18="Probabilidad",(I18-(+I18*T18)),IF(Q18="Impacto",I18,"")),"")</f>
        <v>0.6</v>
      </c>
      <c r="Y18" s="177" t="str">
        <f>IFERROR(IF(X18="","",IF(X18&lt;=0.2,"Muy Baja",IF(X18&lt;=0.4,"Baja",IF(X18&lt;=0.6,"Media",IF(X18&lt;=0.8,"Alta","Muy Alta"))))),"")</f>
        <v>Media</v>
      </c>
      <c r="Z18" s="165">
        <f>+X18</f>
        <v>0.6</v>
      </c>
      <c r="AA18" s="177" t="str">
        <f>IFERROR(IF(AB18="","",IF(AB18&lt;=0.2,"Leve",IF(AB18&lt;=0.4,"Menor",IF(AB18&lt;=0.6,"Moderado",IF(AB18&lt;=0.8,"Mayor","Catastrófico"))))),"")</f>
        <v>Moderado</v>
      </c>
      <c r="AB18" s="165">
        <f>IFERROR(IF(Q18="Impacto",(M18-(+M18*T18)),IF(Q18="Probabilidad",M18,"")),"")</f>
        <v>0.6</v>
      </c>
      <c r="AC18" s="175"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7" t="s">
        <v>174</v>
      </c>
      <c r="AE18" s="180" t="s">
        <v>181</v>
      </c>
      <c r="AF18" s="159" t="s">
        <v>182</v>
      </c>
      <c r="AG18" s="161">
        <v>45373</v>
      </c>
      <c r="AH18" s="161">
        <v>45642</v>
      </c>
      <c r="AI18" s="116"/>
      <c r="AJ18" s="114"/>
      <c r="AK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2" customHeight="1" x14ac:dyDescent="0.3">
      <c r="A19" s="342"/>
      <c r="B19" s="348"/>
      <c r="C19" s="348"/>
      <c r="D19" s="348"/>
      <c r="E19" s="345"/>
      <c r="F19" s="348"/>
      <c r="G19" s="403"/>
      <c r="H19" s="315"/>
      <c r="I19" s="321"/>
      <c r="J19" s="339"/>
      <c r="K19" s="321"/>
      <c r="L19" s="315"/>
      <c r="M19" s="321"/>
      <c r="N19" s="318"/>
      <c r="O19" s="6">
        <v>2</v>
      </c>
      <c r="P19" s="179"/>
      <c r="Q19" s="158" t="str">
        <f>IF(OR(R19="Preventivo",R19="Detectivo"),"Probabilidad",IF(R19="Correctivo","Impacto",""))</f>
        <v/>
      </c>
      <c r="R19" s="162"/>
      <c r="S19" s="162"/>
      <c r="T19" s="163" t="str">
        <f t="shared" ref="T19:T23" si="8">IF(AND(R19="Preventivo",S19="Automático"),"50%",IF(AND(R19="Preventivo",S19="Manual"),"40%",IF(AND(R19="Detectivo",S19="Automático"),"40%",IF(AND(R19="Detectivo",S19="Manual"),"30%",IF(AND(R19="Correctivo",S19="Automático"),"35%",IF(AND(R19="Correctivo",S19="Manual"),"25%",""))))))</f>
        <v/>
      </c>
      <c r="U19" s="162"/>
      <c r="V19" s="162"/>
      <c r="W19" s="162"/>
      <c r="X19" s="157" t="str">
        <f>IFERROR(IF(AND(Q18="Probabilidad",Q19="Probabilidad"),(Z18-(+Z18*T19)),IF(Q19="Probabilidad",(I18-(+I18*T19)),IF(Q19="Impacto",Z18,""))),"")</f>
        <v/>
      </c>
      <c r="Y19" s="164" t="str">
        <f t="shared" si="1"/>
        <v/>
      </c>
      <c r="Z19" s="165" t="str">
        <f t="shared" ref="Z19:Z23" si="9">+X19</f>
        <v/>
      </c>
      <c r="AA19" s="164" t="str">
        <f t="shared" si="3"/>
        <v/>
      </c>
      <c r="AB19" s="165" t="str">
        <f>IFERROR(IF(AND(Q18="Impacto",Q19="Impacto"),(AB18-(+AB18*T19)),IF(Q19="Impacto",(M18-(+M18*T19)),IF(Q19="Probabilidad",AB18,""))),"")</f>
        <v/>
      </c>
      <c r="AC19" s="166"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7"/>
      <c r="AE19" s="159"/>
      <c r="AF19" s="159"/>
      <c r="AG19" s="161"/>
      <c r="AH19" s="161"/>
      <c r="AI19" s="116"/>
      <c r="AJ19" s="114"/>
      <c r="AK19" s="115"/>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2" customHeight="1" x14ac:dyDescent="0.3">
      <c r="A20" s="342"/>
      <c r="B20" s="348"/>
      <c r="C20" s="348"/>
      <c r="D20" s="348"/>
      <c r="E20" s="345"/>
      <c r="F20" s="348"/>
      <c r="G20" s="403"/>
      <c r="H20" s="315"/>
      <c r="I20" s="321"/>
      <c r="J20" s="339"/>
      <c r="K20" s="321"/>
      <c r="L20" s="315"/>
      <c r="M20" s="321"/>
      <c r="N20" s="318"/>
      <c r="O20" s="6">
        <v>3</v>
      </c>
      <c r="P20" s="168"/>
      <c r="Q20" s="158" t="str">
        <f>IF(OR(R20="Preventivo",R20="Detectivo"),"Probabilidad",IF(R20="Correctivo","Impacto",""))</f>
        <v/>
      </c>
      <c r="R20" s="162"/>
      <c r="S20" s="162"/>
      <c r="T20" s="163" t="str">
        <f t="shared" si="8"/>
        <v/>
      </c>
      <c r="U20" s="162"/>
      <c r="V20" s="162"/>
      <c r="W20" s="162"/>
      <c r="X20" s="157" t="str">
        <f>IFERROR(IF(AND(Q19="Probabilidad",Q20="Probabilidad"),(Z19-(+Z19*T20)),IF(AND(Q19="Impacto",Q20="Probabilidad"),(Z18-(+Z18*T20)),IF(Q20="Impacto",Z19,""))),"")</f>
        <v/>
      </c>
      <c r="Y20" s="164" t="str">
        <f t="shared" si="1"/>
        <v/>
      </c>
      <c r="Z20" s="165" t="str">
        <f t="shared" si="9"/>
        <v/>
      </c>
      <c r="AA20" s="164" t="str">
        <f t="shared" si="3"/>
        <v/>
      </c>
      <c r="AB20" s="165" t="str">
        <f>IFERROR(IF(AND(Q19="Impacto",Q20="Impacto"),(AB19-(+AB19*T20)),IF(AND(Q19="Probabilidad",Q20="Impacto"),(AB18-(+AB18*T20)),IF(Q20="Probabilidad",AB19,""))),"")</f>
        <v/>
      </c>
      <c r="AC20" s="166" t="str">
        <f t="shared" si="10"/>
        <v/>
      </c>
      <c r="AD20" s="167"/>
      <c r="AE20" s="159"/>
      <c r="AF20" s="160"/>
      <c r="AG20" s="161"/>
      <c r="AH20" s="161"/>
      <c r="AI20" s="116"/>
      <c r="AJ20" s="114"/>
      <c r="AK20" s="115"/>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2" customHeight="1" x14ac:dyDescent="0.3">
      <c r="A21" s="342"/>
      <c r="B21" s="348"/>
      <c r="C21" s="348"/>
      <c r="D21" s="348"/>
      <c r="E21" s="345"/>
      <c r="F21" s="348"/>
      <c r="G21" s="403"/>
      <c r="H21" s="315"/>
      <c r="I21" s="321"/>
      <c r="J21" s="339"/>
      <c r="K21" s="321"/>
      <c r="L21" s="315"/>
      <c r="M21" s="321"/>
      <c r="N21" s="318"/>
      <c r="O21" s="6">
        <v>4</v>
      </c>
      <c r="P21" s="179"/>
      <c r="Q21" s="106" t="str">
        <f t="shared" ref="Q21:Q23" si="11">IF(OR(R21="Preventivo",R21="Detectivo"),"Probabilidad",IF(R21="Correctivo","Impacto",""))</f>
        <v/>
      </c>
      <c r="R21" s="107"/>
      <c r="S21" s="107"/>
      <c r="T21" s="108" t="str">
        <f t="shared" si="8"/>
        <v/>
      </c>
      <c r="U21" s="107"/>
      <c r="V21" s="107"/>
      <c r="W21" s="107"/>
      <c r="X21" s="109" t="str">
        <f t="shared" ref="X21:X23" si="12">IFERROR(IF(AND(Q20="Probabilidad",Q21="Probabilidad"),(Z20-(+Z20*T21)),IF(AND(Q20="Impacto",Q21="Probabilidad"),(Z19-(+Z19*T21)),IF(Q21="Impacto",Z20,""))),"")</f>
        <v/>
      </c>
      <c r="Y21" s="110" t="str">
        <f t="shared" si="1"/>
        <v/>
      </c>
      <c r="Z21" s="111" t="str">
        <f t="shared" si="9"/>
        <v/>
      </c>
      <c r="AA21" s="110" t="str">
        <f t="shared" si="3"/>
        <v/>
      </c>
      <c r="AB21" s="111" t="str">
        <f t="shared" ref="AB21:AB23" si="13">IFERROR(IF(AND(Q20="Impacto",Q21="Impacto"),(AB20-(+AB20*T21)),IF(AND(Q20="Probabilidad",Q21="Impacto"),(AB19-(+AB19*T21)),IF(Q21="Probabilidad",AB20,""))),"")</f>
        <v/>
      </c>
      <c r="AC21" s="11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3"/>
      <c r="AE21" s="114"/>
      <c r="AF21" s="115"/>
      <c r="AG21" s="116"/>
      <c r="AH21" s="116"/>
      <c r="AI21" s="116"/>
      <c r="AJ21" s="114"/>
      <c r="AK21" s="115"/>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2" customHeight="1" x14ac:dyDescent="0.3">
      <c r="A22" s="342"/>
      <c r="B22" s="348"/>
      <c r="C22" s="348"/>
      <c r="D22" s="348"/>
      <c r="E22" s="345"/>
      <c r="F22" s="348"/>
      <c r="G22" s="403"/>
      <c r="H22" s="315"/>
      <c r="I22" s="321"/>
      <c r="J22" s="339"/>
      <c r="K22" s="321"/>
      <c r="L22" s="315"/>
      <c r="M22" s="321"/>
      <c r="N22" s="318"/>
      <c r="O22" s="6">
        <v>5</v>
      </c>
      <c r="P22" s="179"/>
      <c r="Q22" s="106" t="str">
        <f t="shared" si="11"/>
        <v/>
      </c>
      <c r="R22" s="107"/>
      <c r="S22" s="107"/>
      <c r="T22" s="108" t="str">
        <f t="shared" si="8"/>
        <v/>
      </c>
      <c r="U22" s="107"/>
      <c r="V22" s="107"/>
      <c r="W22" s="107"/>
      <c r="X22" s="109" t="str">
        <f t="shared" si="12"/>
        <v/>
      </c>
      <c r="Y22" s="110" t="str">
        <f t="shared" si="1"/>
        <v/>
      </c>
      <c r="Z22" s="111" t="str">
        <f t="shared" si="9"/>
        <v/>
      </c>
      <c r="AA22" s="110" t="str">
        <f t="shared" si="3"/>
        <v/>
      </c>
      <c r="AB22" s="111" t="str">
        <f t="shared" si="13"/>
        <v/>
      </c>
      <c r="AC22" s="112"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3"/>
      <c r="AE22" s="114"/>
      <c r="AF22" s="115"/>
      <c r="AG22" s="116"/>
      <c r="AH22" s="116"/>
      <c r="AI22" s="116"/>
      <c r="AJ22" s="114"/>
      <c r="AK22" s="115"/>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2" customHeight="1" x14ac:dyDescent="0.3">
      <c r="A23" s="343"/>
      <c r="B23" s="349"/>
      <c r="C23" s="349"/>
      <c r="D23" s="349"/>
      <c r="E23" s="346"/>
      <c r="F23" s="349"/>
      <c r="G23" s="404"/>
      <c r="H23" s="316"/>
      <c r="I23" s="322"/>
      <c r="J23" s="340"/>
      <c r="K23" s="322"/>
      <c r="L23" s="316"/>
      <c r="M23" s="322"/>
      <c r="N23" s="319"/>
      <c r="O23" s="6">
        <v>6</v>
      </c>
      <c r="P23" s="179"/>
      <c r="Q23" s="106" t="str">
        <f t="shared" si="11"/>
        <v/>
      </c>
      <c r="R23" s="107"/>
      <c r="S23" s="107"/>
      <c r="T23" s="108" t="str">
        <f t="shared" si="8"/>
        <v/>
      </c>
      <c r="U23" s="107"/>
      <c r="V23" s="107"/>
      <c r="W23" s="107"/>
      <c r="X23" s="109" t="str">
        <f t="shared" si="12"/>
        <v/>
      </c>
      <c r="Y23" s="110" t="str">
        <f t="shared" si="1"/>
        <v/>
      </c>
      <c r="Z23" s="111" t="str">
        <f t="shared" si="9"/>
        <v/>
      </c>
      <c r="AA23" s="110" t="str">
        <f t="shared" si="3"/>
        <v/>
      </c>
      <c r="AB23" s="111" t="str">
        <f t="shared" si="13"/>
        <v/>
      </c>
      <c r="AC23" s="112" t="str">
        <f t="shared" si="14"/>
        <v/>
      </c>
      <c r="AD23" s="113"/>
      <c r="AE23" s="114"/>
      <c r="AF23" s="115"/>
      <c r="AG23" s="116"/>
      <c r="AH23" s="116"/>
      <c r="AI23" s="116"/>
      <c r="AJ23" s="114"/>
      <c r="AK23" s="115"/>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69.75" customHeight="1" x14ac:dyDescent="0.3">
      <c r="A24" s="341">
        <v>3</v>
      </c>
      <c r="B24" s="347" t="s">
        <v>162</v>
      </c>
      <c r="C24" s="347" t="s">
        <v>177</v>
      </c>
      <c r="D24" s="347" t="s">
        <v>183</v>
      </c>
      <c r="E24" s="344" t="s">
        <v>184</v>
      </c>
      <c r="F24" s="347" t="s">
        <v>166</v>
      </c>
      <c r="G24" s="402">
        <v>215</v>
      </c>
      <c r="H24" s="314" t="str">
        <f>IF(G24&lt;=0,"",IF(G24&lt;=2,"Muy Baja",IF(G24&lt;=24,"Baja",IF(G24&lt;=500,"Media",IF(G24&lt;=5000,"Alta","Muy Alta")))))</f>
        <v>Media</v>
      </c>
      <c r="I24" s="320">
        <f>IF(H24="","",IF(H24="Muy Baja",0.2,IF(H24="Baja",0.4,IF(H24="Media",0.6,IF(H24="Alta",0.8,IF(H24="Muy Alta",1,))))))</f>
        <v>0.6</v>
      </c>
      <c r="J24" s="338" t="s">
        <v>185</v>
      </c>
      <c r="K24" s="320" t="str">
        <f>IF(NOT(ISERROR(MATCH(J24,'Tabla Impacto'!$B$221:$B$223,0))),'Tabla Impacto'!$F$223&amp;"Por favor no seleccionar los criterios de impacto(Afectación Económica o presupuestal y Pérdida Reputacional)",J24)</f>
        <v xml:space="preserve">     El riesgo afecta la imagen de de la entidad con efecto publicitario sostenido a nivel de sector administrativo, nivel departamental o municipal</v>
      </c>
      <c r="L24" s="314" t="str">
        <f>IF(OR(K24='Tabla Impacto'!$C$11,K24='Tabla Impacto'!$D$11),"Leve",IF(OR(K24='Tabla Impacto'!$C$12,K24='Tabla Impacto'!$D$12),"Menor",IF(OR(K24='Tabla Impacto'!$C$13,K24='Tabla Impacto'!$D$13),"Moderado",IF(OR(K24='Tabla Impacto'!$C$14,K24='Tabla Impacto'!$D$14),"Mayor",IF(OR(K24='Tabla Impacto'!$C$15,K24='Tabla Impacto'!$D$15),"Catastrófico","")))))</f>
        <v>Mayor</v>
      </c>
      <c r="M24" s="320">
        <f>IF(L24="","",IF(L24="Leve",0.2,IF(L24="Menor",0.4,IF(L24="Moderado",0.6,IF(L24="Mayor",0.8,IF(L24="Catastrófico",1,))))))</f>
        <v>0.8</v>
      </c>
      <c r="N24" s="317"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6">
        <v>1</v>
      </c>
      <c r="P24" s="179" t="s">
        <v>186</v>
      </c>
      <c r="Q24" s="158" t="str">
        <f>IF(OR(R24="Preventivo",R24="Detectivo"),"Probabilidad",IF(R24="Correctivo","Impacto",""))</f>
        <v>Probabilidad</v>
      </c>
      <c r="R24" s="162" t="s">
        <v>169</v>
      </c>
      <c r="S24" s="162" t="s">
        <v>170</v>
      </c>
      <c r="T24" s="163" t="str">
        <f>IF(AND(R24="Preventivo",S24="Automático"),"50%",IF(AND(R24="Preventivo",S24="Manual"),"40%",IF(AND(R24="Detectivo",S24="Automático"),"40%",IF(AND(R24="Detectivo",S24="Manual"),"30%",IF(AND(R24="Correctivo",S24="Automático"),"35%",IF(AND(R24="Correctivo",S24="Manual"),"25%",""))))))</f>
        <v>40%</v>
      </c>
      <c r="U24" s="162" t="s">
        <v>171</v>
      </c>
      <c r="V24" s="162" t="s">
        <v>172</v>
      </c>
      <c r="W24" s="162" t="s">
        <v>173</v>
      </c>
      <c r="X24" s="157">
        <f>IFERROR(IF(Q24="Probabilidad",(I24-(+I24*T24)),IF(Q24="Impacto",I24,"")),"")</f>
        <v>0.36</v>
      </c>
      <c r="Y24" s="164" t="str">
        <f>IFERROR(IF(X24="","",IF(X24&lt;=0.2,"Muy Baja",IF(X24&lt;=0.4,"Baja",IF(X24&lt;=0.6,"Media",IF(X24&lt;=0.8,"Alta","Muy Alta"))))),"")</f>
        <v>Baja</v>
      </c>
      <c r="Z24" s="165">
        <f>+X24</f>
        <v>0.36</v>
      </c>
      <c r="AA24" s="164" t="str">
        <f>IFERROR(IF(AB24="","",IF(AB24&lt;=0.2,"Leve",IF(AB24&lt;=0.4,"Menor",IF(AB24&lt;=0.6,"Moderado",IF(AB24&lt;=0.8,"Mayor","Catastrófico"))))),"")</f>
        <v>Mayor</v>
      </c>
      <c r="AB24" s="165">
        <f>IFERROR(IF(Q24="Impacto",(M24-(+M24*T24)),IF(Q24="Probabilidad",M24,"")),"")</f>
        <v>0.8</v>
      </c>
      <c r="AC24" s="166"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167" t="s">
        <v>174</v>
      </c>
      <c r="AE24" s="179" t="s">
        <v>187</v>
      </c>
      <c r="AF24" s="159" t="s">
        <v>182</v>
      </c>
      <c r="AG24" s="161">
        <v>45373</v>
      </c>
      <c r="AH24" s="161">
        <v>45642</v>
      </c>
      <c r="AI24" s="116"/>
      <c r="AJ24" s="114"/>
      <c r="AK24" s="115"/>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87.75" customHeight="1" x14ac:dyDescent="0.3">
      <c r="A25" s="342"/>
      <c r="B25" s="348"/>
      <c r="C25" s="348"/>
      <c r="D25" s="348"/>
      <c r="E25" s="345"/>
      <c r="F25" s="348"/>
      <c r="G25" s="403"/>
      <c r="H25" s="315"/>
      <c r="I25" s="321"/>
      <c r="J25" s="339"/>
      <c r="K25" s="321">
        <f>IF(NOT(ISERROR(MATCH(J25,_xlfn.ANCHORARRAY(E37),0))),I39&amp;"Por favor no seleccionar los criterios de impacto",J25)</f>
        <v>0</v>
      </c>
      <c r="L25" s="315"/>
      <c r="M25" s="321"/>
      <c r="N25" s="318"/>
      <c r="O25" s="6">
        <v>2</v>
      </c>
      <c r="P25" s="179" t="s">
        <v>188</v>
      </c>
      <c r="Q25" s="158" t="str">
        <f>IF(OR(R25="Preventivo",R25="Detectivo"),"Probabilidad",IF(R25="Correctivo","Impacto",""))</f>
        <v>Probabilidad</v>
      </c>
      <c r="R25" s="162" t="s">
        <v>169</v>
      </c>
      <c r="S25" s="162" t="s">
        <v>170</v>
      </c>
      <c r="T25" s="163" t="str">
        <f t="shared" ref="T25:T29" si="15">IF(AND(R25="Preventivo",S25="Automático"),"50%",IF(AND(R25="Preventivo",S25="Manual"),"40%",IF(AND(R25="Detectivo",S25="Automático"),"40%",IF(AND(R25="Detectivo",S25="Manual"),"30%",IF(AND(R25="Correctivo",S25="Automático"),"35%",IF(AND(R25="Correctivo",S25="Manual"),"25%",""))))))</f>
        <v>40%</v>
      </c>
      <c r="U25" s="162" t="s">
        <v>171</v>
      </c>
      <c r="V25" s="162" t="s">
        <v>172</v>
      </c>
      <c r="W25" s="162" t="s">
        <v>173</v>
      </c>
      <c r="X25" s="157">
        <f>IFERROR(IF(AND(Q24="Probabilidad",Q25="Probabilidad"),(Z24-(+Z24*T25)),IF(Q25="Probabilidad",(I24-(+I24*T25)),IF(Q25="Impacto",Z24,""))),"")</f>
        <v>0.216</v>
      </c>
      <c r="Y25" s="164" t="str">
        <f t="shared" si="1"/>
        <v>Baja</v>
      </c>
      <c r="Z25" s="165">
        <f t="shared" ref="Z25:Z29" si="16">+X25</f>
        <v>0.216</v>
      </c>
      <c r="AA25" s="164" t="str">
        <f t="shared" si="3"/>
        <v>Mayor</v>
      </c>
      <c r="AB25" s="165">
        <f>IFERROR(IF(AND(Q24="Impacto",Q25="Impacto"),(AB24-(+AB24*T25)),IF(Q25="Impacto",(M24-(+M24*T25)),IF(Q25="Probabilidad",AB24,""))),"")</f>
        <v>0.8</v>
      </c>
      <c r="AC25" s="166"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Alto</v>
      </c>
      <c r="AD25" s="167" t="s">
        <v>174</v>
      </c>
      <c r="AE25" s="179" t="s">
        <v>189</v>
      </c>
      <c r="AF25" s="159" t="s">
        <v>190</v>
      </c>
      <c r="AG25" s="161">
        <v>45597</v>
      </c>
      <c r="AH25" s="161">
        <v>45642</v>
      </c>
      <c r="AI25" s="116"/>
      <c r="AJ25" s="114"/>
      <c r="AK25" s="115"/>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2" customHeight="1" x14ac:dyDescent="0.3">
      <c r="A26" s="342"/>
      <c r="B26" s="348"/>
      <c r="C26" s="348"/>
      <c r="D26" s="348"/>
      <c r="E26" s="345"/>
      <c r="F26" s="348"/>
      <c r="G26" s="403"/>
      <c r="H26" s="315"/>
      <c r="I26" s="321"/>
      <c r="J26" s="339"/>
      <c r="K26" s="321">
        <f>IF(NOT(ISERROR(MATCH(J26,_xlfn.ANCHORARRAY(E38),0))),I40&amp;"Por favor no seleccionar los criterios de impacto",J26)</f>
        <v>0</v>
      </c>
      <c r="L26" s="315"/>
      <c r="M26" s="321"/>
      <c r="N26" s="318"/>
      <c r="O26" s="6">
        <v>3</v>
      </c>
      <c r="P26" s="168"/>
      <c r="Q26" s="106" t="str">
        <f>IF(OR(R26="Preventivo",R26="Detectivo"),"Probabilidad",IF(R26="Correctivo","Impacto",""))</f>
        <v/>
      </c>
      <c r="R26" s="107"/>
      <c r="S26" s="107"/>
      <c r="T26" s="108" t="str">
        <f t="shared" si="15"/>
        <v/>
      </c>
      <c r="U26" s="107"/>
      <c r="V26" s="107"/>
      <c r="W26" s="107"/>
      <c r="X26" s="109" t="str">
        <f>IFERROR(IF(AND(Q25="Probabilidad",Q26="Probabilidad"),(Z25-(+Z25*T26)),IF(AND(Q25="Impacto",Q26="Probabilidad"),(Z24-(+Z24*T26)),IF(Q26="Impacto",Z25,""))),"")</f>
        <v/>
      </c>
      <c r="Y26" s="110" t="str">
        <f t="shared" si="1"/>
        <v/>
      </c>
      <c r="Z26" s="111" t="str">
        <f t="shared" si="16"/>
        <v/>
      </c>
      <c r="AA26" s="110" t="str">
        <f t="shared" si="3"/>
        <v/>
      </c>
      <c r="AB26" s="111" t="str">
        <f>IFERROR(IF(AND(Q25="Impacto",Q26="Impacto"),(AB25-(+AB25*T26)),IF(AND(Q25="Probabilidad",Q26="Impacto"),(AB24-(+AB24*T26)),IF(Q26="Probabilidad",AB25,""))),"")</f>
        <v/>
      </c>
      <c r="AC26" s="112" t="str">
        <f t="shared" si="17"/>
        <v/>
      </c>
      <c r="AD26" s="113"/>
      <c r="AE26" s="114"/>
      <c r="AF26" s="115"/>
      <c r="AG26" s="116"/>
      <c r="AH26" s="116"/>
      <c r="AI26" s="116"/>
      <c r="AJ26" s="114"/>
      <c r="AK26" s="115"/>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2" customHeight="1" x14ac:dyDescent="0.3">
      <c r="A27" s="342"/>
      <c r="B27" s="348"/>
      <c r="C27" s="348"/>
      <c r="D27" s="348"/>
      <c r="E27" s="345"/>
      <c r="F27" s="348"/>
      <c r="G27" s="403"/>
      <c r="H27" s="315"/>
      <c r="I27" s="321"/>
      <c r="J27" s="339"/>
      <c r="K27" s="321">
        <f>IF(NOT(ISERROR(MATCH(J27,_xlfn.ANCHORARRAY(E39),0))),I41&amp;"Por favor no seleccionar los criterios de impacto",J27)</f>
        <v>0</v>
      </c>
      <c r="L27" s="315"/>
      <c r="M27" s="321"/>
      <c r="N27" s="318"/>
      <c r="O27" s="6">
        <v>4</v>
      </c>
      <c r="P27" s="179"/>
      <c r="Q27" s="106" t="str">
        <f t="shared" ref="Q27:Q29" si="18">IF(OR(R27="Preventivo",R27="Detectivo"),"Probabilidad",IF(R27="Correctivo","Impacto",""))</f>
        <v/>
      </c>
      <c r="R27" s="107"/>
      <c r="S27" s="107"/>
      <c r="T27" s="108" t="str">
        <f t="shared" si="15"/>
        <v/>
      </c>
      <c r="U27" s="107"/>
      <c r="V27" s="107"/>
      <c r="W27" s="107"/>
      <c r="X27" s="109" t="str">
        <f t="shared" ref="X27:X29" si="19">IFERROR(IF(AND(Q26="Probabilidad",Q27="Probabilidad"),(Z26-(+Z26*T27)),IF(AND(Q26="Impacto",Q27="Probabilidad"),(Z25-(+Z25*T27)),IF(Q27="Impacto",Z26,""))),"")</f>
        <v/>
      </c>
      <c r="Y27" s="110" t="str">
        <f t="shared" si="1"/>
        <v/>
      </c>
      <c r="Z27" s="111" t="str">
        <f t="shared" si="16"/>
        <v/>
      </c>
      <c r="AA27" s="110" t="str">
        <f t="shared" si="3"/>
        <v/>
      </c>
      <c r="AB27" s="111" t="str">
        <f t="shared" ref="AB27:AB29" si="20">IFERROR(IF(AND(Q26="Impacto",Q27="Impacto"),(AB26-(+AB26*T27)),IF(AND(Q26="Probabilidad",Q27="Impacto"),(AB25-(+AB25*T27)),IF(Q27="Probabilidad",AB26,""))),"")</f>
        <v/>
      </c>
      <c r="AC27" s="112"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3"/>
      <c r="AE27" s="114"/>
      <c r="AF27" s="115"/>
      <c r="AG27" s="116"/>
      <c r="AH27" s="116"/>
      <c r="AI27" s="116"/>
      <c r="AJ27" s="114"/>
      <c r="AK27" s="115"/>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2" customHeight="1" x14ac:dyDescent="0.3">
      <c r="A28" s="342"/>
      <c r="B28" s="348"/>
      <c r="C28" s="348"/>
      <c r="D28" s="348"/>
      <c r="E28" s="345"/>
      <c r="F28" s="348"/>
      <c r="G28" s="403"/>
      <c r="H28" s="315"/>
      <c r="I28" s="321"/>
      <c r="J28" s="339"/>
      <c r="K28" s="321">
        <f>IF(NOT(ISERROR(MATCH(J28,_xlfn.ANCHORARRAY(E40),0))),I42&amp;"Por favor no seleccionar los criterios de impacto",J28)</f>
        <v>0</v>
      </c>
      <c r="L28" s="315"/>
      <c r="M28" s="321"/>
      <c r="N28" s="318"/>
      <c r="O28" s="6">
        <v>5</v>
      </c>
      <c r="P28" s="179"/>
      <c r="Q28" s="106" t="str">
        <f t="shared" si="18"/>
        <v/>
      </c>
      <c r="R28" s="107"/>
      <c r="S28" s="107"/>
      <c r="T28" s="108" t="str">
        <f t="shared" si="15"/>
        <v/>
      </c>
      <c r="U28" s="107"/>
      <c r="V28" s="107"/>
      <c r="W28" s="107"/>
      <c r="X28" s="109" t="str">
        <f t="shared" si="19"/>
        <v/>
      </c>
      <c r="Y28" s="110" t="str">
        <f t="shared" si="1"/>
        <v/>
      </c>
      <c r="Z28" s="111" t="str">
        <f t="shared" si="16"/>
        <v/>
      </c>
      <c r="AA28" s="110" t="str">
        <f t="shared" si="3"/>
        <v/>
      </c>
      <c r="AB28" s="111" t="str">
        <f t="shared" si="20"/>
        <v/>
      </c>
      <c r="AC28" s="112"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3"/>
      <c r="AE28" s="114"/>
      <c r="AF28" s="115"/>
      <c r="AG28" s="116"/>
      <c r="AH28" s="116"/>
      <c r="AI28" s="116"/>
      <c r="AJ28" s="114"/>
      <c r="AK28" s="115"/>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2" customHeight="1" x14ac:dyDescent="0.3">
      <c r="A29" s="343"/>
      <c r="B29" s="349"/>
      <c r="C29" s="349"/>
      <c r="D29" s="349"/>
      <c r="E29" s="346"/>
      <c r="F29" s="349"/>
      <c r="G29" s="404"/>
      <c r="H29" s="316"/>
      <c r="I29" s="322"/>
      <c r="J29" s="340"/>
      <c r="K29" s="322">
        <f>IF(NOT(ISERROR(MATCH(J29,_xlfn.ANCHORARRAY(E41),0))),I43&amp;"Por favor no seleccionar los criterios de impacto",J29)</f>
        <v>0</v>
      </c>
      <c r="L29" s="316"/>
      <c r="M29" s="322"/>
      <c r="N29" s="319"/>
      <c r="O29" s="6">
        <v>6</v>
      </c>
      <c r="P29" s="179"/>
      <c r="Q29" s="106" t="str">
        <f t="shared" si="18"/>
        <v/>
      </c>
      <c r="R29" s="107"/>
      <c r="S29" s="107"/>
      <c r="T29" s="108" t="str">
        <f t="shared" si="15"/>
        <v/>
      </c>
      <c r="U29" s="107"/>
      <c r="V29" s="107"/>
      <c r="W29" s="107"/>
      <c r="X29" s="109" t="str">
        <f t="shared" si="19"/>
        <v/>
      </c>
      <c r="Y29" s="110" t="str">
        <f t="shared" si="1"/>
        <v/>
      </c>
      <c r="Z29" s="111" t="str">
        <f t="shared" si="16"/>
        <v/>
      </c>
      <c r="AA29" s="110" t="str">
        <f t="shared" si="3"/>
        <v/>
      </c>
      <c r="AB29" s="111" t="str">
        <f t="shared" si="20"/>
        <v/>
      </c>
      <c r="AC29" s="112" t="str">
        <f t="shared" si="21"/>
        <v/>
      </c>
      <c r="AD29" s="113"/>
      <c r="AE29" s="114"/>
      <c r="AF29" s="115"/>
      <c r="AG29" s="116"/>
      <c r="AH29" s="116"/>
      <c r="AI29" s="116"/>
      <c r="AJ29" s="114"/>
      <c r="AK29" s="115"/>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26" customHeight="1" x14ac:dyDescent="0.3">
      <c r="A30" s="341">
        <v>4</v>
      </c>
      <c r="B30" s="347" t="s">
        <v>191</v>
      </c>
      <c r="C30" s="347" t="s">
        <v>192</v>
      </c>
      <c r="D30" s="347" t="s">
        <v>193</v>
      </c>
      <c r="E30" s="344" t="s">
        <v>194</v>
      </c>
      <c r="F30" s="347" t="s">
        <v>166</v>
      </c>
      <c r="G30" s="402">
        <v>50</v>
      </c>
      <c r="H30" s="314" t="str">
        <f>IF(G30&lt;=0,"",IF(G30&lt;=2,"Muy Baja",IF(G30&lt;=24,"Baja",IF(G30&lt;=500,"Media",IF(G30&lt;=5000,"Alta","Muy Alta")))))</f>
        <v>Media</v>
      </c>
      <c r="I30" s="320">
        <f>IF(H30="","",IF(H30="Muy Baja",0.2,IF(H30="Baja",0.4,IF(H30="Media",0.6,IF(H30="Alta",0.8,IF(H30="Muy Alta",1,))))))</f>
        <v>0.6</v>
      </c>
      <c r="J30" s="338" t="s">
        <v>195</v>
      </c>
      <c r="K30" s="320" t="str">
        <f>IF(NOT(ISERROR(MATCH(J30,'Tabla Impacto'!$B$221:$B$223,0))),'Tabla Impacto'!$F$223&amp;"Por favor no seleccionar los criterios de impacto(Afectación Económica o presupuestal y Pérdida Reputacional)",J30)</f>
        <v xml:space="preserve">     Entre 100 y 500 SMLMV </v>
      </c>
      <c r="L30" s="314" t="str">
        <f>IF(OR(K30='Tabla Impacto'!$C$11,K30='Tabla Impacto'!$D$11),"Leve",IF(OR(K30='Tabla Impacto'!$C$12,K30='Tabla Impacto'!$D$12),"Menor",IF(OR(K30='Tabla Impacto'!$C$13,K30='Tabla Impacto'!$D$13),"Moderado",IF(OR(K30='Tabla Impacto'!$C$14,K30='Tabla Impacto'!$D$14),"Mayor",IF(OR(K30='Tabla Impacto'!$C$15,K30='Tabla Impacto'!$D$15),"Catastrófico","")))))</f>
        <v>Mayor</v>
      </c>
      <c r="M30" s="320">
        <f>IF(L30="","",IF(L30="Leve",0.2,IF(L30="Menor",0.4,IF(L30="Moderado",0.6,IF(L30="Mayor",0.8,IF(L30="Catastrófico",1,))))))</f>
        <v>0.8</v>
      </c>
      <c r="N30" s="317"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Alto</v>
      </c>
      <c r="O30" s="341">
        <v>1</v>
      </c>
      <c r="P30" s="405" t="s">
        <v>196</v>
      </c>
      <c r="Q30" s="407" t="str">
        <f>IF(OR(R30="Preventivo",R30="Detectivo"),"Probabilidad",IF(R30="Correctivo","Impacto",""))</f>
        <v>Probabilidad</v>
      </c>
      <c r="R30" s="312" t="s">
        <v>169</v>
      </c>
      <c r="S30" s="312" t="s">
        <v>170</v>
      </c>
      <c r="T30" s="325" t="str">
        <f>IF(AND(R30="Preventivo",S30="Automático"),"50%",IF(AND(R30="Preventivo",S30="Manual"),"40%",IF(AND(R30="Detectivo",S30="Automático"),"40%",IF(AND(R30="Detectivo",S30="Manual"),"30%",IF(AND(R30="Correctivo",S30="Automático"),"35%",IF(AND(R30="Correctivo",S30="Manual"),"25%",""))))))</f>
        <v>40%</v>
      </c>
      <c r="U30" s="312" t="s">
        <v>171</v>
      </c>
      <c r="V30" s="312" t="s">
        <v>172</v>
      </c>
      <c r="W30" s="312" t="s">
        <v>173</v>
      </c>
      <c r="X30" s="327">
        <f>IFERROR(IF(Q30="Probabilidad",(I30-(+I30*T31)),IF(Q30="Impacto",I30,"")),"")</f>
        <v>0.6</v>
      </c>
      <c r="Y30" s="323" t="str">
        <f>IFERROR(IF(X30="","",IF(X30&lt;=0.2,"Muy Baja",IF(X30&lt;=0.4,"Baja",IF(X30&lt;=0.6,"Media",IF(X30&lt;=0.8,"Alta","Muy Alta"))))),"")</f>
        <v>Media</v>
      </c>
      <c r="Z30" s="325">
        <f>+X30</f>
        <v>0.6</v>
      </c>
      <c r="AA30" s="323" t="str">
        <f>IFERROR(IF(AB30="","",IF(AB30&lt;=0.2,"Leve",IF(AB30&lt;=0.4,"Menor",IF(AB30&lt;=0.6,"Moderado",IF(AB30&lt;=0.8,"Mayor","Catastrófico"))))),"")</f>
        <v>Mayor</v>
      </c>
      <c r="AB30" s="325">
        <f>IFERROR(IF(Q30="Impacto",(M30-(+M30*T31)),IF(Q30="Probabilidad",M30,"")),"")</f>
        <v>0.8</v>
      </c>
      <c r="AC30" s="40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Alto</v>
      </c>
      <c r="AD30" s="312" t="s">
        <v>174</v>
      </c>
      <c r="AE30" s="179" t="s">
        <v>197</v>
      </c>
      <c r="AF30" s="159" t="s">
        <v>190</v>
      </c>
      <c r="AG30" s="161">
        <v>45373</v>
      </c>
      <c r="AH30" s="161">
        <v>45412</v>
      </c>
      <c r="AI30" s="116"/>
      <c r="AJ30" s="114"/>
      <c r="AK30" s="115"/>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16.25" customHeight="1" x14ac:dyDescent="0.3">
      <c r="A31" s="342"/>
      <c r="B31" s="348"/>
      <c r="C31" s="348"/>
      <c r="D31" s="348"/>
      <c r="E31" s="345"/>
      <c r="F31" s="348"/>
      <c r="G31" s="403"/>
      <c r="H31" s="315"/>
      <c r="I31" s="321"/>
      <c r="J31" s="339"/>
      <c r="K31" s="321"/>
      <c r="L31" s="315"/>
      <c r="M31" s="321"/>
      <c r="N31" s="318"/>
      <c r="O31" s="343"/>
      <c r="P31" s="406"/>
      <c r="Q31" s="408"/>
      <c r="R31" s="313"/>
      <c r="S31" s="313"/>
      <c r="T31" s="326"/>
      <c r="U31" s="313"/>
      <c r="V31" s="313"/>
      <c r="W31" s="313"/>
      <c r="X31" s="328"/>
      <c r="Y31" s="324"/>
      <c r="Z31" s="326"/>
      <c r="AA31" s="324"/>
      <c r="AB31" s="326"/>
      <c r="AC31" s="410"/>
      <c r="AD31" s="313"/>
      <c r="AE31" s="179" t="s">
        <v>198</v>
      </c>
      <c r="AF31" s="159" t="s">
        <v>190</v>
      </c>
      <c r="AG31" s="161">
        <v>45373</v>
      </c>
      <c r="AH31" s="161">
        <v>45642</v>
      </c>
      <c r="AI31" s="116"/>
      <c r="AJ31" s="114"/>
      <c r="AK31" s="115"/>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customHeight="1" x14ac:dyDescent="0.3">
      <c r="A32" s="342"/>
      <c r="B32" s="348"/>
      <c r="C32" s="348"/>
      <c r="D32" s="348"/>
      <c r="E32" s="345"/>
      <c r="F32" s="348"/>
      <c r="G32" s="403"/>
      <c r="H32" s="315"/>
      <c r="I32" s="321"/>
      <c r="J32" s="339"/>
      <c r="K32" s="321"/>
      <c r="L32" s="315"/>
      <c r="M32" s="321"/>
      <c r="N32" s="318"/>
      <c r="O32" s="6">
        <v>2</v>
      </c>
      <c r="P32" s="179"/>
      <c r="Q32" s="106" t="str">
        <f>IF(OR(R32="Preventivo",R32="Detectivo"),"Probabilidad",IF(R32="Correctivo","Impacto",""))</f>
        <v/>
      </c>
      <c r="R32" s="107"/>
      <c r="S32" s="107"/>
      <c r="T32" s="108" t="str">
        <f t="shared" ref="T32:T35" si="22">IF(AND(R32="Preventivo",S32="Automático"),"50%",IF(AND(R32="Preventivo",S32="Manual"),"40%",IF(AND(R32="Detectivo",S32="Automático"),"40%",IF(AND(R32="Detectivo",S32="Manual"),"30%",IF(AND(R32="Correctivo",S32="Automático"),"35%",IF(AND(R32="Correctivo",S32="Manual"),"25%",""))))))</f>
        <v/>
      </c>
      <c r="U32" s="107"/>
      <c r="V32" s="107"/>
      <c r="W32" s="107"/>
      <c r="X32" s="109" t="str">
        <f>IFERROR(IF(AND(Q30="Probabilidad",Q32="Probabilidad"),(Z30-(+Z30*T32)),IF(Q32="Probabilidad",(I30-(+I30*T32)),IF(Q32="Impacto",Z30,""))),"")</f>
        <v/>
      </c>
      <c r="Y32" s="110" t="str">
        <f t="shared" si="1"/>
        <v/>
      </c>
      <c r="Z32" s="111" t="str">
        <f t="shared" ref="Z32:Z37" si="23">+X32</f>
        <v/>
      </c>
      <c r="AA32" s="110" t="str">
        <f t="shared" si="3"/>
        <v/>
      </c>
      <c r="AB32" s="111" t="str">
        <f>IFERROR(IF(AND(Q30="Impacto",Q32="Impacto"),(AB30-(+AB30*T32)),IF(Q32="Impacto",(M30-(+M30*T32)),IF(Q32="Probabilidad",AB30,""))),"")</f>
        <v/>
      </c>
      <c r="AC32" s="112"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13"/>
      <c r="AE32" s="114"/>
      <c r="AF32" s="115"/>
      <c r="AG32" s="116"/>
      <c r="AH32" s="116"/>
      <c r="AI32" s="116"/>
      <c r="AJ32" s="114"/>
      <c r="AK32" s="115"/>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customHeight="1" x14ac:dyDescent="0.3">
      <c r="A33" s="342"/>
      <c r="B33" s="348"/>
      <c r="C33" s="348"/>
      <c r="D33" s="348"/>
      <c r="E33" s="345"/>
      <c r="F33" s="348"/>
      <c r="G33" s="403"/>
      <c r="H33" s="315"/>
      <c r="I33" s="321"/>
      <c r="J33" s="339"/>
      <c r="K33" s="321"/>
      <c r="L33" s="315"/>
      <c r="M33" s="321"/>
      <c r="N33" s="318"/>
      <c r="O33" s="6">
        <v>3</v>
      </c>
      <c r="P33" s="168"/>
      <c r="Q33" s="106" t="str">
        <f>IF(OR(R33="Preventivo",R33="Detectivo"),"Probabilidad",IF(R33="Correctivo","Impacto",""))</f>
        <v/>
      </c>
      <c r="R33" s="107"/>
      <c r="S33" s="107"/>
      <c r="T33" s="108" t="str">
        <f t="shared" si="22"/>
        <v/>
      </c>
      <c r="U33" s="107"/>
      <c r="V33" s="107"/>
      <c r="W33" s="107"/>
      <c r="X33" s="109" t="str">
        <f>IFERROR(IF(AND(Q32="Probabilidad",Q33="Probabilidad"),(Z32-(+Z32*T33)),IF(AND(Q32="Impacto",Q33="Probabilidad"),(Z30-(+Z30*T33)),IF(Q33="Impacto",Z32,""))),"")</f>
        <v/>
      </c>
      <c r="Y33" s="110" t="str">
        <f t="shared" si="1"/>
        <v/>
      </c>
      <c r="Z33" s="111" t="str">
        <f t="shared" si="23"/>
        <v/>
      </c>
      <c r="AA33" s="110" t="str">
        <f t="shared" si="3"/>
        <v/>
      </c>
      <c r="AB33" s="111" t="str">
        <f>IFERROR(IF(AND(Q32="Impacto",Q33="Impacto"),(AB32-(+AB32*T33)),IF(AND(Q32="Probabilidad",Q33="Impacto"),(AB30-(+AB30*T33)),IF(Q33="Probabilidad",AB32,""))),"")</f>
        <v/>
      </c>
      <c r="AC33" s="112" t="str">
        <f t="shared" si="24"/>
        <v/>
      </c>
      <c r="AD33" s="113"/>
      <c r="AE33" s="114"/>
      <c r="AF33" s="115"/>
      <c r="AG33" s="116"/>
      <c r="AH33" s="116"/>
      <c r="AI33" s="116"/>
      <c r="AJ33" s="114"/>
      <c r="AK33" s="115"/>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customHeight="1" x14ac:dyDescent="0.3">
      <c r="A34" s="342"/>
      <c r="B34" s="348"/>
      <c r="C34" s="348"/>
      <c r="D34" s="348"/>
      <c r="E34" s="345"/>
      <c r="F34" s="348"/>
      <c r="G34" s="403"/>
      <c r="H34" s="315"/>
      <c r="I34" s="321"/>
      <c r="J34" s="339"/>
      <c r="K34" s="321"/>
      <c r="L34" s="315"/>
      <c r="M34" s="321"/>
      <c r="N34" s="318"/>
      <c r="O34" s="6">
        <v>4</v>
      </c>
      <c r="P34" s="179"/>
      <c r="Q34" s="106" t="str">
        <f t="shared" ref="Q34:Q35" si="25">IF(OR(R34="Preventivo",R34="Detectivo"),"Probabilidad",IF(R34="Correctivo","Impacto",""))</f>
        <v/>
      </c>
      <c r="R34" s="107"/>
      <c r="S34" s="107"/>
      <c r="T34" s="108" t="str">
        <f t="shared" si="22"/>
        <v/>
      </c>
      <c r="U34" s="107"/>
      <c r="V34" s="107"/>
      <c r="W34" s="107"/>
      <c r="X34" s="109" t="str">
        <f t="shared" ref="X34:X36" si="26">IFERROR(IF(AND(Q33="Probabilidad",Q34="Probabilidad"),(Z33-(+Z33*T34)),IF(AND(Q33="Impacto",Q34="Probabilidad"),(Z32-(+Z32*T34)),IF(Q34="Impacto",Z33,""))),"")</f>
        <v/>
      </c>
      <c r="Y34" s="110" t="str">
        <f t="shared" si="1"/>
        <v/>
      </c>
      <c r="Z34" s="111" t="str">
        <f t="shared" si="23"/>
        <v/>
      </c>
      <c r="AA34" s="110" t="str">
        <f t="shared" si="3"/>
        <v/>
      </c>
      <c r="AB34" s="111" t="str">
        <f t="shared" ref="AB34:AB36" si="27">IFERROR(IF(AND(Q33="Impacto",Q34="Impacto"),(AB33-(+AB33*T34)),IF(AND(Q33="Probabilidad",Q34="Impacto"),(AB32-(+AB32*T34)),IF(Q34="Probabilidad",AB33,""))),"")</f>
        <v/>
      </c>
      <c r="AC34" s="112"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3"/>
      <c r="AE34" s="114"/>
      <c r="AF34" s="115"/>
      <c r="AG34" s="116"/>
      <c r="AH34" s="116"/>
      <c r="AI34" s="116"/>
      <c r="AJ34" s="114"/>
      <c r="AK34" s="115"/>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customHeight="1" x14ac:dyDescent="0.3">
      <c r="A35" s="342"/>
      <c r="B35" s="348"/>
      <c r="C35" s="348"/>
      <c r="D35" s="348"/>
      <c r="E35" s="345"/>
      <c r="F35" s="348"/>
      <c r="G35" s="403"/>
      <c r="H35" s="315"/>
      <c r="I35" s="321"/>
      <c r="J35" s="339"/>
      <c r="K35" s="321"/>
      <c r="L35" s="315"/>
      <c r="M35" s="321"/>
      <c r="N35" s="318"/>
      <c r="O35" s="6">
        <v>5</v>
      </c>
      <c r="P35" s="179"/>
      <c r="Q35" s="106" t="str">
        <f t="shared" si="25"/>
        <v/>
      </c>
      <c r="R35" s="107"/>
      <c r="S35" s="107"/>
      <c r="T35" s="108" t="str">
        <f t="shared" si="22"/>
        <v/>
      </c>
      <c r="U35" s="107"/>
      <c r="V35" s="107"/>
      <c r="W35" s="107"/>
      <c r="X35" s="109" t="str">
        <f t="shared" si="26"/>
        <v/>
      </c>
      <c r="Y35" s="110" t="str">
        <f>IFERROR(IF(X35="","",IF(X35&lt;=0.2,"Muy Baja",IF(X35&lt;=0.4,"Baja",IF(X35&lt;=0.6,"Media",IF(X35&lt;=0.8,"Alta","Muy Alta"))))),"")</f>
        <v/>
      </c>
      <c r="Z35" s="111" t="str">
        <f t="shared" si="23"/>
        <v/>
      </c>
      <c r="AA35" s="110" t="str">
        <f t="shared" si="3"/>
        <v/>
      </c>
      <c r="AB35" s="111" t="str">
        <f t="shared" si="27"/>
        <v/>
      </c>
      <c r="AC35" s="112" t="str">
        <f t="shared" ref="AC35:AC37"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3"/>
      <c r="AE35" s="114"/>
      <c r="AF35" s="115"/>
      <c r="AG35" s="116"/>
      <c r="AH35" s="116"/>
      <c r="AI35" s="116"/>
      <c r="AJ35" s="114"/>
      <c r="AK35" s="115"/>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customHeight="1" x14ac:dyDescent="0.3">
      <c r="A36" s="343"/>
      <c r="B36" s="349"/>
      <c r="C36" s="349"/>
      <c r="D36" s="349"/>
      <c r="E36" s="346"/>
      <c r="F36" s="349"/>
      <c r="G36" s="404"/>
      <c r="H36" s="316"/>
      <c r="I36" s="322"/>
      <c r="J36" s="340"/>
      <c r="K36" s="322"/>
      <c r="L36" s="316"/>
      <c r="M36" s="322"/>
      <c r="N36" s="319"/>
      <c r="O36" s="6">
        <v>6</v>
      </c>
      <c r="P36" s="179"/>
      <c r="Q36" s="106"/>
      <c r="R36" s="107"/>
      <c r="S36" s="107"/>
      <c r="T36" s="108"/>
      <c r="U36" s="107"/>
      <c r="V36" s="107"/>
      <c r="W36" s="107"/>
      <c r="X36" s="109" t="str">
        <f t="shared" si="26"/>
        <v/>
      </c>
      <c r="Y36" s="110" t="str">
        <f t="shared" si="1"/>
        <v/>
      </c>
      <c r="Z36" s="111" t="str">
        <f t="shared" si="23"/>
        <v/>
      </c>
      <c r="AA36" s="110" t="str">
        <f t="shared" si="3"/>
        <v/>
      </c>
      <c r="AB36" s="111" t="str">
        <f t="shared" si="27"/>
        <v/>
      </c>
      <c r="AC36" s="112" t="str">
        <f t="shared" si="28"/>
        <v/>
      </c>
      <c r="AD36" s="113"/>
      <c r="AE36" s="114"/>
      <c r="AF36" s="115"/>
      <c r="AG36" s="116"/>
      <c r="AH36" s="116"/>
      <c r="AI36" s="116"/>
      <c r="AJ36" s="114"/>
      <c r="AK36" s="115"/>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15.5" x14ac:dyDescent="0.3">
      <c r="A37" s="341">
        <v>5</v>
      </c>
      <c r="B37" s="347" t="s">
        <v>191</v>
      </c>
      <c r="C37" s="347" t="s">
        <v>199</v>
      </c>
      <c r="D37" s="347" t="s">
        <v>200</v>
      </c>
      <c r="E37" s="344" t="s">
        <v>201</v>
      </c>
      <c r="F37" s="347" t="s">
        <v>166</v>
      </c>
      <c r="G37" s="350">
        <v>150</v>
      </c>
      <c r="H37" s="314" t="str">
        <f>IF(G37&lt;=0,"",IF(G37&lt;=2,"Muy Baja",IF(G37&lt;=24,"Baja",IF(G37&lt;=500,"Media",IF(G37&lt;=5000,"Alta","Muy Alta")))))</f>
        <v>Media</v>
      </c>
      <c r="I37" s="320">
        <f>IF(H37="","",IF(H37="Muy Baja",0.2,IF(H37="Baja",0.4,IF(H37="Media",0.6,IF(H37="Alta",0.8,IF(H37="Muy Alta",1,))))))</f>
        <v>0.6</v>
      </c>
      <c r="J37" s="338" t="s">
        <v>167</v>
      </c>
      <c r="K37" s="320" t="str">
        <f>IF(NOT(ISERROR(MATCH(J37,'Tabla Impacto'!$B$221:$B$223,0))),'Tabla Impacto'!$F$223&amp;"Por favor no seleccionar los criterios de impacto(Afectación Económica o presupuestal y Pérdida Reputacional)",J37)</f>
        <v xml:space="preserve">     El riesgo afecta la imagen de la entidad con algunos usuarios de relevancia frente al logro de los objetivos</v>
      </c>
      <c r="L37" s="314" t="str">
        <f>IF(OR(K37='Tabla Impacto'!$C$11,K37='Tabla Impacto'!$D$11),"Leve",IF(OR(K37='Tabla Impacto'!$C$12,K37='Tabla Impacto'!$D$12),"Menor",IF(OR(K37='Tabla Impacto'!$C$13,K37='Tabla Impacto'!$D$13),"Moderado",IF(OR(K37='Tabla Impacto'!$C$14,K37='Tabla Impacto'!$D$14),"Mayor",IF(OR(K37='Tabla Impacto'!$C$15,K37='Tabla Impacto'!$D$15),"Catastrófico","")))))</f>
        <v>Moderado</v>
      </c>
      <c r="M37" s="320">
        <f>IF(L37="","",IF(L37="Leve",0.2,IF(L37="Menor",0.4,IF(L37="Moderado",0.6,IF(L37="Mayor",0.8,IF(L37="Catastrófico",1,))))))</f>
        <v>0.6</v>
      </c>
      <c r="N37" s="317"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6">
        <v>1</v>
      </c>
      <c r="P37" s="179" t="s">
        <v>202</v>
      </c>
      <c r="Q37" s="158" t="str">
        <f t="shared" ref="Q37" si="29">IF(OR(R37="Preventivo",R37="Detectivo"),"Probabilidad",IF(R37="Correctivo","Impacto",""))</f>
        <v>Probabilidad</v>
      </c>
      <c r="R37" s="162" t="s">
        <v>169</v>
      </c>
      <c r="S37" s="162" t="s">
        <v>170</v>
      </c>
      <c r="T37" s="163" t="str">
        <f t="shared" ref="T37" si="30">IF(AND(R37="Preventivo",S37="Automático"),"50%",IF(AND(R37="Preventivo",S37="Manual"),"40%",IF(AND(R37="Detectivo",S37="Automático"),"40%",IF(AND(R37="Detectivo",S37="Manual"),"30%",IF(AND(R37="Correctivo",S37="Automático"),"35%",IF(AND(R37="Correctivo",S37="Manual"),"25%",""))))))</f>
        <v>40%</v>
      </c>
      <c r="U37" s="162" t="s">
        <v>171</v>
      </c>
      <c r="V37" s="162" t="s">
        <v>172</v>
      </c>
      <c r="W37" s="162" t="s">
        <v>173</v>
      </c>
      <c r="X37" s="157">
        <f t="shared" ref="X37" si="31">IFERROR(IF(Q37="Probabilidad",(I37-(+I37*T37)),IF(Q37="Impacto",I37,"")),"")</f>
        <v>0.36</v>
      </c>
      <c r="Y37" s="164" t="str">
        <f t="shared" si="1"/>
        <v>Baja</v>
      </c>
      <c r="Z37" s="165">
        <f t="shared" si="23"/>
        <v>0.36</v>
      </c>
      <c r="AA37" s="164" t="str">
        <f>IFERROR(IF(AB37="","",IF(AB37&lt;=0.2,"Leve",IF(AB37&lt;=0.4,"Menor",IF(AB37&lt;=0.6,"Moderado",IF(AB37&lt;=0.8,"Mayor","Catastrófico"))))),"")</f>
        <v>Moderado</v>
      </c>
      <c r="AB37" s="165">
        <f>IFERROR(IF(Q37="Impacto",(M37-(+M37*T37)),IF(Q37="Probabilidad",M37,"")),"")</f>
        <v>0.6</v>
      </c>
      <c r="AC37" s="166" t="str">
        <f t="shared" si="28"/>
        <v>Moderado</v>
      </c>
      <c r="AD37" s="167" t="s">
        <v>174</v>
      </c>
      <c r="AE37" s="184" t="s">
        <v>203</v>
      </c>
      <c r="AF37" s="159" t="s">
        <v>176</v>
      </c>
      <c r="AG37" s="161">
        <v>45373</v>
      </c>
      <c r="AH37" s="161">
        <v>45642</v>
      </c>
      <c r="AI37" s="116"/>
      <c r="AJ37" s="114"/>
      <c r="AK37" s="115"/>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2" customHeight="1" x14ac:dyDescent="0.3">
      <c r="A38" s="342"/>
      <c r="B38" s="348"/>
      <c r="C38" s="348"/>
      <c r="D38" s="348"/>
      <c r="E38" s="345"/>
      <c r="F38" s="348"/>
      <c r="G38" s="351"/>
      <c r="H38" s="315"/>
      <c r="I38" s="321"/>
      <c r="J38" s="339"/>
      <c r="K38" s="321">
        <f>IF(NOT(ISERROR(MATCH(J38,_xlfn.ANCHORARRAY(E50),0))),I52&amp;"Por favor no seleccionar los criterios de impacto",J38)</f>
        <v>0</v>
      </c>
      <c r="L38" s="315"/>
      <c r="M38" s="321"/>
      <c r="N38" s="318"/>
      <c r="O38" s="6"/>
      <c r="P38" s="179"/>
      <c r="Q38" s="106"/>
      <c r="R38" s="107"/>
      <c r="S38" s="107"/>
      <c r="T38" s="108"/>
      <c r="U38" s="107"/>
      <c r="V38" s="107"/>
      <c r="W38" s="107"/>
      <c r="X38" s="109"/>
      <c r="Y38" s="110"/>
      <c r="Z38" s="111"/>
      <c r="AA38" s="110"/>
      <c r="AB38" s="111"/>
      <c r="AC38" s="112"/>
      <c r="AD38" s="113"/>
      <c r="AE38" s="114"/>
      <c r="AF38" s="115"/>
      <c r="AG38" s="116"/>
      <c r="AH38" s="116"/>
      <c r="AI38" s="116"/>
      <c r="AJ38" s="114"/>
      <c r="AK38" s="115"/>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2" customHeight="1" x14ac:dyDescent="0.3">
      <c r="A39" s="342"/>
      <c r="B39" s="348"/>
      <c r="C39" s="348"/>
      <c r="D39" s="348"/>
      <c r="E39" s="345"/>
      <c r="F39" s="348"/>
      <c r="G39" s="351"/>
      <c r="H39" s="315"/>
      <c r="I39" s="321"/>
      <c r="J39" s="339"/>
      <c r="K39" s="321">
        <f>IF(NOT(ISERROR(MATCH(J39,_xlfn.ANCHORARRAY(E51),0))),I53&amp;"Por favor no seleccionar los criterios de impacto",J39)</f>
        <v>0</v>
      </c>
      <c r="L39" s="315"/>
      <c r="M39" s="321"/>
      <c r="N39" s="318"/>
      <c r="O39" s="6"/>
      <c r="P39" s="168"/>
      <c r="Q39" s="106"/>
      <c r="R39" s="107"/>
      <c r="S39" s="107"/>
      <c r="T39" s="108"/>
      <c r="U39" s="107"/>
      <c r="V39" s="107"/>
      <c r="W39" s="107"/>
      <c r="X39" s="109"/>
      <c r="Y39" s="110"/>
      <c r="Z39" s="111"/>
      <c r="AA39" s="110"/>
      <c r="AB39" s="111"/>
      <c r="AC39" s="112"/>
      <c r="AD39" s="113"/>
      <c r="AE39" s="114"/>
      <c r="AF39" s="115"/>
      <c r="AG39" s="116"/>
      <c r="AH39" s="116"/>
      <c r="AI39" s="116"/>
      <c r="AJ39" s="114"/>
      <c r="AK39" s="115"/>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2" customHeight="1" x14ac:dyDescent="0.3">
      <c r="A40" s="342"/>
      <c r="B40" s="348"/>
      <c r="C40" s="348"/>
      <c r="D40" s="348"/>
      <c r="E40" s="345"/>
      <c r="F40" s="348"/>
      <c r="G40" s="351"/>
      <c r="H40" s="315"/>
      <c r="I40" s="321"/>
      <c r="J40" s="339"/>
      <c r="K40" s="321">
        <f>IF(NOT(ISERROR(MATCH(J40,_xlfn.ANCHORARRAY(E52),0))),I54&amp;"Por favor no seleccionar los criterios de impacto",J40)</f>
        <v>0</v>
      </c>
      <c r="L40" s="315"/>
      <c r="M40" s="321"/>
      <c r="N40" s="318"/>
      <c r="O40" s="6"/>
      <c r="P40" s="179"/>
      <c r="Q40" s="106"/>
      <c r="R40" s="107"/>
      <c r="S40" s="107"/>
      <c r="T40" s="108"/>
      <c r="U40" s="107"/>
      <c r="V40" s="107"/>
      <c r="W40" s="107"/>
      <c r="X40" s="109"/>
      <c r="Y40" s="110"/>
      <c r="Z40" s="111"/>
      <c r="AA40" s="110"/>
      <c r="AB40" s="111"/>
      <c r="AC40" s="112"/>
      <c r="AD40" s="113"/>
      <c r="AE40" s="114"/>
      <c r="AF40" s="115"/>
      <c r="AG40" s="116"/>
      <c r="AH40" s="116"/>
      <c r="AI40" s="116"/>
      <c r="AJ40" s="114"/>
      <c r="AK40" s="115"/>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2" customHeight="1" x14ac:dyDescent="0.3">
      <c r="A41" s="342"/>
      <c r="B41" s="348"/>
      <c r="C41" s="348"/>
      <c r="D41" s="348"/>
      <c r="E41" s="345"/>
      <c r="F41" s="348"/>
      <c r="G41" s="351"/>
      <c r="H41" s="315"/>
      <c r="I41" s="321"/>
      <c r="J41" s="339"/>
      <c r="K41" s="321">
        <f>IF(NOT(ISERROR(MATCH(J41,_xlfn.ANCHORARRAY(E53),0))),I55&amp;"Por favor no seleccionar los criterios de impacto",J41)</f>
        <v>0</v>
      </c>
      <c r="L41" s="315"/>
      <c r="M41" s="321"/>
      <c r="N41" s="318"/>
      <c r="O41" s="6"/>
      <c r="P41" s="179"/>
      <c r="Q41" s="106"/>
      <c r="R41" s="107"/>
      <c r="S41" s="107"/>
      <c r="T41" s="108"/>
      <c r="U41" s="107"/>
      <c r="V41" s="107"/>
      <c r="W41" s="107"/>
      <c r="X41" s="109"/>
      <c r="Y41" s="110"/>
      <c r="Z41" s="111"/>
      <c r="AA41" s="110"/>
      <c r="AB41" s="111"/>
      <c r="AC41" s="112"/>
      <c r="AD41" s="113"/>
      <c r="AE41" s="114"/>
      <c r="AF41" s="115"/>
      <c r="AG41" s="116"/>
      <c r="AH41" s="116"/>
      <c r="AI41" s="116"/>
      <c r="AJ41" s="114"/>
      <c r="AK41" s="115"/>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2" customHeight="1" x14ac:dyDescent="0.3">
      <c r="A42" s="343"/>
      <c r="B42" s="349"/>
      <c r="C42" s="349"/>
      <c r="D42" s="349"/>
      <c r="E42" s="346"/>
      <c r="F42" s="349"/>
      <c r="G42" s="352"/>
      <c r="H42" s="316"/>
      <c r="I42" s="322"/>
      <c r="J42" s="340"/>
      <c r="K42" s="322">
        <f>IF(NOT(ISERROR(MATCH(J42,_xlfn.ANCHORARRAY(E54),0))),I56&amp;"Por favor no seleccionar los criterios de impacto",J42)</f>
        <v>0</v>
      </c>
      <c r="L42" s="316"/>
      <c r="M42" s="322"/>
      <c r="N42" s="319"/>
      <c r="O42" s="6"/>
      <c r="P42" s="179"/>
      <c r="Q42" s="106"/>
      <c r="R42" s="107"/>
      <c r="S42" s="107"/>
      <c r="T42" s="108"/>
      <c r="U42" s="107"/>
      <c r="V42" s="107"/>
      <c r="W42" s="107"/>
      <c r="X42" s="109"/>
      <c r="Y42" s="110"/>
      <c r="Z42" s="111"/>
      <c r="AA42" s="110"/>
      <c r="AB42" s="111"/>
      <c r="AC42" s="112"/>
      <c r="AD42" s="113"/>
      <c r="AE42" s="114"/>
      <c r="AF42" s="115"/>
      <c r="AG42" s="116"/>
      <c r="AH42" s="116"/>
      <c r="AI42" s="116"/>
      <c r="AJ42" s="114"/>
      <c r="AK42" s="115"/>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idden="1" x14ac:dyDescent="0.3">
      <c r="A43" s="341">
        <v>6</v>
      </c>
      <c r="B43" s="347"/>
      <c r="C43" s="338"/>
      <c r="D43" s="338"/>
      <c r="E43" s="380"/>
      <c r="F43" s="347"/>
      <c r="G43" s="350"/>
      <c r="H43" s="314"/>
      <c r="I43" s="320"/>
      <c r="J43" s="338"/>
      <c r="K43" s="320"/>
      <c r="L43" s="314"/>
      <c r="M43" s="320"/>
      <c r="N43" s="317"/>
      <c r="O43" s="6"/>
      <c r="P43" s="183"/>
      <c r="Q43" s="158"/>
      <c r="R43" s="162"/>
      <c r="S43" s="162"/>
      <c r="T43" s="163"/>
      <c r="U43" s="162"/>
      <c r="V43" s="162"/>
      <c r="W43" s="162"/>
      <c r="X43" s="157"/>
      <c r="Y43" s="164"/>
      <c r="Z43" s="165"/>
      <c r="AA43" s="164"/>
      <c r="AB43" s="165"/>
      <c r="AC43" s="166"/>
      <c r="AD43" s="167"/>
      <c r="AE43" s="183"/>
      <c r="AF43" s="159"/>
      <c r="AG43" s="161"/>
      <c r="AH43" s="161"/>
      <c r="AI43" s="116"/>
      <c r="AJ43" s="114"/>
      <c r="AK43" s="115"/>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42"/>
      <c r="B44" s="348"/>
      <c r="C44" s="339"/>
      <c r="D44" s="339"/>
      <c r="E44" s="381"/>
      <c r="F44" s="348"/>
      <c r="G44" s="351"/>
      <c r="H44" s="315"/>
      <c r="I44" s="321"/>
      <c r="J44" s="339"/>
      <c r="K44" s="321"/>
      <c r="L44" s="315"/>
      <c r="M44" s="321"/>
      <c r="N44" s="318"/>
      <c r="O44" s="6"/>
      <c r="P44" s="179"/>
      <c r="Q44" s="106"/>
      <c r="R44" s="107"/>
      <c r="S44" s="107"/>
      <c r="T44" s="108"/>
      <c r="U44" s="107"/>
      <c r="V44" s="107"/>
      <c r="W44" s="107"/>
      <c r="X44" s="109"/>
      <c r="Y44" s="110"/>
      <c r="Z44" s="111"/>
      <c r="AA44" s="110"/>
      <c r="AB44" s="111"/>
      <c r="AC44" s="112"/>
      <c r="AD44" s="113"/>
      <c r="AE44" s="114"/>
      <c r="AF44" s="115"/>
      <c r="AG44" s="116"/>
      <c r="AH44" s="116"/>
      <c r="AI44" s="116"/>
      <c r="AJ44" s="114"/>
      <c r="AK44" s="115"/>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42"/>
      <c r="B45" s="348"/>
      <c r="C45" s="339"/>
      <c r="D45" s="339"/>
      <c r="E45" s="381"/>
      <c r="F45" s="348"/>
      <c r="G45" s="351"/>
      <c r="H45" s="315"/>
      <c r="I45" s="321"/>
      <c r="J45" s="339"/>
      <c r="K45" s="321"/>
      <c r="L45" s="315"/>
      <c r="M45" s="321"/>
      <c r="N45" s="318"/>
      <c r="O45" s="6"/>
      <c r="P45" s="168"/>
      <c r="Q45" s="106"/>
      <c r="R45" s="107"/>
      <c r="S45" s="107"/>
      <c r="T45" s="108"/>
      <c r="U45" s="107"/>
      <c r="V45" s="107"/>
      <c r="W45" s="107"/>
      <c r="X45" s="109"/>
      <c r="Y45" s="110"/>
      <c r="Z45" s="111"/>
      <c r="AA45" s="110"/>
      <c r="AB45" s="111"/>
      <c r="AC45" s="112"/>
      <c r="AD45" s="113"/>
      <c r="AE45" s="114"/>
      <c r="AF45" s="115"/>
      <c r="AG45" s="116"/>
      <c r="AH45" s="116"/>
      <c r="AI45" s="116"/>
      <c r="AJ45" s="114"/>
      <c r="AK45" s="115"/>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42"/>
      <c r="B46" s="348"/>
      <c r="C46" s="339"/>
      <c r="D46" s="339"/>
      <c r="E46" s="381"/>
      <c r="F46" s="348"/>
      <c r="G46" s="351"/>
      <c r="H46" s="315"/>
      <c r="I46" s="321"/>
      <c r="J46" s="339"/>
      <c r="K46" s="321"/>
      <c r="L46" s="315"/>
      <c r="M46" s="321"/>
      <c r="N46" s="318"/>
      <c r="O46" s="6"/>
      <c r="P46" s="179"/>
      <c r="Q46" s="106"/>
      <c r="R46" s="107"/>
      <c r="S46" s="107"/>
      <c r="T46" s="108"/>
      <c r="U46" s="107"/>
      <c r="V46" s="107"/>
      <c r="W46" s="107"/>
      <c r="X46" s="109"/>
      <c r="Y46" s="110"/>
      <c r="Z46" s="111"/>
      <c r="AA46" s="110"/>
      <c r="AB46" s="111"/>
      <c r="AC46" s="112"/>
      <c r="AD46" s="113"/>
      <c r="AE46" s="114"/>
      <c r="AF46" s="115"/>
      <c r="AG46" s="116"/>
      <c r="AH46" s="116"/>
      <c r="AI46" s="116"/>
      <c r="AJ46" s="114"/>
      <c r="AK46" s="115"/>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42"/>
      <c r="B47" s="348"/>
      <c r="C47" s="339"/>
      <c r="D47" s="339"/>
      <c r="E47" s="381"/>
      <c r="F47" s="348"/>
      <c r="G47" s="351"/>
      <c r="H47" s="315"/>
      <c r="I47" s="321"/>
      <c r="J47" s="339"/>
      <c r="K47" s="321"/>
      <c r="L47" s="315"/>
      <c r="M47" s="321"/>
      <c r="N47" s="318"/>
      <c r="O47" s="6"/>
      <c r="P47" s="179"/>
      <c r="Q47" s="106"/>
      <c r="R47" s="107"/>
      <c r="S47" s="107"/>
      <c r="T47" s="108"/>
      <c r="U47" s="107"/>
      <c r="V47" s="107"/>
      <c r="W47" s="107"/>
      <c r="X47" s="109"/>
      <c r="Y47" s="110"/>
      <c r="Z47" s="111"/>
      <c r="AA47" s="110"/>
      <c r="AB47" s="111"/>
      <c r="AC47" s="112"/>
      <c r="AD47" s="113"/>
      <c r="AE47" s="114"/>
      <c r="AF47" s="115"/>
      <c r="AG47" s="116"/>
      <c r="AH47" s="116"/>
      <c r="AI47" s="116"/>
      <c r="AJ47" s="114"/>
      <c r="AK47" s="115"/>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43"/>
      <c r="B48" s="349"/>
      <c r="C48" s="340"/>
      <c r="D48" s="340"/>
      <c r="E48" s="382"/>
      <c r="F48" s="349"/>
      <c r="G48" s="352"/>
      <c r="H48" s="316"/>
      <c r="I48" s="322"/>
      <c r="J48" s="340"/>
      <c r="K48" s="322"/>
      <c r="L48" s="316"/>
      <c r="M48" s="322"/>
      <c r="N48" s="319"/>
      <c r="O48" s="6"/>
      <c r="P48" s="179"/>
      <c r="Q48" s="106"/>
      <c r="R48" s="107"/>
      <c r="S48" s="107"/>
      <c r="T48" s="108"/>
      <c r="U48" s="107"/>
      <c r="V48" s="107"/>
      <c r="W48" s="107"/>
      <c r="X48" s="109"/>
      <c r="Y48" s="110"/>
      <c r="Z48" s="111"/>
      <c r="AA48" s="110"/>
      <c r="AB48" s="111"/>
      <c r="AC48" s="112"/>
      <c r="AD48" s="113"/>
      <c r="AE48" s="114"/>
      <c r="AF48" s="115"/>
      <c r="AG48" s="116"/>
      <c r="AH48" s="116"/>
      <c r="AI48" s="116"/>
      <c r="AJ48" s="114"/>
      <c r="AK48" s="115"/>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41">
        <v>7</v>
      </c>
      <c r="B49" s="383"/>
      <c r="C49" s="383"/>
      <c r="D49" s="383"/>
      <c r="E49" s="376"/>
      <c r="F49" s="383"/>
      <c r="G49" s="386"/>
      <c r="H49" s="335" t="str">
        <f>IF(G49&lt;=0,"",IF(G49&lt;=2,"Muy Baja",IF(G49&lt;=24,"Baja",IF(G49&lt;=500,"Media",IF(G49&lt;=5000,"Alta","Muy Alta")))))</f>
        <v/>
      </c>
      <c r="I49" s="332" t="str">
        <f>IF(H49="","",IF(H49="Muy Baja",0.2,IF(H49="Baja",0.4,IF(H49="Media",0.6,IF(H49="Alta",0.8,IF(H49="Muy Alta",1,))))))</f>
        <v/>
      </c>
      <c r="J49" s="329"/>
      <c r="K49" s="332">
        <f>IF(NOT(ISERROR(MATCH(J49,'Tabla Impacto'!$B$221:$B$223,0))),'Tabla Impacto'!$F$223&amp;"Por favor no seleccionar los criterios de impacto(Afectación Económica o presupuestal y Pérdida Reputacional)",J49)</f>
        <v>0</v>
      </c>
      <c r="L49" s="335" t="str">
        <f>IF(OR(K49='Tabla Impacto'!$C$11,K49='Tabla Impacto'!$D$11),"Leve",IF(OR(K49='Tabla Impacto'!$C$12,K49='Tabla Impacto'!$D$12),"Menor",IF(OR(K49='Tabla Impacto'!$C$13,K49='Tabla Impacto'!$D$13),"Moderado",IF(OR(K49='Tabla Impacto'!$C$14,K49='Tabla Impacto'!$D$14),"Mayor",IF(OR(K49='Tabla Impacto'!$C$15,K49='Tabla Impacto'!$D$15),"Catastrófico","")))))</f>
        <v/>
      </c>
      <c r="M49" s="332" t="str">
        <f>IF(L49="","",IF(L49="Leve",0.2,IF(L49="Menor",0.4,IF(L49="Moderado",0.6,IF(L49="Mayor",0.8,IF(L49="Catastrófico",1,))))))</f>
        <v/>
      </c>
      <c r="N49" s="367"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6">
        <v>1</v>
      </c>
      <c r="P49" s="179"/>
      <c r="Q49" s="158" t="str">
        <f>IF(OR(R49="Preventivo",R49="Detectivo"),"Probabilidad",IF(R49="Correctivo","Impacto",""))</f>
        <v/>
      </c>
      <c r="R49" s="162"/>
      <c r="S49" s="162"/>
      <c r="T49" s="163" t="str">
        <f>IF(AND(R49="Preventivo",S49="Automático"),"50%",IF(AND(R49="Preventivo",S49="Manual"),"40%",IF(AND(R49="Detectivo",S49="Automático"),"40%",IF(AND(R49="Detectivo",S49="Manual"),"30%",IF(AND(R49="Correctivo",S49="Automático"),"35%",IF(AND(R49="Correctivo",S49="Manual"),"25%",""))))))</f>
        <v/>
      </c>
      <c r="U49" s="162"/>
      <c r="V49" s="162"/>
      <c r="W49" s="162"/>
      <c r="X49" s="157" t="str">
        <f>IFERROR(IF(Q49="Probabilidad",(I49-(+I49*T49)),IF(Q49="Impacto",I49,"")),"")</f>
        <v/>
      </c>
      <c r="Y49" s="164" t="str">
        <f>IFERROR(IF(X49="","",IF(X49&lt;=0.2,"Muy Baja",IF(X49&lt;=0.4,"Baja",IF(X49&lt;=0.6,"Media",IF(X49&lt;=0.8,"Alta","Muy Alta"))))),"")</f>
        <v/>
      </c>
      <c r="Z49" s="165" t="str">
        <f>+X49</f>
        <v/>
      </c>
      <c r="AA49" s="164" t="str">
        <f>IFERROR(IF(AB49="","",IF(AB49&lt;=0.2,"Leve",IF(AB49&lt;=0.4,"Menor",IF(AB49&lt;=0.6,"Moderado",IF(AB49&lt;=0.8,"Mayor","Catastrófico"))))),"")</f>
        <v/>
      </c>
      <c r="AB49" s="165" t="str">
        <f>IFERROR(IF(Q49="Impacto",(M49-(+M49*T49)),IF(Q49="Probabilidad",M49,"")),"")</f>
        <v/>
      </c>
      <c r="AC49" s="16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7"/>
      <c r="AE49" s="114"/>
      <c r="AF49" s="114"/>
      <c r="AG49" s="116"/>
      <c r="AH49" s="116"/>
      <c r="AI49" s="116"/>
      <c r="AJ49" s="114"/>
      <c r="AK49" s="115"/>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42"/>
      <c r="B50" s="384"/>
      <c r="C50" s="384"/>
      <c r="D50" s="384"/>
      <c r="E50" s="377"/>
      <c r="F50" s="384"/>
      <c r="G50" s="387"/>
      <c r="H50" s="336"/>
      <c r="I50" s="333"/>
      <c r="J50" s="330"/>
      <c r="K50" s="333">
        <f>IF(NOT(ISERROR(MATCH(J50,_xlfn.ANCHORARRAY(E61),0))),I63&amp;"Por favor no seleccionar los criterios de impacto",J50)</f>
        <v>0</v>
      </c>
      <c r="L50" s="336"/>
      <c r="M50" s="333"/>
      <c r="N50" s="368"/>
      <c r="O50" s="6">
        <v>2</v>
      </c>
      <c r="P50" s="179"/>
      <c r="Q50" s="158" t="str">
        <f>IF(OR(R50="Preventivo",R50="Detectivo"),"Probabilidad",IF(R50="Correctivo","Impacto",""))</f>
        <v/>
      </c>
      <c r="R50" s="162"/>
      <c r="S50" s="162"/>
      <c r="T50" s="163" t="str">
        <f t="shared" ref="T50:T54" si="32">IF(AND(R50="Preventivo",S50="Automático"),"50%",IF(AND(R50="Preventivo",S50="Manual"),"40%",IF(AND(R50="Detectivo",S50="Automático"),"40%",IF(AND(R50="Detectivo",S50="Manual"),"30%",IF(AND(R50="Correctivo",S50="Automático"),"35%",IF(AND(R50="Correctivo",S50="Manual"),"25%",""))))))</f>
        <v/>
      </c>
      <c r="U50" s="162"/>
      <c r="V50" s="162"/>
      <c r="W50" s="162"/>
      <c r="X50" s="157" t="str">
        <f>IFERROR(IF(AND(Q49="Probabilidad",Q50="Probabilidad"),(Z49-(+Z49*T50)),IF(Q50="Probabilidad",(I49-(+I49*T50)),IF(Q50="Impacto",Z49,""))),"")</f>
        <v/>
      </c>
      <c r="Y50" s="164" t="str">
        <f t="shared" si="1"/>
        <v/>
      </c>
      <c r="Z50" s="165" t="str">
        <f t="shared" ref="Z50:Z54" si="33">+X50</f>
        <v/>
      </c>
      <c r="AA50" s="164" t="str">
        <f t="shared" si="3"/>
        <v/>
      </c>
      <c r="AB50" s="165" t="str">
        <f>IFERROR(IF(AND(Q49="Impacto",Q50="Impacto"),(AB49-(+AB49*T50)),IF(Q50="Impacto",(M49-(+M49*T50)),IF(Q50="Probabilidad",AB49,""))),"")</f>
        <v/>
      </c>
      <c r="AC50" s="166" t="str">
        <f t="shared" ref="AC50:AC51" si="3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7"/>
      <c r="AE50" s="114"/>
      <c r="AF50" s="115"/>
      <c r="AG50" s="116"/>
      <c r="AH50" s="116"/>
      <c r="AI50" s="116"/>
      <c r="AJ50" s="114"/>
      <c r="AK50" s="115"/>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42"/>
      <c r="B51" s="384"/>
      <c r="C51" s="384"/>
      <c r="D51" s="384"/>
      <c r="E51" s="377"/>
      <c r="F51" s="384"/>
      <c r="G51" s="387"/>
      <c r="H51" s="336"/>
      <c r="I51" s="333"/>
      <c r="J51" s="330"/>
      <c r="K51" s="333">
        <f>IF(NOT(ISERROR(MATCH(J51,_xlfn.ANCHORARRAY(E62),0))),I64&amp;"Por favor no seleccionar los criterios de impacto",J51)</f>
        <v>0</v>
      </c>
      <c r="L51" s="336"/>
      <c r="M51" s="333"/>
      <c r="N51" s="368"/>
      <c r="O51" s="6">
        <v>3</v>
      </c>
      <c r="P51" s="168"/>
      <c r="Q51" s="106" t="str">
        <f>IF(OR(R51="Preventivo",R51="Detectivo"),"Probabilidad",IF(R51="Correctivo","Impacto",""))</f>
        <v/>
      </c>
      <c r="R51" s="107"/>
      <c r="S51" s="107"/>
      <c r="T51" s="108" t="str">
        <f t="shared" si="32"/>
        <v/>
      </c>
      <c r="U51" s="107"/>
      <c r="V51" s="107"/>
      <c r="W51" s="107"/>
      <c r="X51" s="109" t="str">
        <f>IFERROR(IF(AND(Q50="Probabilidad",Q51="Probabilidad"),(Z50-(+Z50*T51)),IF(AND(Q50="Impacto",Q51="Probabilidad"),(Z49-(+Z49*T51)),IF(Q51="Impacto",Z50,""))),"")</f>
        <v/>
      </c>
      <c r="Y51" s="110" t="str">
        <f t="shared" si="1"/>
        <v/>
      </c>
      <c r="Z51" s="111" t="str">
        <f t="shared" si="33"/>
        <v/>
      </c>
      <c r="AA51" s="110" t="str">
        <f t="shared" si="3"/>
        <v/>
      </c>
      <c r="AB51" s="111" t="str">
        <f>IFERROR(IF(AND(Q50="Impacto",Q51="Impacto"),(AB50-(+AB50*T51)),IF(AND(Q50="Probabilidad",Q51="Impacto"),(AB49-(+AB49*T51)),IF(Q51="Probabilidad",AB50,""))),"")</f>
        <v/>
      </c>
      <c r="AC51" s="112" t="str">
        <f t="shared" si="34"/>
        <v/>
      </c>
      <c r="AD51" s="113"/>
      <c r="AE51" s="114"/>
      <c r="AF51" s="115"/>
      <c r="AG51" s="116"/>
      <c r="AH51" s="116"/>
      <c r="AI51" s="116"/>
      <c r="AJ51" s="114"/>
      <c r="AK51" s="115"/>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42"/>
      <c r="B52" s="384"/>
      <c r="C52" s="384"/>
      <c r="D52" s="384"/>
      <c r="E52" s="377"/>
      <c r="F52" s="384"/>
      <c r="G52" s="387"/>
      <c r="H52" s="336"/>
      <c r="I52" s="333"/>
      <c r="J52" s="330"/>
      <c r="K52" s="333">
        <f>IF(NOT(ISERROR(MATCH(J52,_xlfn.ANCHORARRAY(E63),0))),I65&amp;"Por favor no seleccionar los criterios de impacto",J52)</f>
        <v>0</v>
      </c>
      <c r="L52" s="336"/>
      <c r="M52" s="333"/>
      <c r="N52" s="368"/>
      <c r="O52" s="6">
        <v>4</v>
      </c>
      <c r="P52" s="179"/>
      <c r="Q52" s="106" t="str">
        <f t="shared" ref="Q52:Q54" si="35">IF(OR(R52="Preventivo",R52="Detectivo"),"Probabilidad",IF(R52="Correctivo","Impacto",""))</f>
        <v/>
      </c>
      <c r="R52" s="107"/>
      <c r="S52" s="107"/>
      <c r="T52" s="108" t="str">
        <f t="shared" si="32"/>
        <v/>
      </c>
      <c r="U52" s="107"/>
      <c r="V52" s="107"/>
      <c r="W52" s="107"/>
      <c r="X52" s="109" t="str">
        <f t="shared" ref="X52:X54" si="36">IFERROR(IF(AND(Q51="Probabilidad",Q52="Probabilidad"),(Z51-(+Z51*T52)),IF(AND(Q51="Impacto",Q52="Probabilidad"),(Z50-(+Z50*T52)),IF(Q52="Impacto",Z51,""))),"")</f>
        <v/>
      </c>
      <c r="Y52" s="110" t="str">
        <f t="shared" si="1"/>
        <v/>
      </c>
      <c r="Z52" s="111" t="str">
        <f t="shared" si="33"/>
        <v/>
      </c>
      <c r="AA52" s="110" t="str">
        <f t="shared" si="3"/>
        <v/>
      </c>
      <c r="AB52" s="111" t="str">
        <f t="shared" ref="AB52:AB54" si="37">IFERROR(IF(AND(Q51="Impacto",Q52="Impacto"),(AB51-(+AB51*T52)),IF(AND(Q51="Probabilidad",Q52="Impacto"),(AB50-(+AB50*T52)),IF(Q52="Probabilidad",AB51,""))),"")</f>
        <v/>
      </c>
      <c r="AC52" s="112"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3"/>
      <c r="AE52" s="114"/>
      <c r="AF52" s="115"/>
      <c r="AG52" s="116"/>
      <c r="AH52" s="116"/>
      <c r="AI52" s="116"/>
      <c r="AJ52" s="114"/>
      <c r="AK52" s="115"/>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42"/>
      <c r="B53" s="384"/>
      <c r="C53" s="384"/>
      <c r="D53" s="384"/>
      <c r="E53" s="377"/>
      <c r="F53" s="384"/>
      <c r="G53" s="387"/>
      <c r="H53" s="336"/>
      <c r="I53" s="333"/>
      <c r="J53" s="330"/>
      <c r="K53" s="333">
        <f>IF(NOT(ISERROR(MATCH(J53,_xlfn.ANCHORARRAY(E64),0))),I66&amp;"Por favor no seleccionar los criterios de impacto",J53)</f>
        <v>0</v>
      </c>
      <c r="L53" s="336"/>
      <c r="M53" s="333"/>
      <c r="N53" s="368"/>
      <c r="O53" s="6">
        <v>5</v>
      </c>
      <c r="P53" s="179"/>
      <c r="Q53" s="106" t="str">
        <f t="shared" si="35"/>
        <v/>
      </c>
      <c r="R53" s="107"/>
      <c r="S53" s="107"/>
      <c r="T53" s="108" t="str">
        <f t="shared" si="32"/>
        <v/>
      </c>
      <c r="U53" s="107"/>
      <c r="V53" s="107"/>
      <c r="W53" s="107"/>
      <c r="X53" s="109" t="str">
        <f t="shared" si="36"/>
        <v/>
      </c>
      <c r="Y53" s="110" t="str">
        <f t="shared" si="1"/>
        <v/>
      </c>
      <c r="Z53" s="111" t="str">
        <f t="shared" si="33"/>
        <v/>
      </c>
      <c r="AA53" s="110" t="str">
        <f t="shared" si="3"/>
        <v/>
      </c>
      <c r="AB53" s="111" t="str">
        <f t="shared" si="37"/>
        <v/>
      </c>
      <c r="AC53" s="112" t="str">
        <f t="shared" ref="AC53:AC54" si="38">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3"/>
      <c r="AE53" s="114"/>
      <c r="AF53" s="115"/>
      <c r="AG53" s="116"/>
      <c r="AH53" s="116"/>
      <c r="AI53" s="116"/>
      <c r="AJ53" s="114"/>
      <c r="AK53" s="115"/>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43"/>
      <c r="B54" s="385"/>
      <c r="C54" s="385"/>
      <c r="D54" s="385"/>
      <c r="E54" s="378"/>
      <c r="F54" s="385"/>
      <c r="G54" s="388"/>
      <c r="H54" s="337"/>
      <c r="I54" s="334"/>
      <c r="J54" s="331"/>
      <c r="K54" s="334">
        <f>IF(NOT(ISERROR(MATCH(J54,_xlfn.ANCHORARRAY(E65),0))),I67&amp;"Por favor no seleccionar los criterios de impacto",J54)</f>
        <v>0</v>
      </c>
      <c r="L54" s="337"/>
      <c r="M54" s="334"/>
      <c r="N54" s="369"/>
      <c r="O54" s="6">
        <v>6</v>
      </c>
      <c r="P54" s="179"/>
      <c r="Q54" s="106" t="str">
        <f t="shared" si="35"/>
        <v/>
      </c>
      <c r="R54" s="107"/>
      <c r="S54" s="107"/>
      <c r="T54" s="108" t="str">
        <f t="shared" si="32"/>
        <v/>
      </c>
      <c r="U54" s="107"/>
      <c r="V54" s="107"/>
      <c r="W54" s="107"/>
      <c r="X54" s="109" t="str">
        <f t="shared" si="36"/>
        <v/>
      </c>
      <c r="Y54" s="110" t="str">
        <f t="shared" si="1"/>
        <v/>
      </c>
      <c r="Z54" s="111" t="str">
        <f t="shared" si="33"/>
        <v/>
      </c>
      <c r="AA54" s="110" t="str">
        <f t="shared" si="3"/>
        <v/>
      </c>
      <c r="AB54" s="111" t="str">
        <f t="shared" si="37"/>
        <v/>
      </c>
      <c r="AC54" s="112" t="str">
        <f t="shared" si="38"/>
        <v/>
      </c>
      <c r="AD54" s="113"/>
      <c r="AE54" s="114"/>
      <c r="AF54" s="115"/>
      <c r="AG54" s="116"/>
      <c r="AH54" s="116"/>
      <c r="AI54" s="116"/>
      <c r="AJ54" s="114"/>
      <c r="AK54" s="115"/>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41">
        <v>8</v>
      </c>
      <c r="B55" s="383"/>
      <c r="C55" s="383"/>
      <c r="D55" s="383"/>
      <c r="E55" s="376"/>
      <c r="F55" s="383"/>
      <c r="G55" s="386"/>
      <c r="H55" s="335" t="str">
        <f>IF(G55&lt;=0,"",IF(G55&lt;=2,"Muy Baja",IF(G55&lt;=24,"Baja",IF(G55&lt;=500,"Media",IF(G55&lt;=5000,"Alta","Muy Alta")))))</f>
        <v/>
      </c>
      <c r="I55" s="332" t="str">
        <f>IF(H55="","",IF(H55="Muy Baja",0.2,IF(H55="Baja",0.4,IF(H55="Media",0.6,IF(H55="Alta",0.8,IF(H55="Muy Alta",1,))))))</f>
        <v/>
      </c>
      <c r="J55" s="329"/>
      <c r="K55" s="332">
        <f>IF(NOT(ISERROR(MATCH(J55,'Tabla Impacto'!$B$221:$B$223,0))),'Tabla Impacto'!$F$223&amp;"Por favor no seleccionar los criterios de impacto(Afectación Económica o presupuestal y Pérdida Reputacional)",J55)</f>
        <v>0</v>
      </c>
      <c r="L55" s="335" t="str">
        <f>IF(OR(K55='Tabla Impacto'!$C$11,K55='Tabla Impacto'!$D$11),"Leve",IF(OR(K55='Tabla Impacto'!$C$12,K55='Tabla Impacto'!$D$12),"Menor",IF(OR(K55='Tabla Impacto'!$C$13,K55='Tabla Impacto'!$D$13),"Moderado",IF(OR(K55='Tabla Impacto'!$C$14,K55='Tabla Impacto'!$D$14),"Mayor",IF(OR(K55='Tabla Impacto'!$C$15,K55='Tabla Impacto'!$D$15),"Catastrófico","")))))</f>
        <v/>
      </c>
      <c r="M55" s="332" t="str">
        <f>IF(L55="","",IF(L55="Leve",0.2,IF(L55="Menor",0.4,IF(L55="Moderado",0.6,IF(L55="Mayor",0.8,IF(L55="Catastrófico",1,))))))</f>
        <v/>
      </c>
      <c r="N55" s="367"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6">
        <v>1</v>
      </c>
      <c r="P55" s="179"/>
      <c r="Q55" s="158"/>
      <c r="R55" s="162"/>
      <c r="S55" s="162"/>
      <c r="T55" s="163" t="str">
        <f>IF(AND(R55="Preventivo",S55="Automático"),"50%",IF(AND(R55="Preventivo",S55="Manual"),"40%",IF(AND(R55="Detectivo",S55="Automático"),"40%",IF(AND(R55="Detectivo",S55="Manual"),"30%",IF(AND(R55="Correctivo",S55="Automático"),"35%",IF(AND(R55="Correctivo",S55="Manual"),"25%",""))))))</f>
        <v/>
      </c>
      <c r="U55" s="162"/>
      <c r="V55" s="162"/>
      <c r="W55" s="162"/>
      <c r="X55" s="157" t="str">
        <f>IFERROR(IF(Q55="Probabilidad",(I55-(+I55*T55)),IF(Q55="Impacto",I55,"")),"")</f>
        <v/>
      </c>
      <c r="Y55" s="164" t="str">
        <f>IFERROR(IF(X55="","",IF(X55&lt;=0.2,"Muy Baja",IF(X55&lt;=0.4,"Baja",IF(X55&lt;=0.6,"Media",IF(X55&lt;=0.8,"Alta","Muy Alta"))))),"")</f>
        <v/>
      </c>
      <c r="Z55" s="165" t="str">
        <f>+X55</f>
        <v/>
      </c>
      <c r="AA55" s="164" t="str">
        <f>IFERROR(IF(AB55="","",IF(AB55&lt;=0.2,"Leve",IF(AB55&lt;=0.4,"Menor",IF(AB55&lt;=0.6,"Moderado",IF(AB55&lt;=0.8,"Mayor","Catastrófico"))))),"")</f>
        <v/>
      </c>
      <c r="AB55" s="165" t="str">
        <f>IFERROR(IF(Q55="Impacto",(M55-(+M55*T55)),IF(Q55="Probabilidad",M55,"")),"")</f>
        <v/>
      </c>
      <c r="AC55" s="16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67"/>
      <c r="AE55" s="114"/>
      <c r="AF55" s="114"/>
      <c r="AG55" s="116"/>
      <c r="AH55" s="116"/>
      <c r="AI55" s="116"/>
      <c r="AJ55" s="114"/>
      <c r="AK55" s="115"/>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42"/>
      <c r="B56" s="384"/>
      <c r="C56" s="384"/>
      <c r="D56" s="384"/>
      <c r="E56" s="377"/>
      <c r="F56" s="384"/>
      <c r="G56" s="387"/>
      <c r="H56" s="336"/>
      <c r="I56" s="333"/>
      <c r="J56" s="330"/>
      <c r="K56" s="333">
        <f>IF(NOT(ISERROR(MATCH(J56,_xlfn.ANCHORARRAY(E67),0))),I69&amp;"Por favor no seleccionar los criterios de impacto",J56)</f>
        <v>0</v>
      </c>
      <c r="L56" s="336"/>
      <c r="M56" s="333"/>
      <c r="N56" s="368"/>
      <c r="O56" s="6">
        <v>2</v>
      </c>
      <c r="P56" s="179"/>
      <c r="Q56" s="106" t="str">
        <f>IF(OR(R56="Preventivo",R56="Detectivo"),"Probabilidad",IF(R56="Correctivo","Impacto",""))</f>
        <v/>
      </c>
      <c r="R56" s="107"/>
      <c r="S56" s="107"/>
      <c r="T56" s="108" t="str">
        <f t="shared" ref="T56:T60" si="39">IF(AND(R56="Preventivo",S56="Automático"),"50%",IF(AND(R56="Preventivo",S56="Manual"),"40%",IF(AND(R56="Detectivo",S56="Automático"),"40%",IF(AND(R56="Detectivo",S56="Manual"),"30%",IF(AND(R56="Correctivo",S56="Automático"),"35%",IF(AND(R56="Correctivo",S56="Manual"),"25%",""))))))</f>
        <v/>
      </c>
      <c r="U56" s="107"/>
      <c r="V56" s="107"/>
      <c r="W56" s="107"/>
      <c r="X56" s="109" t="str">
        <f>IFERROR(IF(AND(Q55="Probabilidad",Q56="Probabilidad"),(Z55-(+Z55*T56)),IF(Q56="Probabilidad",(I55-(+I55*T56)),IF(Q56="Impacto",Z55,""))),"")</f>
        <v/>
      </c>
      <c r="Y56" s="110" t="str">
        <f t="shared" si="1"/>
        <v/>
      </c>
      <c r="Z56" s="111" t="str">
        <f t="shared" ref="Z56:Z60" si="40">+X56</f>
        <v/>
      </c>
      <c r="AA56" s="110" t="str">
        <f t="shared" si="3"/>
        <v/>
      </c>
      <c r="AB56" s="111" t="str">
        <f>IFERROR(IF(AND(Q55="Impacto",Q56="Impacto"),(AB55-(+AB55*T56)),IF(Q56="Impacto",(M55-(+M55*T56)),IF(Q56="Probabilidad",AB55,""))),"")</f>
        <v/>
      </c>
      <c r="AC56" s="112" t="str">
        <f t="shared" ref="AC56:AC57" si="4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3"/>
      <c r="AE56" s="114"/>
      <c r="AF56" s="115"/>
      <c r="AG56" s="116"/>
      <c r="AH56" s="116"/>
      <c r="AI56" s="116"/>
      <c r="AJ56" s="114"/>
      <c r="AK56" s="115"/>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42"/>
      <c r="B57" s="384"/>
      <c r="C57" s="384"/>
      <c r="D57" s="384"/>
      <c r="E57" s="377"/>
      <c r="F57" s="384"/>
      <c r="G57" s="387"/>
      <c r="H57" s="336"/>
      <c r="I57" s="333"/>
      <c r="J57" s="330"/>
      <c r="K57" s="333">
        <f>IF(NOT(ISERROR(MATCH(J57,_xlfn.ANCHORARRAY(E68),0))),I70&amp;"Por favor no seleccionar los criterios de impacto",J57)</f>
        <v>0</v>
      </c>
      <c r="L57" s="336"/>
      <c r="M57" s="333"/>
      <c r="N57" s="368"/>
      <c r="O57" s="6">
        <v>3</v>
      </c>
      <c r="P57" s="168"/>
      <c r="Q57" s="106" t="str">
        <f>IF(OR(R57="Preventivo",R57="Detectivo"),"Probabilidad",IF(R57="Correctivo","Impacto",""))</f>
        <v/>
      </c>
      <c r="R57" s="107"/>
      <c r="S57" s="107"/>
      <c r="T57" s="108" t="str">
        <f t="shared" si="39"/>
        <v/>
      </c>
      <c r="U57" s="107"/>
      <c r="V57" s="107"/>
      <c r="W57" s="107"/>
      <c r="X57" s="109" t="str">
        <f>IFERROR(IF(AND(Q56="Probabilidad",Q57="Probabilidad"),(Z56-(+Z56*T57)),IF(AND(Q56="Impacto",Q57="Probabilidad"),(Z55-(+Z55*T57)),IF(Q57="Impacto",Z56,""))),"")</f>
        <v/>
      </c>
      <c r="Y57" s="110" t="str">
        <f t="shared" si="1"/>
        <v/>
      </c>
      <c r="Z57" s="111" t="str">
        <f t="shared" si="40"/>
        <v/>
      </c>
      <c r="AA57" s="110" t="str">
        <f t="shared" si="3"/>
        <v/>
      </c>
      <c r="AB57" s="111" t="str">
        <f>IFERROR(IF(AND(Q56="Impacto",Q57="Impacto"),(AB56-(+AB56*T57)),IF(AND(Q56="Probabilidad",Q57="Impacto"),(AB55-(+AB55*T57)),IF(Q57="Probabilidad",AB56,""))),"")</f>
        <v/>
      </c>
      <c r="AC57" s="112" t="str">
        <f t="shared" si="41"/>
        <v/>
      </c>
      <c r="AD57" s="113"/>
      <c r="AE57" s="114"/>
      <c r="AF57" s="115"/>
      <c r="AG57" s="116"/>
      <c r="AH57" s="116"/>
      <c r="AI57" s="116"/>
      <c r="AJ57" s="114"/>
      <c r="AK57" s="115"/>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42"/>
      <c r="B58" s="384"/>
      <c r="C58" s="384"/>
      <c r="D58" s="384"/>
      <c r="E58" s="377"/>
      <c r="F58" s="384"/>
      <c r="G58" s="387"/>
      <c r="H58" s="336"/>
      <c r="I58" s="333"/>
      <c r="J58" s="330"/>
      <c r="K58" s="333">
        <f>IF(NOT(ISERROR(MATCH(J58,_xlfn.ANCHORARRAY(E69),0))),I71&amp;"Por favor no seleccionar los criterios de impacto",J58)</f>
        <v>0</v>
      </c>
      <c r="L58" s="336"/>
      <c r="M58" s="333"/>
      <c r="N58" s="368"/>
      <c r="O58" s="6">
        <v>4</v>
      </c>
      <c r="P58" s="179"/>
      <c r="Q58" s="106" t="str">
        <f t="shared" ref="Q58:Q60" si="42">IF(OR(R58="Preventivo",R58="Detectivo"),"Probabilidad",IF(R58="Correctivo","Impacto",""))</f>
        <v/>
      </c>
      <c r="R58" s="107"/>
      <c r="S58" s="107"/>
      <c r="T58" s="108" t="str">
        <f t="shared" si="39"/>
        <v/>
      </c>
      <c r="U58" s="107"/>
      <c r="V58" s="107"/>
      <c r="W58" s="107"/>
      <c r="X58" s="109" t="str">
        <f t="shared" ref="X58:X60" si="43">IFERROR(IF(AND(Q57="Probabilidad",Q58="Probabilidad"),(Z57-(+Z57*T58)),IF(AND(Q57="Impacto",Q58="Probabilidad"),(Z56-(+Z56*T58)),IF(Q58="Impacto",Z57,""))),"")</f>
        <v/>
      </c>
      <c r="Y58" s="110" t="str">
        <f t="shared" si="1"/>
        <v/>
      </c>
      <c r="Z58" s="111" t="str">
        <f t="shared" si="40"/>
        <v/>
      </c>
      <c r="AA58" s="110" t="str">
        <f t="shared" si="3"/>
        <v/>
      </c>
      <c r="AB58" s="111" t="str">
        <f t="shared" ref="AB58:AB60" si="44">IFERROR(IF(AND(Q57="Impacto",Q58="Impacto"),(AB57-(+AB57*T58)),IF(AND(Q57="Probabilidad",Q58="Impacto"),(AB56-(+AB56*T58)),IF(Q58="Probabilidad",AB57,""))),"")</f>
        <v/>
      </c>
      <c r="AC58" s="112"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3"/>
      <c r="AE58" s="114"/>
      <c r="AF58" s="115"/>
      <c r="AG58" s="116"/>
      <c r="AH58" s="116"/>
      <c r="AI58" s="116"/>
      <c r="AJ58" s="114"/>
      <c r="AK58" s="115"/>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42"/>
      <c r="B59" s="384"/>
      <c r="C59" s="384"/>
      <c r="D59" s="384"/>
      <c r="E59" s="377"/>
      <c r="F59" s="384"/>
      <c r="G59" s="387"/>
      <c r="H59" s="336"/>
      <c r="I59" s="333"/>
      <c r="J59" s="330"/>
      <c r="K59" s="333">
        <f>IF(NOT(ISERROR(MATCH(J59,_xlfn.ANCHORARRAY(E70),0))),I72&amp;"Por favor no seleccionar los criterios de impacto",J59)</f>
        <v>0</v>
      </c>
      <c r="L59" s="336"/>
      <c r="M59" s="333"/>
      <c r="N59" s="368"/>
      <c r="O59" s="6">
        <v>5</v>
      </c>
      <c r="P59" s="179"/>
      <c r="Q59" s="106" t="str">
        <f t="shared" si="42"/>
        <v/>
      </c>
      <c r="R59" s="107"/>
      <c r="S59" s="107"/>
      <c r="T59" s="108" t="str">
        <f t="shared" si="39"/>
        <v/>
      </c>
      <c r="U59" s="107"/>
      <c r="V59" s="107"/>
      <c r="W59" s="107"/>
      <c r="X59" s="109" t="str">
        <f t="shared" si="43"/>
        <v/>
      </c>
      <c r="Y59" s="110" t="str">
        <f t="shared" si="1"/>
        <v/>
      </c>
      <c r="Z59" s="111" t="str">
        <f t="shared" si="40"/>
        <v/>
      </c>
      <c r="AA59" s="110" t="str">
        <f t="shared" si="3"/>
        <v/>
      </c>
      <c r="AB59" s="111" t="str">
        <f t="shared" si="44"/>
        <v/>
      </c>
      <c r="AC59" s="112" t="str">
        <f t="shared" ref="AC59:AC60" si="45">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3"/>
      <c r="AE59" s="114"/>
      <c r="AF59" s="115"/>
      <c r="AG59" s="116"/>
      <c r="AH59" s="116"/>
      <c r="AI59" s="116"/>
      <c r="AJ59" s="114"/>
      <c r="AK59" s="115"/>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43"/>
      <c r="B60" s="385"/>
      <c r="C60" s="385"/>
      <c r="D60" s="385"/>
      <c r="E60" s="378"/>
      <c r="F60" s="385"/>
      <c r="G60" s="388"/>
      <c r="H60" s="337"/>
      <c r="I60" s="334"/>
      <c r="J60" s="331"/>
      <c r="K60" s="334">
        <f>IF(NOT(ISERROR(MATCH(J60,_xlfn.ANCHORARRAY(E71),0))),I73&amp;"Por favor no seleccionar los criterios de impacto",J60)</f>
        <v>0</v>
      </c>
      <c r="L60" s="337"/>
      <c r="M60" s="334"/>
      <c r="N60" s="369"/>
      <c r="O60" s="6">
        <v>6</v>
      </c>
      <c r="P60" s="179"/>
      <c r="Q60" s="106" t="str">
        <f t="shared" si="42"/>
        <v/>
      </c>
      <c r="R60" s="107"/>
      <c r="S60" s="107"/>
      <c r="T60" s="108" t="str">
        <f t="shared" si="39"/>
        <v/>
      </c>
      <c r="U60" s="107"/>
      <c r="V60" s="107"/>
      <c r="W60" s="107"/>
      <c r="X60" s="109" t="str">
        <f t="shared" si="43"/>
        <v/>
      </c>
      <c r="Y60" s="110" t="str">
        <f t="shared" si="1"/>
        <v/>
      </c>
      <c r="Z60" s="111" t="str">
        <f t="shared" si="40"/>
        <v/>
      </c>
      <c r="AA60" s="110" t="str">
        <f t="shared" si="3"/>
        <v/>
      </c>
      <c r="AB60" s="111" t="str">
        <f t="shared" si="44"/>
        <v/>
      </c>
      <c r="AC60" s="112" t="str">
        <f t="shared" si="45"/>
        <v/>
      </c>
      <c r="AD60" s="113"/>
      <c r="AE60" s="114"/>
      <c r="AF60" s="115"/>
      <c r="AG60" s="116"/>
      <c r="AH60" s="116"/>
      <c r="AI60" s="116"/>
      <c r="AJ60" s="114"/>
      <c r="AK60" s="115"/>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41">
        <v>9</v>
      </c>
      <c r="B61" s="383"/>
      <c r="C61" s="383"/>
      <c r="D61" s="383"/>
      <c r="E61" s="376"/>
      <c r="F61" s="383"/>
      <c r="G61" s="386"/>
      <c r="H61" s="335" t="str">
        <f>IF(G61&lt;=0,"",IF(G61&lt;=2,"Muy Baja",IF(G61&lt;=24,"Baja",IF(G61&lt;=500,"Media",IF(G61&lt;=5000,"Alta","Muy Alta")))))</f>
        <v/>
      </c>
      <c r="I61" s="332" t="str">
        <f>IF(H61="","",IF(H61="Muy Baja",0.2,IF(H61="Baja",0.4,IF(H61="Media",0.6,IF(H61="Alta",0.8,IF(H61="Muy Alta",1,))))))</f>
        <v/>
      </c>
      <c r="J61" s="329"/>
      <c r="K61" s="332">
        <f>IF(NOT(ISERROR(MATCH(J61,'Tabla Impacto'!$B$221:$B$223,0))),'Tabla Impacto'!$F$223&amp;"Por favor no seleccionar los criterios de impacto(Afectación Económica o presupuestal y Pérdida Reputacional)",J61)</f>
        <v>0</v>
      </c>
      <c r="L61" s="335" t="str">
        <f>IF(OR(K61='Tabla Impacto'!$C$11,K61='Tabla Impacto'!$D$11),"Leve",IF(OR(K61='Tabla Impacto'!$C$12,K61='Tabla Impacto'!$D$12),"Menor",IF(OR(K61='Tabla Impacto'!$C$13,K61='Tabla Impacto'!$D$13),"Moderado",IF(OR(K61='Tabla Impacto'!$C$14,K61='Tabla Impacto'!$D$14),"Mayor",IF(OR(K61='Tabla Impacto'!$C$15,K61='Tabla Impacto'!$D$15),"Catastrófico","")))))</f>
        <v/>
      </c>
      <c r="M61" s="332" t="str">
        <f>IF(L61="","",IF(L61="Leve",0.2,IF(L61="Menor",0.4,IF(L61="Moderado",0.6,IF(L61="Mayor",0.8,IF(L61="Catastrófico",1,))))))</f>
        <v/>
      </c>
      <c r="N61" s="367"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6">
        <v>1</v>
      </c>
      <c r="P61" s="179"/>
      <c r="Q61" s="158"/>
      <c r="R61" s="162"/>
      <c r="S61" s="162"/>
      <c r="T61" s="163" t="str">
        <f>IF(AND(R61="Preventivo",S61="Automático"),"50%",IF(AND(R61="Preventivo",S61="Manual"),"40%",IF(AND(R61="Detectivo",S61="Automático"),"40%",IF(AND(R61="Detectivo",S61="Manual"),"30%",IF(AND(R61="Correctivo",S61="Automático"),"35%",IF(AND(R61="Correctivo",S61="Manual"),"25%",""))))))</f>
        <v/>
      </c>
      <c r="U61" s="162"/>
      <c r="V61" s="162"/>
      <c r="W61" s="162"/>
      <c r="X61" s="157" t="str">
        <f>IFERROR(IF(Q61="Probabilidad",(I61-(+I61*T61)),IF(Q61="Impacto",I61,"")),"")</f>
        <v/>
      </c>
      <c r="Y61" s="164" t="str">
        <f>IFERROR(IF(X61="","",IF(X61&lt;=0.2,"Muy Baja",IF(X61&lt;=0.4,"Baja",IF(X61&lt;=0.6,"Media",IF(X61&lt;=0.8,"Alta","Muy Alta"))))),"")</f>
        <v/>
      </c>
      <c r="Z61" s="165" t="str">
        <f>+X61</f>
        <v/>
      </c>
      <c r="AA61" s="164" t="str">
        <f>IFERROR(IF(AB61="","",IF(AB61&lt;=0.2,"Leve",IF(AB61&lt;=0.4,"Menor",IF(AB61&lt;=0.6,"Moderado",IF(AB61&lt;=0.8,"Mayor","Catastrófico"))))),"")</f>
        <v/>
      </c>
      <c r="AB61" s="165" t="str">
        <f>IFERROR(IF(Q61="Impacto",(M61-(+M61*T61)),IF(Q61="Probabilidad",M61,"")),"")</f>
        <v/>
      </c>
      <c r="AC61" s="16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67"/>
      <c r="AE61" s="114"/>
      <c r="AF61" s="114"/>
      <c r="AG61" s="116"/>
      <c r="AH61" s="116"/>
      <c r="AI61" s="116"/>
      <c r="AJ61" s="114"/>
      <c r="AK61" s="115"/>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42"/>
      <c r="B62" s="384"/>
      <c r="C62" s="384"/>
      <c r="D62" s="384"/>
      <c r="E62" s="377"/>
      <c r="F62" s="384"/>
      <c r="G62" s="387"/>
      <c r="H62" s="336"/>
      <c r="I62" s="333"/>
      <c r="J62" s="330"/>
      <c r="K62" s="333">
        <f>IF(NOT(ISERROR(MATCH(J62,_xlfn.ANCHORARRAY(E73),0))),I75&amp;"Por favor no seleccionar los criterios de impacto",J62)</f>
        <v>0</v>
      </c>
      <c r="L62" s="336"/>
      <c r="M62" s="333"/>
      <c r="N62" s="368"/>
      <c r="O62" s="6">
        <v>2</v>
      </c>
      <c r="P62" s="179"/>
      <c r="Q62" s="106" t="str">
        <f>IF(OR(R62="Preventivo",R62="Detectivo"),"Probabilidad",IF(R62="Correctivo","Impacto",""))</f>
        <v/>
      </c>
      <c r="R62" s="107"/>
      <c r="S62" s="107"/>
      <c r="T62" s="108" t="str">
        <f t="shared" ref="T62:T66" si="46">IF(AND(R62="Preventivo",S62="Automático"),"50%",IF(AND(R62="Preventivo",S62="Manual"),"40%",IF(AND(R62="Detectivo",S62="Automático"),"40%",IF(AND(R62="Detectivo",S62="Manual"),"30%",IF(AND(R62="Correctivo",S62="Automático"),"35%",IF(AND(R62="Correctivo",S62="Manual"),"25%",""))))))</f>
        <v/>
      </c>
      <c r="U62" s="107"/>
      <c r="V62" s="107"/>
      <c r="W62" s="107"/>
      <c r="X62" s="109" t="str">
        <f>IFERROR(IF(AND(Q61="Probabilidad",Q62="Probabilidad"),(Z61-(+Z61*T62)),IF(Q62="Probabilidad",(I61-(+I61*T62)),IF(Q62="Impacto",Z61,""))),"")</f>
        <v/>
      </c>
      <c r="Y62" s="110" t="str">
        <f t="shared" si="1"/>
        <v/>
      </c>
      <c r="Z62" s="111" t="str">
        <f t="shared" ref="Z62:Z66" si="47">+X62</f>
        <v/>
      </c>
      <c r="AA62" s="110" t="str">
        <f t="shared" si="3"/>
        <v/>
      </c>
      <c r="AB62" s="111" t="str">
        <f>IFERROR(IF(AND(Q61="Impacto",Q62="Impacto"),(AB61-(+AB61*T62)),IF(Q62="Impacto",(M61-(+M61*T62)),IF(Q62="Probabilidad",AB61,""))),"")</f>
        <v/>
      </c>
      <c r="AC62" s="112" t="str">
        <f t="shared" ref="AC62:AC63" si="4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3"/>
      <c r="AE62" s="114"/>
      <c r="AF62" s="115"/>
      <c r="AG62" s="116"/>
      <c r="AH62" s="116"/>
      <c r="AI62" s="116"/>
      <c r="AJ62" s="114"/>
      <c r="AK62" s="115"/>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42"/>
      <c r="B63" s="384"/>
      <c r="C63" s="384"/>
      <c r="D63" s="384"/>
      <c r="E63" s="377"/>
      <c r="F63" s="384"/>
      <c r="G63" s="387"/>
      <c r="H63" s="336"/>
      <c r="I63" s="333"/>
      <c r="J63" s="330"/>
      <c r="K63" s="333">
        <f>IF(NOT(ISERROR(MATCH(J63,_xlfn.ANCHORARRAY(E74),0))),I76&amp;"Por favor no seleccionar los criterios de impacto",J63)</f>
        <v>0</v>
      </c>
      <c r="L63" s="336"/>
      <c r="M63" s="333"/>
      <c r="N63" s="368"/>
      <c r="O63" s="6">
        <v>3</v>
      </c>
      <c r="P63" s="168"/>
      <c r="Q63" s="106" t="str">
        <f>IF(OR(R63="Preventivo",R63="Detectivo"),"Probabilidad",IF(R63="Correctivo","Impacto",""))</f>
        <v/>
      </c>
      <c r="R63" s="107"/>
      <c r="S63" s="107"/>
      <c r="T63" s="108" t="str">
        <f t="shared" si="46"/>
        <v/>
      </c>
      <c r="U63" s="107"/>
      <c r="V63" s="107"/>
      <c r="W63" s="107"/>
      <c r="X63" s="109" t="str">
        <f>IFERROR(IF(AND(Q62="Probabilidad",Q63="Probabilidad"),(Z62-(+Z62*T63)),IF(AND(Q62="Impacto",Q63="Probabilidad"),(Z61-(+Z61*T63)),IF(Q63="Impacto",Z62,""))),"")</f>
        <v/>
      </c>
      <c r="Y63" s="110" t="str">
        <f t="shared" si="1"/>
        <v/>
      </c>
      <c r="Z63" s="111" t="str">
        <f t="shared" si="47"/>
        <v/>
      </c>
      <c r="AA63" s="110" t="str">
        <f t="shared" si="3"/>
        <v/>
      </c>
      <c r="AB63" s="111" t="str">
        <f>IFERROR(IF(AND(Q62="Impacto",Q63="Impacto"),(AB62-(+AB62*T63)),IF(AND(Q62="Probabilidad",Q63="Impacto"),(AB61-(+AB61*T63)),IF(Q63="Probabilidad",AB62,""))),"")</f>
        <v/>
      </c>
      <c r="AC63" s="112" t="str">
        <f t="shared" si="48"/>
        <v/>
      </c>
      <c r="AD63" s="113"/>
      <c r="AE63" s="114"/>
      <c r="AF63" s="115"/>
      <c r="AG63" s="116"/>
      <c r="AH63" s="116"/>
      <c r="AI63" s="116"/>
      <c r="AJ63" s="114"/>
      <c r="AK63" s="115"/>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42"/>
      <c r="B64" s="384"/>
      <c r="C64" s="384"/>
      <c r="D64" s="384"/>
      <c r="E64" s="377"/>
      <c r="F64" s="384"/>
      <c r="G64" s="387"/>
      <c r="H64" s="336"/>
      <c r="I64" s="333"/>
      <c r="J64" s="330"/>
      <c r="K64" s="333">
        <f>IF(NOT(ISERROR(MATCH(J64,_xlfn.ANCHORARRAY(E75),0))),I77&amp;"Por favor no seleccionar los criterios de impacto",J64)</f>
        <v>0</v>
      </c>
      <c r="L64" s="336"/>
      <c r="M64" s="333"/>
      <c r="N64" s="368"/>
      <c r="O64" s="6">
        <v>4</v>
      </c>
      <c r="P64" s="179"/>
      <c r="Q64" s="106" t="str">
        <f t="shared" ref="Q64:Q66" si="49">IF(OR(R64="Preventivo",R64="Detectivo"),"Probabilidad",IF(R64="Correctivo","Impacto",""))</f>
        <v/>
      </c>
      <c r="R64" s="107"/>
      <c r="S64" s="107"/>
      <c r="T64" s="108" t="str">
        <f t="shared" si="46"/>
        <v/>
      </c>
      <c r="U64" s="107"/>
      <c r="V64" s="107"/>
      <c r="W64" s="107"/>
      <c r="X64" s="109" t="str">
        <f t="shared" ref="X64:X65" si="50">IFERROR(IF(AND(Q63="Probabilidad",Q64="Probabilidad"),(Z63-(+Z63*T64)),IF(AND(Q63="Impacto",Q64="Probabilidad"),(Z62-(+Z62*T64)),IF(Q64="Impacto",Z63,""))),"")</f>
        <v/>
      </c>
      <c r="Y64" s="110" t="str">
        <f t="shared" si="1"/>
        <v/>
      </c>
      <c r="Z64" s="111" t="str">
        <f t="shared" si="47"/>
        <v/>
      </c>
      <c r="AA64" s="110" t="str">
        <f t="shared" si="3"/>
        <v/>
      </c>
      <c r="AB64" s="111" t="str">
        <f t="shared" ref="AB64:AB65" si="51">IFERROR(IF(AND(Q63="Impacto",Q64="Impacto"),(AB63-(+AB63*T64)),IF(AND(Q63="Probabilidad",Q64="Impacto"),(AB62-(+AB62*T64)),IF(Q64="Probabilidad",AB63,""))),"")</f>
        <v/>
      </c>
      <c r="AC64" s="11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3"/>
      <c r="AE64" s="114"/>
      <c r="AF64" s="115"/>
      <c r="AG64" s="116"/>
      <c r="AH64" s="116"/>
      <c r="AI64" s="116"/>
      <c r="AJ64" s="114"/>
      <c r="AK64" s="115"/>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42"/>
      <c r="B65" s="384"/>
      <c r="C65" s="384"/>
      <c r="D65" s="384"/>
      <c r="E65" s="377"/>
      <c r="F65" s="384"/>
      <c r="G65" s="387"/>
      <c r="H65" s="336"/>
      <c r="I65" s="333"/>
      <c r="J65" s="330"/>
      <c r="K65" s="333">
        <f>IF(NOT(ISERROR(MATCH(J65,_xlfn.ANCHORARRAY(E76),0))),I78&amp;"Por favor no seleccionar los criterios de impacto",J65)</f>
        <v>0</v>
      </c>
      <c r="L65" s="336"/>
      <c r="M65" s="333"/>
      <c r="N65" s="368"/>
      <c r="O65" s="6">
        <v>5</v>
      </c>
      <c r="P65" s="179"/>
      <c r="Q65" s="106" t="str">
        <f t="shared" si="49"/>
        <v/>
      </c>
      <c r="R65" s="107"/>
      <c r="S65" s="107"/>
      <c r="T65" s="108" t="str">
        <f t="shared" si="46"/>
        <v/>
      </c>
      <c r="U65" s="107"/>
      <c r="V65" s="107"/>
      <c r="W65" s="107"/>
      <c r="X65" s="109" t="str">
        <f t="shared" si="50"/>
        <v/>
      </c>
      <c r="Y65" s="110" t="str">
        <f t="shared" si="1"/>
        <v/>
      </c>
      <c r="Z65" s="111" t="str">
        <f t="shared" si="47"/>
        <v/>
      </c>
      <c r="AA65" s="110" t="str">
        <f t="shared" si="3"/>
        <v/>
      </c>
      <c r="AB65" s="111" t="str">
        <f t="shared" si="51"/>
        <v/>
      </c>
      <c r="AC65" s="112" t="str">
        <f t="shared" ref="AC65:AC66" si="52">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3"/>
      <c r="AE65" s="114"/>
      <c r="AF65" s="115"/>
      <c r="AG65" s="116"/>
      <c r="AH65" s="116"/>
      <c r="AI65" s="116"/>
      <c r="AJ65" s="114"/>
      <c r="AK65" s="115"/>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43"/>
      <c r="B66" s="385"/>
      <c r="C66" s="385"/>
      <c r="D66" s="385"/>
      <c r="E66" s="378"/>
      <c r="F66" s="385"/>
      <c r="G66" s="388"/>
      <c r="H66" s="337"/>
      <c r="I66" s="334"/>
      <c r="J66" s="331"/>
      <c r="K66" s="334">
        <f>IF(NOT(ISERROR(MATCH(J66,_xlfn.ANCHORARRAY(E77),0))),I79&amp;"Por favor no seleccionar los criterios de impacto",J66)</f>
        <v>0</v>
      </c>
      <c r="L66" s="337"/>
      <c r="M66" s="334"/>
      <c r="N66" s="369"/>
      <c r="O66" s="6">
        <v>6</v>
      </c>
      <c r="P66" s="179"/>
      <c r="Q66" s="106" t="str">
        <f t="shared" si="49"/>
        <v/>
      </c>
      <c r="R66" s="107"/>
      <c r="S66" s="107"/>
      <c r="T66" s="108" t="str">
        <f t="shared" si="46"/>
        <v/>
      </c>
      <c r="U66" s="107"/>
      <c r="V66" s="107"/>
      <c r="W66" s="107"/>
      <c r="X66" s="109" t="str">
        <f>IFERROR(IF(AND(Q65="Probabilidad",Q66="Probabilidad"),(Z65-(+Z65*T66)),IF(AND(Q65="Impacto",Q66="Probabilidad"),(Z64-(+Z64*T66)),IF(Q66="Impacto",Z65,""))),"")</f>
        <v/>
      </c>
      <c r="Y66" s="110" t="str">
        <f t="shared" si="1"/>
        <v/>
      </c>
      <c r="Z66" s="111" t="str">
        <f t="shared" si="47"/>
        <v/>
      </c>
      <c r="AA66" s="110" t="str">
        <f t="shared" si="3"/>
        <v/>
      </c>
      <c r="AB66" s="111" t="str">
        <f>IFERROR(IF(AND(Q65="Impacto",Q66="Impacto"),(AB65-(+AB65*T66)),IF(AND(Q65="Probabilidad",Q66="Impacto"),(AB64-(+AB64*T66)),IF(Q66="Probabilidad",AB65,""))),"")</f>
        <v/>
      </c>
      <c r="AC66" s="112" t="str">
        <f t="shared" si="52"/>
        <v/>
      </c>
      <c r="AD66" s="113"/>
      <c r="AE66" s="114"/>
      <c r="AF66" s="115"/>
      <c r="AG66" s="116"/>
      <c r="AH66" s="116"/>
      <c r="AI66" s="116"/>
      <c r="AJ66" s="114"/>
      <c r="AK66" s="115"/>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41">
        <v>10</v>
      </c>
      <c r="B67" s="383"/>
      <c r="C67" s="383"/>
      <c r="D67" s="383"/>
      <c r="E67" s="376"/>
      <c r="F67" s="383"/>
      <c r="G67" s="386"/>
      <c r="H67" s="335" t="str">
        <f>IF(G67&lt;=0,"",IF(G67&lt;=2,"Muy Baja",IF(G67&lt;=24,"Baja",IF(G67&lt;=500,"Media",IF(G67&lt;=5000,"Alta","Muy Alta")))))</f>
        <v/>
      </c>
      <c r="I67" s="332" t="str">
        <f>IF(H67="","",IF(H67="Muy Baja",0.2,IF(H67="Baja",0.4,IF(H67="Media",0.6,IF(H67="Alta",0.8,IF(H67="Muy Alta",1,))))))</f>
        <v/>
      </c>
      <c r="J67" s="329"/>
      <c r="K67" s="332">
        <f>IF(NOT(ISERROR(MATCH(J67,'Tabla Impacto'!$B$221:$B$223,0))),'Tabla Impacto'!$F$223&amp;"Por favor no seleccionar los criterios de impacto(Afectación Económica o presupuestal y Pérdida Reputacional)",J67)</f>
        <v>0</v>
      </c>
      <c r="L67" s="335" t="str">
        <f>IF(OR(K67='Tabla Impacto'!$C$11,K67='Tabla Impacto'!$D$11),"Leve",IF(OR(K67='Tabla Impacto'!$C$12,K67='Tabla Impacto'!$D$12),"Menor",IF(OR(K67='Tabla Impacto'!$C$13,K67='Tabla Impacto'!$D$13),"Moderado",IF(OR(K67='Tabla Impacto'!$C$14,K67='Tabla Impacto'!$D$14),"Mayor",IF(OR(K67='Tabla Impacto'!$C$15,K67='Tabla Impacto'!$D$15),"Catastrófico","")))))</f>
        <v/>
      </c>
      <c r="M67" s="332" t="str">
        <f>IF(L67="","",IF(L67="Leve",0.2,IF(L67="Menor",0.4,IF(L67="Moderado",0.6,IF(L67="Mayor",0.8,IF(L67="Catastrófico",1,))))))</f>
        <v/>
      </c>
      <c r="N67" s="367"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6">
        <v>1</v>
      </c>
      <c r="P67" s="179"/>
      <c r="Q67" s="158"/>
      <c r="R67" s="162"/>
      <c r="S67" s="162"/>
      <c r="T67" s="163" t="str">
        <f>IF(AND(R67="Preventivo",S67="Automático"),"50%",IF(AND(R67="Preventivo",S67="Manual"),"40%",IF(AND(R67="Detectivo",S67="Automático"),"40%",IF(AND(R67="Detectivo",S67="Manual"),"30%",IF(AND(R67="Correctivo",S67="Automático"),"35%",IF(AND(R67="Correctivo",S67="Manual"),"25%",""))))))</f>
        <v/>
      </c>
      <c r="U67" s="162"/>
      <c r="V67" s="162"/>
      <c r="W67" s="162"/>
      <c r="X67" s="157" t="str">
        <f>IFERROR(IF(Q67="Probabilidad",(I67-(+I67*T67)),IF(Q67="Impacto",I67,"")),"")</f>
        <v/>
      </c>
      <c r="Y67" s="164" t="str">
        <f>IFERROR(IF(X67="","",IF(X67&lt;=0.2,"Muy Baja",IF(X67&lt;=0.4,"Baja",IF(X67&lt;=0.6,"Media",IF(X67&lt;=0.8,"Alta","Muy Alta"))))),"")</f>
        <v/>
      </c>
      <c r="Z67" s="165" t="str">
        <f>+X67</f>
        <v/>
      </c>
      <c r="AA67" s="164" t="str">
        <f>IFERROR(IF(AB67="","",IF(AB67&lt;=0.2,"Leve",IF(AB67&lt;=0.4,"Menor",IF(AB67&lt;=0.6,"Moderado",IF(AB67&lt;=0.8,"Mayor","Catastrófico"))))),"")</f>
        <v/>
      </c>
      <c r="AB67" s="165" t="str">
        <f>IFERROR(IF(Q67="Impacto",(M67-(+M67*T67)),IF(Q67="Probabilidad",M67,"")),"")</f>
        <v/>
      </c>
      <c r="AC67" s="16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67"/>
      <c r="AE67" s="114"/>
      <c r="AF67" s="115"/>
      <c r="AG67" s="116"/>
      <c r="AH67" s="116"/>
      <c r="AI67" s="116"/>
      <c r="AJ67" s="114"/>
      <c r="AK67" s="115"/>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42"/>
      <c r="B68" s="384"/>
      <c r="C68" s="384"/>
      <c r="D68" s="384"/>
      <c r="E68" s="377"/>
      <c r="F68" s="384"/>
      <c r="G68" s="387"/>
      <c r="H68" s="336"/>
      <c r="I68" s="333"/>
      <c r="J68" s="330"/>
      <c r="K68" s="333">
        <f>IF(NOT(ISERROR(MATCH(J68,_xlfn.ANCHORARRAY(E79),0))),I81&amp;"Por favor no seleccionar los criterios de impacto",J68)</f>
        <v>0</v>
      </c>
      <c r="L68" s="336"/>
      <c r="M68" s="333"/>
      <c r="N68" s="368"/>
      <c r="O68" s="6">
        <v>2</v>
      </c>
      <c r="P68" s="179"/>
      <c r="Q68" s="106" t="str">
        <f>IF(OR(R68="Preventivo",R68="Detectivo"),"Probabilidad",IF(R68="Correctivo","Impacto",""))</f>
        <v/>
      </c>
      <c r="R68" s="107"/>
      <c r="S68" s="107"/>
      <c r="T68" s="108" t="str">
        <f t="shared" ref="T68:T72" si="53">IF(AND(R68="Preventivo",S68="Automático"),"50%",IF(AND(R68="Preventivo",S68="Manual"),"40%",IF(AND(R68="Detectivo",S68="Automático"),"40%",IF(AND(R68="Detectivo",S68="Manual"),"30%",IF(AND(R68="Correctivo",S68="Automático"),"35%",IF(AND(R68="Correctivo",S68="Manual"),"25%",""))))))</f>
        <v/>
      </c>
      <c r="U68" s="107"/>
      <c r="V68" s="107"/>
      <c r="W68" s="107"/>
      <c r="X68" s="109" t="str">
        <f>IFERROR(IF(AND(Q67="Probabilidad",Q68="Probabilidad"),(Z67-(+Z67*T68)),IF(Q68="Probabilidad",(I67-(+I67*T68)),IF(Q68="Impacto",Z67,""))),"")</f>
        <v/>
      </c>
      <c r="Y68" s="110" t="str">
        <f t="shared" si="1"/>
        <v/>
      </c>
      <c r="Z68" s="111" t="str">
        <f t="shared" ref="Z68:Z72" si="54">+X68</f>
        <v/>
      </c>
      <c r="AA68" s="110" t="str">
        <f t="shared" si="3"/>
        <v/>
      </c>
      <c r="AB68" s="111" t="str">
        <f>IFERROR(IF(AND(Q67="Impacto",Q68="Impacto"),(AB67-(+AB67*T68)),IF(Q68="Impacto",(M67-(+M67*T68)),IF(Q68="Probabilidad",AB67,""))),"")</f>
        <v/>
      </c>
      <c r="AC68" s="112" t="str">
        <f t="shared" ref="AC68:AC69" si="5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3"/>
      <c r="AE68" s="114"/>
      <c r="AF68" s="115"/>
      <c r="AG68" s="116"/>
      <c r="AH68" s="116"/>
      <c r="AI68" s="116"/>
      <c r="AJ68" s="114"/>
      <c r="AK68" s="115"/>
    </row>
    <row r="69" spans="1:69" ht="18" hidden="1" customHeight="1" x14ac:dyDescent="0.3">
      <c r="A69" s="342"/>
      <c r="B69" s="384"/>
      <c r="C69" s="384"/>
      <c r="D69" s="384"/>
      <c r="E69" s="377"/>
      <c r="F69" s="384"/>
      <c r="G69" s="387"/>
      <c r="H69" s="336"/>
      <c r="I69" s="333"/>
      <c r="J69" s="330"/>
      <c r="K69" s="333">
        <f>IF(NOT(ISERROR(MATCH(J69,_xlfn.ANCHORARRAY(E80),0))),I82&amp;"Por favor no seleccionar los criterios de impacto",J69)</f>
        <v>0</v>
      </c>
      <c r="L69" s="336"/>
      <c r="M69" s="333"/>
      <c r="N69" s="368"/>
      <c r="O69" s="6">
        <v>3</v>
      </c>
      <c r="P69" s="168"/>
      <c r="Q69" s="106" t="str">
        <f>IF(OR(R69="Preventivo",R69="Detectivo"),"Probabilidad",IF(R69="Correctivo","Impacto",""))</f>
        <v/>
      </c>
      <c r="R69" s="107"/>
      <c r="S69" s="107"/>
      <c r="T69" s="108" t="str">
        <f t="shared" si="53"/>
        <v/>
      </c>
      <c r="U69" s="107"/>
      <c r="V69" s="107"/>
      <c r="W69" s="107"/>
      <c r="X69" s="109" t="str">
        <f>IFERROR(IF(AND(Q68="Probabilidad",Q69="Probabilidad"),(Z68-(+Z68*T69)),IF(AND(Q68="Impacto",Q69="Probabilidad"),(Z67-(+Z67*T69)),IF(Q69="Impacto",Z68,""))),"")</f>
        <v/>
      </c>
      <c r="Y69" s="110" t="str">
        <f t="shared" si="1"/>
        <v/>
      </c>
      <c r="Z69" s="111" t="str">
        <f t="shared" si="54"/>
        <v/>
      </c>
      <c r="AA69" s="110" t="str">
        <f t="shared" si="3"/>
        <v/>
      </c>
      <c r="AB69" s="111" t="str">
        <f>IFERROR(IF(AND(Q68="Impacto",Q69="Impacto"),(AB68-(+AB68*T69)),IF(AND(Q68="Probabilidad",Q69="Impacto"),(AB67-(+AB67*T69)),IF(Q69="Probabilidad",AB68,""))),"")</f>
        <v/>
      </c>
      <c r="AC69" s="112" t="str">
        <f t="shared" si="55"/>
        <v/>
      </c>
      <c r="AD69" s="113"/>
      <c r="AE69" s="114"/>
      <c r="AF69" s="115"/>
      <c r="AG69" s="116"/>
      <c r="AH69" s="116"/>
      <c r="AI69" s="116"/>
      <c r="AJ69" s="114"/>
      <c r="AK69" s="115"/>
    </row>
    <row r="70" spans="1:69" ht="18" hidden="1" customHeight="1" x14ac:dyDescent="0.3">
      <c r="A70" s="342"/>
      <c r="B70" s="384"/>
      <c r="C70" s="384"/>
      <c r="D70" s="384"/>
      <c r="E70" s="377"/>
      <c r="F70" s="384"/>
      <c r="G70" s="387"/>
      <c r="H70" s="336"/>
      <c r="I70" s="333"/>
      <c r="J70" s="330"/>
      <c r="K70" s="333">
        <f>IF(NOT(ISERROR(MATCH(J70,_xlfn.ANCHORARRAY(E81),0))),I83&amp;"Por favor no seleccionar los criterios de impacto",J70)</f>
        <v>0</v>
      </c>
      <c r="L70" s="336"/>
      <c r="M70" s="333"/>
      <c r="N70" s="368"/>
      <c r="O70" s="6">
        <v>4</v>
      </c>
      <c r="P70" s="179"/>
      <c r="Q70" s="106" t="str">
        <f t="shared" ref="Q70:Q72" si="56">IF(OR(R70="Preventivo",R70="Detectivo"),"Probabilidad",IF(R70="Correctivo","Impacto",""))</f>
        <v/>
      </c>
      <c r="R70" s="107"/>
      <c r="S70" s="107"/>
      <c r="T70" s="108" t="str">
        <f t="shared" si="53"/>
        <v/>
      </c>
      <c r="U70" s="107"/>
      <c r="V70" s="107"/>
      <c r="W70" s="107"/>
      <c r="X70" s="109" t="str">
        <f t="shared" ref="X70:X71" si="57">IFERROR(IF(AND(Q69="Probabilidad",Q70="Probabilidad"),(Z69-(+Z69*T70)),IF(AND(Q69="Impacto",Q70="Probabilidad"),(Z68-(+Z68*T70)),IF(Q70="Impacto",Z69,""))),"")</f>
        <v/>
      </c>
      <c r="Y70" s="110" t="str">
        <f t="shared" si="1"/>
        <v/>
      </c>
      <c r="Z70" s="111" t="str">
        <f t="shared" si="54"/>
        <v/>
      </c>
      <c r="AA70" s="110" t="str">
        <f t="shared" si="3"/>
        <v/>
      </c>
      <c r="AB70" s="111" t="str">
        <f t="shared" ref="AB70:AB71" si="58">IFERROR(IF(AND(Q69="Impacto",Q70="Impacto"),(AB69-(+AB69*T70)),IF(AND(Q69="Probabilidad",Q70="Impacto"),(AB68-(+AB68*T70)),IF(Q70="Probabilidad",AB69,""))),"")</f>
        <v/>
      </c>
      <c r="AC70" s="112"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3"/>
      <c r="AE70" s="114"/>
      <c r="AF70" s="115"/>
      <c r="AG70" s="116"/>
      <c r="AH70" s="116"/>
      <c r="AI70" s="116"/>
      <c r="AJ70" s="114"/>
      <c r="AK70" s="115"/>
    </row>
    <row r="71" spans="1:69" ht="18" hidden="1" customHeight="1" x14ac:dyDescent="0.3">
      <c r="A71" s="342"/>
      <c r="B71" s="384"/>
      <c r="C71" s="384"/>
      <c r="D71" s="384"/>
      <c r="E71" s="377"/>
      <c r="F71" s="384"/>
      <c r="G71" s="387"/>
      <c r="H71" s="336"/>
      <c r="I71" s="333"/>
      <c r="J71" s="330"/>
      <c r="K71" s="333">
        <f>IF(NOT(ISERROR(MATCH(J71,_xlfn.ANCHORARRAY(E82),0))),I84&amp;"Por favor no seleccionar los criterios de impacto",J71)</f>
        <v>0</v>
      </c>
      <c r="L71" s="336"/>
      <c r="M71" s="333"/>
      <c r="N71" s="368"/>
      <c r="O71" s="6">
        <v>5</v>
      </c>
      <c r="P71" s="179"/>
      <c r="Q71" s="106" t="str">
        <f t="shared" si="56"/>
        <v/>
      </c>
      <c r="R71" s="107"/>
      <c r="S71" s="107"/>
      <c r="T71" s="108" t="str">
        <f t="shared" si="53"/>
        <v/>
      </c>
      <c r="U71" s="107"/>
      <c r="V71" s="107"/>
      <c r="W71" s="107"/>
      <c r="X71" s="109" t="str">
        <f t="shared" si="57"/>
        <v/>
      </c>
      <c r="Y71" s="110" t="str">
        <f t="shared" si="1"/>
        <v/>
      </c>
      <c r="Z71" s="111" t="str">
        <f t="shared" si="54"/>
        <v/>
      </c>
      <c r="AA71" s="110" t="str">
        <f t="shared" si="3"/>
        <v/>
      </c>
      <c r="AB71" s="111" t="str">
        <f t="shared" si="58"/>
        <v/>
      </c>
      <c r="AC71" s="112" t="str">
        <f t="shared" ref="AC71:AC72" si="59">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3"/>
      <c r="AE71" s="114"/>
      <c r="AF71" s="115"/>
      <c r="AG71" s="116"/>
      <c r="AH71" s="116"/>
      <c r="AI71" s="116"/>
      <c r="AJ71" s="114"/>
      <c r="AK71" s="115"/>
    </row>
    <row r="72" spans="1:69" ht="18" hidden="1" customHeight="1" x14ac:dyDescent="0.3">
      <c r="A72" s="343"/>
      <c r="B72" s="385"/>
      <c r="C72" s="385"/>
      <c r="D72" s="385"/>
      <c r="E72" s="378"/>
      <c r="F72" s="385"/>
      <c r="G72" s="388"/>
      <c r="H72" s="337"/>
      <c r="I72" s="334"/>
      <c r="J72" s="331"/>
      <c r="K72" s="334">
        <f>IF(NOT(ISERROR(MATCH(J72,_xlfn.ANCHORARRAY(E83),0))),I85&amp;"Por favor no seleccionar los criterios de impacto",J72)</f>
        <v>0</v>
      </c>
      <c r="L72" s="337"/>
      <c r="M72" s="334"/>
      <c r="N72" s="369"/>
      <c r="O72" s="6">
        <v>6</v>
      </c>
      <c r="P72" s="179"/>
      <c r="Q72" s="106" t="str">
        <f t="shared" si="56"/>
        <v/>
      </c>
      <c r="R72" s="107"/>
      <c r="S72" s="107"/>
      <c r="T72" s="108" t="str">
        <f t="shared" si="53"/>
        <v/>
      </c>
      <c r="U72" s="107"/>
      <c r="V72" s="107"/>
      <c r="W72" s="107"/>
      <c r="X72" s="109" t="str">
        <f>IFERROR(IF(AND(Q71="Probabilidad",Q72="Probabilidad"),(Z71-(+Z71*T72)),IF(AND(Q71="Impacto",Q72="Probabilidad"),(Z70-(+Z70*T72)),IF(Q72="Impacto",Z71,""))),"")</f>
        <v/>
      </c>
      <c r="Y72" s="110" t="str">
        <f t="shared" si="1"/>
        <v/>
      </c>
      <c r="Z72" s="111" t="str">
        <f t="shared" si="54"/>
        <v/>
      </c>
      <c r="AA72" s="110" t="str">
        <f t="shared" si="3"/>
        <v/>
      </c>
      <c r="AB72" s="111" t="str">
        <f>IFERROR(IF(AND(Q71="Impacto",Q72="Impacto"),(AB71-(+AB71*T72)),IF(AND(Q71="Probabilidad",Q72="Impacto"),(AB70-(+AB70*T72)),IF(Q72="Probabilidad",AB71,""))),"")</f>
        <v/>
      </c>
      <c r="AC72" s="112" t="str">
        <f t="shared" si="59"/>
        <v/>
      </c>
      <c r="AD72" s="113"/>
      <c r="AE72" s="114"/>
      <c r="AF72" s="115"/>
      <c r="AG72" s="116"/>
      <c r="AH72" s="116"/>
      <c r="AI72" s="116"/>
      <c r="AJ72" s="114"/>
      <c r="AK72" s="115"/>
    </row>
    <row r="73" spans="1:69" ht="34.5" customHeight="1" x14ac:dyDescent="0.3">
      <c r="A73" s="422" t="s">
        <v>204</v>
      </c>
      <c r="B73" s="423"/>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4"/>
    </row>
    <row r="75" spans="1:69" x14ac:dyDescent="0.3">
      <c r="A75" s="1"/>
      <c r="B75" s="24" t="s">
        <v>205</v>
      </c>
      <c r="C75" s="1"/>
      <c r="D75" s="1"/>
      <c r="F75" s="1"/>
    </row>
  </sheetData>
  <dataConsolidate/>
  <mergeCells count="207">
    <mergeCell ref="A73:AK73"/>
    <mergeCell ref="K18:K23"/>
    <mergeCell ref="B10:B11"/>
    <mergeCell ref="N10:N11"/>
    <mergeCell ref="J10:J11"/>
    <mergeCell ref="D12:D17"/>
    <mergeCell ref="E12:E17"/>
    <mergeCell ref="N12:N17"/>
    <mergeCell ref="I12:I17"/>
    <mergeCell ref="J12:J17"/>
    <mergeCell ref="K12:K17"/>
    <mergeCell ref="L12:L17"/>
    <mergeCell ref="M12:M17"/>
    <mergeCell ref="G10:G11"/>
    <mergeCell ref="H10:H11"/>
    <mergeCell ref="I10:I11"/>
    <mergeCell ref="L10:L11"/>
    <mergeCell ref="M10:M11"/>
    <mergeCell ref="J18:J23"/>
    <mergeCell ref="I18:I23"/>
    <mergeCell ref="H18:H23"/>
    <mergeCell ref="G18:G23"/>
    <mergeCell ref="G12:G17"/>
    <mergeCell ref="H12:H17"/>
    <mergeCell ref="AD10:AD11"/>
    <mergeCell ref="C7:N7"/>
    <mergeCell ref="C8:N8"/>
    <mergeCell ref="O10:O11"/>
    <mergeCell ref="AC10:AC11"/>
    <mergeCell ref="AB10:AB11"/>
    <mergeCell ref="X10:X11"/>
    <mergeCell ref="P10:P11"/>
    <mergeCell ref="AA10:AA11"/>
    <mergeCell ref="Y10:Y11"/>
    <mergeCell ref="Q10:Q11"/>
    <mergeCell ref="M37:M42"/>
    <mergeCell ref="N37:N42"/>
    <mergeCell ref="M43:M48"/>
    <mergeCell ref="A12:A17"/>
    <mergeCell ref="B12:B17"/>
    <mergeCell ref="C12:C17"/>
    <mergeCell ref="AK10:AK11"/>
    <mergeCell ref="AJ10:AJ11"/>
    <mergeCell ref="AI10:AI11"/>
    <mergeCell ref="AG10:AG11"/>
    <mergeCell ref="AF10:AF11"/>
    <mergeCell ref="D37:D42"/>
    <mergeCell ref="E37:E42"/>
    <mergeCell ref="F37:F42"/>
    <mergeCell ref="G30:G36"/>
    <mergeCell ref="F30:F36"/>
    <mergeCell ref="P30:P31"/>
    <mergeCell ref="O30:O31"/>
    <mergeCell ref="Q30:Q31"/>
    <mergeCell ref="R30:R31"/>
    <mergeCell ref="K30:K36"/>
    <mergeCell ref="AB30:AB31"/>
    <mergeCell ref="AC30:AC31"/>
    <mergeCell ref="AD30:AD31"/>
    <mergeCell ref="Z10:Z11"/>
    <mergeCell ref="A24:A29"/>
    <mergeCell ref="B24:B29"/>
    <mergeCell ref="C24:C29"/>
    <mergeCell ref="D24:D29"/>
    <mergeCell ref="E24:E29"/>
    <mergeCell ref="F24:F29"/>
    <mergeCell ref="G24:G29"/>
    <mergeCell ref="H24:H29"/>
    <mergeCell ref="I24:I29"/>
    <mergeCell ref="F18:F23"/>
    <mergeCell ref="E18:E23"/>
    <mergeCell ref="D18:D23"/>
    <mergeCell ref="C18:C23"/>
    <mergeCell ref="B18:B23"/>
    <mergeCell ref="A18:A23"/>
    <mergeCell ref="K10:K11"/>
    <mergeCell ref="R10:W10"/>
    <mergeCell ref="F12:F17"/>
    <mergeCell ref="A10:A11"/>
    <mergeCell ref="F10:F11"/>
    <mergeCell ref="E10:E11"/>
    <mergeCell ref="D10:D11"/>
    <mergeCell ref="C10:C11"/>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G61:G66"/>
    <mergeCell ref="H61:H66"/>
    <mergeCell ref="I61:I66"/>
    <mergeCell ref="B55:B60"/>
    <mergeCell ref="D49:D54"/>
    <mergeCell ref="C55:C60"/>
    <mergeCell ref="A1:D4"/>
    <mergeCell ref="A67:A72"/>
    <mergeCell ref="B67:B72"/>
    <mergeCell ref="C67:C72"/>
    <mergeCell ref="D67:D72"/>
    <mergeCell ref="E67:E72"/>
    <mergeCell ref="B49:B54"/>
    <mergeCell ref="C49:C54"/>
    <mergeCell ref="A6:B6"/>
    <mergeCell ref="A7:B7"/>
    <mergeCell ref="A8:B8"/>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D55:D60"/>
    <mergeCell ref="H37:H42"/>
    <mergeCell ref="A61:A66"/>
    <mergeCell ref="B61:B66"/>
    <mergeCell ref="C61:C66"/>
    <mergeCell ref="D61:D66"/>
    <mergeCell ref="E61:E66"/>
    <mergeCell ref="F61:F66"/>
    <mergeCell ref="AJ1:AK1"/>
    <mergeCell ref="AJ2:AK2"/>
    <mergeCell ref="AJ3:AK3"/>
    <mergeCell ref="AJ4:AK4"/>
    <mergeCell ref="E1:AI4"/>
    <mergeCell ref="J67:J72"/>
    <mergeCell ref="K67:K72"/>
    <mergeCell ref="L67:L72"/>
    <mergeCell ref="M67:M72"/>
    <mergeCell ref="N67:N72"/>
    <mergeCell ref="I67:I72"/>
    <mergeCell ref="AH10:AH11"/>
    <mergeCell ref="O6:Q6"/>
    <mergeCell ref="O9:W9"/>
    <mergeCell ref="X9:AD9"/>
    <mergeCell ref="AE9:AK9"/>
    <mergeCell ref="M24:M29"/>
    <mergeCell ref="N24:N29"/>
    <mergeCell ref="J24:J29"/>
    <mergeCell ref="K24:K29"/>
    <mergeCell ref="E49:E54"/>
    <mergeCell ref="L24:L29"/>
    <mergeCell ref="AE10:AE11"/>
    <mergeCell ref="E43:E48"/>
    <mergeCell ref="N43:N48"/>
    <mergeCell ref="J49:J54"/>
    <mergeCell ref="K49:K54"/>
    <mergeCell ref="L49:L54"/>
    <mergeCell ref="J43:J48"/>
    <mergeCell ref="A30:A36"/>
    <mergeCell ref="E30:E36"/>
    <mergeCell ref="D30:D36"/>
    <mergeCell ref="C30:C36"/>
    <mergeCell ref="B30:B36"/>
    <mergeCell ref="K43:K48"/>
    <mergeCell ref="L43:L48"/>
    <mergeCell ref="G37:G42"/>
    <mergeCell ref="A37:A42"/>
    <mergeCell ref="B37:B42"/>
    <mergeCell ref="C37:C42"/>
    <mergeCell ref="A43:A48"/>
    <mergeCell ref="B43:B48"/>
    <mergeCell ref="C43:C48"/>
    <mergeCell ref="D43:D48"/>
    <mergeCell ref="F43:F48"/>
    <mergeCell ref="J30:J36"/>
    <mergeCell ref="I30:I36"/>
    <mergeCell ref="H30:H36"/>
    <mergeCell ref="V30:V31"/>
    <mergeCell ref="L30:L36"/>
    <mergeCell ref="N18:N23"/>
    <mergeCell ref="M18:M23"/>
    <mergeCell ref="L18:L23"/>
    <mergeCell ref="W30:W31"/>
    <mergeCell ref="Y30:Y31"/>
    <mergeCell ref="Z30:Z31"/>
    <mergeCell ref="AA30:AA31"/>
    <mergeCell ref="S30:S31"/>
    <mergeCell ref="T30:T31"/>
    <mergeCell ref="X30:X31"/>
    <mergeCell ref="N30:N36"/>
    <mergeCell ref="M30:M36"/>
    <mergeCell ref="U30:U31"/>
  </mergeCells>
  <conditionalFormatting sqref="H12 H18">
    <cfRule type="cellIs" dxfId="132" priority="566" operator="equal">
      <formula>"Muy Alta"</formula>
    </cfRule>
    <cfRule type="cellIs" dxfId="131" priority="567" operator="equal">
      <formula>"Alta"</formula>
    </cfRule>
    <cfRule type="cellIs" dxfId="130" priority="568" operator="equal">
      <formula>"Media"</formula>
    </cfRule>
    <cfRule type="cellIs" dxfId="129" priority="569" operator="equal">
      <formula>"Baja"</formula>
    </cfRule>
    <cfRule type="cellIs" dxfId="128" priority="570" operator="equal">
      <formula>"Muy Baja"</formula>
    </cfRule>
  </conditionalFormatting>
  <conditionalFormatting sqref="H24">
    <cfRule type="cellIs" dxfId="127" priority="468" operator="equal">
      <formula>"Muy Alta"</formula>
    </cfRule>
    <cfRule type="cellIs" dxfId="126" priority="469" operator="equal">
      <formula>"Alta"</formula>
    </cfRule>
    <cfRule type="cellIs" dxfId="125" priority="470" operator="equal">
      <formula>"Media"</formula>
    </cfRule>
    <cfRule type="cellIs" dxfId="124" priority="471" operator="equal">
      <formula>"Baja"</formula>
    </cfRule>
    <cfRule type="cellIs" dxfId="123" priority="472" operator="equal">
      <formula>"Muy Baja"</formula>
    </cfRule>
  </conditionalFormatting>
  <conditionalFormatting sqref="H30">
    <cfRule type="cellIs" dxfId="122" priority="440" operator="equal">
      <formula>"Muy Alta"</formula>
    </cfRule>
    <cfRule type="cellIs" dxfId="121" priority="441" operator="equal">
      <formula>"Alta"</formula>
    </cfRule>
    <cfRule type="cellIs" dxfId="120" priority="442" operator="equal">
      <formula>"Media"</formula>
    </cfRule>
    <cfRule type="cellIs" dxfId="119" priority="443" operator="equal">
      <formula>"Baja"</formula>
    </cfRule>
    <cfRule type="cellIs" dxfId="118" priority="444" operator="equal">
      <formula>"Muy Baja"</formula>
    </cfRule>
  </conditionalFormatting>
  <conditionalFormatting sqref="H37">
    <cfRule type="cellIs" dxfId="117" priority="58" operator="equal">
      <formula>"Muy Alta"</formula>
    </cfRule>
    <cfRule type="cellIs" dxfId="116" priority="59" operator="equal">
      <formula>"Alta"</formula>
    </cfRule>
    <cfRule type="cellIs" dxfId="115" priority="60" operator="equal">
      <formula>"Media"</formula>
    </cfRule>
    <cfRule type="cellIs" dxfId="114" priority="61" operator="equal">
      <formula>"Baja"</formula>
    </cfRule>
    <cfRule type="cellIs" dxfId="113" priority="62" operator="equal">
      <formula>"Muy Baja"</formula>
    </cfRule>
  </conditionalFormatting>
  <conditionalFormatting sqref="H43">
    <cfRule type="cellIs" dxfId="112" priority="24" operator="equal">
      <formula>"Muy Alta"</formula>
    </cfRule>
    <cfRule type="cellIs" dxfId="111" priority="25" operator="equal">
      <formula>"Alta"</formula>
    </cfRule>
    <cfRule type="cellIs" dxfId="110" priority="26" operator="equal">
      <formula>"Media"</formula>
    </cfRule>
    <cfRule type="cellIs" dxfId="109" priority="27" operator="equal">
      <formula>"Baja"</formula>
    </cfRule>
    <cfRule type="cellIs" dxfId="108" priority="28" operator="equal">
      <formula>"Muy Baja"</formula>
    </cfRule>
  </conditionalFormatting>
  <conditionalFormatting sqref="H49">
    <cfRule type="cellIs" dxfId="107" priority="356" operator="equal">
      <formula>"Muy Alta"</formula>
    </cfRule>
    <cfRule type="cellIs" dxfId="106" priority="357" operator="equal">
      <formula>"Alta"</formula>
    </cfRule>
    <cfRule type="cellIs" dxfId="105" priority="358" operator="equal">
      <formula>"Media"</formula>
    </cfRule>
    <cfRule type="cellIs" dxfId="104" priority="359" operator="equal">
      <formula>"Baja"</formula>
    </cfRule>
    <cfRule type="cellIs" dxfId="103" priority="360" operator="equal">
      <formula>"Muy Baja"</formula>
    </cfRule>
  </conditionalFormatting>
  <conditionalFormatting sqref="H55">
    <cfRule type="cellIs" dxfId="102" priority="328" operator="equal">
      <formula>"Muy Alta"</formula>
    </cfRule>
    <cfRule type="cellIs" dxfId="101" priority="329" operator="equal">
      <formula>"Alta"</formula>
    </cfRule>
    <cfRule type="cellIs" dxfId="100" priority="330" operator="equal">
      <formula>"Media"</formula>
    </cfRule>
    <cfRule type="cellIs" dxfId="99" priority="331" operator="equal">
      <formula>"Baja"</formula>
    </cfRule>
    <cfRule type="cellIs" dxfId="98" priority="332" operator="equal">
      <formula>"Muy Baja"</formula>
    </cfRule>
  </conditionalFormatting>
  <conditionalFormatting sqref="H61">
    <cfRule type="cellIs" dxfId="97" priority="300" operator="equal">
      <formula>"Muy Alta"</formula>
    </cfRule>
    <cfRule type="cellIs" dxfId="96" priority="301" operator="equal">
      <formula>"Alta"</formula>
    </cfRule>
    <cfRule type="cellIs" dxfId="95" priority="302" operator="equal">
      <formula>"Media"</formula>
    </cfRule>
    <cfRule type="cellIs" dxfId="94" priority="303" operator="equal">
      <formula>"Baja"</formula>
    </cfRule>
    <cfRule type="cellIs" dxfId="93" priority="304" operator="equal">
      <formula>"Muy Baja"</formula>
    </cfRule>
  </conditionalFormatting>
  <conditionalFormatting sqref="H67">
    <cfRule type="cellIs" dxfId="92" priority="272" operator="equal">
      <formula>"Muy Alta"</formula>
    </cfRule>
    <cfRule type="cellIs" dxfId="91" priority="273" operator="equal">
      <formula>"Alta"</formula>
    </cfRule>
    <cfRule type="cellIs" dxfId="90" priority="274" operator="equal">
      <formula>"Media"</formula>
    </cfRule>
    <cfRule type="cellIs" dxfId="89" priority="275" operator="equal">
      <formula>"Baja"</formula>
    </cfRule>
    <cfRule type="cellIs" dxfId="88" priority="276" operator="equal">
      <formula>"Muy Baja"</formula>
    </cfRule>
  </conditionalFormatting>
  <conditionalFormatting sqref="K12:K18 K24:K30 K37:K72">
    <cfRule type="containsText" dxfId="87" priority="248" operator="containsText" text="❌">
      <formula>NOT(ISERROR(SEARCH("❌",K12)))</formula>
    </cfRule>
  </conditionalFormatting>
  <conditionalFormatting sqref="L12 L18 L24 L30 L49 L55 L61 L67">
    <cfRule type="cellIs" dxfId="86" priority="561" operator="equal">
      <formula>"Catastrófico"</formula>
    </cfRule>
    <cfRule type="cellIs" dxfId="85" priority="562" operator="equal">
      <formula>"Mayor"</formula>
    </cfRule>
    <cfRule type="cellIs" dxfId="84" priority="563" operator="equal">
      <formula>"Moderado"</formula>
    </cfRule>
    <cfRule type="cellIs" dxfId="83" priority="564" operator="equal">
      <formula>"Menor"</formula>
    </cfRule>
    <cfRule type="cellIs" dxfId="82" priority="565" operator="equal">
      <formula>"Leve"</formula>
    </cfRule>
  </conditionalFormatting>
  <conditionalFormatting sqref="L37">
    <cfRule type="cellIs" dxfId="81" priority="49" operator="equal">
      <formula>"Catastrófico"</formula>
    </cfRule>
    <cfRule type="cellIs" dxfId="80" priority="50" operator="equal">
      <formula>"Mayor"</formula>
    </cfRule>
    <cfRule type="cellIs" dxfId="79" priority="51" operator="equal">
      <formula>"Moderado"</formula>
    </cfRule>
    <cfRule type="cellIs" dxfId="78" priority="52" operator="equal">
      <formula>"Menor"</formula>
    </cfRule>
    <cfRule type="cellIs" dxfId="77" priority="53" operator="equal">
      <formula>"Leve"</formula>
    </cfRule>
  </conditionalFormatting>
  <conditionalFormatting sqref="L43">
    <cfRule type="cellIs" dxfId="76" priority="15" operator="equal">
      <formula>"Catastrófico"</formula>
    </cfRule>
    <cfRule type="cellIs" dxfId="75" priority="16" operator="equal">
      <formula>"Mayor"</formula>
    </cfRule>
    <cfRule type="cellIs" dxfId="74" priority="17" operator="equal">
      <formula>"Moderado"</formula>
    </cfRule>
    <cfRule type="cellIs" dxfId="73" priority="18" operator="equal">
      <formula>"Menor"</formula>
    </cfRule>
    <cfRule type="cellIs" dxfId="72" priority="19" operator="equal">
      <formula>"Leve"</formula>
    </cfRule>
  </conditionalFormatting>
  <conditionalFormatting sqref="N12">
    <cfRule type="cellIs" dxfId="71" priority="557" operator="equal">
      <formula>"Extremo"</formula>
    </cfRule>
    <cfRule type="cellIs" dxfId="70" priority="558" operator="equal">
      <formula>"Alto"</formula>
    </cfRule>
    <cfRule type="cellIs" dxfId="69" priority="559" operator="equal">
      <formula>"Moderado"</formula>
    </cfRule>
    <cfRule type="cellIs" dxfId="68" priority="560" operator="equal">
      <formula>"Bajo"</formula>
    </cfRule>
  </conditionalFormatting>
  <conditionalFormatting sqref="N18">
    <cfRule type="cellIs" dxfId="67" priority="487" operator="equal">
      <formula>"Extremo"</formula>
    </cfRule>
    <cfRule type="cellIs" dxfId="66" priority="488" operator="equal">
      <formula>"Alto"</formula>
    </cfRule>
    <cfRule type="cellIs" dxfId="65" priority="489" operator="equal">
      <formula>"Moderado"</formula>
    </cfRule>
    <cfRule type="cellIs" dxfId="64" priority="490" operator="equal">
      <formula>"Bajo"</formula>
    </cfRule>
  </conditionalFormatting>
  <conditionalFormatting sqref="N24">
    <cfRule type="cellIs" dxfId="63" priority="459" operator="equal">
      <formula>"Extremo"</formula>
    </cfRule>
    <cfRule type="cellIs" dxfId="62" priority="460" operator="equal">
      <formula>"Alto"</formula>
    </cfRule>
    <cfRule type="cellIs" dxfId="61" priority="461" operator="equal">
      <formula>"Moderado"</formula>
    </cfRule>
    <cfRule type="cellIs" dxfId="60" priority="462" operator="equal">
      <formula>"Bajo"</formula>
    </cfRule>
  </conditionalFormatting>
  <conditionalFormatting sqref="N30">
    <cfRule type="cellIs" dxfId="59" priority="431" operator="equal">
      <formula>"Extremo"</formula>
    </cfRule>
    <cfRule type="cellIs" dxfId="58" priority="432" operator="equal">
      <formula>"Alto"</formula>
    </cfRule>
    <cfRule type="cellIs" dxfId="57" priority="433" operator="equal">
      <formula>"Moderado"</formula>
    </cfRule>
    <cfRule type="cellIs" dxfId="56" priority="434" operator="equal">
      <formula>"Bajo"</formula>
    </cfRule>
  </conditionalFormatting>
  <conditionalFormatting sqref="N37">
    <cfRule type="cellIs" dxfId="55" priority="54" operator="equal">
      <formula>"Extremo"</formula>
    </cfRule>
    <cfRule type="cellIs" dxfId="54" priority="55" operator="equal">
      <formula>"Alto"</formula>
    </cfRule>
    <cfRule type="cellIs" dxfId="53" priority="56" operator="equal">
      <formula>"Moderado"</formula>
    </cfRule>
    <cfRule type="cellIs" dxfId="52" priority="57" operator="equal">
      <formula>"Bajo"</formula>
    </cfRule>
  </conditionalFormatting>
  <conditionalFormatting sqref="N43">
    <cfRule type="cellIs" dxfId="51" priority="20" operator="equal">
      <formula>"Extremo"</formula>
    </cfRule>
    <cfRule type="cellIs" dxfId="50" priority="21" operator="equal">
      <formula>"Alto"</formula>
    </cfRule>
    <cfRule type="cellIs" dxfId="49" priority="22" operator="equal">
      <formula>"Moderado"</formula>
    </cfRule>
    <cfRule type="cellIs" dxfId="48" priority="23" operator="equal">
      <formula>"Bajo"</formula>
    </cfRule>
  </conditionalFormatting>
  <conditionalFormatting sqref="N49">
    <cfRule type="cellIs" dxfId="47" priority="347" operator="equal">
      <formula>"Extremo"</formula>
    </cfRule>
    <cfRule type="cellIs" dxfId="46" priority="348" operator="equal">
      <formula>"Alto"</formula>
    </cfRule>
    <cfRule type="cellIs" dxfId="45" priority="349" operator="equal">
      <formula>"Moderado"</formula>
    </cfRule>
    <cfRule type="cellIs" dxfId="44" priority="350" operator="equal">
      <formula>"Bajo"</formula>
    </cfRule>
  </conditionalFormatting>
  <conditionalFormatting sqref="N55">
    <cfRule type="cellIs" dxfId="43" priority="319" operator="equal">
      <formula>"Extremo"</formula>
    </cfRule>
    <cfRule type="cellIs" dxfId="42" priority="320" operator="equal">
      <formula>"Alto"</formula>
    </cfRule>
    <cfRule type="cellIs" dxfId="41" priority="321" operator="equal">
      <formula>"Moderado"</formula>
    </cfRule>
    <cfRule type="cellIs" dxfId="40" priority="322" operator="equal">
      <formula>"Bajo"</formula>
    </cfRule>
  </conditionalFormatting>
  <conditionalFormatting sqref="N61">
    <cfRule type="cellIs" dxfId="39" priority="291" operator="equal">
      <formula>"Extremo"</formula>
    </cfRule>
    <cfRule type="cellIs" dxfId="38" priority="292" operator="equal">
      <formula>"Alto"</formula>
    </cfRule>
    <cfRule type="cellIs" dxfId="37" priority="293" operator="equal">
      <formula>"Moderado"</formula>
    </cfRule>
    <cfRule type="cellIs" dxfId="36" priority="294" operator="equal">
      <formula>"Bajo"</formula>
    </cfRule>
  </conditionalFormatting>
  <conditionalFormatting sqref="N67">
    <cfRule type="cellIs" dxfId="35" priority="263" operator="equal">
      <formula>"Extremo"</formula>
    </cfRule>
    <cfRule type="cellIs" dxfId="34" priority="264" operator="equal">
      <formula>"Alto"</formula>
    </cfRule>
    <cfRule type="cellIs" dxfId="33" priority="265" operator="equal">
      <formula>"Moderado"</formula>
    </cfRule>
    <cfRule type="cellIs" dxfId="32" priority="266" operator="equal">
      <formula>"Bajo"</formula>
    </cfRule>
  </conditionalFormatting>
  <conditionalFormatting sqref="Y12:Y30">
    <cfRule type="cellIs" dxfId="31" priority="454" operator="equal">
      <formula>"Muy Alta"</formula>
    </cfRule>
    <cfRule type="cellIs" dxfId="30" priority="455" operator="equal">
      <formula>"Alta"</formula>
    </cfRule>
    <cfRule type="cellIs" dxfId="29" priority="456" operator="equal">
      <formula>"Media"</formula>
    </cfRule>
    <cfRule type="cellIs" dxfId="28" priority="457" operator="equal">
      <formula>"Baja"</formula>
    </cfRule>
    <cfRule type="cellIs" dxfId="27" priority="458" operator="equal">
      <formula>"Muy Baja"</formula>
    </cfRule>
  </conditionalFormatting>
  <conditionalFormatting sqref="Y32:Y72">
    <cfRule type="cellIs" dxfId="26" priority="10" operator="equal">
      <formula>"Muy Alta"</formula>
    </cfRule>
    <cfRule type="cellIs" dxfId="25" priority="11" operator="equal">
      <formula>"Alta"</formula>
    </cfRule>
    <cfRule type="cellIs" dxfId="24" priority="12" operator="equal">
      <formula>"Media"</formula>
    </cfRule>
    <cfRule type="cellIs" dxfId="23" priority="13" operator="equal">
      <formula>"Baja"</formula>
    </cfRule>
    <cfRule type="cellIs" dxfId="22" priority="14" operator="equal">
      <formula>"Muy Baja"</formula>
    </cfRule>
  </conditionalFormatting>
  <conditionalFormatting sqref="AA12:AA30">
    <cfRule type="cellIs" dxfId="21" priority="449" operator="equal">
      <formula>"Catastrófico"</formula>
    </cfRule>
    <cfRule type="cellIs" dxfId="20" priority="450" operator="equal">
      <formula>"Mayor"</formula>
    </cfRule>
    <cfRule type="cellIs" dxfId="19" priority="451" operator="equal">
      <formula>"Moderado"</formula>
    </cfRule>
    <cfRule type="cellIs" dxfId="18" priority="452" operator="equal">
      <formula>"Menor"</formula>
    </cfRule>
    <cfRule type="cellIs" dxfId="17" priority="453" operator="equal">
      <formula>"Leve"</formula>
    </cfRule>
  </conditionalFormatting>
  <conditionalFormatting sqref="AA32:AA72">
    <cfRule type="cellIs" dxfId="16" priority="5" operator="equal">
      <formula>"Catastrófico"</formula>
    </cfRule>
    <cfRule type="cellIs" dxfId="15" priority="6" operator="equal">
      <formula>"Mayor"</formula>
    </cfRule>
    <cfRule type="cellIs" dxfId="14" priority="7" operator="equal">
      <formula>"Moderado"</formula>
    </cfRule>
    <cfRule type="cellIs" dxfId="13" priority="8" operator="equal">
      <formula>"Menor"</formula>
    </cfRule>
    <cfRule type="cellIs" dxfId="12" priority="9" operator="equal">
      <formula>"Leve"</formula>
    </cfRule>
  </conditionalFormatting>
  <conditionalFormatting sqref="AC12:AC30">
    <cfRule type="cellIs" dxfId="11" priority="445" operator="equal">
      <formula>"Extremo"</formula>
    </cfRule>
    <cfRule type="cellIs" dxfId="10" priority="446" operator="equal">
      <formula>"Alto"</formula>
    </cfRule>
    <cfRule type="cellIs" dxfId="9" priority="447" operator="equal">
      <formula>"Moderado"</formula>
    </cfRule>
    <cfRule type="cellIs" dxfId="8" priority="448" operator="equal">
      <formula>"Bajo"</formula>
    </cfRule>
  </conditionalFormatting>
  <conditionalFormatting sqref="AC32:AC72">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AK21:AK22 AK24:AK25 AK27:AK28 AK31:AK32 AK34:AK35 AK37:AK38 AK40:AK41 AK43:AK44 AK46:AK47 AK49:AK50 AK52:AK53 AK55:AK56 AK58:AK59 AK61:AK62 AK64:AK65 AK67:AK68 AK70:AK71 AK19</xm:sqref>
        </x14:dataValidation>
        <x14:dataValidation type="list" allowBlank="1" showInputMessage="1" showErrorMessage="1" xr:uid="{00000000-0002-0000-0100-000000000000}">
          <x14:formula1>
            <xm:f>'Tabla Valoración controles'!$D$4:$D$6</xm:f>
          </x14:formula1>
          <xm:sqref>R12:R18 R19:R30 R32:R72</xm:sqref>
        </x14:dataValidation>
        <x14:dataValidation type="list" allowBlank="1" showInputMessage="1" showErrorMessage="1" xr:uid="{00000000-0002-0000-0100-000001000000}">
          <x14:formula1>
            <xm:f>'Tabla Valoración controles'!$D$7:$D$8</xm:f>
          </x14:formula1>
          <xm:sqref>S12:S18 S19:S30 S32:S72</xm:sqref>
        </x14:dataValidation>
        <x14:dataValidation type="list" allowBlank="1" showInputMessage="1" showErrorMessage="1" xr:uid="{00000000-0002-0000-0100-000002000000}">
          <x14:formula1>
            <xm:f>'Tabla Valoración controles'!$D$9:$D$10</xm:f>
          </x14:formula1>
          <xm:sqref>U12:U18 U19:U30 U32:U72</xm:sqref>
        </x14:dataValidation>
        <x14:dataValidation type="list" allowBlank="1" showInputMessage="1" showErrorMessage="1" xr:uid="{00000000-0002-0000-0100-000003000000}">
          <x14:formula1>
            <xm:f>'Tabla Valoración controles'!$D$11:$D$12</xm:f>
          </x14:formula1>
          <xm:sqref>V12:V18 V19:V30 V32:V72</xm:sqref>
        </x14:dataValidation>
        <x14:dataValidation type="list" allowBlank="1" showInputMessage="1" showErrorMessage="1" xr:uid="{00000000-0002-0000-0100-000005000000}">
          <x14:formula1>
            <xm:f>'Tabla Valoración controles'!$D$13:$D$14</xm:f>
          </x14:formula1>
          <xm:sqref>W12:W18 W19:W30 W32:W72</xm:sqref>
        </x14:dataValidation>
        <x14:dataValidation type="list" allowBlank="1" showInputMessage="1" showErrorMessage="1" xr:uid="{00000000-0002-0000-0100-000006000000}">
          <x14:formula1>
            <xm:f>'Opciones Tratamiento'!$B$13:$B$19</xm:f>
          </x14:formula1>
          <xm:sqref>F12:F18 F24:F30 F37:F72</xm:sqref>
        </x14:dataValidation>
        <x14:dataValidation type="list" allowBlank="1" showInputMessage="1" showErrorMessage="1" xr:uid="{00000000-0002-0000-0100-000007000000}">
          <x14:formula1>
            <xm:f>'Opciones Tratamiento'!$E$2:$E$4</xm:f>
          </x14:formula1>
          <xm:sqref>B12:B18 B24:B30 B37:B72</xm:sqref>
        </x14:dataValidation>
        <x14:dataValidation type="list" allowBlank="1" showInputMessage="1" showErrorMessage="1" xr:uid="{00000000-0002-0000-0100-000008000000}">
          <x14:formula1>
            <xm:f>'Opciones Tratamiento'!$B$2:$B$5</xm:f>
          </x14:formula1>
          <xm:sqref>AD12:AD18 AD19:AD30 AD32:AD72</xm:sqref>
        </x14:dataValidation>
        <x14:dataValidation type="list" allowBlank="1" showInputMessage="1" showErrorMessage="1" xr:uid="{00000000-0002-0000-0100-000009000000}">
          <x14:formula1>
            <xm:f>'Tabla Impacto'!$F$210:$F$221</xm:f>
          </x14:formula1>
          <xm:sqref>J12:J18 J24:J30 J37:J72</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AE38:AE42 AE44:AE72 AE12:AE36</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AF38:AF42 AF44:AF72 AF12:AF36</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AG38:AH42 AG44:AH72 AG12:AH36</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AI12:AI72</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14" t="s">
        <v>206</v>
      </c>
      <c r="C2" s="514"/>
      <c r="D2" s="514"/>
      <c r="E2" s="514"/>
      <c r="F2" s="514"/>
      <c r="G2" s="514"/>
      <c r="H2" s="514"/>
      <c r="I2" s="514"/>
      <c r="J2" s="482" t="s">
        <v>23</v>
      </c>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14"/>
      <c r="C3" s="514"/>
      <c r="D3" s="514"/>
      <c r="E3" s="514"/>
      <c r="F3" s="514"/>
      <c r="G3" s="514"/>
      <c r="H3" s="514"/>
      <c r="I3" s="514"/>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14"/>
      <c r="C4" s="514"/>
      <c r="D4" s="514"/>
      <c r="E4" s="514"/>
      <c r="F4" s="514"/>
      <c r="G4" s="514"/>
      <c r="H4" s="514"/>
      <c r="I4" s="514"/>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29" t="s">
        <v>207</v>
      </c>
      <c r="C6" s="429"/>
      <c r="D6" s="430"/>
      <c r="E6" s="467" t="s">
        <v>208</v>
      </c>
      <c r="F6" s="468"/>
      <c r="G6" s="468"/>
      <c r="H6" s="468"/>
      <c r="I6" s="469"/>
      <c r="J6" s="478" t="str">
        <f>IF(AND('Mapa de Riesgos'!$H$12="Muy Alta",'Mapa de Riesgos'!$L$12="Leve"),CONCATENATE("R",'Mapa de Riesgos'!$A$12),"")</f>
        <v/>
      </c>
      <c r="K6" s="479"/>
      <c r="L6" s="479" t="str">
        <f>IF(AND('Mapa de Riesgos'!$H$18="Muy Alta",'Mapa de Riesgos'!$L$18="Leve"),CONCATENATE("R",'Mapa de Riesgos'!$A$18),"")</f>
        <v/>
      </c>
      <c r="M6" s="479"/>
      <c r="N6" s="479" t="str">
        <f>IF(AND('Mapa de Riesgos'!$H$24="Muy Alta",'Mapa de Riesgos'!$L$24="Leve"),CONCATENATE("R",'Mapa de Riesgos'!$A$24),"")</f>
        <v/>
      </c>
      <c r="O6" s="481"/>
      <c r="P6" s="478" t="str">
        <f>IF(AND('Mapa de Riesgos'!$H$12="Muy Alta",'Mapa de Riesgos'!$L$12="Menor"),CONCATENATE("R",'Mapa de Riesgos'!$A$12),"")</f>
        <v/>
      </c>
      <c r="Q6" s="479"/>
      <c r="R6" s="479" t="str">
        <f>IF(AND('Mapa de Riesgos'!$H$18="Muy Alta",'Mapa de Riesgos'!$L$18="Menor"),CONCATENATE("R",'Mapa de Riesgos'!$A$18),"")</f>
        <v/>
      </c>
      <c r="S6" s="479"/>
      <c r="T6" s="479" t="str">
        <f>IF(AND('Mapa de Riesgos'!$H$24="Muy Alta",'Mapa de Riesgos'!$L$24="Menor"),CONCATENATE("R",'Mapa de Riesgos'!$A$24),"")</f>
        <v/>
      </c>
      <c r="U6" s="481"/>
      <c r="V6" s="478" t="str">
        <f>IF(AND('Mapa de Riesgos'!$H$12="Muy Alta",'Mapa de Riesgos'!$L$12="Moderado"),CONCATENATE("R",'Mapa de Riesgos'!$A$12),"")</f>
        <v/>
      </c>
      <c r="W6" s="479"/>
      <c r="X6" s="479" t="str">
        <f>IF(AND('Mapa de Riesgos'!$H$18="Muy Alta",'Mapa de Riesgos'!$L$18="Moderado"),CONCATENATE("R",'Mapa de Riesgos'!$A$18),"")</f>
        <v>R2</v>
      </c>
      <c r="Y6" s="479"/>
      <c r="Z6" s="479" t="str">
        <f>IF(AND('Mapa de Riesgos'!$H$24="Muy Alta",'Mapa de Riesgos'!$L$24="Moderado"),CONCATENATE("R",'Mapa de Riesgos'!$A$24),"")</f>
        <v/>
      </c>
      <c r="AA6" s="481"/>
      <c r="AB6" s="478" t="str">
        <f>IF(AND('Mapa de Riesgos'!$H$12="Muy Alta",'Mapa de Riesgos'!$L$12="Mayor"),CONCATENATE("R",'Mapa de Riesgos'!$A$12),"")</f>
        <v/>
      </c>
      <c r="AC6" s="479"/>
      <c r="AD6" s="479" t="str">
        <f>IF(AND('Mapa de Riesgos'!$H$18="Muy Alta",'Mapa de Riesgos'!$L$18="Mayor"),CONCATENATE("R",'Mapa de Riesgos'!$A$18),"")</f>
        <v/>
      </c>
      <c r="AE6" s="479"/>
      <c r="AF6" s="479" t="str">
        <f>IF(AND('Mapa de Riesgos'!$H$24="Muy Alta",'Mapa de Riesgos'!$L$24="Mayor"),CONCATENATE("R",'Mapa de Riesgos'!$A$24),"")</f>
        <v/>
      </c>
      <c r="AG6" s="481"/>
      <c r="AH6" s="493" t="str">
        <f>IF(AND('Mapa de Riesgos'!$H$12="Muy Alta",'Mapa de Riesgos'!$L$12="Catastrófico"),CONCATENATE("R",'Mapa de Riesgos'!$A$12),"")</f>
        <v/>
      </c>
      <c r="AI6" s="494"/>
      <c r="AJ6" s="494" t="str">
        <f>IF(AND('Mapa de Riesgos'!$H$18="Muy Alta",'Mapa de Riesgos'!$L$18="Catastrófico"),CONCATENATE("R",'Mapa de Riesgos'!$A$18),"")</f>
        <v/>
      </c>
      <c r="AK6" s="494"/>
      <c r="AL6" s="494" t="str">
        <f>IF(AND('Mapa de Riesgos'!$H$24="Muy Alta",'Mapa de Riesgos'!$L$24="Catastrófico"),CONCATENATE("R",'Mapa de Riesgos'!$A$24),"")</f>
        <v/>
      </c>
      <c r="AM6" s="495"/>
      <c r="AO6" s="431" t="s">
        <v>209</v>
      </c>
      <c r="AP6" s="432"/>
      <c r="AQ6" s="432"/>
      <c r="AR6" s="432"/>
      <c r="AS6" s="432"/>
      <c r="AT6" s="43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29"/>
      <c r="C7" s="429"/>
      <c r="D7" s="430"/>
      <c r="E7" s="470"/>
      <c r="F7" s="471"/>
      <c r="G7" s="471"/>
      <c r="H7" s="471"/>
      <c r="I7" s="472"/>
      <c r="J7" s="480"/>
      <c r="K7" s="476"/>
      <c r="L7" s="476"/>
      <c r="M7" s="476"/>
      <c r="N7" s="476"/>
      <c r="O7" s="477"/>
      <c r="P7" s="480"/>
      <c r="Q7" s="476"/>
      <c r="R7" s="476"/>
      <c r="S7" s="476"/>
      <c r="T7" s="476"/>
      <c r="U7" s="477"/>
      <c r="V7" s="480"/>
      <c r="W7" s="476"/>
      <c r="X7" s="476"/>
      <c r="Y7" s="476"/>
      <c r="Z7" s="476"/>
      <c r="AA7" s="477"/>
      <c r="AB7" s="480"/>
      <c r="AC7" s="476"/>
      <c r="AD7" s="476"/>
      <c r="AE7" s="476"/>
      <c r="AF7" s="476"/>
      <c r="AG7" s="477"/>
      <c r="AH7" s="487"/>
      <c r="AI7" s="488"/>
      <c r="AJ7" s="488"/>
      <c r="AK7" s="488"/>
      <c r="AL7" s="488"/>
      <c r="AM7" s="489"/>
      <c r="AN7" s="83"/>
      <c r="AO7" s="434"/>
      <c r="AP7" s="435"/>
      <c r="AQ7" s="435"/>
      <c r="AR7" s="435"/>
      <c r="AS7" s="435"/>
      <c r="AT7" s="43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29"/>
      <c r="C8" s="429"/>
      <c r="D8" s="430"/>
      <c r="E8" s="470"/>
      <c r="F8" s="471"/>
      <c r="G8" s="471"/>
      <c r="H8" s="471"/>
      <c r="I8" s="472"/>
      <c r="J8" s="480" t="str">
        <f>IF(AND('Mapa de Riesgos'!$H$30="Muy Alta",'Mapa de Riesgos'!$L$30="Leve"),CONCATENATE("R",'Mapa de Riesgos'!$A$30),"")</f>
        <v/>
      </c>
      <c r="K8" s="476"/>
      <c r="L8" s="476" t="str">
        <f>IF(AND('Mapa de Riesgos'!$H$37="Muy Alta",'Mapa de Riesgos'!$L$37="Leve"),CONCATENATE("R",'Mapa de Riesgos'!$A$37),"")</f>
        <v/>
      </c>
      <c r="M8" s="476"/>
      <c r="N8" s="476" t="str">
        <f>IF(AND('Mapa de Riesgos'!$H$43="Muy Alta",'Mapa de Riesgos'!$L$43="Leve"),CONCATENATE("R",'Mapa de Riesgos'!$A$43),"")</f>
        <v/>
      </c>
      <c r="O8" s="477"/>
      <c r="P8" s="480" t="str">
        <f>IF(AND('Mapa de Riesgos'!$H$30="Muy Alta",'Mapa de Riesgos'!$L$30="Menor"),CONCATENATE("R",'Mapa de Riesgos'!$A$30),"")</f>
        <v/>
      </c>
      <c r="Q8" s="476"/>
      <c r="R8" s="476" t="str">
        <f>IF(AND('Mapa de Riesgos'!$H$37="Muy Alta",'Mapa de Riesgos'!$L$37="Menor"),CONCATENATE("R",'Mapa de Riesgos'!$A$37),"")</f>
        <v/>
      </c>
      <c r="S8" s="476"/>
      <c r="T8" s="476" t="str">
        <f>IF(AND('Mapa de Riesgos'!$H$43="Muy Alta",'Mapa de Riesgos'!$L$43="Menor"),CONCATENATE("R",'Mapa de Riesgos'!$A$43),"")</f>
        <v/>
      </c>
      <c r="U8" s="477"/>
      <c r="V8" s="480" t="str">
        <f>IF(AND('Mapa de Riesgos'!$H$30="Muy Alta",'Mapa de Riesgos'!$L$30="Moderado"),CONCATENATE("R",'Mapa de Riesgos'!$A$30),"")</f>
        <v/>
      </c>
      <c r="W8" s="476"/>
      <c r="X8" s="476" t="str">
        <f>IF(AND('Mapa de Riesgos'!$H$37="Muy Alta",'Mapa de Riesgos'!$L$37="Moderado"),CONCATENATE("R",'Mapa de Riesgos'!$A$37),"")</f>
        <v/>
      </c>
      <c r="Y8" s="476"/>
      <c r="Z8" s="476" t="str">
        <f>IF(AND('Mapa de Riesgos'!$H$43="Muy Alta",'Mapa de Riesgos'!$L$43="Moderado"),CONCATENATE("R",'Mapa de Riesgos'!$A$43),"")</f>
        <v/>
      </c>
      <c r="AA8" s="477"/>
      <c r="AB8" s="480" t="str">
        <f>IF(AND('Mapa de Riesgos'!$H$30="Muy Alta",'Mapa de Riesgos'!$L$30="Mayor"),CONCATENATE("R",'Mapa de Riesgos'!$A$30),"")</f>
        <v/>
      </c>
      <c r="AC8" s="476"/>
      <c r="AD8" s="476" t="str">
        <f>IF(AND('Mapa de Riesgos'!$H$37="Muy Alta",'Mapa de Riesgos'!$L$37="Mayor"),CONCATENATE("R",'Mapa de Riesgos'!$A$37),"")</f>
        <v/>
      </c>
      <c r="AE8" s="476"/>
      <c r="AF8" s="476" t="str">
        <f>IF(AND('Mapa de Riesgos'!$H$43="Muy Alta",'Mapa de Riesgos'!$L$43="Mayor"),CONCATENATE("R",'Mapa de Riesgos'!$A$43),"")</f>
        <v/>
      </c>
      <c r="AG8" s="477"/>
      <c r="AH8" s="487" t="str">
        <f>IF(AND('Mapa de Riesgos'!$H$30="Muy Alta",'Mapa de Riesgos'!$L$30="Catastrófico"),CONCATENATE("R",'Mapa de Riesgos'!$A$30),"")</f>
        <v/>
      </c>
      <c r="AI8" s="488"/>
      <c r="AJ8" s="488" t="str">
        <f>IF(AND('Mapa de Riesgos'!$H$37="Muy Alta",'Mapa de Riesgos'!$L$37="Catastrófico"),CONCATENATE("R",'Mapa de Riesgos'!$A$37),"")</f>
        <v/>
      </c>
      <c r="AK8" s="488"/>
      <c r="AL8" s="488" t="str">
        <f>IF(AND('Mapa de Riesgos'!$H$43="Muy Alta",'Mapa de Riesgos'!$L$43="Catastrófico"),CONCATENATE("R",'Mapa de Riesgos'!$A$43),"")</f>
        <v/>
      </c>
      <c r="AM8" s="489"/>
      <c r="AN8" s="83"/>
      <c r="AO8" s="434"/>
      <c r="AP8" s="435"/>
      <c r="AQ8" s="435"/>
      <c r="AR8" s="435"/>
      <c r="AS8" s="435"/>
      <c r="AT8" s="43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29"/>
      <c r="C9" s="429"/>
      <c r="D9" s="430"/>
      <c r="E9" s="470"/>
      <c r="F9" s="471"/>
      <c r="G9" s="471"/>
      <c r="H9" s="471"/>
      <c r="I9" s="472"/>
      <c r="J9" s="480"/>
      <c r="K9" s="476"/>
      <c r="L9" s="476"/>
      <c r="M9" s="476"/>
      <c r="N9" s="476"/>
      <c r="O9" s="477"/>
      <c r="P9" s="480"/>
      <c r="Q9" s="476"/>
      <c r="R9" s="476"/>
      <c r="S9" s="476"/>
      <c r="T9" s="476"/>
      <c r="U9" s="477"/>
      <c r="V9" s="480"/>
      <c r="W9" s="476"/>
      <c r="X9" s="476"/>
      <c r="Y9" s="476"/>
      <c r="Z9" s="476"/>
      <c r="AA9" s="477"/>
      <c r="AB9" s="480"/>
      <c r="AC9" s="476"/>
      <c r="AD9" s="476"/>
      <c r="AE9" s="476"/>
      <c r="AF9" s="476"/>
      <c r="AG9" s="477"/>
      <c r="AH9" s="487"/>
      <c r="AI9" s="488"/>
      <c r="AJ9" s="488"/>
      <c r="AK9" s="488"/>
      <c r="AL9" s="488"/>
      <c r="AM9" s="489"/>
      <c r="AN9" s="83"/>
      <c r="AO9" s="434"/>
      <c r="AP9" s="435"/>
      <c r="AQ9" s="435"/>
      <c r="AR9" s="435"/>
      <c r="AS9" s="435"/>
      <c r="AT9" s="43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29"/>
      <c r="C10" s="429"/>
      <c r="D10" s="430"/>
      <c r="E10" s="470"/>
      <c r="F10" s="471"/>
      <c r="G10" s="471"/>
      <c r="H10" s="471"/>
      <c r="I10" s="472"/>
      <c r="J10" s="480" t="str">
        <f>IF(AND('Mapa de Riesgos'!$H$49="Muy Alta",'Mapa de Riesgos'!$L$49="Leve"),CONCATENATE("R",'Mapa de Riesgos'!$A$49),"")</f>
        <v/>
      </c>
      <c r="K10" s="476"/>
      <c r="L10" s="476" t="str">
        <f>IF(AND('Mapa de Riesgos'!$H$55="Muy Alta",'Mapa de Riesgos'!$L$55="Leve"),CONCATENATE("R",'Mapa de Riesgos'!$A$55),"")</f>
        <v/>
      </c>
      <c r="M10" s="476"/>
      <c r="N10" s="476" t="str">
        <f>IF(AND('Mapa de Riesgos'!$H$61="Muy Alta",'Mapa de Riesgos'!$L$61="Leve"),CONCATENATE("R",'Mapa de Riesgos'!$A$61),"")</f>
        <v/>
      </c>
      <c r="O10" s="477"/>
      <c r="P10" s="480" t="str">
        <f>IF(AND('Mapa de Riesgos'!$H$49="Muy Alta",'Mapa de Riesgos'!$L$49="Menor"),CONCATENATE("R",'Mapa de Riesgos'!$A$49),"")</f>
        <v/>
      </c>
      <c r="Q10" s="476"/>
      <c r="R10" s="476" t="str">
        <f>IF(AND('Mapa de Riesgos'!$H$55="Muy Alta",'Mapa de Riesgos'!$L$55="Menor"),CONCATENATE("R",'Mapa de Riesgos'!$A$55),"")</f>
        <v/>
      </c>
      <c r="S10" s="476"/>
      <c r="T10" s="476" t="str">
        <f>IF(AND('Mapa de Riesgos'!$H$61="Muy Alta",'Mapa de Riesgos'!$L$61="Menor"),CONCATENATE("R",'Mapa de Riesgos'!$A$61),"")</f>
        <v/>
      </c>
      <c r="U10" s="477"/>
      <c r="V10" s="480" t="str">
        <f>IF(AND('Mapa de Riesgos'!$H$49="Muy Alta",'Mapa de Riesgos'!$L$49="Moderado"),CONCATENATE("R",'Mapa de Riesgos'!$A$49),"")</f>
        <v/>
      </c>
      <c r="W10" s="476"/>
      <c r="X10" s="476" t="str">
        <f>IF(AND('Mapa de Riesgos'!$H$55="Muy Alta",'Mapa de Riesgos'!$L$55="Moderado"),CONCATENATE("R",'Mapa de Riesgos'!$A$55),"")</f>
        <v/>
      </c>
      <c r="Y10" s="476"/>
      <c r="Z10" s="476" t="str">
        <f>IF(AND('Mapa de Riesgos'!$H$61="Muy Alta",'Mapa de Riesgos'!$L$61="Moderado"),CONCATENATE("R",'Mapa de Riesgos'!$A$61),"")</f>
        <v/>
      </c>
      <c r="AA10" s="477"/>
      <c r="AB10" s="480" t="str">
        <f>IF(AND('Mapa de Riesgos'!$H$49="Muy Alta",'Mapa de Riesgos'!$L$49="Mayor"),CONCATENATE("R",'Mapa de Riesgos'!$A$49),"")</f>
        <v/>
      </c>
      <c r="AC10" s="476"/>
      <c r="AD10" s="476" t="str">
        <f>IF(AND('Mapa de Riesgos'!$H$55="Muy Alta",'Mapa de Riesgos'!$L$55="Mayor"),CONCATENATE("R",'Mapa de Riesgos'!$A$55),"")</f>
        <v/>
      </c>
      <c r="AE10" s="476"/>
      <c r="AF10" s="476" t="str">
        <f>IF(AND('Mapa de Riesgos'!$H$61="Muy Alta",'Mapa de Riesgos'!$L$61="Mayor"),CONCATENATE("R",'Mapa de Riesgos'!$A$61),"")</f>
        <v/>
      </c>
      <c r="AG10" s="477"/>
      <c r="AH10" s="487" t="str">
        <f>IF(AND('Mapa de Riesgos'!$H$49="Muy Alta",'Mapa de Riesgos'!$L$49="Catastrófico"),CONCATENATE("R",'Mapa de Riesgos'!$A$49),"")</f>
        <v/>
      </c>
      <c r="AI10" s="488"/>
      <c r="AJ10" s="488" t="str">
        <f>IF(AND('Mapa de Riesgos'!$H$55="Muy Alta",'Mapa de Riesgos'!$L$55="Catastrófico"),CONCATENATE("R",'Mapa de Riesgos'!$A$55),"")</f>
        <v/>
      </c>
      <c r="AK10" s="488"/>
      <c r="AL10" s="488" t="str">
        <f>IF(AND('Mapa de Riesgos'!$H$61="Muy Alta",'Mapa de Riesgos'!$L$61="Catastrófico"),CONCATENATE("R",'Mapa de Riesgos'!$A$61),"")</f>
        <v/>
      </c>
      <c r="AM10" s="489"/>
      <c r="AN10" s="83"/>
      <c r="AO10" s="434"/>
      <c r="AP10" s="435"/>
      <c r="AQ10" s="435"/>
      <c r="AR10" s="435"/>
      <c r="AS10" s="435"/>
      <c r="AT10" s="43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29"/>
      <c r="C11" s="429"/>
      <c r="D11" s="430"/>
      <c r="E11" s="470"/>
      <c r="F11" s="471"/>
      <c r="G11" s="471"/>
      <c r="H11" s="471"/>
      <c r="I11" s="472"/>
      <c r="J11" s="480"/>
      <c r="K11" s="476"/>
      <c r="L11" s="476"/>
      <c r="M11" s="476"/>
      <c r="N11" s="476"/>
      <c r="O11" s="477"/>
      <c r="P11" s="480"/>
      <c r="Q11" s="476"/>
      <c r="R11" s="476"/>
      <c r="S11" s="476"/>
      <c r="T11" s="476"/>
      <c r="U11" s="477"/>
      <c r="V11" s="480"/>
      <c r="W11" s="476"/>
      <c r="X11" s="476"/>
      <c r="Y11" s="476"/>
      <c r="Z11" s="476"/>
      <c r="AA11" s="477"/>
      <c r="AB11" s="480"/>
      <c r="AC11" s="476"/>
      <c r="AD11" s="476"/>
      <c r="AE11" s="476"/>
      <c r="AF11" s="476"/>
      <c r="AG11" s="477"/>
      <c r="AH11" s="487"/>
      <c r="AI11" s="488"/>
      <c r="AJ11" s="488"/>
      <c r="AK11" s="488"/>
      <c r="AL11" s="488"/>
      <c r="AM11" s="489"/>
      <c r="AN11" s="83"/>
      <c r="AO11" s="434"/>
      <c r="AP11" s="435"/>
      <c r="AQ11" s="435"/>
      <c r="AR11" s="435"/>
      <c r="AS11" s="435"/>
      <c r="AT11" s="43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29"/>
      <c r="C12" s="429"/>
      <c r="D12" s="430"/>
      <c r="E12" s="470"/>
      <c r="F12" s="471"/>
      <c r="G12" s="471"/>
      <c r="H12" s="471"/>
      <c r="I12" s="472"/>
      <c r="J12" s="480" t="str">
        <f>IF(AND('Mapa de Riesgos'!$H$67="Muy Alta",'Mapa de Riesgos'!$L$67="Leve"),CONCATENATE("R",'Mapa de Riesgos'!$A$67),"")</f>
        <v/>
      </c>
      <c r="K12" s="476"/>
      <c r="L12" s="476" t="str">
        <f>IF(AND('Mapa de Riesgos'!$H$73="Muy Alta",'Mapa de Riesgos'!$L$73="Leve"),CONCATENATE("R",'Mapa de Riesgos'!#REF!),"")</f>
        <v/>
      </c>
      <c r="M12" s="476"/>
      <c r="N12" s="476" t="str">
        <f>IF(AND('Mapa de Riesgos'!$H$79="Muy Alta",'Mapa de Riesgos'!$L$79="Leve"),CONCATENATE("R",'Mapa de Riesgos'!$A$79),"")</f>
        <v/>
      </c>
      <c r="O12" s="477"/>
      <c r="P12" s="480" t="str">
        <f>IF(AND('Mapa de Riesgos'!$H$67="Muy Alta",'Mapa de Riesgos'!$L$67="Menor"),CONCATENATE("R",'Mapa de Riesgos'!$A$67),"")</f>
        <v/>
      </c>
      <c r="Q12" s="476"/>
      <c r="R12" s="476" t="str">
        <f>IF(AND('Mapa de Riesgos'!$H$73="Muy Alta",'Mapa de Riesgos'!$L$73="Menor"),CONCATENATE("R",'Mapa de Riesgos'!#REF!),"")</f>
        <v/>
      </c>
      <c r="S12" s="476"/>
      <c r="T12" s="476" t="str">
        <f>IF(AND('Mapa de Riesgos'!$H$79="Muy Alta",'Mapa de Riesgos'!$L$79="Menor"),CONCATENATE("R",'Mapa de Riesgos'!$A$79),"")</f>
        <v/>
      </c>
      <c r="U12" s="477"/>
      <c r="V12" s="480" t="str">
        <f>IF(AND('Mapa de Riesgos'!$H$67="Muy Alta",'Mapa de Riesgos'!$L$67="Moderado"),CONCATENATE("R",'Mapa de Riesgos'!$A$67),"")</f>
        <v/>
      </c>
      <c r="W12" s="476"/>
      <c r="X12" s="476" t="str">
        <f>IF(AND('Mapa de Riesgos'!$H$73="Muy Alta",'Mapa de Riesgos'!$L$73="Moderado"),CONCATENATE("R",'Mapa de Riesgos'!#REF!),"")</f>
        <v/>
      </c>
      <c r="Y12" s="476"/>
      <c r="Z12" s="476" t="str">
        <f>IF(AND('Mapa de Riesgos'!$H$79="Muy Alta",'Mapa de Riesgos'!$L$79="Moderado"),CONCATENATE("R",'Mapa de Riesgos'!$A$79),"")</f>
        <v/>
      </c>
      <c r="AA12" s="477"/>
      <c r="AB12" s="480" t="str">
        <f>IF(AND('Mapa de Riesgos'!$H$67="Muy Alta",'Mapa de Riesgos'!$L$67="Mayor"),CONCATENATE("R",'Mapa de Riesgos'!$A$67),"")</f>
        <v/>
      </c>
      <c r="AC12" s="476"/>
      <c r="AD12" s="476" t="str">
        <f>IF(AND('Mapa de Riesgos'!$H$73="Muy Alta",'Mapa de Riesgos'!$L$73="Mayor"),CONCATENATE("R",'Mapa de Riesgos'!#REF!),"")</f>
        <v/>
      </c>
      <c r="AE12" s="476"/>
      <c r="AF12" s="476" t="str">
        <f>IF(AND('Mapa de Riesgos'!$H$79="Muy Alta",'Mapa de Riesgos'!$L$79="Mayor"),CONCATENATE("R",'Mapa de Riesgos'!$A$79),"")</f>
        <v/>
      </c>
      <c r="AG12" s="477"/>
      <c r="AH12" s="487" t="str">
        <f>IF(AND('Mapa de Riesgos'!$H$67="Muy Alta",'Mapa de Riesgos'!$L$67="Catastrófico"),CONCATENATE("R",'Mapa de Riesgos'!$A$67),"")</f>
        <v/>
      </c>
      <c r="AI12" s="488"/>
      <c r="AJ12" s="488" t="str">
        <f>IF(AND('Mapa de Riesgos'!$H$73="Muy Alta",'Mapa de Riesgos'!$L$73="Catastrófico"),CONCATENATE("R",'Mapa de Riesgos'!#REF!),"")</f>
        <v/>
      </c>
      <c r="AK12" s="488"/>
      <c r="AL12" s="488" t="str">
        <f>IF(AND('Mapa de Riesgos'!$H$79="Muy Alta",'Mapa de Riesgos'!$L$79="Catastrófico"),CONCATENATE("R",'Mapa de Riesgos'!$A$79),"")</f>
        <v/>
      </c>
      <c r="AM12" s="489"/>
      <c r="AN12" s="83"/>
      <c r="AO12" s="434"/>
      <c r="AP12" s="435"/>
      <c r="AQ12" s="435"/>
      <c r="AR12" s="435"/>
      <c r="AS12" s="435"/>
      <c r="AT12" s="43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29"/>
      <c r="C13" s="429"/>
      <c r="D13" s="430"/>
      <c r="E13" s="473"/>
      <c r="F13" s="474"/>
      <c r="G13" s="474"/>
      <c r="H13" s="474"/>
      <c r="I13" s="475"/>
      <c r="J13" s="480"/>
      <c r="K13" s="476"/>
      <c r="L13" s="476"/>
      <c r="M13" s="476"/>
      <c r="N13" s="476"/>
      <c r="O13" s="477"/>
      <c r="P13" s="480"/>
      <c r="Q13" s="476"/>
      <c r="R13" s="476"/>
      <c r="S13" s="476"/>
      <c r="T13" s="476"/>
      <c r="U13" s="477"/>
      <c r="V13" s="480"/>
      <c r="W13" s="476"/>
      <c r="X13" s="476"/>
      <c r="Y13" s="476"/>
      <c r="Z13" s="476"/>
      <c r="AA13" s="477"/>
      <c r="AB13" s="480"/>
      <c r="AC13" s="476"/>
      <c r="AD13" s="476"/>
      <c r="AE13" s="476"/>
      <c r="AF13" s="476"/>
      <c r="AG13" s="477"/>
      <c r="AH13" s="490"/>
      <c r="AI13" s="491"/>
      <c r="AJ13" s="491"/>
      <c r="AK13" s="491"/>
      <c r="AL13" s="491"/>
      <c r="AM13" s="492"/>
      <c r="AN13" s="83"/>
      <c r="AO13" s="437"/>
      <c r="AP13" s="438"/>
      <c r="AQ13" s="438"/>
      <c r="AR13" s="438"/>
      <c r="AS13" s="438"/>
      <c r="AT13" s="43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29"/>
      <c r="C14" s="429"/>
      <c r="D14" s="430"/>
      <c r="E14" s="467" t="s">
        <v>210</v>
      </c>
      <c r="F14" s="468"/>
      <c r="G14" s="468"/>
      <c r="H14" s="468"/>
      <c r="I14" s="468"/>
      <c r="J14" s="502" t="str">
        <f>IF(AND('Mapa de Riesgos'!$H$12="Alta",'Mapa de Riesgos'!$L$12="Leve"),CONCATENATE("R",'Mapa de Riesgos'!$A$12),"")</f>
        <v/>
      </c>
      <c r="K14" s="503"/>
      <c r="L14" s="503" t="str">
        <f>IF(AND('Mapa de Riesgos'!$H$18="Alta",'Mapa de Riesgos'!$L$18="Leve"),CONCATENATE("R",'Mapa de Riesgos'!$A$18),"")</f>
        <v/>
      </c>
      <c r="M14" s="503"/>
      <c r="N14" s="503" t="str">
        <f>IF(AND('Mapa de Riesgos'!$H$24="Alta",'Mapa de Riesgos'!$L$24="Leve"),CONCATENATE("R",'Mapa de Riesgos'!$A$24),"")</f>
        <v/>
      </c>
      <c r="O14" s="504"/>
      <c r="P14" s="502" t="str">
        <f>IF(AND('Mapa de Riesgos'!$H$12="Alta",'Mapa de Riesgos'!$L$12="Menor"),CONCATENATE("R",'Mapa de Riesgos'!$A$12),"")</f>
        <v/>
      </c>
      <c r="Q14" s="503"/>
      <c r="R14" s="503" t="str">
        <f>IF(AND('Mapa de Riesgos'!$H$18="Alta",'Mapa de Riesgos'!$L$18="Menor"),CONCATENATE("R",'Mapa de Riesgos'!$A$18),"")</f>
        <v/>
      </c>
      <c r="S14" s="503"/>
      <c r="T14" s="503" t="str">
        <f>IF(AND('Mapa de Riesgos'!$H$24="Alta",'Mapa de Riesgos'!$L$24="Menor"),CONCATENATE("R",'Mapa de Riesgos'!$A$24),"")</f>
        <v/>
      </c>
      <c r="U14" s="504"/>
      <c r="V14" s="478" t="str">
        <f>IF(AND('Mapa de Riesgos'!$H$12="Alta",'Mapa de Riesgos'!$L$12="Moderado"),CONCATENATE("R",'Mapa de Riesgos'!$A$12),"")</f>
        <v/>
      </c>
      <c r="W14" s="479"/>
      <c r="X14" s="479" t="str">
        <f>IF(AND('Mapa de Riesgos'!$H$18="Alta",'Mapa de Riesgos'!$L$18="Moderado"),CONCATENATE("R",'Mapa de Riesgos'!$A$18),"")</f>
        <v/>
      </c>
      <c r="Y14" s="479"/>
      <c r="Z14" s="479" t="str">
        <f>IF(AND('Mapa de Riesgos'!$H$24="Alta",'Mapa de Riesgos'!$L$24="Moderado"),CONCATENATE("R",'Mapa de Riesgos'!$A$24),"")</f>
        <v/>
      </c>
      <c r="AA14" s="481"/>
      <c r="AB14" s="478" t="str">
        <f>IF(AND('Mapa de Riesgos'!$H$12="Alta",'Mapa de Riesgos'!$L$12="Mayor"),CONCATENATE("R",'Mapa de Riesgos'!$A$12),"")</f>
        <v/>
      </c>
      <c r="AC14" s="479"/>
      <c r="AD14" s="479" t="str">
        <f>IF(AND('Mapa de Riesgos'!$H$18="Alta",'Mapa de Riesgos'!$L$18="Mayor"),CONCATENATE("R",'Mapa de Riesgos'!$A$18),"")</f>
        <v/>
      </c>
      <c r="AE14" s="479"/>
      <c r="AF14" s="479" t="str">
        <f>IF(AND('Mapa de Riesgos'!$H$24="Alta",'Mapa de Riesgos'!$L$24="Mayor"),CONCATENATE("R",'Mapa de Riesgos'!$A$24),"")</f>
        <v/>
      </c>
      <c r="AG14" s="481"/>
      <c r="AH14" s="493" t="str">
        <f>IF(AND('Mapa de Riesgos'!$H$12="Alta",'Mapa de Riesgos'!$L$12="Catastrófico"),CONCATENATE("R",'Mapa de Riesgos'!$A$12),"")</f>
        <v/>
      </c>
      <c r="AI14" s="494"/>
      <c r="AJ14" s="494" t="str">
        <f>IF(AND('Mapa de Riesgos'!$H$18="Alta",'Mapa de Riesgos'!$L$18="Catastrófico"),CONCATENATE("R",'Mapa de Riesgos'!$A$18),"")</f>
        <v/>
      </c>
      <c r="AK14" s="494"/>
      <c r="AL14" s="494" t="str">
        <f>IF(AND('Mapa de Riesgos'!$H$24="Alta",'Mapa de Riesgos'!$L$24="Catastrófico"),CONCATENATE("R",'Mapa de Riesgos'!$A$24),"")</f>
        <v/>
      </c>
      <c r="AM14" s="495"/>
      <c r="AN14" s="83"/>
      <c r="AO14" s="440" t="s">
        <v>211</v>
      </c>
      <c r="AP14" s="441"/>
      <c r="AQ14" s="441"/>
      <c r="AR14" s="441"/>
      <c r="AS14" s="441"/>
      <c r="AT14" s="44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29"/>
      <c r="C15" s="429"/>
      <c r="D15" s="430"/>
      <c r="E15" s="470"/>
      <c r="F15" s="471"/>
      <c r="G15" s="471"/>
      <c r="H15" s="471"/>
      <c r="I15" s="471"/>
      <c r="J15" s="496"/>
      <c r="K15" s="497"/>
      <c r="L15" s="497"/>
      <c r="M15" s="497"/>
      <c r="N15" s="497"/>
      <c r="O15" s="498"/>
      <c r="P15" s="496"/>
      <c r="Q15" s="497"/>
      <c r="R15" s="497"/>
      <c r="S15" s="497"/>
      <c r="T15" s="497"/>
      <c r="U15" s="498"/>
      <c r="V15" s="480"/>
      <c r="W15" s="476"/>
      <c r="X15" s="476"/>
      <c r="Y15" s="476"/>
      <c r="Z15" s="476"/>
      <c r="AA15" s="477"/>
      <c r="AB15" s="480"/>
      <c r="AC15" s="476"/>
      <c r="AD15" s="476"/>
      <c r="AE15" s="476"/>
      <c r="AF15" s="476"/>
      <c r="AG15" s="477"/>
      <c r="AH15" s="487"/>
      <c r="AI15" s="488"/>
      <c r="AJ15" s="488"/>
      <c r="AK15" s="488"/>
      <c r="AL15" s="488"/>
      <c r="AM15" s="489"/>
      <c r="AN15" s="83"/>
      <c r="AO15" s="443"/>
      <c r="AP15" s="444"/>
      <c r="AQ15" s="444"/>
      <c r="AR15" s="444"/>
      <c r="AS15" s="444"/>
      <c r="AT15" s="44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29"/>
      <c r="C16" s="429"/>
      <c r="D16" s="430"/>
      <c r="E16" s="470"/>
      <c r="F16" s="471"/>
      <c r="G16" s="471"/>
      <c r="H16" s="471"/>
      <c r="I16" s="471"/>
      <c r="J16" s="496" t="str">
        <f>IF(AND('Mapa de Riesgos'!$H$30="Alta",'Mapa de Riesgos'!$L$30="Leve"),CONCATENATE("R",'Mapa de Riesgos'!$A$30),"")</f>
        <v/>
      </c>
      <c r="K16" s="497"/>
      <c r="L16" s="497" t="str">
        <f>IF(AND('Mapa de Riesgos'!$H$37="Alta",'Mapa de Riesgos'!$L$37="Leve"),CONCATENATE("R",'Mapa de Riesgos'!$A$37),"")</f>
        <v/>
      </c>
      <c r="M16" s="497"/>
      <c r="N16" s="497" t="str">
        <f>IF(AND('Mapa de Riesgos'!$H$43="Alta",'Mapa de Riesgos'!$L$43="Leve"),CONCATENATE("R",'Mapa de Riesgos'!$A$43),"")</f>
        <v/>
      </c>
      <c r="O16" s="498"/>
      <c r="P16" s="496" t="str">
        <f>IF(AND('Mapa de Riesgos'!$H$30="Alta",'Mapa de Riesgos'!$L$30="Menor"),CONCATENATE("R",'Mapa de Riesgos'!$A$30),"")</f>
        <v/>
      </c>
      <c r="Q16" s="497"/>
      <c r="R16" s="497" t="str">
        <f>IF(AND('Mapa de Riesgos'!$H$37="Alta",'Mapa de Riesgos'!$L$37="Menor"),CONCATENATE("R",'Mapa de Riesgos'!$A$37),"")</f>
        <v/>
      </c>
      <c r="S16" s="497"/>
      <c r="T16" s="497" t="str">
        <f>IF(AND('Mapa de Riesgos'!$H$43="Alta",'Mapa de Riesgos'!$L$43="Menor"),CONCATENATE("R",'Mapa de Riesgos'!$A$43),"")</f>
        <v/>
      </c>
      <c r="U16" s="498"/>
      <c r="V16" s="480" t="str">
        <f>IF(AND('Mapa de Riesgos'!$H$30="Alta",'Mapa de Riesgos'!$L$30="Moderado"),CONCATENATE("R",'Mapa de Riesgos'!$A$30),"")</f>
        <v/>
      </c>
      <c r="W16" s="476"/>
      <c r="X16" s="476" t="str">
        <f>IF(AND('Mapa de Riesgos'!$H$37="Alta",'Mapa de Riesgos'!$L$37="Moderado"),CONCATENATE("R",'Mapa de Riesgos'!$A$37),"")</f>
        <v/>
      </c>
      <c r="Y16" s="476"/>
      <c r="Z16" s="476" t="str">
        <f>IF(AND('Mapa de Riesgos'!$H$43="Alta",'Mapa de Riesgos'!$L$43="Moderado"),CONCATENATE("R",'Mapa de Riesgos'!$A$43),"")</f>
        <v/>
      </c>
      <c r="AA16" s="477"/>
      <c r="AB16" s="480" t="str">
        <f>IF(AND('Mapa de Riesgos'!$H$30="Alta",'Mapa de Riesgos'!$L$30="Mayor"),CONCATENATE("R",'Mapa de Riesgos'!$A$30),"")</f>
        <v/>
      </c>
      <c r="AC16" s="476"/>
      <c r="AD16" s="476" t="str">
        <f>IF(AND('Mapa de Riesgos'!$H$37="Alta",'Mapa de Riesgos'!$L$37="Mayor"),CONCATENATE("R",'Mapa de Riesgos'!$A$37),"")</f>
        <v/>
      </c>
      <c r="AE16" s="476"/>
      <c r="AF16" s="476" t="str">
        <f>IF(AND('Mapa de Riesgos'!$H$43="Alta",'Mapa de Riesgos'!$L$43="Mayor"),CONCATENATE("R",'Mapa de Riesgos'!$A$43),"")</f>
        <v/>
      </c>
      <c r="AG16" s="477"/>
      <c r="AH16" s="487" t="str">
        <f>IF(AND('Mapa de Riesgos'!$H$30="Alta",'Mapa de Riesgos'!$L$30="Catastrófico"),CONCATENATE("R",'Mapa de Riesgos'!$A$30),"")</f>
        <v/>
      </c>
      <c r="AI16" s="488"/>
      <c r="AJ16" s="488" t="str">
        <f>IF(AND('Mapa de Riesgos'!$H$37="Alta",'Mapa de Riesgos'!$L$37="Catastrófico"),CONCATENATE("R",'Mapa de Riesgos'!$A$37),"")</f>
        <v/>
      </c>
      <c r="AK16" s="488"/>
      <c r="AL16" s="488" t="str">
        <f>IF(AND('Mapa de Riesgos'!$H$43="Alta",'Mapa de Riesgos'!$L$43="Catastrófico"),CONCATENATE("R",'Mapa de Riesgos'!$A$43),"")</f>
        <v/>
      </c>
      <c r="AM16" s="489"/>
      <c r="AN16" s="83"/>
      <c r="AO16" s="443"/>
      <c r="AP16" s="444"/>
      <c r="AQ16" s="444"/>
      <c r="AR16" s="444"/>
      <c r="AS16" s="444"/>
      <c r="AT16" s="44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29"/>
      <c r="C17" s="429"/>
      <c r="D17" s="430"/>
      <c r="E17" s="470"/>
      <c r="F17" s="471"/>
      <c r="G17" s="471"/>
      <c r="H17" s="471"/>
      <c r="I17" s="471"/>
      <c r="J17" s="496"/>
      <c r="K17" s="497"/>
      <c r="L17" s="497"/>
      <c r="M17" s="497"/>
      <c r="N17" s="497"/>
      <c r="O17" s="498"/>
      <c r="P17" s="496"/>
      <c r="Q17" s="497"/>
      <c r="R17" s="497"/>
      <c r="S17" s="497"/>
      <c r="T17" s="497"/>
      <c r="U17" s="498"/>
      <c r="V17" s="480"/>
      <c r="W17" s="476"/>
      <c r="X17" s="476"/>
      <c r="Y17" s="476"/>
      <c r="Z17" s="476"/>
      <c r="AA17" s="477"/>
      <c r="AB17" s="480"/>
      <c r="AC17" s="476"/>
      <c r="AD17" s="476"/>
      <c r="AE17" s="476"/>
      <c r="AF17" s="476"/>
      <c r="AG17" s="477"/>
      <c r="AH17" s="487"/>
      <c r="AI17" s="488"/>
      <c r="AJ17" s="488"/>
      <c r="AK17" s="488"/>
      <c r="AL17" s="488"/>
      <c r="AM17" s="489"/>
      <c r="AN17" s="83"/>
      <c r="AO17" s="443"/>
      <c r="AP17" s="444"/>
      <c r="AQ17" s="444"/>
      <c r="AR17" s="444"/>
      <c r="AS17" s="444"/>
      <c r="AT17" s="44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29"/>
      <c r="C18" s="429"/>
      <c r="D18" s="430"/>
      <c r="E18" s="470"/>
      <c r="F18" s="471"/>
      <c r="G18" s="471"/>
      <c r="H18" s="471"/>
      <c r="I18" s="471"/>
      <c r="J18" s="496" t="str">
        <f>IF(AND('Mapa de Riesgos'!$H$49="Alta",'Mapa de Riesgos'!$L$49="Leve"),CONCATENATE("R",'Mapa de Riesgos'!$A$49),"")</f>
        <v/>
      </c>
      <c r="K18" s="497"/>
      <c r="L18" s="497" t="str">
        <f>IF(AND('Mapa de Riesgos'!$H$55="Alta",'Mapa de Riesgos'!$L$55="Leve"),CONCATENATE("R",'Mapa de Riesgos'!$A$55),"")</f>
        <v/>
      </c>
      <c r="M18" s="497"/>
      <c r="N18" s="497" t="str">
        <f>IF(AND('Mapa de Riesgos'!$H$61="Alta",'Mapa de Riesgos'!$L$61="Leve"),CONCATENATE("R",'Mapa de Riesgos'!$A$61),"")</f>
        <v/>
      </c>
      <c r="O18" s="498"/>
      <c r="P18" s="496" t="str">
        <f>IF(AND('Mapa de Riesgos'!$H$49="Alta",'Mapa de Riesgos'!$L$49="Menor"),CONCATENATE("R",'Mapa de Riesgos'!$A$49),"")</f>
        <v/>
      </c>
      <c r="Q18" s="497"/>
      <c r="R18" s="497" t="str">
        <f>IF(AND('Mapa de Riesgos'!$H$55="Alta",'Mapa de Riesgos'!$L$55="Menor"),CONCATENATE("R",'Mapa de Riesgos'!$A$55),"")</f>
        <v/>
      </c>
      <c r="S18" s="497"/>
      <c r="T18" s="497" t="str">
        <f>IF(AND('Mapa de Riesgos'!$H$61="Alta",'Mapa de Riesgos'!$L$61="Menor"),CONCATENATE("R",'Mapa de Riesgos'!$A$61),"")</f>
        <v/>
      </c>
      <c r="U18" s="498"/>
      <c r="V18" s="480" t="str">
        <f>IF(AND('Mapa de Riesgos'!$H$49="Alta",'Mapa de Riesgos'!$L$49="Moderado"),CONCATENATE("R",'Mapa de Riesgos'!$A$49),"")</f>
        <v/>
      </c>
      <c r="W18" s="476"/>
      <c r="X18" s="476" t="str">
        <f>IF(AND('Mapa de Riesgos'!$H$55="Alta",'Mapa de Riesgos'!$L$55="Moderado"),CONCATENATE("R",'Mapa de Riesgos'!$A$55),"")</f>
        <v/>
      </c>
      <c r="Y18" s="476"/>
      <c r="Z18" s="476" t="str">
        <f>IF(AND('Mapa de Riesgos'!$H$61="Alta",'Mapa de Riesgos'!$L$61="Moderado"),CONCATENATE("R",'Mapa de Riesgos'!$A$61),"")</f>
        <v/>
      </c>
      <c r="AA18" s="477"/>
      <c r="AB18" s="480" t="str">
        <f>IF(AND('Mapa de Riesgos'!$H$49="Alta",'Mapa de Riesgos'!$L$49="Mayor"),CONCATENATE("R",'Mapa de Riesgos'!$A$49),"")</f>
        <v/>
      </c>
      <c r="AC18" s="476"/>
      <c r="AD18" s="476" t="str">
        <f>IF(AND('Mapa de Riesgos'!$H$55="Alta",'Mapa de Riesgos'!$L$55="Mayor"),CONCATENATE("R",'Mapa de Riesgos'!$A$55),"")</f>
        <v/>
      </c>
      <c r="AE18" s="476"/>
      <c r="AF18" s="476" t="str">
        <f>IF(AND('Mapa de Riesgos'!$H$61="Alta",'Mapa de Riesgos'!$L$61="Mayor"),CONCATENATE("R",'Mapa de Riesgos'!$A$61),"")</f>
        <v/>
      </c>
      <c r="AG18" s="477"/>
      <c r="AH18" s="487" t="str">
        <f>IF(AND('Mapa de Riesgos'!$H$49="Alta",'Mapa de Riesgos'!$L$49="Catastrófico"),CONCATENATE("R",'Mapa de Riesgos'!$A$49),"")</f>
        <v/>
      </c>
      <c r="AI18" s="488"/>
      <c r="AJ18" s="488" t="str">
        <f>IF(AND('Mapa de Riesgos'!$H$55="Alta",'Mapa de Riesgos'!$L$55="Catastrófico"),CONCATENATE("R",'Mapa de Riesgos'!$A$55),"")</f>
        <v/>
      </c>
      <c r="AK18" s="488"/>
      <c r="AL18" s="488" t="str">
        <f>IF(AND('Mapa de Riesgos'!$H$61="Alta",'Mapa de Riesgos'!$L$61="Catastrófico"),CONCATENATE("R",'Mapa de Riesgos'!$A$61),"")</f>
        <v/>
      </c>
      <c r="AM18" s="489"/>
      <c r="AN18" s="83"/>
      <c r="AO18" s="443"/>
      <c r="AP18" s="444"/>
      <c r="AQ18" s="444"/>
      <c r="AR18" s="444"/>
      <c r="AS18" s="444"/>
      <c r="AT18" s="44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29"/>
      <c r="C19" s="429"/>
      <c r="D19" s="430"/>
      <c r="E19" s="470"/>
      <c r="F19" s="471"/>
      <c r="G19" s="471"/>
      <c r="H19" s="471"/>
      <c r="I19" s="471"/>
      <c r="J19" s="496"/>
      <c r="K19" s="497"/>
      <c r="L19" s="497"/>
      <c r="M19" s="497"/>
      <c r="N19" s="497"/>
      <c r="O19" s="498"/>
      <c r="P19" s="496"/>
      <c r="Q19" s="497"/>
      <c r="R19" s="497"/>
      <c r="S19" s="497"/>
      <c r="T19" s="497"/>
      <c r="U19" s="498"/>
      <c r="V19" s="480"/>
      <c r="W19" s="476"/>
      <c r="X19" s="476"/>
      <c r="Y19" s="476"/>
      <c r="Z19" s="476"/>
      <c r="AA19" s="477"/>
      <c r="AB19" s="480"/>
      <c r="AC19" s="476"/>
      <c r="AD19" s="476"/>
      <c r="AE19" s="476"/>
      <c r="AF19" s="476"/>
      <c r="AG19" s="477"/>
      <c r="AH19" s="487"/>
      <c r="AI19" s="488"/>
      <c r="AJ19" s="488"/>
      <c r="AK19" s="488"/>
      <c r="AL19" s="488"/>
      <c r="AM19" s="489"/>
      <c r="AN19" s="83"/>
      <c r="AO19" s="443"/>
      <c r="AP19" s="444"/>
      <c r="AQ19" s="444"/>
      <c r="AR19" s="444"/>
      <c r="AS19" s="444"/>
      <c r="AT19" s="44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29"/>
      <c r="C20" s="429"/>
      <c r="D20" s="430"/>
      <c r="E20" s="470"/>
      <c r="F20" s="471"/>
      <c r="G20" s="471"/>
      <c r="H20" s="471"/>
      <c r="I20" s="471"/>
      <c r="J20" s="496" t="str">
        <f>IF(AND('Mapa de Riesgos'!$H$67="Alta",'Mapa de Riesgos'!$L$67="Leve"),CONCATENATE("R",'Mapa de Riesgos'!$A$67),"")</f>
        <v/>
      </c>
      <c r="K20" s="497"/>
      <c r="L20" s="497" t="str">
        <f>IF(AND('Mapa de Riesgos'!$H$73="Alta",'Mapa de Riesgos'!$L$73="Leve"),CONCATENATE("R",'Mapa de Riesgos'!#REF!),"")</f>
        <v/>
      </c>
      <c r="M20" s="497"/>
      <c r="N20" s="497" t="str">
        <f>IF(AND('Mapa de Riesgos'!$H$79="Alta",'Mapa de Riesgos'!$L$79="Leve"),CONCATENATE("R",'Mapa de Riesgos'!$A$79),"")</f>
        <v/>
      </c>
      <c r="O20" s="498"/>
      <c r="P20" s="496" t="str">
        <f>IF(AND('Mapa de Riesgos'!$H$67="Alta",'Mapa de Riesgos'!$L$67="Menor"),CONCATENATE("R",'Mapa de Riesgos'!$A$67),"")</f>
        <v/>
      </c>
      <c r="Q20" s="497"/>
      <c r="R20" s="497" t="str">
        <f>IF(AND('Mapa de Riesgos'!$H$73="Alta",'Mapa de Riesgos'!$L$73="Menor"),CONCATENATE("R",'Mapa de Riesgos'!#REF!),"")</f>
        <v/>
      </c>
      <c r="S20" s="497"/>
      <c r="T20" s="497" t="str">
        <f>IF(AND('Mapa de Riesgos'!$H$79="Alta",'Mapa de Riesgos'!$L$79="Menor"),CONCATENATE("R",'Mapa de Riesgos'!$A$79),"")</f>
        <v/>
      </c>
      <c r="U20" s="498"/>
      <c r="V20" s="480" t="str">
        <f>IF(AND('Mapa de Riesgos'!$H$67="Alta",'Mapa de Riesgos'!$L$67="Moderado"),CONCATENATE("R",'Mapa de Riesgos'!$A$67),"")</f>
        <v/>
      </c>
      <c r="W20" s="476"/>
      <c r="X20" s="476" t="str">
        <f>IF(AND('Mapa de Riesgos'!$H$73="Alta",'Mapa de Riesgos'!$L$73="Moderado"),CONCATENATE("R",'Mapa de Riesgos'!#REF!),"")</f>
        <v/>
      </c>
      <c r="Y20" s="476"/>
      <c r="Z20" s="476" t="str">
        <f>IF(AND('Mapa de Riesgos'!$H$79="Alta",'Mapa de Riesgos'!$L$79="Moderado"),CONCATENATE("R",'Mapa de Riesgos'!$A$79),"")</f>
        <v/>
      </c>
      <c r="AA20" s="477"/>
      <c r="AB20" s="480" t="str">
        <f>IF(AND('Mapa de Riesgos'!$H$67="Alta",'Mapa de Riesgos'!$L$67="Mayor"),CONCATENATE("R",'Mapa de Riesgos'!$A$67),"")</f>
        <v/>
      </c>
      <c r="AC20" s="476"/>
      <c r="AD20" s="476" t="str">
        <f>IF(AND('Mapa de Riesgos'!$H$73="Alta",'Mapa de Riesgos'!$L$73="Mayor"),CONCATENATE("R",'Mapa de Riesgos'!#REF!),"")</f>
        <v/>
      </c>
      <c r="AE20" s="476"/>
      <c r="AF20" s="476" t="str">
        <f>IF(AND('Mapa de Riesgos'!$H$79="Alta",'Mapa de Riesgos'!$L$79="Mayor"),CONCATENATE("R",'Mapa de Riesgos'!$A$79),"")</f>
        <v/>
      </c>
      <c r="AG20" s="477"/>
      <c r="AH20" s="487" t="str">
        <f>IF(AND('Mapa de Riesgos'!$H$67="Alta",'Mapa de Riesgos'!$L$67="Catastrófico"),CONCATENATE("R",'Mapa de Riesgos'!$A$67),"")</f>
        <v/>
      </c>
      <c r="AI20" s="488"/>
      <c r="AJ20" s="488" t="str">
        <f>IF(AND('Mapa de Riesgos'!$H$73="Alta",'Mapa de Riesgos'!$L$73="Catastrófico"),CONCATENATE("R",'Mapa de Riesgos'!#REF!),"")</f>
        <v/>
      </c>
      <c r="AK20" s="488"/>
      <c r="AL20" s="488" t="str">
        <f>IF(AND('Mapa de Riesgos'!$H$79="Alta",'Mapa de Riesgos'!$L$79="Catastrófico"),CONCATENATE("R",'Mapa de Riesgos'!$A$79),"")</f>
        <v/>
      </c>
      <c r="AM20" s="489"/>
      <c r="AN20" s="83"/>
      <c r="AO20" s="443"/>
      <c r="AP20" s="444"/>
      <c r="AQ20" s="444"/>
      <c r="AR20" s="444"/>
      <c r="AS20" s="444"/>
      <c r="AT20" s="44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29"/>
      <c r="C21" s="429"/>
      <c r="D21" s="430"/>
      <c r="E21" s="473"/>
      <c r="F21" s="474"/>
      <c r="G21" s="474"/>
      <c r="H21" s="474"/>
      <c r="I21" s="474"/>
      <c r="J21" s="499"/>
      <c r="K21" s="500"/>
      <c r="L21" s="500"/>
      <c r="M21" s="500"/>
      <c r="N21" s="500"/>
      <c r="O21" s="501"/>
      <c r="P21" s="499"/>
      <c r="Q21" s="500"/>
      <c r="R21" s="500"/>
      <c r="S21" s="500"/>
      <c r="T21" s="500"/>
      <c r="U21" s="501"/>
      <c r="V21" s="484"/>
      <c r="W21" s="485"/>
      <c r="X21" s="485"/>
      <c r="Y21" s="485"/>
      <c r="Z21" s="485"/>
      <c r="AA21" s="486"/>
      <c r="AB21" s="484"/>
      <c r="AC21" s="485"/>
      <c r="AD21" s="485"/>
      <c r="AE21" s="485"/>
      <c r="AF21" s="485"/>
      <c r="AG21" s="486"/>
      <c r="AH21" s="490"/>
      <c r="AI21" s="491"/>
      <c r="AJ21" s="491"/>
      <c r="AK21" s="491"/>
      <c r="AL21" s="491"/>
      <c r="AM21" s="492"/>
      <c r="AN21" s="83"/>
      <c r="AO21" s="446"/>
      <c r="AP21" s="447"/>
      <c r="AQ21" s="447"/>
      <c r="AR21" s="447"/>
      <c r="AS21" s="447"/>
      <c r="AT21" s="44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29"/>
      <c r="C22" s="429"/>
      <c r="D22" s="430"/>
      <c r="E22" s="467" t="s">
        <v>212</v>
      </c>
      <c r="F22" s="468"/>
      <c r="G22" s="468"/>
      <c r="H22" s="468"/>
      <c r="I22" s="469"/>
      <c r="J22" s="502" t="str">
        <f>IF(AND('Mapa de Riesgos'!$H$12="Media",'Mapa de Riesgos'!$L$12="Leve"),CONCATENATE("R",'Mapa de Riesgos'!$A$12),"")</f>
        <v/>
      </c>
      <c r="K22" s="503"/>
      <c r="L22" s="503" t="str">
        <f>IF(AND('Mapa de Riesgos'!$H$18="Media",'Mapa de Riesgos'!$L$18="Leve"),CONCATENATE("R",'Mapa de Riesgos'!$A$18),"")</f>
        <v/>
      </c>
      <c r="M22" s="503"/>
      <c r="N22" s="503" t="str">
        <f>IF(AND('Mapa de Riesgos'!$H$24="Media",'Mapa de Riesgos'!$L$24="Leve"),CONCATENATE("R",'Mapa de Riesgos'!$A$24),"")</f>
        <v/>
      </c>
      <c r="O22" s="504"/>
      <c r="P22" s="502" t="str">
        <f>IF(AND('Mapa de Riesgos'!$H$12="Media",'Mapa de Riesgos'!$L$12="Menor"),CONCATENATE("R",'Mapa de Riesgos'!$A$12),"")</f>
        <v/>
      </c>
      <c r="Q22" s="503"/>
      <c r="R22" s="503" t="str">
        <f>IF(AND('Mapa de Riesgos'!$H$18="Media",'Mapa de Riesgos'!$L$18="Menor"),CONCATENATE("R",'Mapa de Riesgos'!$A$18),"")</f>
        <v/>
      </c>
      <c r="S22" s="503"/>
      <c r="T22" s="503" t="str">
        <f>IF(AND('Mapa de Riesgos'!$H$24="Media",'Mapa de Riesgos'!$L$24="Menor"),CONCATENATE("R",'Mapa de Riesgos'!$A$24),"")</f>
        <v/>
      </c>
      <c r="U22" s="504"/>
      <c r="V22" s="502" t="str">
        <f>IF(AND('Mapa de Riesgos'!$H$12="Media",'Mapa de Riesgos'!$L$12="Moderado"),CONCATENATE("R",'Mapa de Riesgos'!$A$12),"")</f>
        <v>R1</v>
      </c>
      <c r="W22" s="503"/>
      <c r="X22" s="503" t="str">
        <f>IF(AND('Mapa de Riesgos'!$H$18="Media",'Mapa de Riesgos'!$L$18="Moderado"),CONCATENATE("R",'Mapa de Riesgos'!$A$18),"")</f>
        <v/>
      </c>
      <c r="Y22" s="503"/>
      <c r="Z22" s="503" t="str">
        <f>IF(AND('Mapa de Riesgos'!$H$24="Media",'Mapa de Riesgos'!$L$24="Moderado"),CONCATENATE("R",'Mapa de Riesgos'!$A$24),"")</f>
        <v/>
      </c>
      <c r="AA22" s="504"/>
      <c r="AB22" s="478" t="str">
        <f>IF(AND('Mapa de Riesgos'!$H$12="Media",'Mapa de Riesgos'!$L$12="Mayor"),CONCATENATE("R",'Mapa de Riesgos'!$A$12),"")</f>
        <v/>
      </c>
      <c r="AC22" s="479"/>
      <c r="AD22" s="479" t="str">
        <f>IF(AND('Mapa de Riesgos'!$H$18="Media",'Mapa de Riesgos'!$L$18="Mayor"),CONCATENATE("R",'Mapa de Riesgos'!$A$18),"")</f>
        <v/>
      </c>
      <c r="AE22" s="479"/>
      <c r="AF22" s="479" t="str">
        <f>IF(AND('Mapa de Riesgos'!$H$24="Media",'Mapa de Riesgos'!$L$24="Mayor"),CONCATENATE("R",'Mapa de Riesgos'!$A$24),"")</f>
        <v>R3</v>
      </c>
      <c r="AG22" s="481"/>
      <c r="AH22" s="493" t="str">
        <f>IF(AND('Mapa de Riesgos'!$H$12="Media",'Mapa de Riesgos'!$L$12="Catastrófico"),CONCATENATE("R",'Mapa de Riesgos'!$A$12),"")</f>
        <v/>
      </c>
      <c r="AI22" s="494"/>
      <c r="AJ22" s="494" t="str">
        <f>IF(AND('Mapa de Riesgos'!$H$18="Media",'Mapa de Riesgos'!$L$18="Catastrófico"),CONCATENATE("R",'Mapa de Riesgos'!$A$18),"")</f>
        <v/>
      </c>
      <c r="AK22" s="494"/>
      <c r="AL22" s="494" t="str">
        <f>IF(AND('Mapa de Riesgos'!$H$24="Media",'Mapa de Riesgos'!$L$24="Catastrófico"),CONCATENATE("R",'Mapa de Riesgos'!$A$24),"")</f>
        <v/>
      </c>
      <c r="AM22" s="495"/>
      <c r="AN22" s="83"/>
      <c r="AO22" s="449" t="s">
        <v>213</v>
      </c>
      <c r="AP22" s="450"/>
      <c r="AQ22" s="450"/>
      <c r="AR22" s="450"/>
      <c r="AS22" s="450"/>
      <c r="AT22" s="45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29"/>
      <c r="C23" s="429"/>
      <c r="D23" s="430"/>
      <c r="E23" s="470"/>
      <c r="F23" s="471"/>
      <c r="G23" s="471"/>
      <c r="H23" s="471"/>
      <c r="I23" s="472"/>
      <c r="J23" s="496"/>
      <c r="K23" s="497"/>
      <c r="L23" s="497"/>
      <c r="M23" s="497"/>
      <c r="N23" s="497"/>
      <c r="O23" s="498"/>
      <c r="P23" s="496"/>
      <c r="Q23" s="497"/>
      <c r="R23" s="497"/>
      <c r="S23" s="497"/>
      <c r="T23" s="497"/>
      <c r="U23" s="498"/>
      <c r="V23" s="496"/>
      <c r="W23" s="497"/>
      <c r="X23" s="497"/>
      <c r="Y23" s="497"/>
      <c r="Z23" s="497"/>
      <c r="AA23" s="498"/>
      <c r="AB23" s="480"/>
      <c r="AC23" s="476"/>
      <c r="AD23" s="476"/>
      <c r="AE23" s="476"/>
      <c r="AF23" s="476"/>
      <c r="AG23" s="477"/>
      <c r="AH23" s="487"/>
      <c r="AI23" s="488"/>
      <c r="AJ23" s="488"/>
      <c r="AK23" s="488"/>
      <c r="AL23" s="488"/>
      <c r="AM23" s="489"/>
      <c r="AN23" s="83"/>
      <c r="AO23" s="452"/>
      <c r="AP23" s="453"/>
      <c r="AQ23" s="453"/>
      <c r="AR23" s="453"/>
      <c r="AS23" s="453"/>
      <c r="AT23" s="45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29"/>
      <c r="C24" s="429"/>
      <c r="D24" s="430"/>
      <c r="E24" s="470"/>
      <c r="F24" s="471"/>
      <c r="G24" s="471"/>
      <c r="H24" s="471"/>
      <c r="I24" s="472"/>
      <c r="J24" s="496" t="str">
        <f>IF(AND('Mapa de Riesgos'!$H$30="Media",'Mapa de Riesgos'!$L$30="Leve"),CONCATENATE("R",'Mapa de Riesgos'!$A$30),"")</f>
        <v/>
      </c>
      <c r="K24" s="497"/>
      <c r="L24" s="497" t="str">
        <f>IF(AND('Mapa de Riesgos'!$H$37="Media",'Mapa de Riesgos'!$L$37="Leve"),CONCATENATE("R",'Mapa de Riesgos'!$A$37),"")</f>
        <v/>
      </c>
      <c r="M24" s="497"/>
      <c r="N24" s="497" t="str">
        <f>IF(AND('Mapa de Riesgos'!$H$43="Media",'Mapa de Riesgos'!$L$43="Leve"),CONCATENATE("R",'Mapa de Riesgos'!$A$43),"")</f>
        <v/>
      </c>
      <c r="O24" s="498"/>
      <c r="P24" s="496" t="str">
        <f>IF(AND('Mapa de Riesgos'!$H$30="Media",'Mapa de Riesgos'!$L$30="Menor"),CONCATENATE("R",'Mapa de Riesgos'!$A$30),"")</f>
        <v/>
      </c>
      <c r="Q24" s="497"/>
      <c r="R24" s="497" t="str">
        <f>IF(AND('Mapa de Riesgos'!$H$37="Media",'Mapa de Riesgos'!$L$37="Menor"),CONCATENATE("R",'Mapa de Riesgos'!$A$37),"")</f>
        <v/>
      </c>
      <c r="S24" s="497"/>
      <c r="T24" s="497" t="str">
        <f>IF(AND('Mapa de Riesgos'!$H$43="Media",'Mapa de Riesgos'!$L$43="Menor"),CONCATENATE("R",'Mapa de Riesgos'!$A$43),"")</f>
        <v/>
      </c>
      <c r="U24" s="498"/>
      <c r="V24" s="496" t="str">
        <f>IF(AND('Mapa de Riesgos'!$H$30="Media",'Mapa de Riesgos'!$L$30="Moderado"),CONCATENATE("R",'Mapa de Riesgos'!$A$30),"")</f>
        <v/>
      </c>
      <c r="W24" s="497"/>
      <c r="X24" s="497" t="str">
        <f>IF(AND('Mapa de Riesgos'!$H$37="Media",'Mapa de Riesgos'!$L$37="Moderado"),CONCATENATE("R",'Mapa de Riesgos'!$A$37),"")</f>
        <v>R5</v>
      </c>
      <c r="Y24" s="497"/>
      <c r="Z24" s="497" t="str">
        <f>IF(AND('Mapa de Riesgos'!$H$43="Media",'Mapa de Riesgos'!$L$43="Moderado"),CONCATENATE("R",'Mapa de Riesgos'!$A$43),"")</f>
        <v/>
      </c>
      <c r="AA24" s="498"/>
      <c r="AB24" s="480" t="str">
        <f>IF(AND('Mapa de Riesgos'!$H$30="Media",'Mapa de Riesgos'!$L$30="Mayor"),CONCATENATE("R",'Mapa de Riesgos'!$A$30),"")</f>
        <v>R4</v>
      </c>
      <c r="AC24" s="476"/>
      <c r="AD24" s="476" t="str">
        <f>IF(AND('Mapa de Riesgos'!$H$37="Media",'Mapa de Riesgos'!$L$37="Mayor"),CONCATENATE("R",'Mapa de Riesgos'!$A$37),"")</f>
        <v/>
      </c>
      <c r="AE24" s="476"/>
      <c r="AF24" s="476" t="str">
        <f>IF(AND('Mapa de Riesgos'!$H$43="Media",'Mapa de Riesgos'!$L$43="Mayor"),CONCATENATE("R",'Mapa de Riesgos'!$A$43),"")</f>
        <v/>
      </c>
      <c r="AG24" s="477"/>
      <c r="AH24" s="487" t="str">
        <f>IF(AND('Mapa de Riesgos'!$H$30="Media",'Mapa de Riesgos'!$L$30="Catastrófico"),CONCATENATE("R",'Mapa de Riesgos'!$A$30),"")</f>
        <v/>
      </c>
      <c r="AI24" s="488"/>
      <c r="AJ24" s="488" t="str">
        <f>IF(AND('Mapa de Riesgos'!$H$37="Media",'Mapa de Riesgos'!$L$37="Catastrófico"),CONCATENATE("R",'Mapa de Riesgos'!$A$37),"")</f>
        <v/>
      </c>
      <c r="AK24" s="488"/>
      <c r="AL24" s="488" t="str">
        <f>IF(AND('Mapa de Riesgos'!$H$43="Media",'Mapa de Riesgos'!$L$43="Catastrófico"),CONCATENATE("R",'Mapa de Riesgos'!$A$43),"")</f>
        <v/>
      </c>
      <c r="AM24" s="489"/>
      <c r="AN24" s="83"/>
      <c r="AO24" s="452"/>
      <c r="AP24" s="453"/>
      <c r="AQ24" s="453"/>
      <c r="AR24" s="453"/>
      <c r="AS24" s="453"/>
      <c r="AT24" s="45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29"/>
      <c r="C25" s="429"/>
      <c r="D25" s="430"/>
      <c r="E25" s="470"/>
      <c r="F25" s="471"/>
      <c r="G25" s="471"/>
      <c r="H25" s="471"/>
      <c r="I25" s="472"/>
      <c r="J25" s="496"/>
      <c r="K25" s="497"/>
      <c r="L25" s="497"/>
      <c r="M25" s="497"/>
      <c r="N25" s="497"/>
      <c r="O25" s="498"/>
      <c r="P25" s="496"/>
      <c r="Q25" s="497"/>
      <c r="R25" s="497"/>
      <c r="S25" s="497"/>
      <c r="T25" s="497"/>
      <c r="U25" s="498"/>
      <c r="V25" s="496"/>
      <c r="W25" s="497"/>
      <c r="X25" s="497"/>
      <c r="Y25" s="497"/>
      <c r="Z25" s="497"/>
      <c r="AA25" s="498"/>
      <c r="AB25" s="480"/>
      <c r="AC25" s="476"/>
      <c r="AD25" s="476"/>
      <c r="AE25" s="476"/>
      <c r="AF25" s="476"/>
      <c r="AG25" s="477"/>
      <c r="AH25" s="487"/>
      <c r="AI25" s="488"/>
      <c r="AJ25" s="488"/>
      <c r="AK25" s="488"/>
      <c r="AL25" s="488"/>
      <c r="AM25" s="489"/>
      <c r="AN25" s="83"/>
      <c r="AO25" s="452"/>
      <c r="AP25" s="453"/>
      <c r="AQ25" s="453"/>
      <c r="AR25" s="453"/>
      <c r="AS25" s="453"/>
      <c r="AT25" s="45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29"/>
      <c r="C26" s="429"/>
      <c r="D26" s="430"/>
      <c r="E26" s="470"/>
      <c r="F26" s="471"/>
      <c r="G26" s="471"/>
      <c r="H26" s="471"/>
      <c r="I26" s="472"/>
      <c r="J26" s="496" t="str">
        <f>IF(AND('Mapa de Riesgos'!$H$49="Media",'Mapa de Riesgos'!$L$49="Leve"),CONCATENATE("R",'Mapa de Riesgos'!$A$49),"")</f>
        <v/>
      </c>
      <c r="K26" s="497"/>
      <c r="L26" s="497" t="str">
        <f>IF(AND('Mapa de Riesgos'!$H$55="Media",'Mapa de Riesgos'!$L$55="Leve"),CONCATENATE("R",'Mapa de Riesgos'!$A$55),"")</f>
        <v/>
      </c>
      <c r="M26" s="497"/>
      <c r="N26" s="497" t="str">
        <f>IF(AND('Mapa de Riesgos'!$H$61="Media",'Mapa de Riesgos'!$L$61="Leve"),CONCATENATE("R",'Mapa de Riesgos'!$A$61),"")</f>
        <v/>
      </c>
      <c r="O26" s="498"/>
      <c r="P26" s="496" t="str">
        <f>IF(AND('Mapa de Riesgos'!$H$49="Media",'Mapa de Riesgos'!$L$49="Menor"),CONCATENATE("R",'Mapa de Riesgos'!$A$49),"")</f>
        <v/>
      </c>
      <c r="Q26" s="497"/>
      <c r="R26" s="497" t="str">
        <f>IF(AND('Mapa de Riesgos'!$H$55="Media",'Mapa de Riesgos'!$L$55="Menor"),CONCATENATE("R",'Mapa de Riesgos'!$A$55),"")</f>
        <v/>
      </c>
      <c r="S26" s="497"/>
      <c r="T26" s="497" t="str">
        <f>IF(AND('Mapa de Riesgos'!$H$61="Media",'Mapa de Riesgos'!$L$61="Menor"),CONCATENATE("R",'Mapa de Riesgos'!$A$61),"")</f>
        <v/>
      </c>
      <c r="U26" s="498"/>
      <c r="V26" s="496" t="str">
        <f>IF(AND('Mapa de Riesgos'!$H$49="Media",'Mapa de Riesgos'!$L$49="Moderado"),CONCATENATE("R",'Mapa de Riesgos'!$A$49),"")</f>
        <v/>
      </c>
      <c r="W26" s="497"/>
      <c r="X26" s="497" t="str">
        <f>IF(AND('Mapa de Riesgos'!$H$55="Media",'Mapa de Riesgos'!$L$55="Moderado"),CONCATENATE("R",'Mapa de Riesgos'!$A$55),"")</f>
        <v/>
      </c>
      <c r="Y26" s="497"/>
      <c r="Z26" s="497" t="str">
        <f>IF(AND('Mapa de Riesgos'!$H$61="Media",'Mapa de Riesgos'!$L$61="Moderado"),CONCATENATE("R",'Mapa de Riesgos'!$A$61),"")</f>
        <v/>
      </c>
      <c r="AA26" s="498"/>
      <c r="AB26" s="480" t="str">
        <f>IF(AND('Mapa de Riesgos'!$H$49="Media",'Mapa de Riesgos'!$L$49="Mayor"),CONCATENATE("R",'Mapa de Riesgos'!$A$49),"")</f>
        <v/>
      </c>
      <c r="AC26" s="476"/>
      <c r="AD26" s="476" t="str">
        <f>IF(AND('Mapa de Riesgos'!$H$55="Media",'Mapa de Riesgos'!$L$55="Mayor"),CONCATENATE("R",'Mapa de Riesgos'!$A$55),"")</f>
        <v/>
      </c>
      <c r="AE26" s="476"/>
      <c r="AF26" s="476" t="str">
        <f>IF(AND('Mapa de Riesgos'!$H$61="Media",'Mapa de Riesgos'!$L$61="Mayor"),CONCATENATE("R",'Mapa de Riesgos'!$A$61),"")</f>
        <v/>
      </c>
      <c r="AG26" s="477"/>
      <c r="AH26" s="487" t="str">
        <f>IF(AND('Mapa de Riesgos'!$H$49="Media",'Mapa de Riesgos'!$L$49="Catastrófico"),CONCATENATE("R",'Mapa de Riesgos'!$A$49),"")</f>
        <v/>
      </c>
      <c r="AI26" s="488"/>
      <c r="AJ26" s="488" t="str">
        <f>IF(AND('Mapa de Riesgos'!$H$55="Media",'Mapa de Riesgos'!$L$55="Catastrófico"),CONCATENATE("R",'Mapa de Riesgos'!$A$55),"")</f>
        <v/>
      </c>
      <c r="AK26" s="488"/>
      <c r="AL26" s="488" t="str">
        <f>IF(AND('Mapa de Riesgos'!$H$61="Media",'Mapa de Riesgos'!$L$61="Catastrófico"),CONCATENATE("R",'Mapa de Riesgos'!$A$61),"")</f>
        <v/>
      </c>
      <c r="AM26" s="489"/>
      <c r="AN26" s="83"/>
      <c r="AO26" s="452"/>
      <c r="AP26" s="453"/>
      <c r="AQ26" s="453"/>
      <c r="AR26" s="453"/>
      <c r="AS26" s="453"/>
      <c r="AT26" s="45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29"/>
      <c r="C27" s="429"/>
      <c r="D27" s="430"/>
      <c r="E27" s="470"/>
      <c r="F27" s="471"/>
      <c r="G27" s="471"/>
      <c r="H27" s="471"/>
      <c r="I27" s="472"/>
      <c r="J27" s="496"/>
      <c r="K27" s="497"/>
      <c r="L27" s="497"/>
      <c r="M27" s="497"/>
      <c r="N27" s="497"/>
      <c r="O27" s="498"/>
      <c r="P27" s="496"/>
      <c r="Q27" s="497"/>
      <c r="R27" s="497"/>
      <c r="S27" s="497"/>
      <c r="T27" s="497"/>
      <c r="U27" s="498"/>
      <c r="V27" s="496"/>
      <c r="W27" s="497"/>
      <c r="X27" s="497"/>
      <c r="Y27" s="497"/>
      <c r="Z27" s="497"/>
      <c r="AA27" s="498"/>
      <c r="AB27" s="480"/>
      <c r="AC27" s="476"/>
      <c r="AD27" s="476"/>
      <c r="AE27" s="476"/>
      <c r="AF27" s="476"/>
      <c r="AG27" s="477"/>
      <c r="AH27" s="487"/>
      <c r="AI27" s="488"/>
      <c r="AJ27" s="488"/>
      <c r="AK27" s="488"/>
      <c r="AL27" s="488"/>
      <c r="AM27" s="489"/>
      <c r="AN27" s="83"/>
      <c r="AO27" s="452"/>
      <c r="AP27" s="453"/>
      <c r="AQ27" s="453"/>
      <c r="AR27" s="453"/>
      <c r="AS27" s="453"/>
      <c r="AT27" s="45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29"/>
      <c r="C28" s="429"/>
      <c r="D28" s="430"/>
      <c r="E28" s="470"/>
      <c r="F28" s="471"/>
      <c r="G28" s="471"/>
      <c r="H28" s="471"/>
      <c r="I28" s="472"/>
      <c r="J28" s="496" t="str">
        <f>IF(AND('Mapa de Riesgos'!$H$67="Media",'Mapa de Riesgos'!$L$67="Leve"),CONCATENATE("R",'Mapa de Riesgos'!$A$67),"")</f>
        <v/>
      </c>
      <c r="K28" s="497"/>
      <c r="L28" s="497" t="str">
        <f>IF(AND('Mapa de Riesgos'!$H$73="Media",'Mapa de Riesgos'!$L$73="Leve"),CONCATENATE("R",'Mapa de Riesgos'!#REF!),"")</f>
        <v/>
      </c>
      <c r="M28" s="497"/>
      <c r="N28" s="497" t="str">
        <f>IF(AND('Mapa de Riesgos'!$H$79="Media",'Mapa de Riesgos'!$L$79="Leve"),CONCATENATE("R",'Mapa de Riesgos'!$A$79),"")</f>
        <v/>
      </c>
      <c r="O28" s="498"/>
      <c r="P28" s="496" t="str">
        <f>IF(AND('Mapa de Riesgos'!$H$67="Media",'Mapa de Riesgos'!$L$67="Menor"),CONCATENATE("R",'Mapa de Riesgos'!$A$67),"")</f>
        <v/>
      </c>
      <c r="Q28" s="497"/>
      <c r="R28" s="497" t="str">
        <f>IF(AND('Mapa de Riesgos'!$H$73="Media",'Mapa de Riesgos'!$L$73="Menor"),CONCATENATE("R",'Mapa de Riesgos'!#REF!),"")</f>
        <v/>
      </c>
      <c r="S28" s="497"/>
      <c r="T28" s="497" t="str">
        <f>IF(AND('Mapa de Riesgos'!$H$79="Media",'Mapa de Riesgos'!$L$79="Menor"),CONCATENATE("R",'Mapa de Riesgos'!$A$79),"")</f>
        <v/>
      </c>
      <c r="U28" s="498"/>
      <c r="V28" s="496" t="str">
        <f>IF(AND('Mapa de Riesgos'!$H$67="Media",'Mapa de Riesgos'!$L$67="Moderado"),CONCATENATE("R",'Mapa de Riesgos'!$A$67),"")</f>
        <v/>
      </c>
      <c r="W28" s="497"/>
      <c r="X28" s="497" t="str">
        <f>IF(AND('Mapa de Riesgos'!$H$73="Media",'Mapa de Riesgos'!$L$73="Moderado"),CONCATENATE("R",'Mapa de Riesgos'!#REF!),"")</f>
        <v/>
      </c>
      <c r="Y28" s="497"/>
      <c r="Z28" s="497" t="str">
        <f>IF(AND('Mapa de Riesgos'!$H$79="Media",'Mapa de Riesgos'!$L$79="Moderado"),CONCATENATE("R",'Mapa de Riesgos'!$A$79),"")</f>
        <v/>
      </c>
      <c r="AA28" s="498"/>
      <c r="AB28" s="480" t="str">
        <f>IF(AND('Mapa de Riesgos'!$H$67="Media",'Mapa de Riesgos'!$L$67="Mayor"),CONCATENATE("R",'Mapa de Riesgos'!$A$67),"")</f>
        <v/>
      </c>
      <c r="AC28" s="476"/>
      <c r="AD28" s="476" t="str">
        <f>IF(AND('Mapa de Riesgos'!$H$73="Media",'Mapa de Riesgos'!$L$73="Mayor"),CONCATENATE("R",'Mapa de Riesgos'!#REF!),"")</f>
        <v/>
      </c>
      <c r="AE28" s="476"/>
      <c r="AF28" s="476" t="str">
        <f>IF(AND('Mapa de Riesgos'!$H$79="Media",'Mapa de Riesgos'!$L$79="Mayor"),CONCATENATE("R",'Mapa de Riesgos'!$A$79),"")</f>
        <v/>
      </c>
      <c r="AG28" s="477"/>
      <c r="AH28" s="487" t="str">
        <f>IF(AND('Mapa de Riesgos'!$H$67="Media",'Mapa de Riesgos'!$L$67="Catastrófico"),CONCATENATE("R",'Mapa de Riesgos'!$A$67),"")</f>
        <v/>
      </c>
      <c r="AI28" s="488"/>
      <c r="AJ28" s="488" t="str">
        <f>IF(AND('Mapa de Riesgos'!$H$73="Media",'Mapa de Riesgos'!$L$73="Catastrófico"),CONCATENATE("R",'Mapa de Riesgos'!#REF!),"")</f>
        <v/>
      </c>
      <c r="AK28" s="488"/>
      <c r="AL28" s="488" t="str">
        <f>IF(AND('Mapa de Riesgos'!$H$79="Media",'Mapa de Riesgos'!$L$79="Catastrófico"),CONCATENATE("R",'Mapa de Riesgos'!$A$79),"")</f>
        <v/>
      </c>
      <c r="AM28" s="489"/>
      <c r="AN28" s="83"/>
      <c r="AO28" s="452"/>
      <c r="AP28" s="453"/>
      <c r="AQ28" s="453"/>
      <c r="AR28" s="453"/>
      <c r="AS28" s="453"/>
      <c r="AT28" s="45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29"/>
      <c r="C29" s="429"/>
      <c r="D29" s="430"/>
      <c r="E29" s="473"/>
      <c r="F29" s="474"/>
      <c r="G29" s="474"/>
      <c r="H29" s="474"/>
      <c r="I29" s="475"/>
      <c r="J29" s="496"/>
      <c r="K29" s="497"/>
      <c r="L29" s="497"/>
      <c r="M29" s="497"/>
      <c r="N29" s="497"/>
      <c r="O29" s="498"/>
      <c r="P29" s="499"/>
      <c r="Q29" s="500"/>
      <c r="R29" s="500"/>
      <c r="S29" s="500"/>
      <c r="T29" s="500"/>
      <c r="U29" s="501"/>
      <c r="V29" s="499"/>
      <c r="W29" s="500"/>
      <c r="X29" s="500"/>
      <c r="Y29" s="500"/>
      <c r="Z29" s="500"/>
      <c r="AA29" s="501"/>
      <c r="AB29" s="484"/>
      <c r="AC29" s="485"/>
      <c r="AD29" s="485"/>
      <c r="AE29" s="485"/>
      <c r="AF29" s="485"/>
      <c r="AG29" s="486"/>
      <c r="AH29" s="490"/>
      <c r="AI29" s="491"/>
      <c r="AJ29" s="491"/>
      <c r="AK29" s="491"/>
      <c r="AL29" s="491"/>
      <c r="AM29" s="492"/>
      <c r="AN29" s="83"/>
      <c r="AO29" s="455"/>
      <c r="AP29" s="456"/>
      <c r="AQ29" s="456"/>
      <c r="AR29" s="456"/>
      <c r="AS29" s="456"/>
      <c r="AT29" s="45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29"/>
      <c r="C30" s="429"/>
      <c r="D30" s="430"/>
      <c r="E30" s="467" t="s">
        <v>214</v>
      </c>
      <c r="F30" s="468"/>
      <c r="G30" s="468"/>
      <c r="H30" s="468"/>
      <c r="I30" s="468"/>
      <c r="J30" s="511" t="str">
        <f>IF(AND('Mapa de Riesgos'!$H$12="Baja",'Mapa de Riesgos'!$L$12="Leve"),CONCATENATE("R",'Mapa de Riesgos'!$A$12),"")</f>
        <v/>
      </c>
      <c r="K30" s="512"/>
      <c r="L30" s="512" t="str">
        <f>IF(AND('Mapa de Riesgos'!$H$18="Baja",'Mapa de Riesgos'!$L$18="Leve"),CONCATENATE("R",'Mapa de Riesgos'!$A$18),"")</f>
        <v/>
      </c>
      <c r="M30" s="512"/>
      <c r="N30" s="512" t="str">
        <f>IF(AND('Mapa de Riesgos'!$H$24="Baja",'Mapa de Riesgos'!$L$24="Leve"),CONCATENATE("R",'Mapa de Riesgos'!$A$24),"")</f>
        <v/>
      </c>
      <c r="O30" s="513"/>
      <c r="P30" s="503" t="str">
        <f>IF(AND('Mapa de Riesgos'!$H$12="Baja",'Mapa de Riesgos'!$L$12="Menor"),CONCATENATE("R",'Mapa de Riesgos'!$A$12),"")</f>
        <v/>
      </c>
      <c r="Q30" s="503"/>
      <c r="R30" s="503" t="str">
        <f>IF(AND('Mapa de Riesgos'!$H$18="Baja",'Mapa de Riesgos'!$L$18="Menor"),CONCATENATE("R",'Mapa de Riesgos'!$A$18),"")</f>
        <v/>
      </c>
      <c r="S30" s="503"/>
      <c r="T30" s="503" t="str">
        <f>IF(AND('Mapa de Riesgos'!$H$24="Baja",'Mapa de Riesgos'!$L$24="Menor"),CONCATENATE("R",'Mapa de Riesgos'!$A$24),"")</f>
        <v/>
      </c>
      <c r="U30" s="504"/>
      <c r="V30" s="502" t="str">
        <f>IF(AND('Mapa de Riesgos'!$H$12="Baja",'Mapa de Riesgos'!$L$12="Moderado"),CONCATENATE("R",'Mapa de Riesgos'!$A$12),"")</f>
        <v/>
      </c>
      <c r="W30" s="503"/>
      <c r="X30" s="503" t="str">
        <f>IF(AND('Mapa de Riesgos'!$H$18="Baja",'Mapa de Riesgos'!$L$18="Moderado"),CONCATENATE("R",'Mapa de Riesgos'!$A$18),"")</f>
        <v/>
      </c>
      <c r="Y30" s="503"/>
      <c r="Z30" s="503" t="str">
        <f>IF(AND('Mapa de Riesgos'!$H$24="Baja",'Mapa de Riesgos'!$L$24="Moderado"),CONCATENATE("R",'Mapa de Riesgos'!$A$24),"")</f>
        <v/>
      </c>
      <c r="AA30" s="504"/>
      <c r="AB30" s="478" t="str">
        <f>IF(AND('Mapa de Riesgos'!$H$12="Baja",'Mapa de Riesgos'!$L$12="Mayor"),CONCATENATE("R",'Mapa de Riesgos'!$A$12),"")</f>
        <v/>
      </c>
      <c r="AC30" s="479"/>
      <c r="AD30" s="479" t="str">
        <f>IF(AND('Mapa de Riesgos'!$H$18="Baja",'Mapa de Riesgos'!$L$18="Mayor"),CONCATENATE("R",'Mapa de Riesgos'!$A$18),"")</f>
        <v/>
      </c>
      <c r="AE30" s="479"/>
      <c r="AF30" s="479" t="str">
        <f>IF(AND('Mapa de Riesgos'!$H$24="Baja",'Mapa de Riesgos'!$L$24="Mayor"),CONCATENATE("R",'Mapa de Riesgos'!$A$24),"")</f>
        <v/>
      </c>
      <c r="AG30" s="481"/>
      <c r="AH30" s="493" t="str">
        <f>IF(AND('Mapa de Riesgos'!$H$12="Baja",'Mapa de Riesgos'!$L$12="Catastrófico"),CONCATENATE("R",'Mapa de Riesgos'!$A$12),"")</f>
        <v/>
      </c>
      <c r="AI30" s="494"/>
      <c r="AJ30" s="494" t="str">
        <f>IF(AND('Mapa de Riesgos'!$H$18="Baja",'Mapa de Riesgos'!$L$18="Catastrófico"),CONCATENATE("R",'Mapa de Riesgos'!$A$18),"")</f>
        <v/>
      </c>
      <c r="AK30" s="494"/>
      <c r="AL30" s="494" t="str">
        <f>IF(AND('Mapa de Riesgos'!$H$24="Baja",'Mapa de Riesgos'!$L$24="Catastrófico"),CONCATENATE("R",'Mapa de Riesgos'!$A$24),"")</f>
        <v/>
      </c>
      <c r="AM30" s="495"/>
      <c r="AN30" s="83"/>
      <c r="AO30" s="458" t="s">
        <v>215</v>
      </c>
      <c r="AP30" s="459"/>
      <c r="AQ30" s="459"/>
      <c r="AR30" s="459"/>
      <c r="AS30" s="459"/>
      <c r="AT30" s="46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29"/>
      <c r="C31" s="429"/>
      <c r="D31" s="430"/>
      <c r="E31" s="470"/>
      <c r="F31" s="471"/>
      <c r="G31" s="471"/>
      <c r="H31" s="471"/>
      <c r="I31" s="471"/>
      <c r="J31" s="507"/>
      <c r="K31" s="505"/>
      <c r="L31" s="505"/>
      <c r="M31" s="505"/>
      <c r="N31" s="505"/>
      <c r="O31" s="506"/>
      <c r="P31" s="497"/>
      <c r="Q31" s="497"/>
      <c r="R31" s="497"/>
      <c r="S31" s="497"/>
      <c r="T31" s="497"/>
      <c r="U31" s="498"/>
      <c r="V31" s="496"/>
      <c r="W31" s="497"/>
      <c r="X31" s="497"/>
      <c r="Y31" s="497"/>
      <c r="Z31" s="497"/>
      <c r="AA31" s="498"/>
      <c r="AB31" s="480"/>
      <c r="AC31" s="476"/>
      <c r="AD31" s="476"/>
      <c r="AE31" s="476"/>
      <c r="AF31" s="476"/>
      <c r="AG31" s="477"/>
      <c r="AH31" s="487"/>
      <c r="AI31" s="488"/>
      <c r="AJ31" s="488"/>
      <c r="AK31" s="488"/>
      <c r="AL31" s="488"/>
      <c r="AM31" s="489"/>
      <c r="AN31" s="83"/>
      <c r="AO31" s="461"/>
      <c r="AP31" s="462"/>
      <c r="AQ31" s="462"/>
      <c r="AR31" s="462"/>
      <c r="AS31" s="462"/>
      <c r="AT31" s="46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29"/>
      <c r="C32" s="429"/>
      <c r="D32" s="430"/>
      <c r="E32" s="470"/>
      <c r="F32" s="471"/>
      <c r="G32" s="471"/>
      <c r="H32" s="471"/>
      <c r="I32" s="471"/>
      <c r="J32" s="507" t="str">
        <f>IF(AND('Mapa de Riesgos'!$H$30="Baja",'Mapa de Riesgos'!$L$30="Leve"),CONCATENATE("R",'Mapa de Riesgos'!$A$30),"")</f>
        <v/>
      </c>
      <c r="K32" s="505"/>
      <c r="L32" s="505" t="str">
        <f>IF(AND('Mapa de Riesgos'!$H$37="Baja",'Mapa de Riesgos'!$L$37="Leve"),CONCATENATE("R",'Mapa de Riesgos'!$A$37),"")</f>
        <v/>
      </c>
      <c r="M32" s="505"/>
      <c r="N32" s="505" t="str">
        <f>IF(AND('Mapa de Riesgos'!$H$43="Baja",'Mapa de Riesgos'!$L$43="Leve"),CONCATENATE("R",'Mapa de Riesgos'!$A$43),"")</f>
        <v/>
      </c>
      <c r="O32" s="506"/>
      <c r="P32" s="497" t="str">
        <f>IF(AND('Mapa de Riesgos'!$H$30="Baja",'Mapa de Riesgos'!$L$30="Menor"),CONCATENATE("R",'Mapa de Riesgos'!$A$30),"")</f>
        <v/>
      </c>
      <c r="Q32" s="497"/>
      <c r="R32" s="497" t="str">
        <f>IF(AND('Mapa de Riesgos'!$H$37="Baja",'Mapa de Riesgos'!$L$37="Menor"),CONCATENATE("R",'Mapa de Riesgos'!$A$37),"")</f>
        <v/>
      </c>
      <c r="S32" s="497"/>
      <c r="T32" s="497" t="str">
        <f>IF(AND('Mapa de Riesgos'!$H$43="Baja",'Mapa de Riesgos'!$L$43="Menor"),CONCATENATE("R",'Mapa de Riesgos'!$A$43),"")</f>
        <v/>
      </c>
      <c r="U32" s="498"/>
      <c r="V32" s="496" t="str">
        <f>IF(AND('Mapa de Riesgos'!$H$30="Baja",'Mapa de Riesgos'!$L$30="Moderado"),CONCATENATE("R",'Mapa de Riesgos'!$A$30),"")</f>
        <v/>
      </c>
      <c r="W32" s="497"/>
      <c r="X32" s="497" t="str">
        <f>IF(AND('Mapa de Riesgos'!$H$37="Baja",'Mapa de Riesgos'!$L$37="Moderado"),CONCATENATE("R",'Mapa de Riesgos'!$A$37),"")</f>
        <v/>
      </c>
      <c r="Y32" s="497"/>
      <c r="Z32" s="497" t="str">
        <f>IF(AND('Mapa de Riesgos'!$H$43="Baja",'Mapa de Riesgos'!$L$43="Moderado"),CONCATENATE("R",'Mapa de Riesgos'!$A$43),"")</f>
        <v/>
      </c>
      <c r="AA32" s="498"/>
      <c r="AB32" s="480" t="str">
        <f>IF(AND('Mapa de Riesgos'!$H$30="Baja",'Mapa de Riesgos'!$L$30="Mayor"),CONCATENATE("R",'Mapa de Riesgos'!$A$30),"")</f>
        <v/>
      </c>
      <c r="AC32" s="476"/>
      <c r="AD32" s="476" t="str">
        <f>IF(AND('Mapa de Riesgos'!$H$37="Baja",'Mapa de Riesgos'!$L$37="Mayor"),CONCATENATE("R",'Mapa de Riesgos'!$A$37),"")</f>
        <v/>
      </c>
      <c r="AE32" s="476"/>
      <c r="AF32" s="476" t="str">
        <f>IF(AND('Mapa de Riesgos'!$H$43="Baja",'Mapa de Riesgos'!$L$43="Mayor"),CONCATENATE("R",'Mapa de Riesgos'!$A$43),"")</f>
        <v/>
      </c>
      <c r="AG32" s="477"/>
      <c r="AH32" s="487" t="str">
        <f>IF(AND('Mapa de Riesgos'!$H$30="Baja",'Mapa de Riesgos'!$L$30="Catastrófico"),CONCATENATE("R",'Mapa de Riesgos'!$A$30),"")</f>
        <v/>
      </c>
      <c r="AI32" s="488"/>
      <c r="AJ32" s="488" t="str">
        <f>IF(AND('Mapa de Riesgos'!$H$37="Baja",'Mapa de Riesgos'!$L$37="Catastrófico"),CONCATENATE("R",'Mapa de Riesgos'!$A$37),"")</f>
        <v/>
      </c>
      <c r="AK32" s="488"/>
      <c r="AL32" s="488" t="str">
        <f>IF(AND('Mapa de Riesgos'!$H$43="Baja",'Mapa de Riesgos'!$L$43="Catastrófico"),CONCATENATE("R",'Mapa de Riesgos'!$A$43),"")</f>
        <v/>
      </c>
      <c r="AM32" s="489"/>
      <c r="AN32" s="83"/>
      <c r="AO32" s="461"/>
      <c r="AP32" s="462"/>
      <c r="AQ32" s="462"/>
      <c r="AR32" s="462"/>
      <c r="AS32" s="462"/>
      <c r="AT32" s="46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29"/>
      <c r="C33" s="429"/>
      <c r="D33" s="430"/>
      <c r="E33" s="470"/>
      <c r="F33" s="471"/>
      <c r="G33" s="471"/>
      <c r="H33" s="471"/>
      <c r="I33" s="471"/>
      <c r="J33" s="507"/>
      <c r="K33" s="505"/>
      <c r="L33" s="505"/>
      <c r="M33" s="505"/>
      <c r="N33" s="505"/>
      <c r="O33" s="506"/>
      <c r="P33" s="497"/>
      <c r="Q33" s="497"/>
      <c r="R33" s="497"/>
      <c r="S33" s="497"/>
      <c r="T33" s="497"/>
      <c r="U33" s="498"/>
      <c r="V33" s="496"/>
      <c r="W33" s="497"/>
      <c r="X33" s="497"/>
      <c r="Y33" s="497"/>
      <c r="Z33" s="497"/>
      <c r="AA33" s="498"/>
      <c r="AB33" s="480"/>
      <c r="AC33" s="476"/>
      <c r="AD33" s="476"/>
      <c r="AE33" s="476"/>
      <c r="AF33" s="476"/>
      <c r="AG33" s="477"/>
      <c r="AH33" s="487"/>
      <c r="AI33" s="488"/>
      <c r="AJ33" s="488"/>
      <c r="AK33" s="488"/>
      <c r="AL33" s="488"/>
      <c r="AM33" s="489"/>
      <c r="AN33" s="83"/>
      <c r="AO33" s="461"/>
      <c r="AP33" s="462"/>
      <c r="AQ33" s="462"/>
      <c r="AR33" s="462"/>
      <c r="AS33" s="462"/>
      <c r="AT33" s="46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29"/>
      <c r="C34" s="429"/>
      <c r="D34" s="430"/>
      <c r="E34" s="470"/>
      <c r="F34" s="471"/>
      <c r="G34" s="471"/>
      <c r="H34" s="471"/>
      <c r="I34" s="471"/>
      <c r="J34" s="507" t="str">
        <f>IF(AND('Mapa de Riesgos'!$H$49="Baja",'Mapa de Riesgos'!$L$49="Leve"),CONCATENATE("R",'Mapa de Riesgos'!$A$49),"")</f>
        <v/>
      </c>
      <c r="K34" s="505"/>
      <c r="L34" s="505" t="str">
        <f>IF(AND('Mapa de Riesgos'!$H$55="Baja",'Mapa de Riesgos'!$L$55="Leve"),CONCATENATE("R",'Mapa de Riesgos'!$A$55),"")</f>
        <v/>
      </c>
      <c r="M34" s="505"/>
      <c r="N34" s="505" t="str">
        <f>IF(AND('Mapa de Riesgos'!$H$61="Baja",'Mapa de Riesgos'!$L$61="Leve"),CONCATENATE("R",'Mapa de Riesgos'!$A$61),"")</f>
        <v/>
      </c>
      <c r="O34" s="506"/>
      <c r="P34" s="497" t="str">
        <f>IF(AND('Mapa de Riesgos'!$H$49="Baja",'Mapa de Riesgos'!$L$49="Menor"),CONCATENATE("R",'Mapa de Riesgos'!$A$49),"")</f>
        <v/>
      </c>
      <c r="Q34" s="497"/>
      <c r="R34" s="497" t="str">
        <f>IF(AND('Mapa de Riesgos'!$H$55="Baja",'Mapa de Riesgos'!$L$55="Menor"),CONCATENATE("R",'Mapa de Riesgos'!$A$55),"")</f>
        <v/>
      </c>
      <c r="S34" s="497"/>
      <c r="T34" s="497" t="str">
        <f>IF(AND('Mapa de Riesgos'!$H$61="Baja",'Mapa de Riesgos'!$L$61="Menor"),CONCATENATE("R",'Mapa de Riesgos'!$A$61),"")</f>
        <v/>
      </c>
      <c r="U34" s="498"/>
      <c r="V34" s="496" t="str">
        <f>IF(AND('Mapa de Riesgos'!$H$49="Baja",'Mapa de Riesgos'!$L$49="Moderado"),CONCATENATE("R",'Mapa de Riesgos'!$A$49),"")</f>
        <v/>
      </c>
      <c r="W34" s="497"/>
      <c r="X34" s="497" t="str">
        <f>IF(AND('Mapa de Riesgos'!$H$55="Baja",'Mapa de Riesgos'!$L$55="Moderado"),CONCATENATE("R",'Mapa de Riesgos'!$A$55),"")</f>
        <v/>
      </c>
      <c r="Y34" s="497"/>
      <c r="Z34" s="497" t="str">
        <f>IF(AND('Mapa de Riesgos'!$H$61="Baja",'Mapa de Riesgos'!$L$61="Moderado"),CONCATENATE("R",'Mapa de Riesgos'!$A$61),"")</f>
        <v/>
      </c>
      <c r="AA34" s="498"/>
      <c r="AB34" s="480" t="str">
        <f>IF(AND('Mapa de Riesgos'!$H$49="Baja",'Mapa de Riesgos'!$L$49="Mayor"),CONCATENATE("R",'Mapa de Riesgos'!$A$49),"")</f>
        <v/>
      </c>
      <c r="AC34" s="476"/>
      <c r="AD34" s="476" t="str">
        <f>IF(AND('Mapa de Riesgos'!$H$55="Baja",'Mapa de Riesgos'!$L$55="Mayor"),CONCATENATE("R",'Mapa de Riesgos'!$A$55),"")</f>
        <v/>
      </c>
      <c r="AE34" s="476"/>
      <c r="AF34" s="476" t="str">
        <f>IF(AND('Mapa de Riesgos'!$H$61="Baja",'Mapa de Riesgos'!$L$61="Mayor"),CONCATENATE("R",'Mapa de Riesgos'!$A$61),"")</f>
        <v/>
      </c>
      <c r="AG34" s="477"/>
      <c r="AH34" s="487" t="str">
        <f>IF(AND('Mapa de Riesgos'!$H$49="Baja",'Mapa de Riesgos'!$L$49="Catastrófico"),CONCATENATE("R",'Mapa de Riesgos'!$A$49),"")</f>
        <v/>
      </c>
      <c r="AI34" s="488"/>
      <c r="AJ34" s="488" t="str">
        <f>IF(AND('Mapa de Riesgos'!$H$55="Baja",'Mapa de Riesgos'!$L$55="Catastrófico"),CONCATENATE("R",'Mapa de Riesgos'!$A$55),"")</f>
        <v/>
      </c>
      <c r="AK34" s="488"/>
      <c r="AL34" s="488" t="str">
        <f>IF(AND('Mapa de Riesgos'!$H$61="Baja",'Mapa de Riesgos'!$L$61="Catastrófico"),CONCATENATE("R",'Mapa de Riesgos'!$A$61),"")</f>
        <v/>
      </c>
      <c r="AM34" s="489"/>
      <c r="AN34" s="83"/>
      <c r="AO34" s="461"/>
      <c r="AP34" s="462"/>
      <c r="AQ34" s="462"/>
      <c r="AR34" s="462"/>
      <c r="AS34" s="462"/>
      <c r="AT34" s="46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29"/>
      <c r="C35" s="429"/>
      <c r="D35" s="430"/>
      <c r="E35" s="470"/>
      <c r="F35" s="471"/>
      <c r="G35" s="471"/>
      <c r="H35" s="471"/>
      <c r="I35" s="471"/>
      <c r="J35" s="507"/>
      <c r="K35" s="505"/>
      <c r="L35" s="505"/>
      <c r="M35" s="505"/>
      <c r="N35" s="505"/>
      <c r="O35" s="506"/>
      <c r="P35" s="497"/>
      <c r="Q35" s="497"/>
      <c r="R35" s="497"/>
      <c r="S35" s="497"/>
      <c r="T35" s="497"/>
      <c r="U35" s="498"/>
      <c r="V35" s="496"/>
      <c r="W35" s="497"/>
      <c r="X35" s="497"/>
      <c r="Y35" s="497"/>
      <c r="Z35" s="497"/>
      <c r="AA35" s="498"/>
      <c r="AB35" s="480"/>
      <c r="AC35" s="476"/>
      <c r="AD35" s="476"/>
      <c r="AE35" s="476"/>
      <c r="AF35" s="476"/>
      <c r="AG35" s="477"/>
      <c r="AH35" s="487"/>
      <c r="AI35" s="488"/>
      <c r="AJ35" s="488"/>
      <c r="AK35" s="488"/>
      <c r="AL35" s="488"/>
      <c r="AM35" s="489"/>
      <c r="AN35" s="83"/>
      <c r="AO35" s="461"/>
      <c r="AP35" s="462"/>
      <c r="AQ35" s="462"/>
      <c r="AR35" s="462"/>
      <c r="AS35" s="462"/>
      <c r="AT35" s="46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29"/>
      <c r="C36" s="429"/>
      <c r="D36" s="430"/>
      <c r="E36" s="470"/>
      <c r="F36" s="471"/>
      <c r="G36" s="471"/>
      <c r="H36" s="471"/>
      <c r="I36" s="471"/>
      <c r="J36" s="507" t="str">
        <f>IF(AND('Mapa de Riesgos'!$H$67="Baja",'Mapa de Riesgos'!$L$67="Leve"),CONCATENATE("R",'Mapa de Riesgos'!$A$67),"")</f>
        <v/>
      </c>
      <c r="K36" s="505"/>
      <c r="L36" s="505" t="str">
        <f>IF(AND('Mapa de Riesgos'!$H$73="Baja",'Mapa de Riesgos'!$L$73="Leve"),CONCATENATE("R",'Mapa de Riesgos'!#REF!),"")</f>
        <v/>
      </c>
      <c r="M36" s="505"/>
      <c r="N36" s="505" t="str">
        <f>IF(AND('Mapa de Riesgos'!$H$79="Baja",'Mapa de Riesgos'!$L$79="Leve"),CONCATENATE("R",'Mapa de Riesgos'!$A$79),"")</f>
        <v/>
      </c>
      <c r="O36" s="506"/>
      <c r="P36" s="497" t="str">
        <f>IF(AND('Mapa de Riesgos'!$H$67="Baja",'Mapa de Riesgos'!$L$67="Menor"),CONCATENATE("R",'Mapa de Riesgos'!$A$67),"")</f>
        <v/>
      </c>
      <c r="Q36" s="497"/>
      <c r="R36" s="497" t="str">
        <f>IF(AND('Mapa de Riesgos'!$H$73="Baja",'Mapa de Riesgos'!$L$73="Menor"),CONCATENATE("R",'Mapa de Riesgos'!#REF!),"")</f>
        <v/>
      </c>
      <c r="S36" s="497"/>
      <c r="T36" s="497" t="str">
        <f>IF(AND('Mapa de Riesgos'!$H$79="Baja",'Mapa de Riesgos'!$L$79="Menor"),CONCATENATE("R",'Mapa de Riesgos'!$A$79),"")</f>
        <v/>
      </c>
      <c r="U36" s="498"/>
      <c r="V36" s="496" t="str">
        <f>IF(AND('Mapa de Riesgos'!$H$67="Baja",'Mapa de Riesgos'!$L$67="Moderado"),CONCATENATE("R",'Mapa de Riesgos'!$A$67),"")</f>
        <v/>
      </c>
      <c r="W36" s="497"/>
      <c r="X36" s="497" t="str">
        <f>IF(AND('Mapa de Riesgos'!$H$73="Baja",'Mapa de Riesgos'!$L$73="Moderado"),CONCATENATE("R",'Mapa de Riesgos'!#REF!),"")</f>
        <v/>
      </c>
      <c r="Y36" s="497"/>
      <c r="Z36" s="497" t="str">
        <f>IF(AND('Mapa de Riesgos'!$H$79="Baja",'Mapa de Riesgos'!$L$79="Moderado"),CONCATENATE("R",'Mapa de Riesgos'!$A$79),"")</f>
        <v/>
      </c>
      <c r="AA36" s="498"/>
      <c r="AB36" s="480" t="str">
        <f>IF(AND('Mapa de Riesgos'!$H$67="Baja",'Mapa de Riesgos'!$L$67="Mayor"),CONCATENATE("R",'Mapa de Riesgos'!$A$67),"")</f>
        <v/>
      </c>
      <c r="AC36" s="476"/>
      <c r="AD36" s="476" t="str">
        <f>IF(AND('Mapa de Riesgos'!$H$73="Baja",'Mapa de Riesgos'!$L$73="Mayor"),CONCATENATE("R",'Mapa de Riesgos'!#REF!),"")</f>
        <v/>
      </c>
      <c r="AE36" s="476"/>
      <c r="AF36" s="476" t="str">
        <f>IF(AND('Mapa de Riesgos'!$H$79="Baja",'Mapa de Riesgos'!$L$79="Mayor"),CONCATENATE("R",'Mapa de Riesgos'!$A$79),"")</f>
        <v/>
      </c>
      <c r="AG36" s="477"/>
      <c r="AH36" s="487" t="str">
        <f>IF(AND('Mapa de Riesgos'!$H$67="Baja",'Mapa de Riesgos'!$L$67="Catastrófico"),CONCATENATE("R",'Mapa de Riesgos'!$A$67),"")</f>
        <v/>
      </c>
      <c r="AI36" s="488"/>
      <c r="AJ36" s="488" t="str">
        <f>IF(AND('Mapa de Riesgos'!$H$73="Baja",'Mapa de Riesgos'!$L$73="Catastrófico"),CONCATENATE("R",'Mapa de Riesgos'!#REF!),"")</f>
        <v/>
      </c>
      <c r="AK36" s="488"/>
      <c r="AL36" s="488" t="str">
        <f>IF(AND('Mapa de Riesgos'!$H$79="Baja",'Mapa de Riesgos'!$L$79="Catastrófico"),CONCATENATE("R",'Mapa de Riesgos'!$A$79),"")</f>
        <v/>
      </c>
      <c r="AM36" s="489"/>
      <c r="AN36" s="83"/>
      <c r="AO36" s="461"/>
      <c r="AP36" s="462"/>
      <c r="AQ36" s="462"/>
      <c r="AR36" s="462"/>
      <c r="AS36" s="462"/>
      <c r="AT36" s="46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29"/>
      <c r="C37" s="429"/>
      <c r="D37" s="430"/>
      <c r="E37" s="473"/>
      <c r="F37" s="474"/>
      <c r="G37" s="474"/>
      <c r="H37" s="474"/>
      <c r="I37" s="474"/>
      <c r="J37" s="508"/>
      <c r="K37" s="509"/>
      <c r="L37" s="509"/>
      <c r="M37" s="509"/>
      <c r="N37" s="509"/>
      <c r="O37" s="510"/>
      <c r="P37" s="500"/>
      <c r="Q37" s="500"/>
      <c r="R37" s="500"/>
      <c r="S37" s="500"/>
      <c r="T37" s="500"/>
      <c r="U37" s="501"/>
      <c r="V37" s="499"/>
      <c r="W37" s="500"/>
      <c r="X37" s="500"/>
      <c r="Y37" s="500"/>
      <c r="Z37" s="500"/>
      <c r="AA37" s="501"/>
      <c r="AB37" s="484"/>
      <c r="AC37" s="485"/>
      <c r="AD37" s="485"/>
      <c r="AE37" s="485"/>
      <c r="AF37" s="485"/>
      <c r="AG37" s="486"/>
      <c r="AH37" s="490"/>
      <c r="AI37" s="491"/>
      <c r="AJ37" s="491"/>
      <c r="AK37" s="491"/>
      <c r="AL37" s="491"/>
      <c r="AM37" s="492"/>
      <c r="AN37" s="83"/>
      <c r="AO37" s="464"/>
      <c r="AP37" s="465"/>
      <c r="AQ37" s="465"/>
      <c r="AR37" s="465"/>
      <c r="AS37" s="465"/>
      <c r="AT37" s="46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29"/>
      <c r="C38" s="429"/>
      <c r="D38" s="430"/>
      <c r="E38" s="467" t="s">
        <v>216</v>
      </c>
      <c r="F38" s="468"/>
      <c r="G38" s="468"/>
      <c r="H38" s="468"/>
      <c r="I38" s="469"/>
      <c r="J38" s="511" t="str">
        <f>IF(AND('Mapa de Riesgos'!$H$12="Muy Baja",'Mapa de Riesgos'!$L$12="Leve"),CONCATENATE("R",'Mapa de Riesgos'!$A$12),"")</f>
        <v/>
      </c>
      <c r="K38" s="512"/>
      <c r="L38" s="512" t="str">
        <f>IF(AND('Mapa de Riesgos'!$H$18="Muy Baja",'Mapa de Riesgos'!$L$18="Leve"),CONCATENATE("R",'Mapa de Riesgos'!$A$18),"")</f>
        <v/>
      </c>
      <c r="M38" s="512"/>
      <c r="N38" s="512" t="str">
        <f>IF(AND('Mapa de Riesgos'!$H$24="Muy Baja",'Mapa de Riesgos'!$L$24="Leve"),CONCATENATE("R",'Mapa de Riesgos'!$A$24),"")</f>
        <v/>
      </c>
      <c r="O38" s="513"/>
      <c r="P38" s="511" t="str">
        <f>IF(AND('Mapa de Riesgos'!$H$12="Muy Baja",'Mapa de Riesgos'!$L$12="Menor"),CONCATENATE("R",'Mapa de Riesgos'!$A$12),"")</f>
        <v/>
      </c>
      <c r="Q38" s="512"/>
      <c r="R38" s="512" t="str">
        <f>IF(AND('Mapa de Riesgos'!$H$18="Muy Baja",'Mapa de Riesgos'!$L$18="Menor"),CONCATENATE("R",'Mapa de Riesgos'!$A$18),"")</f>
        <v/>
      </c>
      <c r="S38" s="512"/>
      <c r="T38" s="512" t="str">
        <f>IF(AND('Mapa de Riesgos'!$H$24="Muy Baja",'Mapa de Riesgos'!$L$24="Menor"),CONCATENATE("R",'Mapa de Riesgos'!$A$24),"")</f>
        <v/>
      </c>
      <c r="U38" s="513"/>
      <c r="V38" s="502" t="str">
        <f>IF(AND('Mapa de Riesgos'!$H$12="Muy Baja",'Mapa de Riesgos'!$L$12="Moderado"),CONCATENATE("R",'Mapa de Riesgos'!$A$12),"")</f>
        <v/>
      </c>
      <c r="W38" s="503"/>
      <c r="X38" s="503" t="str">
        <f>IF(AND('Mapa de Riesgos'!$H$18="Muy Baja",'Mapa de Riesgos'!$L$18="Moderado"),CONCATENATE("R",'Mapa de Riesgos'!$A$18),"")</f>
        <v/>
      </c>
      <c r="Y38" s="503"/>
      <c r="Z38" s="503" t="str">
        <f>IF(AND('Mapa de Riesgos'!$H$24="Muy Baja",'Mapa de Riesgos'!$L$24="Moderado"),CONCATENATE("R",'Mapa de Riesgos'!$A$24),"")</f>
        <v/>
      </c>
      <c r="AA38" s="504"/>
      <c r="AB38" s="478" t="str">
        <f>IF(AND('Mapa de Riesgos'!$H$12="Muy Baja",'Mapa de Riesgos'!$L$12="Mayor"),CONCATENATE("R",'Mapa de Riesgos'!$A$12),"")</f>
        <v/>
      </c>
      <c r="AC38" s="479"/>
      <c r="AD38" s="479" t="str">
        <f>IF(AND('Mapa de Riesgos'!$H$18="Muy Baja",'Mapa de Riesgos'!$L$18="Mayor"),CONCATENATE("R",'Mapa de Riesgos'!$A$18),"")</f>
        <v/>
      </c>
      <c r="AE38" s="479"/>
      <c r="AF38" s="479" t="str">
        <f>IF(AND('Mapa de Riesgos'!$H$24="Muy Baja",'Mapa de Riesgos'!$L$24="Mayor"),CONCATENATE("R",'Mapa de Riesgos'!$A$24),"")</f>
        <v/>
      </c>
      <c r="AG38" s="481"/>
      <c r="AH38" s="493" t="str">
        <f>IF(AND('Mapa de Riesgos'!$H$12="Muy Baja",'Mapa de Riesgos'!$L$12="Catastrófico"),CONCATENATE("R",'Mapa de Riesgos'!$A$12),"")</f>
        <v/>
      </c>
      <c r="AI38" s="494"/>
      <c r="AJ38" s="494" t="str">
        <f>IF(AND('Mapa de Riesgos'!$H$18="Muy Baja",'Mapa de Riesgos'!$L$18="Catastrófico"),CONCATENATE("R",'Mapa de Riesgos'!$A$18),"")</f>
        <v/>
      </c>
      <c r="AK38" s="494"/>
      <c r="AL38" s="494" t="str">
        <f>IF(AND('Mapa de Riesgos'!$H$24="Muy Baja",'Mapa de Riesgos'!$L$24="Catastrófico"),CONCATENATE("R",'Mapa de Riesgos'!$A$24),"")</f>
        <v/>
      </c>
      <c r="AM38" s="49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29"/>
      <c r="C39" s="429"/>
      <c r="D39" s="430"/>
      <c r="E39" s="470"/>
      <c r="F39" s="471"/>
      <c r="G39" s="471"/>
      <c r="H39" s="471"/>
      <c r="I39" s="472"/>
      <c r="J39" s="507"/>
      <c r="K39" s="505"/>
      <c r="L39" s="505"/>
      <c r="M39" s="505"/>
      <c r="N39" s="505"/>
      <c r="O39" s="506"/>
      <c r="P39" s="507"/>
      <c r="Q39" s="505"/>
      <c r="R39" s="505"/>
      <c r="S39" s="505"/>
      <c r="T39" s="505"/>
      <c r="U39" s="506"/>
      <c r="V39" s="496"/>
      <c r="W39" s="497"/>
      <c r="X39" s="497"/>
      <c r="Y39" s="497"/>
      <c r="Z39" s="497"/>
      <c r="AA39" s="498"/>
      <c r="AB39" s="480"/>
      <c r="AC39" s="476"/>
      <c r="AD39" s="476"/>
      <c r="AE39" s="476"/>
      <c r="AF39" s="476"/>
      <c r="AG39" s="477"/>
      <c r="AH39" s="487"/>
      <c r="AI39" s="488"/>
      <c r="AJ39" s="488"/>
      <c r="AK39" s="488"/>
      <c r="AL39" s="488"/>
      <c r="AM39" s="48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29"/>
      <c r="C40" s="429"/>
      <c r="D40" s="430"/>
      <c r="E40" s="470"/>
      <c r="F40" s="471"/>
      <c r="G40" s="471"/>
      <c r="H40" s="471"/>
      <c r="I40" s="472"/>
      <c r="J40" s="507" t="str">
        <f>IF(AND('Mapa de Riesgos'!$H$30="Muy Baja",'Mapa de Riesgos'!$L$30="Leve"),CONCATENATE("R",'Mapa de Riesgos'!$A$30),"")</f>
        <v/>
      </c>
      <c r="K40" s="505"/>
      <c r="L40" s="505" t="str">
        <f>IF(AND('Mapa de Riesgos'!$H$37="Muy Baja",'Mapa de Riesgos'!$L$37="Leve"),CONCATENATE("R",'Mapa de Riesgos'!$A$37),"")</f>
        <v/>
      </c>
      <c r="M40" s="505"/>
      <c r="N40" s="505" t="str">
        <f>IF(AND('Mapa de Riesgos'!$H$43="Muy Baja",'Mapa de Riesgos'!$L$43="Leve"),CONCATENATE("R",'Mapa de Riesgos'!$A$43),"")</f>
        <v/>
      </c>
      <c r="O40" s="506"/>
      <c r="P40" s="507" t="str">
        <f>IF(AND('Mapa de Riesgos'!$H$30="Muy Baja",'Mapa de Riesgos'!$L$30="Menor"),CONCATENATE("R",'Mapa de Riesgos'!$A$30),"")</f>
        <v/>
      </c>
      <c r="Q40" s="505"/>
      <c r="R40" s="505" t="str">
        <f>IF(AND('Mapa de Riesgos'!$H$37="Muy Baja",'Mapa de Riesgos'!$L$37="Menor"),CONCATENATE("R",'Mapa de Riesgos'!$A$37),"")</f>
        <v/>
      </c>
      <c r="S40" s="505"/>
      <c r="T40" s="505" t="str">
        <f>IF(AND('Mapa de Riesgos'!$H$43="Muy Baja",'Mapa de Riesgos'!$L$43="Menor"),CONCATENATE("R",'Mapa de Riesgos'!$A$43),"")</f>
        <v/>
      </c>
      <c r="U40" s="506"/>
      <c r="V40" s="496" t="str">
        <f>IF(AND('Mapa de Riesgos'!$H$30="Muy Baja",'Mapa de Riesgos'!$L$30="Moderado"),CONCATENATE("R",'Mapa de Riesgos'!$A$30),"")</f>
        <v/>
      </c>
      <c r="W40" s="497"/>
      <c r="X40" s="497" t="str">
        <f>IF(AND('Mapa de Riesgos'!$H$37="Muy Baja",'Mapa de Riesgos'!$L$37="Moderado"),CONCATENATE("R",'Mapa de Riesgos'!$A$37),"")</f>
        <v/>
      </c>
      <c r="Y40" s="497"/>
      <c r="Z40" s="497" t="str">
        <f>IF(AND('Mapa de Riesgos'!$H$43="Muy Baja",'Mapa de Riesgos'!$L$43="Moderado"),CONCATENATE("R",'Mapa de Riesgos'!$A$43),"")</f>
        <v/>
      </c>
      <c r="AA40" s="498"/>
      <c r="AB40" s="480" t="str">
        <f>IF(AND('Mapa de Riesgos'!$H$30="Muy Baja",'Mapa de Riesgos'!$L$30="Mayor"),CONCATENATE("R",'Mapa de Riesgos'!$A$30),"")</f>
        <v/>
      </c>
      <c r="AC40" s="476"/>
      <c r="AD40" s="476" t="str">
        <f>IF(AND('Mapa de Riesgos'!$H$37="Muy Baja",'Mapa de Riesgos'!$L$37="Mayor"),CONCATENATE("R",'Mapa de Riesgos'!$A$37),"")</f>
        <v/>
      </c>
      <c r="AE40" s="476"/>
      <c r="AF40" s="476" t="str">
        <f>IF(AND('Mapa de Riesgos'!$H$43="Muy Baja",'Mapa de Riesgos'!$L$43="Mayor"),CONCATENATE("R",'Mapa de Riesgos'!$A$43),"")</f>
        <v/>
      </c>
      <c r="AG40" s="477"/>
      <c r="AH40" s="487" t="str">
        <f>IF(AND('Mapa de Riesgos'!$H$30="Muy Baja",'Mapa de Riesgos'!$L$30="Catastrófico"),CONCATENATE("R",'Mapa de Riesgos'!$A$30),"")</f>
        <v/>
      </c>
      <c r="AI40" s="488"/>
      <c r="AJ40" s="488" t="str">
        <f>IF(AND('Mapa de Riesgos'!$H$37="Muy Baja",'Mapa de Riesgos'!$L$37="Catastrófico"),CONCATENATE("R",'Mapa de Riesgos'!$A$37),"")</f>
        <v/>
      </c>
      <c r="AK40" s="488"/>
      <c r="AL40" s="488" t="str">
        <f>IF(AND('Mapa de Riesgos'!$H$43="Muy Baja",'Mapa de Riesgos'!$L$43="Catastrófico"),CONCATENATE("R",'Mapa de Riesgos'!$A$43),"")</f>
        <v/>
      </c>
      <c r="AM40" s="48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29"/>
      <c r="C41" s="429"/>
      <c r="D41" s="430"/>
      <c r="E41" s="470"/>
      <c r="F41" s="471"/>
      <c r="G41" s="471"/>
      <c r="H41" s="471"/>
      <c r="I41" s="472"/>
      <c r="J41" s="507"/>
      <c r="K41" s="505"/>
      <c r="L41" s="505"/>
      <c r="M41" s="505"/>
      <c r="N41" s="505"/>
      <c r="O41" s="506"/>
      <c r="P41" s="507"/>
      <c r="Q41" s="505"/>
      <c r="R41" s="505"/>
      <c r="S41" s="505"/>
      <c r="T41" s="505"/>
      <c r="U41" s="506"/>
      <c r="V41" s="496"/>
      <c r="W41" s="497"/>
      <c r="X41" s="497"/>
      <c r="Y41" s="497"/>
      <c r="Z41" s="497"/>
      <c r="AA41" s="498"/>
      <c r="AB41" s="480"/>
      <c r="AC41" s="476"/>
      <c r="AD41" s="476"/>
      <c r="AE41" s="476"/>
      <c r="AF41" s="476"/>
      <c r="AG41" s="477"/>
      <c r="AH41" s="487"/>
      <c r="AI41" s="488"/>
      <c r="AJ41" s="488"/>
      <c r="AK41" s="488"/>
      <c r="AL41" s="488"/>
      <c r="AM41" s="48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29"/>
      <c r="C42" s="429"/>
      <c r="D42" s="430"/>
      <c r="E42" s="470"/>
      <c r="F42" s="471"/>
      <c r="G42" s="471"/>
      <c r="H42" s="471"/>
      <c r="I42" s="472"/>
      <c r="J42" s="507" t="str">
        <f>IF(AND('Mapa de Riesgos'!$H$49="Muy Baja",'Mapa de Riesgos'!$L$49="Leve"),CONCATENATE("R",'Mapa de Riesgos'!$A$49),"")</f>
        <v/>
      </c>
      <c r="K42" s="505"/>
      <c r="L42" s="505" t="str">
        <f>IF(AND('Mapa de Riesgos'!$H$55="Muy Baja",'Mapa de Riesgos'!$L$55="Leve"),CONCATENATE("R",'Mapa de Riesgos'!$A$55),"")</f>
        <v/>
      </c>
      <c r="M42" s="505"/>
      <c r="N42" s="505" t="str">
        <f>IF(AND('Mapa de Riesgos'!$H$61="Muy Baja",'Mapa de Riesgos'!$L$61="Leve"),CONCATENATE("R",'Mapa de Riesgos'!$A$61),"")</f>
        <v/>
      </c>
      <c r="O42" s="506"/>
      <c r="P42" s="507" t="str">
        <f>IF(AND('Mapa de Riesgos'!$H$49="Muy Baja",'Mapa de Riesgos'!$L$49="Menor"),CONCATENATE("R",'Mapa de Riesgos'!$A$49),"")</f>
        <v/>
      </c>
      <c r="Q42" s="505"/>
      <c r="R42" s="505" t="str">
        <f>IF(AND('Mapa de Riesgos'!$H$55="Muy Baja",'Mapa de Riesgos'!$L$55="Menor"),CONCATENATE("R",'Mapa de Riesgos'!$A$55),"")</f>
        <v/>
      </c>
      <c r="S42" s="505"/>
      <c r="T42" s="505" t="str">
        <f>IF(AND('Mapa de Riesgos'!$H$61="Muy Baja",'Mapa de Riesgos'!$L$61="Menor"),CONCATENATE("R",'Mapa de Riesgos'!$A$61),"")</f>
        <v/>
      </c>
      <c r="U42" s="506"/>
      <c r="V42" s="496" t="str">
        <f>IF(AND('Mapa de Riesgos'!$H$49="Muy Baja",'Mapa de Riesgos'!$L$49="Moderado"),CONCATENATE("R",'Mapa de Riesgos'!$A$49),"")</f>
        <v/>
      </c>
      <c r="W42" s="497"/>
      <c r="X42" s="497" t="str">
        <f>IF(AND('Mapa de Riesgos'!$H$55="Muy Baja",'Mapa de Riesgos'!$L$55="Moderado"),CONCATENATE("R",'Mapa de Riesgos'!$A$55),"")</f>
        <v/>
      </c>
      <c r="Y42" s="497"/>
      <c r="Z42" s="497" t="str">
        <f>IF(AND('Mapa de Riesgos'!$H$61="Muy Baja",'Mapa de Riesgos'!$L$61="Moderado"),CONCATENATE("R",'Mapa de Riesgos'!$A$61),"")</f>
        <v/>
      </c>
      <c r="AA42" s="498"/>
      <c r="AB42" s="480" t="str">
        <f>IF(AND('Mapa de Riesgos'!$H$49="Muy Baja",'Mapa de Riesgos'!$L$49="Mayor"),CONCATENATE("R",'Mapa de Riesgos'!$A$49),"")</f>
        <v/>
      </c>
      <c r="AC42" s="476"/>
      <c r="AD42" s="476" t="str">
        <f>IF(AND('Mapa de Riesgos'!$H$55="Muy Baja",'Mapa de Riesgos'!$L$55="Mayor"),CONCATENATE("R",'Mapa de Riesgos'!$A$55),"")</f>
        <v/>
      </c>
      <c r="AE42" s="476"/>
      <c r="AF42" s="476" t="str">
        <f>IF(AND('Mapa de Riesgos'!$H$61="Muy Baja",'Mapa de Riesgos'!$L$61="Mayor"),CONCATENATE("R",'Mapa de Riesgos'!$A$61),"")</f>
        <v/>
      </c>
      <c r="AG42" s="477"/>
      <c r="AH42" s="487" t="str">
        <f>IF(AND('Mapa de Riesgos'!$H$49="Muy Baja",'Mapa de Riesgos'!$L$49="Catastrófico"),CONCATENATE("R",'Mapa de Riesgos'!$A$49),"")</f>
        <v/>
      </c>
      <c r="AI42" s="488"/>
      <c r="AJ42" s="488" t="str">
        <f>IF(AND('Mapa de Riesgos'!$H$55="Muy Baja",'Mapa de Riesgos'!$L$55="Catastrófico"),CONCATENATE("R",'Mapa de Riesgos'!$A$55),"")</f>
        <v/>
      </c>
      <c r="AK42" s="488"/>
      <c r="AL42" s="488" t="str">
        <f>IF(AND('Mapa de Riesgos'!$H$61="Muy Baja",'Mapa de Riesgos'!$L$61="Catastrófico"),CONCATENATE("R",'Mapa de Riesgos'!$A$61),"")</f>
        <v/>
      </c>
      <c r="AM42" s="48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29"/>
      <c r="C43" s="429"/>
      <c r="D43" s="430"/>
      <c r="E43" s="470"/>
      <c r="F43" s="471"/>
      <c r="G43" s="471"/>
      <c r="H43" s="471"/>
      <c r="I43" s="472"/>
      <c r="J43" s="507"/>
      <c r="K43" s="505"/>
      <c r="L43" s="505"/>
      <c r="M43" s="505"/>
      <c r="N43" s="505"/>
      <c r="O43" s="506"/>
      <c r="P43" s="507"/>
      <c r="Q43" s="505"/>
      <c r="R43" s="505"/>
      <c r="S43" s="505"/>
      <c r="T43" s="505"/>
      <c r="U43" s="506"/>
      <c r="V43" s="496"/>
      <c r="W43" s="497"/>
      <c r="X43" s="497"/>
      <c r="Y43" s="497"/>
      <c r="Z43" s="497"/>
      <c r="AA43" s="498"/>
      <c r="AB43" s="480"/>
      <c r="AC43" s="476"/>
      <c r="AD43" s="476"/>
      <c r="AE43" s="476"/>
      <c r="AF43" s="476"/>
      <c r="AG43" s="477"/>
      <c r="AH43" s="487"/>
      <c r="AI43" s="488"/>
      <c r="AJ43" s="488"/>
      <c r="AK43" s="488"/>
      <c r="AL43" s="488"/>
      <c r="AM43" s="48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29"/>
      <c r="C44" s="429"/>
      <c r="D44" s="430"/>
      <c r="E44" s="470"/>
      <c r="F44" s="471"/>
      <c r="G44" s="471"/>
      <c r="H44" s="471"/>
      <c r="I44" s="472"/>
      <c r="J44" s="507" t="str">
        <f>IF(AND('Mapa de Riesgos'!$H$67="Muy Baja",'Mapa de Riesgos'!$L$67="Leve"),CONCATENATE("R",'Mapa de Riesgos'!$A$67),"")</f>
        <v/>
      </c>
      <c r="K44" s="505"/>
      <c r="L44" s="505" t="str">
        <f>IF(AND('Mapa de Riesgos'!$H$73="Muy Baja",'Mapa de Riesgos'!$L$73="Leve"),CONCATENATE("R",'Mapa de Riesgos'!#REF!),"")</f>
        <v/>
      </c>
      <c r="M44" s="505"/>
      <c r="N44" s="505" t="str">
        <f>IF(AND('Mapa de Riesgos'!$H$79="Muy Baja",'Mapa de Riesgos'!$L$79="Leve"),CONCATENATE("R",'Mapa de Riesgos'!$A$79),"")</f>
        <v/>
      </c>
      <c r="O44" s="506"/>
      <c r="P44" s="507" t="str">
        <f>IF(AND('Mapa de Riesgos'!$H$67="Muy Baja",'Mapa de Riesgos'!$L$67="Menor"),CONCATENATE("R",'Mapa de Riesgos'!$A$67),"")</f>
        <v/>
      </c>
      <c r="Q44" s="505"/>
      <c r="R44" s="505" t="str">
        <f>IF(AND('Mapa de Riesgos'!$H$73="Muy Baja",'Mapa de Riesgos'!$L$73="Menor"),CONCATENATE("R",'Mapa de Riesgos'!#REF!),"")</f>
        <v/>
      </c>
      <c r="S44" s="505"/>
      <c r="T44" s="505" t="str">
        <f>IF(AND('Mapa de Riesgos'!$H$79="Muy Baja",'Mapa de Riesgos'!$L$79="Menor"),CONCATENATE("R",'Mapa de Riesgos'!$A$79),"")</f>
        <v/>
      </c>
      <c r="U44" s="506"/>
      <c r="V44" s="496" t="str">
        <f>IF(AND('Mapa de Riesgos'!$H$67="Muy Baja",'Mapa de Riesgos'!$L$67="Moderado"),CONCATENATE("R",'Mapa de Riesgos'!$A$67),"")</f>
        <v/>
      </c>
      <c r="W44" s="497"/>
      <c r="X44" s="497" t="str">
        <f>IF(AND('Mapa de Riesgos'!$H$73="Muy Baja",'Mapa de Riesgos'!$L$73="Moderado"),CONCATENATE("R",'Mapa de Riesgos'!#REF!),"")</f>
        <v/>
      </c>
      <c r="Y44" s="497"/>
      <c r="Z44" s="497" t="str">
        <f>IF(AND('Mapa de Riesgos'!$H$79="Muy Baja",'Mapa de Riesgos'!$L$79="Moderado"),CONCATENATE("R",'Mapa de Riesgos'!$A$79),"")</f>
        <v/>
      </c>
      <c r="AA44" s="498"/>
      <c r="AB44" s="480" t="str">
        <f>IF(AND('Mapa de Riesgos'!$H$67="Muy Baja",'Mapa de Riesgos'!$L$67="Mayor"),CONCATENATE("R",'Mapa de Riesgos'!$A$67),"")</f>
        <v/>
      </c>
      <c r="AC44" s="476"/>
      <c r="AD44" s="476" t="str">
        <f>IF(AND('Mapa de Riesgos'!$H$73="Muy Baja",'Mapa de Riesgos'!$L$73="Mayor"),CONCATENATE("R",'Mapa de Riesgos'!#REF!),"")</f>
        <v/>
      </c>
      <c r="AE44" s="476"/>
      <c r="AF44" s="476" t="str">
        <f>IF(AND('Mapa de Riesgos'!$H$79="Muy Baja",'Mapa de Riesgos'!$L$79="Mayor"),CONCATENATE("R",'Mapa de Riesgos'!$A$79),"")</f>
        <v/>
      </c>
      <c r="AG44" s="477"/>
      <c r="AH44" s="487" t="str">
        <f>IF(AND('Mapa de Riesgos'!$H$67="Muy Baja",'Mapa de Riesgos'!$L$67="Catastrófico"),CONCATENATE("R",'Mapa de Riesgos'!$A$67),"")</f>
        <v/>
      </c>
      <c r="AI44" s="488"/>
      <c r="AJ44" s="488" t="str">
        <f>IF(AND('Mapa de Riesgos'!$H$73="Muy Baja",'Mapa de Riesgos'!$L$73="Catastrófico"),CONCATENATE("R",'Mapa de Riesgos'!#REF!),"")</f>
        <v/>
      </c>
      <c r="AK44" s="488"/>
      <c r="AL44" s="488" t="str">
        <f>IF(AND('Mapa de Riesgos'!$H$79="Muy Baja",'Mapa de Riesgos'!$L$79="Catastrófico"),CONCATENATE("R",'Mapa de Riesgos'!$A$79),"")</f>
        <v/>
      </c>
      <c r="AM44" s="48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29"/>
      <c r="C45" s="429"/>
      <c r="D45" s="430"/>
      <c r="E45" s="473"/>
      <c r="F45" s="474"/>
      <c r="G45" s="474"/>
      <c r="H45" s="474"/>
      <c r="I45" s="475"/>
      <c r="J45" s="508"/>
      <c r="K45" s="509"/>
      <c r="L45" s="509"/>
      <c r="M45" s="509"/>
      <c r="N45" s="509"/>
      <c r="O45" s="510"/>
      <c r="P45" s="508"/>
      <c r="Q45" s="509"/>
      <c r="R45" s="509"/>
      <c r="S45" s="509"/>
      <c r="T45" s="509"/>
      <c r="U45" s="510"/>
      <c r="V45" s="499"/>
      <c r="W45" s="500"/>
      <c r="X45" s="500"/>
      <c r="Y45" s="500"/>
      <c r="Z45" s="500"/>
      <c r="AA45" s="501"/>
      <c r="AB45" s="484"/>
      <c r="AC45" s="485"/>
      <c r="AD45" s="485"/>
      <c r="AE45" s="485"/>
      <c r="AF45" s="485"/>
      <c r="AG45" s="486"/>
      <c r="AH45" s="490"/>
      <c r="AI45" s="491"/>
      <c r="AJ45" s="491"/>
      <c r="AK45" s="491"/>
      <c r="AL45" s="491"/>
      <c r="AM45" s="49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67" t="s">
        <v>217</v>
      </c>
      <c r="K46" s="468"/>
      <c r="L46" s="468"/>
      <c r="M46" s="468"/>
      <c r="N46" s="468"/>
      <c r="O46" s="469"/>
      <c r="P46" s="467" t="s">
        <v>218</v>
      </c>
      <c r="Q46" s="468"/>
      <c r="R46" s="468"/>
      <c r="S46" s="468"/>
      <c r="T46" s="468"/>
      <c r="U46" s="469"/>
      <c r="V46" s="467" t="s">
        <v>219</v>
      </c>
      <c r="W46" s="468"/>
      <c r="X46" s="468"/>
      <c r="Y46" s="468"/>
      <c r="Z46" s="468"/>
      <c r="AA46" s="469"/>
      <c r="AB46" s="467" t="s">
        <v>220</v>
      </c>
      <c r="AC46" s="483"/>
      <c r="AD46" s="468"/>
      <c r="AE46" s="468"/>
      <c r="AF46" s="468"/>
      <c r="AG46" s="469"/>
      <c r="AH46" s="467" t="s">
        <v>221</v>
      </c>
      <c r="AI46" s="468"/>
      <c r="AJ46" s="468"/>
      <c r="AK46" s="468"/>
      <c r="AL46" s="468"/>
      <c r="AM46" s="46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70"/>
      <c r="K47" s="471"/>
      <c r="L47" s="471"/>
      <c r="M47" s="471"/>
      <c r="N47" s="471"/>
      <c r="O47" s="472"/>
      <c r="P47" s="470"/>
      <c r="Q47" s="471"/>
      <c r="R47" s="471"/>
      <c r="S47" s="471"/>
      <c r="T47" s="471"/>
      <c r="U47" s="472"/>
      <c r="V47" s="470"/>
      <c r="W47" s="471"/>
      <c r="X47" s="471"/>
      <c r="Y47" s="471"/>
      <c r="Z47" s="471"/>
      <c r="AA47" s="472"/>
      <c r="AB47" s="470"/>
      <c r="AC47" s="471"/>
      <c r="AD47" s="471"/>
      <c r="AE47" s="471"/>
      <c r="AF47" s="471"/>
      <c r="AG47" s="472"/>
      <c r="AH47" s="470"/>
      <c r="AI47" s="471"/>
      <c r="AJ47" s="471"/>
      <c r="AK47" s="471"/>
      <c r="AL47" s="471"/>
      <c r="AM47" s="47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70"/>
      <c r="K48" s="471"/>
      <c r="L48" s="471"/>
      <c r="M48" s="471"/>
      <c r="N48" s="471"/>
      <c r="O48" s="472"/>
      <c r="P48" s="470"/>
      <c r="Q48" s="471"/>
      <c r="R48" s="471"/>
      <c r="S48" s="471"/>
      <c r="T48" s="471"/>
      <c r="U48" s="472"/>
      <c r="V48" s="470"/>
      <c r="W48" s="471"/>
      <c r="X48" s="471"/>
      <c r="Y48" s="471"/>
      <c r="Z48" s="471"/>
      <c r="AA48" s="472"/>
      <c r="AB48" s="470"/>
      <c r="AC48" s="471"/>
      <c r="AD48" s="471"/>
      <c r="AE48" s="471"/>
      <c r="AF48" s="471"/>
      <c r="AG48" s="472"/>
      <c r="AH48" s="470"/>
      <c r="AI48" s="471"/>
      <c r="AJ48" s="471"/>
      <c r="AK48" s="471"/>
      <c r="AL48" s="471"/>
      <c r="AM48" s="47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70"/>
      <c r="K49" s="471"/>
      <c r="L49" s="471"/>
      <c r="M49" s="471"/>
      <c r="N49" s="471"/>
      <c r="O49" s="472"/>
      <c r="P49" s="470"/>
      <c r="Q49" s="471"/>
      <c r="R49" s="471"/>
      <c r="S49" s="471"/>
      <c r="T49" s="471"/>
      <c r="U49" s="472"/>
      <c r="V49" s="470"/>
      <c r="W49" s="471"/>
      <c r="X49" s="471"/>
      <c r="Y49" s="471"/>
      <c r="Z49" s="471"/>
      <c r="AA49" s="472"/>
      <c r="AB49" s="470"/>
      <c r="AC49" s="471"/>
      <c r="AD49" s="471"/>
      <c r="AE49" s="471"/>
      <c r="AF49" s="471"/>
      <c r="AG49" s="472"/>
      <c r="AH49" s="470"/>
      <c r="AI49" s="471"/>
      <c r="AJ49" s="471"/>
      <c r="AK49" s="471"/>
      <c r="AL49" s="471"/>
      <c r="AM49" s="47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70"/>
      <c r="K50" s="471"/>
      <c r="L50" s="471"/>
      <c r="M50" s="471"/>
      <c r="N50" s="471"/>
      <c r="O50" s="472"/>
      <c r="P50" s="470"/>
      <c r="Q50" s="471"/>
      <c r="R50" s="471"/>
      <c r="S50" s="471"/>
      <c r="T50" s="471"/>
      <c r="U50" s="472"/>
      <c r="V50" s="470"/>
      <c r="W50" s="471"/>
      <c r="X50" s="471"/>
      <c r="Y50" s="471"/>
      <c r="Z50" s="471"/>
      <c r="AA50" s="472"/>
      <c r="AB50" s="470"/>
      <c r="AC50" s="471"/>
      <c r="AD50" s="471"/>
      <c r="AE50" s="471"/>
      <c r="AF50" s="471"/>
      <c r="AG50" s="472"/>
      <c r="AH50" s="470"/>
      <c r="AI50" s="471"/>
      <c r="AJ50" s="471"/>
      <c r="AK50" s="471"/>
      <c r="AL50" s="471"/>
      <c r="AM50" s="47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73"/>
      <c r="K51" s="474"/>
      <c r="L51" s="474"/>
      <c r="M51" s="474"/>
      <c r="N51" s="474"/>
      <c r="O51" s="475"/>
      <c r="P51" s="473"/>
      <c r="Q51" s="474"/>
      <c r="R51" s="474"/>
      <c r="S51" s="474"/>
      <c r="T51" s="474"/>
      <c r="U51" s="475"/>
      <c r="V51" s="473"/>
      <c r="W51" s="474"/>
      <c r="X51" s="474"/>
      <c r="Y51" s="474"/>
      <c r="Z51" s="474"/>
      <c r="AA51" s="475"/>
      <c r="AB51" s="473"/>
      <c r="AC51" s="474"/>
      <c r="AD51" s="474"/>
      <c r="AE51" s="474"/>
      <c r="AF51" s="474"/>
      <c r="AG51" s="475"/>
      <c r="AH51" s="473"/>
      <c r="AI51" s="474"/>
      <c r="AJ51" s="474"/>
      <c r="AK51" s="474"/>
      <c r="AL51" s="474"/>
      <c r="AM51" s="47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3"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40" t="s">
        <v>222</v>
      </c>
      <c r="C2" s="541"/>
      <c r="D2" s="541"/>
      <c r="E2" s="541"/>
      <c r="F2" s="541"/>
      <c r="G2" s="541"/>
      <c r="H2" s="541"/>
      <c r="I2" s="541"/>
      <c r="J2" s="482" t="s">
        <v>23</v>
      </c>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41"/>
      <c r="C3" s="541"/>
      <c r="D3" s="541"/>
      <c r="E3" s="541"/>
      <c r="F3" s="541"/>
      <c r="G3" s="541"/>
      <c r="H3" s="541"/>
      <c r="I3" s="541"/>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41"/>
      <c r="C4" s="541"/>
      <c r="D4" s="541"/>
      <c r="E4" s="541"/>
      <c r="F4" s="541"/>
      <c r="G4" s="541"/>
      <c r="H4" s="541"/>
      <c r="I4" s="541"/>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29" t="s">
        <v>207</v>
      </c>
      <c r="C6" s="429"/>
      <c r="D6" s="430"/>
      <c r="E6" s="524" t="s">
        <v>208</v>
      </c>
      <c r="F6" s="525"/>
      <c r="G6" s="525"/>
      <c r="H6" s="525"/>
      <c r="I6" s="542"/>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31" t="s">
        <v>209</v>
      </c>
      <c r="AP6" s="532"/>
      <c r="AQ6" s="532"/>
      <c r="AR6" s="532"/>
      <c r="AS6" s="532"/>
      <c r="AT6" s="53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29"/>
      <c r="C7" s="429"/>
      <c r="D7" s="430"/>
      <c r="E7" s="528"/>
      <c r="F7" s="527"/>
      <c r="G7" s="527"/>
      <c r="H7" s="527"/>
      <c r="I7" s="543"/>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34"/>
      <c r="AP7" s="535"/>
      <c r="AQ7" s="535"/>
      <c r="AR7" s="535"/>
      <c r="AS7" s="535"/>
      <c r="AT7" s="53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29"/>
      <c r="C8" s="429"/>
      <c r="D8" s="430"/>
      <c r="E8" s="528"/>
      <c r="F8" s="527"/>
      <c r="G8" s="527"/>
      <c r="H8" s="527"/>
      <c r="I8" s="543"/>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34"/>
      <c r="AP8" s="535"/>
      <c r="AQ8" s="535"/>
      <c r="AR8" s="535"/>
      <c r="AS8" s="535"/>
      <c r="AT8" s="53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29"/>
      <c r="C9" s="429"/>
      <c r="D9" s="430"/>
      <c r="E9" s="528"/>
      <c r="F9" s="527"/>
      <c r="G9" s="527"/>
      <c r="H9" s="527"/>
      <c r="I9" s="543"/>
      <c r="J9" s="52" t="str">
        <f>IF(AND('Mapa de Riesgos'!$Y$30="Muy Alta",'Mapa de Riesgos'!$AA$30="Leve"),CONCATENATE("R4C",'Mapa de Riesgos'!$O$30),"")</f>
        <v/>
      </c>
      <c r="K9" s="53" t="str">
        <f>IF(AND('Mapa de Riesgos'!$Y$32="Muy Alta",'Mapa de Riesgos'!$AA$32="Leve"),CONCATENATE("R4C",'Mapa de Riesgos'!$O$32),"")</f>
        <v/>
      </c>
      <c r="L9" s="53" t="str">
        <f>IF(AND('Mapa de Riesgos'!$Y$33="Muy Alta",'Mapa de Riesgos'!$AA$33="Leve"),CONCATENATE("R4C",'Mapa de Riesgos'!$O$33),"")</f>
        <v/>
      </c>
      <c r="M9" s="53" t="str">
        <f>IF(AND('Mapa de Riesgos'!$Y$34="Muy Alta",'Mapa de Riesgos'!$AA$34="Leve"),CONCATENATE("R4C",'Mapa de Riesgos'!$O$34),"")</f>
        <v/>
      </c>
      <c r="N9" s="53" t="str">
        <f>IF(AND('Mapa de Riesgos'!$Y$35="Muy Alta",'Mapa de Riesgos'!$AA$35="Leve"),CONCATENATE("R4C",'Mapa de Riesgos'!$O$35),"")</f>
        <v/>
      </c>
      <c r="O9" s="54" t="str">
        <f>IF(AND('Mapa de Riesgos'!$Y$36="Muy Alta",'Mapa de Riesgos'!$AA$36="Leve"),CONCATENATE("R4C",'Mapa de Riesgos'!$O$36),"")</f>
        <v/>
      </c>
      <c r="P9" s="52" t="str">
        <f>IF(AND('Mapa de Riesgos'!$Y$30="Muy Alta",'Mapa de Riesgos'!$AA$30="Menor"),CONCATENATE("R4C",'Mapa de Riesgos'!$O$30),"")</f>
        <v/>
      </c>
      <c r="Q9" s="53" t="str">
        <f>IF(AND('Mapa de Riesgos'!$Y$32="Muy Alta",'Mapa de Riesgos'!$AA$32="Menor"),CONCATENATE("R4C",'Mapa de Riesgos'!$O$32),"")</f>
        <v/>
      </c>
      <c r="R9" s="53" t="str">
        <f>IF(AND('Mapa de Riesgos'!$Y$33="Muy Alta",'Mapa de Riesgos'!$AA$33="Menor"),CONCATENATE("R4C",'Mapa de Riesgos'!$O$33),"")</f>
        <v/>
      </c>
      <c r="S9" s="53" t="str">
        <f>IF(AND('Mapa de Riesgos'!$Y$34="Muy Alta",'Mapa de Riesgos'!$AA$34="Menor"),CONCATENATE("R4C",'Mapa de Riesgos'!$O$34),"")</f>
        <v/>
      </c>
      <c r="T9" s="53" t="str">
        <f>IF(AND('Mapa de Riesgos'!$Y$35="Muy Alta",'Mapa de Riesgos'!$AA$35="Menor"),CONCATENATE("R4C",'Mapa de Riesgos'!$O$35),"")</f>
        <v/>
      </c>
      <c r="U9" s="54" t="str">
        <f>IF(AND('Mapa de Riesgos'!$Y$36="Muy Alta",'Mapa de Riesgos'!$AA$36="Menor"),CONCATENATE("R4C",'Mapa de Riesgos'!$O$36),"")</f>
        <v/>
      </c>
      <c r="V9" s="52" t="str">
        <f>IF(AND('Mapa de Riesgos'!$Y$30="Muy Alta",'Mapa de Riesgos'!$AA$30="Moderado"),CONCATENATE("R4C",'Mapa de Riesgos'!$O$30),"")</f>
        <v/>
      </c>
      <c r="W9" s="53" t="str">
        <f>IF(AND('Mapa de Riesgos'!$Y$32="Muy Alta",'Mapa de Riesgos'!$AA$32="Moderado"),CONCATENATE("R4C",'Mapa de Riesgos'!$O$32),"")</f>
        <v/>
      </c>
      <c r="X9" s="53" t="str">
        <f>IF(AND('Mapa de Riesgos'!$Y$33="Muy Alta",'Mapa de Riesgos'!$AA$33="Moderado"),CONCATENATE("R4C",'Mapa de Riesgos'!$O$33),"")</f>
        <v/>
      </c>
      <c r="Y9" s="53" t="str">
        <f>IF(AND('Mapa de Riesgos'!$Y$34="Muy Alta",'Mapa de Riesgos'!$AA$34="Moderado"),CONCATENATE("R4C",'Mapa de Riesgos'!$O$34),"")</f>
        <v/>
      </c>
      <c r="Z9" s="53" t="str">
        <f>IF(AND('Mapa de Riesgos'!$Y$35="Muy Alta",'Mapa de Riesgos'!$AA$35="Moderado"),CONCATENATE("R4C",'Mapa de Riesgos'!$O$35),"")</f>
        <v/>
      </c>
      <c r="AA9" s="54" t="str">
        <f>IF(AND('Mapa de Riesgos'!$Y$36="Muy Alta",'Mapa de Riesgos'!$AA$36="Moderado"),CONCATENATE("R4C",'Mapa de Riesgos'!$O$36),"")</f>
        <v/>
      </c>
      <c r="AB9" s="52" t="str">
        <f>IF(AND('Mapa de Riesgos'!$Y$30="Muy Alta",'Mapa de Riesgos'!$AA$30="Mayor"),CONCATENATE("R4C",'Mapa de Riesgos'!$O$30),"")</f>
        <v/>
      </c>
      <c r="AC9" s="53" t="str">
        <f>IF(AND('Mapa de Riesgos'!$Y$32="Muy Alta",'Mapa de Riesgos'!$AA$32="Mayor"),CONCATENATE("R4C",'Mapa de Riesgos'!$O$32),"")</f>
        <v/>
      </c>
      <c r="AD9" s="53" t="str">
        <f>IF(AND('Mapa de Riesgos'!$Y$33="Muy Alta",'Mapa de Riesgos'!$AA$33="Mayor"),CONCATENATE("R4C",'Mapa de Riesgos'!$O$33),"")</f>
        <v/>
      </c>
      <c r="AE9" s="53" t="str">
        <f>IF(AND('Mapa de Riesgos'!$Y$34="Muy Alta",'Mapa de Riesgos'!$AA$34="Mayor"),CONCATENATE("R4C",'Mapa de Riesgos'!$O$34),"")</f>
        <v/>
      </c>
      <c r="AF9" s="53" t="str">
        <f>IF(AND('Mapa de Riesgos'!$Y$35="Muy Alta",'Mapa de Riesgos'!$AA$35="Mayor"),CONCATENATE("R4C",'Mapa de Riesgos'!$O$35),"")</f>
        <v/>
      </c>
      <c r="AG9" s="54" t="str">
        <f>IF(AND('Mapa de Riesgos'!$Y$36="Muy Alta",'Mapa de Riesgos'!$AA$36="Mayor"),CONCATENATE("R4C",'Mapa de Riesgos'!$O$36),"")</f>
        <v/>
      </c>
      <c r="AH9" s="55" t="str">
        <f>IF(AND('Mapa de Riesgos'!$Y$30="Muy Alta",'Mapa de Riesgos'!$AA$30="Catastrófico"),CONCATENATE("R4C",'Mapa de Riesgos'!$O$30),"")</f>
        <v/>
      </c>
      <c r="AI9" s="56" t="str">
        <f>IF(AND('Mapa de Riesgos'!$Y$32="Muy Alta",'Mapa de Riesgos'!$AA$32="Catastrófico"),CONCATENATE("R4C",'Mapa de Riesgos'!$O$32),"")</f>
        <v/>
      </c>
      <c r="AJ9" s="56" t="str">
        <f>IF(AND('Mapa de Riesgos'!$Y$33="Muy Alta",'Mapa de Riesgos'!$AA$33="Catastrófico"),CONCATENATE("R4C",'Mapa de Riesgos'!$O$33),"")</f>
        <v/>
      </c>
      <c r="AK9" s="56" t="str">
        <f>IF(AND('Mapa de Riesgos'!$Y$34="Muy Alta",'Mapa de Riesgos'!$AA$34="Catastrófico"),CONCATENATE("R4C",'Mapa de Riesgos'!$O$34),"")</f>
        <v/>
      </c>
      <c r="AL9" s="56" t="str">
        <f>IF(AND('Mapa de Riesgos'!$Y$35="Muy Alta",'Mapa de Riesgos'!$AA$35="Catastrófico"),CONCATENATE("R4C",'Mapa de Riesgos'!$O$35),"")</f>
        <v/>
      </c>
      <c r="AM9" s="57" t="str">
        <f>IF(AND('Mapa de Riesgos'!$Y$36="Muy Alta",'Mapa de Riesgos'!$AA$36="Catastrófico"),CONCATENATE("R4C",'Mapa de Riesgos'!$O$36),"")</f>
        <v/>
      </c>
      <c r="AN9" s="83"/>
      <c r="AO9" s="534"/>
      <c r="AP9" s="535"/>
      <c r="AQ9" s="535"/>
      <c r="AR9" s="535"/>
      <c r="AS9" s="535"/>
      <c r="AT9" s="53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29"/>
      <c r="C10" s="429"/>
      <c r="D10" s="430"/>
      <c r="E10" s="528"/>
      <c r="F10" s="527"/>
      <c r="G10" s="527"/>
      <c r="H10" s="527"/>
      <c r="I10" s="543"/>
      <c r="J10" s="52" t="str">
        <f>IF(AND('Mapa de Riesgos'!$Y$37="Muy Alta",'Mapa de Riesgos'!$AA$37="Leve"),CONCATENATE("R5C",'Mapa de Riesgos'!$O$37),"")</f>
        <v/>
      </c>
      <c r="K10" s="53" t="str">
        <f>IF(AND('Mapa de Riesgos'!$Y$38="Muy Alta",'Mapa de Riesgos'!$AA$38="Leve"),CONCATENATE("R5C",'Mapa de Riesgos'!$O$38),"")</f>
        <v/>
      </c>
      <c r="L10" s="53" t="str">
        <f>IF(AND('Mapa de Riesgos'!$Y$39="Muy Alta",'Mapa de Riesgos'!$AA$39="Leve"),CONCATENATE("R5C",'Mapa de Riesgos'!$O$39),"")</f>
        <v/>
      </c>
      <c r="M10" s="53" t="str">
        <f>IF(AND('Mapa de Riesgos'!$Y$40="Muy Alta",'Mapa de Riesgos'!$AA$40="Leve"),CONCATENATE("R5C",'Mapa de Riesgos'!$O$40),"")</f>
        <v/>
      </c>
      <c r="N10" s="53" t="str">
        <f>IF(AND('Mapa de Riesgos'!$Y$41="Muy Alta",'Mapa de Riesgos'!$AA$41="Leve"),CONCATENATE("R5C",'Mapa de Riesgos'!$O$41),"")</f>
        <v/>
      </c>
      <c r="O10" s="54" t="str">
        <f>IF(AND('Mapa de Riesgos'!$Y$42="Muy Alta",'Mapa de Riesgos'!$AA$42="Leve"),CONCATENATE("R5C",'Mapa de Riesgos'!$O$42),"")</f>
        <v/>
      </c>
      <c r="P10" s="52" t="str">
        <f>IF(AND('Mapa de Riesgos'!$Y$37="Muy Alta",'Mapa de Riesgos'!$AA$37="Menor"),CONCATENATE("R5C",'Mapa de Riesgos'!$O$37),"")</f>
        <v/>
      </c>
      <c r="Q10" s="53" t="str">
        <f>IF(AND('Mapa de Riesgos'!$Y$38="Muy Alta",'Mapa de Riesgos'!$AA$38="Menor"),CONCATENATE("R5C",'Mapa de Riesgos'!$O$38),"")</f>
        <v/>
      </c>
      <c r="R10" s="53" t="str">
        <f>IF(AND('Mapa de Riesgos'!$Y$39="Muy Alta",'Mapa de Riesgos'!$AA$39="Menor"),CONCATENATE("R5C",'Mapa de Riesgos'!$O$39),"")</f>
        <v/>
      </c>
      <c r="S10" s="53" t="str">
        <f>IF(AND('Mapa de Riesgos'!$Y$40="Muy Alta",'Mapa de Riesgos'!$AA$40="Menor"),CONCATENATE("R5C",'Mapa de Riesgos'!$O$40),"")</f>
        <v/>
      </c>
      <c r="T10" s="53" t="str">
        <f>IF(AND('Mapa de Riesgos'!$Y$41="Muy Alta",'Mapa de Riesgos'!$AA$41="Menor"),CONCATENATE("R5C",'Mapa de Riesgos'!$O$41),"")</f>
        <v/>
      </c>
      <c r="U10" s="54" t="str">
        <f>IF(AND('Mapa de Riesgos'!$Y$42="Muy Alta",'Mapa de Riesgos'!$AA$42="Menor"),CONCATENATE("R5C",'Mapa de Riesgos'!$O$42),"")</f>
        <v/>
      </c>
      <c r="V10" s="52" t="str">
        <f>IF(AND('Mapa de Riesgos'!$Y$37="Muy Alta",'Mapa de Riesgos'!$AA$37="Moderado"),CONCATENATE("R5C",'Mapa de Riesgos'!$O$37),"")</f>
        <v/>
      </c>
      <c r="W10" s="53" t="str">
        <f>IF(AND('Mapa de Riesgos'!$Y$38="Muy Alta",'Mapa de Riesgos'!$AA$38="Moderado"),CONCATENATE("R5C",'Mapa de Riesgos'!$O$38),"")</f>
        <v/>
      </c>
      <c r="X10" s="53" t="str">
        <f>IF(AND('Mapa de Riesgos'!$Y$39="Muy Alta",'Mapa de Riesgos'!$AA$39="Moderado"),CONCATENATE("R5C",'Mapa de Riesgos'!$O$39),"")</f>
        <v/>
      </c>
      <c r="Y10" s="53" t="str">
        <f>IF(AND('Mapa de Riesgos'!$Y$40="Muy Alta",'Mapa de Riesgos'!$AA$40="Moderado"),CONCATENATE("R5C",'Mapa de Riesgos'!$O$40),"")</f>
        <v/>
      </c>
      <c r="Z10" s="53" t="str">
        <f>IF(AND('Mapa de Riesgos'!$Y$41="Muy Alta",'Mapa de Riesgos'!$AA$41="Moderado"),CONCATENATE("R5C",'Mapa de Riesgos'!$O$41),"")</f>
        <v/>
      </c>
      <c r="AA10" s="54" t="str">
        <f>IF(AND('Mapa de Riesgos'!$Y$42="Muy Alta",'Mapa de Riesgos'!$AA$42="Moderado"),CONCATENATE("R5C",'Mapa de Riesgos'!$O$42),"")</f>
        <v/>
      </c>
      <c r="AB10" s="52" t="str">
        <f>IF(AND('Mapa de Riesgos'!$Y$37="Muy Alta",'Mapa de Riesgos'!$AA$37="Mayor"),CONCATENATE("R5C",'Mapa de Riesgos'!$O$37),"")</f>
        <v/>
      </c>
      <c r="AC10" s="53" t="str">
        <f>IF(AND('Mapa de Riesgos'!$Y$38="Muy Alta",'Mapa de Riesgos'!$AA$38="Mayor"),CONCATENATE("R5C",'Mapa de Riesgos'!$O$38),"")</f>
        <v/>
      </c>
      <c r="AD10" s="53" t="str">
        <f>IF(AND('Mapa de Riesgos'!$Y$39="Muy Alta",'Mapa de Riesgos'!$AA$39="Mayor"),CONCATENATE("R5C",'Mapa de Riesgos'!$O$39),"")</f>
        <v/>
      </c>
      <c r="AE10" s="53" t="str">
        <f>IF(AND('Mapa de Riesgos'!$Y$40="Muy Alta",'Mapa de Riesgos'!$AA$40="Mayor"),CONCATENATE("R5C",'Mapa de Riesgos'!$O$40),"")</f>
        <v/>
      </c>
      <c r="AF10" s="53" t="str">
        <f>IF(AND('Mapa de Riesgos'!$Y$41="Muy Alta",'Mapa de Riesgos'!$AA$41="Mayor"),CONCATENATE("R5C",'Mapa de Riesgos'!$O$41),"")</f>
        <v/>
      </c>
      <c r="AG10" s="54" t="str">
        <f>IF(AND('Mapa de Riesgos'!$Y$42="Muy Alta",'Mapa de Riesgos'!$AA$42="Mayor"),CONCATENATE("R5C",'Mapa de Riesgos'!$O$42),"")</f>
        <v/>
      </c>
      <c r="AH10" s="55" t="str">
        <f>IF(AND('Mapa de Riesgos'!$Y$37="Muy Alta",'Mapa de Riesgos'!$AA$37="Catastrófico"),CONCATENATE("R5C",'Mapa de Riesgos'!$O$37),"")</f>
        <v/>
      </c>
      <c r="AI10" s="56" t="str">
        <f>IF(AND('Mapa de Riesgos'!$Y$38="Muy Alta",'Mapa de Riesgos'!$AA$38="Catastrófico"),CONCATENATE("R5C",'Mapa de Riesgos'!$O$38),"")</f>
        <v/>
      </c>
      <c r="AJ10" s="56" t="str">
        <f>IF(AND('Mapa de Riesgos'!$Y$39="Muy Alta",'Mapa de Riesgos'!$AA$39="Catastrófico"),CONCATENATE("R5C",'Mapa de Riesgos'!$O$39),"")</f>
        <v/>
      </c>
      <c r="AK10" s="56" t="str">
        <f>IF(AND('Mapa de Riesgos'!$Y$40="Muy Alta",'Mapa de Riesgos'!$AA$40="Catastrófico"),CONCATENATE("R5C",'Mapa de Riesgos'!$O$40),"")</f>
        <v/>
      </c>
      <c r="AL10" s="56" t="str">
        <f>IF(AND('Mapa de Riesgos'!$Y$41="Muy Alta",'Mapa de Riesgos'!$AA$41="Catastrófico"),CONCATENATE("R5C",'Mapa de Riesgos'!$O$41),"")</f>
        <v/>
      </c>
      <c r="AM10" s="57" t="str">
        <f>IF(AND('Mapa de Riesgos'!$Y$42="Muy Alta",'Mapa de Riesgos'!$AA$42="Catastrófico"),CONCATENATE("R5C",'Mapa de Riesgos'!$O$42),"")</f>
        <v/>
      </c>
      <c r="AN10" s="83"/>
      <c r="AO10" s="534"/>
      <c r="AP10" s="535"/>
      <c r="AQ10" s="535"/>
      <c r="AR10" s="535"/>
      <c r="AS10" s="535"/>
      <c r="AT10" s="53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29"/>
      <c r="C11" s="429"/>
      <c r="D11" s="430"/>
      <c r="E11" s="528"/>
      <c r="F11" s="527"/>
      <c r="G11" s="527"/>
      <c r="H11" s="527"/>
      <c r="I11" s="543"/>
      <c r="J11" s="52" t="str">
        <f>IF(AND('Mapa de Riesgos'!$Y$43="Muy Alta",'Mapa de Riesgos'!$AA$43="Leve"),CONCATENATE("R6C",'Mapa de Riesgos'!$O$43),"")</f>
        <v/>
      </c>
      <c r="K11" s="53" t="str">
        <f>IF(AND('Mapa de Riesgos'!$Y$44="Muy Alta",'Mapa de Riesgos'!$AA$44="Leve"),CONCATENATE("R6C",'Mapa de Riesgos'!$O$44),"")</f>
        <v/>
      </c>
      <c r="L11" s="53" t="str">
        <f>IF(AND('Mapa de Riesgos'!$Y$45="Muy Alta",'Mapa de Riesgos'!$AA$45="Leve"),CONCATENATE("R6C",'Mapa de Riesgos'!$O$45),"")</f>
        <v/>
      </c>
      <c r="M11" s="53" t="str">
        <f>IF(AND('Mapa de Riesgos'!$Y$46="Muy Alta",'Mapa de Riesgos'!$AA$46="Leve"),CONCATENATE("R6C",'Mapa de Riesgos'!$O$46),"")</f>
        <v/>
      </c>
      <c r="N11" s="53" t="str">
        <f>IF(AND('Mapa de Riesgos'!$Y$47="Muy Alta",'Mapa de Riesgos'!$AA$47="Leve"),CONCATENATE("R6C",'Mapa de Riesgos'!$O$47),"")</f>
        <v/>
      </c>
      <c r="O11" s="54" t="str">
        <f>IF(AND('Mapa de Riesgos'!$Y$48="Muy Alta",'Mapa de Riesgos'!$AA$48="Leve"),CONCATENATE("R6C",'Mapa de Riesgos'!$O$48),"")</f>
        <v/>
      </c>
      <c r="P11" s="52" t="str">
        <f>IF(AND('Mapa de Riesgos'!$Y$43="Muy Alta",'Mapa de Riesgos'!$AA$43="Menor"),CONCATENATE("R6C",'Mapa de Riesgos'!$O$43),"")</f>
        <v/>
      </c>
      <c r="Q11" s="53" t="str">
        <f>IF(AND('Mapa de Riesgos'!$Y$44="Muy Alta",'Mapa de Riesgos'!$AA$44="Menor"),CONCATENATE("R6C",'Mapa de Riesgos'!$O$44),"")</f>
        <v/>
      </c>
      <c r="R11" s="53" t="str">
        <f>IF(AND('Mapa de Riesgos'!$Y$45="Muy Alta",'Mapa de Riesgos'!$AA$45="Menor"),CONCATENATE("R6C",'Mapa de Riesgos'!$O$45),"")</f>
        <v/>
      </c>
      <c r="S11" s="53" t="str">
        <f>IF(AND('Mapa de Riesgos'!$Y$46="Muy Alta",'Mapa de Riesgos'!$AA$46="Menor"),CONCATENATE("R6C",'Mapa de Riesgos'!$O$46),"")</f>
        <v/>
      </c>
      <c r="T11" s="53" t="str">
        <f>IF(AND('Mapa de Riesgos'!$Y$47="Muy Alta",'Mapa de Riesgos'!$AA$47="Menor"),CONCATENATE("R6C",'Mapa de Riesgos'!$O$47),"")</f>
        <v/>
      </c>
      <c r="U11" s="54" t="str">
        <f>IF(AND('Mapa de Riesgos'!$Y$48="Muy Alta",'Mapa de Riesgos'!$AA$48="Menor"),CONCATENATE("R6C",'Mapa de Riesgos'!$O$48),"")</f>
        <v/>
      </c>
      <c r="V11" s="52" t="str">
        <f>IF(AND('Mapa de Riesgos'!$Y$43="Muy Alta",'Mapa de Riesgos'!$AA$43="Moderado"),CONCATENATE("R6C",'Mapa de Riesgos'!$O$43),"")</f>
        <v/>
      </c>
      <c r="W11" s="53" t="str">
        <f>IF(AND('Mapa de Riesgos'!$Y$44="Muy Alta",'Mapa de Riesgos'!$AA$44="Moderado"),CONCATENATE("R6C",'Mapa de Riesgos'!$O$44),"")</f>
        <v/>
      </c>
      <c r="X11" s="53" t="str">
        <f>IF(AND('Mapa de Riesgos'!$Y$45="Muy Alta",'Mapa de Riesgos'!$AA$45="Moderado"),CONCATENATE("R6C",'Mapa de Riesgos'!$O$45),"")</f>
        <v/>
      </c>
      <c r="Y11" s="53" t="str">
        <f>IF(AND('Mapa de Riesgos'!$Y$46="Muy Alta",'Mapa de Riesgos'!$AA$46="Moderado"),CONCATENATE("R6C",'Mapa de Riesgos'!$O$46),"")</f>
        <v/>
      </c>
      <c r="Z11" s="53" t="str">
        <f>IF(AND('Mapa de Riesgos'!$Y$47="Muy Alta",'Mapa de Riesgos'!$AA$47="Moderado"),CONCATENATE("R6C",'Mapa de Riesgos'!$O$47),"")</f>
        <v/>
      </c>
      <c r="AA11" s="54" t="str">
        <f>IF(AND('Mapa de Riesgos'!$Y$48="Muy Alta",'Mapa de Riesgos'!$AA$48="Moderado"),CONCATENATE("R6C",'Mapa de Riesgos'!$O$48),"")</f>
        <v/>
      </c>
      <c r="AB11" s="52" t="str">
        <f>IF(AND('Mapa de Riesgos'!$Y$43="Muy Alta",'Mapa de Riesgos'!$AA$43="Mayor"),CONCATENATE("R6C",'Mapa de Riesgos'!$O$43),"")</f>
        <v/>
      </c>
      <c r="AC11" s="53" t="str">
        <f>IF(AND('Mapa de Riesgos'!$Y$44="Muy Alta",'Mapa de Riesgos'!$AA$44="Mayor"),CONCATENATE("R6C",'Mapa de Riesgos'!$O$44),"")</f>
        <v/>
      </c>
      <c r="AD11" s="53" t="str">
        <f>IF(AND('Mapa de Riesgos'!$Y$45="Muy Alta",'Mapa de Riesgos'!$AA$45="Mayor"),CONCATENATE("R6C",'Mapa de Riesgos'!$O$45),"")</f>
        <v/>
      </c>
      <c r="AE11" s="53" t="str">
        <f>IF(AND('Mapa de Riesgos'!$Y$46="Muy Alta",'Mapa de Riesgos'!$AA$46="Mayor"),CONCATENATE("R6C",'Mapa de Riesgos'!$O$46),"")</f>
        <v/>
      </c>
      <c r="AF11" s="53" t="str">
        <f>IF(AND('Mapa de Riesgos'!$Y$47="Muy Alta",'Mapa de Riesgos'!$AA$47="Mayor"),CONCATENATE("R6C",'Mapa de Riesgos'!$O$47),"")</f>
        <v/>
      </c>
      <c r="AG11" s="54" t="str">
        <f>IF(AND('Mapa de Riesgos'!$Y$48="Muy Alta",'Mapa de Riesgos'!$AA$48="Mayor"),CONCATENATE("R6C",'Mapa de Riesgos'!$O$48),"")</f>
        <v/>
      </c>
      <c r="AH11" s="55" t="str">
        <f>IF(AND('Mapa de Riesgos'!$Y$43="Muy Alta",'Mapa de Riesgos'!$AA$43="Catastrófico"),CONCATENATE("R6C",'Mapa de Riesgos'!$O$43),"")</f>
        <v/>
      </c>
      <c r="AI11" s="56" t="str">
        <f>IF(AND('Mapa de Riesgos'!$Y$44="Muy Alta",'Mapa de Riesgos'!$AA$44="Catastrófico"),CONCATENATE("R6C",'Mapa de Riesgos'!$O$44),"")</f>
        <v/>
      </c>
      <c r="AJ11" s="56" t="str">
        <f>IF(AND('Mapa de Riesgos'!$Y$45="Muy Alta",'Mapa de Riesgos'!$AA$45="Catastrófico"),CONCATENATE("R6C",'Mapa de Riesgos'!$O$45),"")</f>
        <v/>
      </c>
      <c r="AK11" s="56" t="str">
        <f>IF(AND('Mapa de Riesgos'!$Y$46="Muy Alta",'Mapa de Riesgos'!$AA$46="Catastrófico"),CONCATENATE("R6C",'Mapa de Riesgos'!$O$46),"")</f>
        <v/>
      </c>
      <c r="AL11" s="56" t="str">
        <f>IF(AND('Mapa de Riesgos'!$Y$47="Muy Alta",'Mapa de Riesgos'!$AA$47="Catastrófico"),CONCATENATE("R6C",'Mapa de Riesgos'!$O$47),"")</f>
        <v/>
      </c>
      <c r="AM11" s="57" t="str">
        <f>IF(AND('Mapa de Riesgos'!$Y$48="Muy Alta",'Mapa de Riesgos'!$AA$48="Catastrófico"),CONCATENATE("R6C",'Mapa de Riesgos'!$O$48),"")</f>
        <v/>
      </c>
      <c r="AN11" s="83"/>
      <c r="AO11" s="534"/>
      <c r="AP11" s="535"/>
      <c r="AQ11" s="535"/>
      <c r="AR11" s="535"/>
      <c r="AS11" s="535"/>
      <c r="AT11" s="53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29"/>
      <c r="C12" s="429"/>
      <c r="D12" s="430"/>
      <c r="E12" s="528"/>
      <c r="F12" s="527"/>
      <c r="G12" s="527"/>
      <c r="H12" s="527"/>
      <c r="I12" s="543"/>
      <c r="J12" s="52" t="str">
        <f>IF(AND('Mapa de Riesgos'!$Y$49="Muy Alta",'Mapa de Riesgos'!$AA$49="Leve"),CONCATENATE("R7C",'Mapa de Riesgos'!$O$49),"")</f>
        <v/>
      </c>
      <c r="K12" s="53" t="str">
        <f>IF(AND('Mapa de Riesgos'!$Y$50="Muy Alta",'Mapa de Riesgos'!$AA$50="Leve"),CONCATENATE("R7C",'Mapa de Riesgos'!$O$50),"")</f>
        <v/>
      </c>
      <c r="L12" s="53" t="str">
        <f>IF(AND('Mapa de Riesgos'!$Y$51="Muy Alta",'Mapa de Riesgos'!$AA$51="Leve"),CONCATENATE("R7C",'Mapa de Riesgos'!$O$51),"")</f>
        <v/>
      </c>
      <c r="M12" s="53" t="str">
        <f>IF(AND('Mapa de Riesgos'!$Y$52="Muy Alta",'Mapa de Riesgos'!$AA$52="Leve"),CONCATENATE("R7C",'Mapa de Riesgos'!$O$52),"")</f>
        <v/>
      </c>
      <c r="N12" s="53" t="str">
        <f>IF(AND('Mapa de Riesgos'!$Y$53="Muy Alta",'Mapa de Riesgos'!$AA$53="Leve"),CONCATENATE("R7C",'Mapa de Riesgos'!$O$53),"")</f>
        <v/>
      </c>
      <c r="O12" s="54" t="str">
        <f>IF(AND('Mapa de Riesgos'!$Y$54="Muy Alta",'Mapa de Riesgos'!$AA$54="Leve"),CONCATENATE("R7C",'Mapa de Riesgos'!$O$54),"")</f>
        <v/>
      </c>
      <c r="P12" s="52" t="str">
        <f>IF(AND('Mapa de Riesgos'!$Y$49="Muy Alta",'Mapa de Riesgos'!$AA$49="Menor"),CONCATENATE("R7C",'Mapa de Riesgos'!$O$49),"")</f>
        <v/>
      </c>
      <c r="Q12" s="53" t="str">
        <f>IF(AND('Mapa de Riesgos'!$Y$50="Muy Alta",'Mapa de Riesgos'!$AA$50="Menor"),CONCATENATE("R7C",'Mapa de Riesgos'!$O$50),"")</f>
        <v/>
      </c>
      <c r="R12" s="53" t="str">
        <f>IF(AND('Mapa de Riesgos'!$Y$51="Muy Alta",'Mapa de Riesgos'!$AA$51="Menor"),CONCATENATE("R7C",'Mapa de Riesgos'!$O$51),"")</f>
        <v/>
      </c>
      <c r="S12" s="53" t="str">
        <f>IF(AND('Mapa de Riesgos'!$Y$52="Muy Alta",'Mapa de Riesgos'!$AA$52="Menor"),CONCATENATE("R7C",'Mapa de Riesgos'!$O$52),"")</f>
        <v/>
      </c>
      <c r="T12" s="53" t="str">
        <f>IF(AND('Mapa de Riesgos'!$Y$53="Muy Alta",'Mapa de Riesgos'!$AA$53="Menor"),CONCATENATE("R7C",'Mapa de Riesgos'!$O$53),"")</f>
        <v/>
      </c>
      <c r="U12" s="54" t="str">
        <f>IF(AND('Mapa de Riesgos'!$Y$54="Muy Alta",'Mapa de Riesgos'!$AA$54="Menor"),CONCATENATE("R7C",'Mapa de Riesgos'!$O$54),"")</f>
        <v/>
      </c>
      <c r="V12" s="52" t="str">
        <f>IF(AND('Mapa de Riesgos'!$Y$49="Muy Alta",'Mapa de Riesgos'!$AA$49="Moderado"),CONCATENATE("R7C",'Mapa de Riesgos'!$O$49),"")</f>
        <v/>
      </c>
      <c r="W12" s="53" t="str">
        <f>IF(AND('Mapa de Riesgos'!$Y$50="Muy Alta",'Mapa de Riesgos'!$AA$50="Moderado"),CONCATENATE("R7C",'Mapa de Riesgos'!$O$50),"")</f>
        <v/>
      </c>
      <c r="X12" s="53" t="str">
        <f>IF(AND('Mapa de Riesgos'!$Y$51="Muy Alta",'Mapa de Riesgos'!$AA$51="Moderado"),CONCATENATE("R7C",'Mapa de Riesgos'!$O$51),"")</f>
        <v/>
      </c>
      <c r="Y12" s="53" t="str">
        <f>IF(AND('Mapa de Riesgos'!$Y$52="Muy Alta",'Mapa de Riesgos'!$AA$52="Moderado"),CONCATENATE("R7C",'Mapa de Riesgos'!$O$52),"")</f>
        <v/>
      </c>
      <c r="Z12" s="53" t="str">
        <f>IF(AND('Mapa de Riesgos'!$Y$53="Muy Alta",'Mapa de Riesgos'!$AA$53="Moderado"),CONCATENATE("R7C",'Mapa de Riesgos'!$O$53),"")</f>
        <v/>
      </c>
      <c r="AA12" s="54" t="str">
        <f>IF(AND('Mapa de Riesgos'!$Y$54="Muy Alta",'Mapa de Riesgos'!$AA$54="Moderado"),CONCATENATE("R7C",'Mapa de Riesgos'!$O$54),"")</f>
        <v/>
      </c>
      <c r="AB12" s="52" t="str">
        <f>IF(AND('Mapa de Riesgos'!$Y$49="Muy Alta",'Mapa de Riesgos'!$AA$49="Mayor"),CONCATENATE("R7C",'Mapa de Riesgos'!$O$49),"")</f>
        <v/>
      </c>
      <c r="AC12" s="53" t="str">
        <f>IF(AND('Mapa de Riesgos'!$Y$50="Muy Alta",'Mapa de Riesgos'!$AA$50="Mayor"),CONCATENATE("R7C",'Mapa de Riesgos'!$O$50),"")</f>
        <v/>
      </c>
      <c r="AD12" s="53" t="str">
        <f>IF(AND('Mapa de Riesgos'!$Y$51="Muy Alta",'Mapa de Riesgos'!$AA$51="Mayor"),CONCATENATE("R7C",'Mapa de Riesgos'!$O$51),"")</f>
        <v/>
      </c>
      <c r="AE12" s="53" t="str">
        <f>IF(AND('Mapa de Riesgos'!$Y$52="Muy Alta",'Mapa de Riesgos'!$AA$52="Mayor"),CONCATENATE("R7C",'Mapa de Riesgos'!$O$52),"")</f>
        <v/>
      </c>
      <c r="AF12" s="53" t="str">
        <f>IF(AND('Mapa de Riesgos'!$Y$53="Muy Alta",'Mapa de Riesgos'!$AA$53="Mayor"),CONCATENATE("R7C",'Mapa de Riesgos'!$O$53),"")</f>
        <v/>
      </c>
      <c r="AG12" s="54" t="str">
        <f>IF(AND('Mapa de Riesgos'!$Y$54="Muy Alta",'Mapa de Riesgos'!$AA$54="Mayor"),CONCATENATE("R7C",'Mapa de Riesgos'!$O$54),"")</f>
        <v/>
      </c>
      <c r="AH12" s="55" t="str">
        <f>IF(AND('Mapa de Riesgos'!$Y$49="Muy Alta",'Mapa de Riesgos'!$AA$49="Catastrófico"),CONCATENATE("R7C",'Mapa de Riesgos'!$O$49),"")</f>
        <v/>
      </c>
      <c r="AI12" s="56" t="str">
        <f>IF(AND('Mapa de Riesgos'!$Y$50="Muy Alta",'Mapa de Riesgos'!$AA$50="Catastrófico"),CONCATENATE("R7C",'Mapa de Riesgos'!$O$50),"")</f>
        <v/>
      </c>
      <c r="AJ12" s="56" t="str">
        <f>IF(AND('Mapa de Riesgos'!$Y$51="Muy Alta",'Mapa de Riesgos'!$AA$51="Catastrófico"),CONCATENATE("R7C",'Mapa de Riesgos'!$O$51),"")</f>
        <v/>
      </c>
      <c r="AK12" s="56" t="str">
        <f>IF(AND('Mapa de Riesgos'!$Y$52="Muy Alta",'Mapa de Riesgos'!$AA$52="Catastrófico"),CONCATENATE("R7C",'Mapa de Riesgos'!$O$52),"")</f>
        <v/>
      </c>
      <c r="AL12" s="56" t="str">
        <f>IF(AND('Mapa de Riesgos'!$Y$53="Muy Alta",'Mapa de Riesgos'!$AA$53="Catastrófico"),CONCATENATE("R7C",'Mapa de Riesgos'!$O$53),"")</f>
        <v/>
      </c>
      <c r="AM12" s="57" t="str">
        <f>IF(AND('Mapa de Riesgos'!$Y$54="Muy Alta",'Mapa de Riesgos'!$AA$54="Catastrófico"),CONCATENATE("R7C",'Mapa de Riesgos'!$O$54),"")</f>
        <v/>
      </c>
      <c r="AN12" s="83"/>
      <c r="AO12" s="534"/>
      <c r="AP12" s="535"/>
      <c r="AQ12" s="535"/>
      <c r="AR12" s="535"/>
      <c r="AS12" s="535"/>
      <c r="AT12" s="53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29"/>
      <c r="C13" s="429"/>
      <c r="D13" s="430"/>
      <c r="E13" s="528"/>
      <c r="F13" s="527"/>
      <c r="G13" s="527"/>
      <c r="H13" s="527"/>
      <c r="I13" s="543"/>
      <c r="J13" s="52" t="str">
        <f>IF(AND('Mapa de Riesgos'!$Y$55="Muy Alta",'Mapa de Riesgos'!$AA$55="Leve"),CONCATENATE("R8C",'Mapa de Riesgos'!$O$55),"")</f>
        <v/>
      </c>
      <c r="K13" s="53" t="str">
        <f>IF(AND('Mapa de Riesgos'!$Y$56="Muy Alta",'Mapa de Riesgos'!$AA$56="Leve"),CONCATENATE("R8C",'Mapa de Riesgos'!$O$56),"")</f>
        <v/>
      </c>
      <c r="L13" s="53" t="str">
        <f>IF(AND('Mapa de Riesgos'!$Y$57="Muy Alta",'Mapa de Riesgos'!$AA$57="Leve"),CONCATENATE("R8C",'Mapa de Riesgos'!$O$57),"")</f>
        <v/>
      </c>
      <c r="M13" s="53" t="str">
        <f>IF(AND('Mapa de Riesgos'!$Y$58="Muy Alta",'Mapa de Riesgos'!$AA$58="Leve"),CONCATENATE("R8C",'Mapa de Riesgos'!$O$58),"")</f>
        <v/>
      </c>
      <c r="N13" s="53" t="str">
        <f>IF(AND('Mapa de Riesgos'!$Y$59="Muy Alta",'Mapa de Riesgos'!$AA$59="Leve"),CONCATENATE("R8C",'Mapa de Riesgos'!$O$59),"")</f>
        <v/>
      </c>
      <c r="O13" s="54" t="str">
        <f>IF(AND('Mapa de Riesgos'!$Y$60="Muy Alta",'Mapa de Riesgos'!$AA$60="Leve"),CONCATENATE("R8C",'Mapa de Riesgos'!$O$60),"")</f>
        <v/>
      </c>
      <c r="P13" s="52" t="str">
        <f>IF(AND('Mapa de Riesgos'!$Y$55="Muy Alta",'Mapa de Riesgos'!$AA$55="Menor"),CONCATENATE("R8C",'Mapa de Riesgos'!$O$55),"")</f>
        <v/>
      </c>
      <c r="Q13" s="53" t="str">
        <f>IF(AND('Mapa de Riesgos'!$Y$56="Muy Alta",'Mapa de Riesgos'!$AA$56="Menor"),CONCATENATE("R8C",'Mapa de Riesgos'!$O$56),"")</f>
        <v/>
      </c>
      <c r="R13" s="53" t="str">
        <f>IF(AND('Mapa de Riesgos'!$Y$57="Muy Alta",'Mapa de Riesgos'!$AA$57="Menor"),CONCATENATE("R8C",'Mapa de Riesgos'!$O$57),"")</f>
        <v/>
      </c>
      <c r="S13" s="53" t="str">
        <f>IF(AND('Mapa de Riesgos'!$Y$58="Muy Alta",'Mapa de Riesgos'!$AA$58="Menor"),CONCATENATE("R8C",'Mapa de Riesgos'!$O$58),"")</f>
        <v/>
      </c>
      <c r="T13" s="53" t="str">
        <f>IF(AND('Mapa de Riesgos'!$Y$59="Muy Alta",'Mapa de Riesgos'!$AA$59="Menor"),CONCATENATE("R8C",'Mapa de Riesgos'!$O$59),"")</f>
        <v/>
      </c>
      <c r="U13" s="54" t="str">
        <f>IF(AND('Mapa de Riesgos'!$Y$60="Muy Alta",'Mapa de Riesgos'!$AA$60="Menor"),CONCATENATE("R8C",'Mapa de Riesgos'!$O$60),"")</f>
        <v/>
      </c>
      <c r="V13" s="52" t="str">
        <f>IF(AND('Mapa de Riesgos'!$Y$55="Muy Alta",'Mapa de Riesgos'!$AA$55="Moderado"),CONCATENATE("R8C",'Mapa de Riesgos'!$O$55),"")</f>
        <v/>
      </c>
      <c r="W13" s="53" t="str">
        <f>IF(AND('Mapa de Riesgos'!$Y$56="Muy Alta",'Mapa de Riesgos'!$AA$56="Moderado"),CONCATENATE("R8C",'Mapa de Riesgos'!$O$56),"")</f>
        <v/>
      </c>
      <c r="X13" s="53" t="str">
        <f>IF(AND('Mapa de Riesgos'!$Y$57="Muy Alta",'Mapa de Riesgos'!$AA$57="Moderado"),CONCATENATE("R8C",'Mapa de Riesgos'!$O$57),"")</f>
        <v/>
      </c>
      <c r="Y13" s="53" t="str">
        <f>IF(AND('Mapa de Riesgos'!$Y$58="Muy Alta",'Mapa de Riesgos'!$AA$58="Moderado"),CONCATENATE("R8C",'Mapa de Riesgos'!$O$58),"")</f>
        <v/>
      </c>
      <c r="Z13" s="53" t="str">
        <f>IF(AND('Mapa de Riesgos'!$Y$59="Muy Alta",'Mapa de Riesgos'!$AA$59="Moderado"),CONCATENATE("R8C",'Mapa de Riesgos'!$O$59),"")</f>
        <v/>
      </c>
      <c r="AA13" s="54" t="str">
        <f>IF(AND('Mapa de Riesgos'!$Y$60="Muy Alta",'Mapa de Riesgos'!$AA$60="Moderado"),CONCATENATE("R8C",'Mapa de Riesgos'!$O$60),"")</f>
        <v/>
      </c>
      <c r="AB13" s="52" t="str">
        <f>IF(AND('Mapa de Riesgos'!$Y$55="Muy Alta",'Mapa de Riesgos'!$AA$55="Mayor"),CONCATENATE("R8C",'Mapa de Riesgos'!$O$55),"")</f>
        <v/>
      </c>
      <c r="AC13" s="53" t="str">
        <f>IF(AND('Mapa de Riesgos'!$Y$56="Muy Alta",'Mapa de Riesgos'!$AA$56="Mayor"),CONCATENATE("R8C",'Mapa de Riesgos'!$O$56),"")</f>
        <v/>
      </c>
      <c r="AD13" s="53" t="str">
        <f>IF(AND('Mapa de Riesgos'!$Y$57="Muy Alta",'Mapa de Riesgos'!$AA$57="Mayor"),CONCATENATE("R8C",'Mapa de Riesgos'!$O$57),"")</f>
        <v/>
      </c>
      <c r="AE13" s="53" t="str">
        <f>IF(AND('Mapa de Riesgos'!$Y$58="Muy Alta",'Mapa de Riesgos'!$AA$58="Mayor"),CONCATENATE("R8C",'Mapa de Riesgos'!$O$58),"")</f>
        <v/>
      </c>
      <c r="AF13" s="53" t="str">
        <f>IF(AND('Mapa de Riesgos'!$Y$59="Muy Alta",'Mapa de Riesgos'!$AA$59="Mayor"),CONCATENATE("R8C",'Mapa de Riesgos'!$O$59),"")</f>
        <v/>
      </c>
      <c r="AG13" s="54" t="str">
        <f>IF(AND('Mapa de Riesgos'!$Y$60="Muy Alta",'Mapa de Riesgos'!$AA$60="Mayor"),CONCATENATE("R8C",'Mapa de Riesgos'!$O$60),"")</f>
        <v/>
      </c>
      <c r="AH13" s="55" t="str">
        <f>IF(AND('Mapa de Riesgos'!$Y$55="Muy Alta",'Mapa de Riesgos'!$AA$55="Catastrófico"),CONCATENATE("R8C",'Mapa de Riesgos'!$O$55),"")</f>
        <v/>
      </c>
      <c r="AI13" s="56" t="str">
        <f>IF(AND('Mapa de Riesgos'!$Y$56="Muy Alta",'Mapa de Riesgos'!$AA$56="Catastrófico"),CONCATENATE("R8C",'Mapa de Riesgos'!$O$56),"")</f>
        <v/>
      </c>
      <c r="AJ13" s="56" t="str">
        <f>IF(AND('Mapa de Riesgos'!$Y$57="Muy Alta",'Mapa de Riesgos'!$AA$57="Catastrófico"),CONCATENATE("R8C",'Mapa de Riesgos'!$O$57),"")</f>
        <v/>
      </c>
      <c r="AK13" s="56" t="str">
        <f>IF(AND('Mapa de Riesgos'!$Y$58="Muy Alta",'Mapa de Riesgos'!$AA$58="Catastrófico"),CONCATENATE("R8C",'Mapa de Riesgos'!$O$58),"")</f>
        <v/>
      </c>
      <c r="AL13" s="56" t="str">
        <f>IF(AND('Mapa de Riesgos'!$Y$59="Muy Alta",'Mapa de Riesgos'!$AA$59="Catastrófico"),CONCATENATE("R8C",'Mapa de Riesgos'!$O$59),"")</f>
        <v/>
      </c>
      <c r="AM13" s="57" t="str">
        <f>IF(AND('Mapa de Riesgos'!$Y$60="Muy Alta",'Mapa de Riesgos'!$AA$60="Catastrófico"),CONCATENATE("R8C",'Mapa de Riesgos'!$O$60),"")</f>
        <v/>
      </c>
      <c r="AN13" s="83"/>
      <c r="AO13" s="534"/>
      <c r="AP13" s="535"/>
      <c r="AQ13" s="535"/>
      <c r="AR13" s="535"/>
      <c r="AS13" s="535"/>
      <c r="AT13" s="53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29"/>
      <c r="C14" s="429"/>
      <c r="D14" s="430"/>
      <c r="E14" s="528"/>
      <c r="F14" s="527"/>
      <c r="G14" s="527"/>
      <c r="H14" s="527"/>
      <c r="I14" s="543"/>
      <c r="J14" s="52" t="str">
        <f>IF(AND('Mapa de Riesgos'!$Y$61="Muy Alta",'Mapa de Riesgos'!$AA$61="Leve"),CONCATENATE("R9C",'Mapa de Riesgos'!$O$61),"")</f>
        <v/>
      </c>
      <c r="K14" s="53" t="str">
        <f>IF(AND('Mapa de Riesgos'!$Y$62="Muy Alta",'Mapa de Riesgos'!$AA$62="Leve"),CONCATENATE("R9C",'Mapa de Riesgos'!$O$62),"")</f>
        <v/>
      </c>
      <c r="L14" s="53" t="str">
        <f>IF(AND('Mapa de Riesgos'!$Y$63="Muy Alta",'Mapa de Riesgos'!$AA$63="Leve"),CONCATENATE("R9C",'Mapa de Riesgos'!$O$63),"")</f>
        <v/>
      </c>
      <c r="M14" s="53" t="str">
        <f>IF(AND('Mapa de Riesgos'!$Y$64="Muy Alta",'Mapa de Riesgos'!$AA$64="Leve"),CONCATENATE("R9C",'Mapa de Riesgos'!$O$64),"")</f>
        <v/>
      </c>
      <c r="N14" s="53" t="str">
        <f>IF(AND('Mapa de Riesgos'!$Y$65="Muy Alta",'Mapa de Riesgos'!$AA$65="Leve"),CONCATENATE("R9C",'Mapa de Riesgos'!$O$65),"")</f>
        <v/>
      </c>
      <c r="O14" s="54" t="str">
        <f>IF(AND('Mapa de Riesgos'!$Y$66="Muy Alta",'Mapa de Riesgos'!$AA$66="Leve"),CONCATENATE("R9C",'Mapa de Riesgos'!$O$66),"")</f>
        <v/>
      </c>
      <c r="P14" s="52" t="str">
        <f>IF(AND('Mapa de Riesgos'!$Y$61="Muy Alta",'Mapa de Riesgos'!$AA$61="Menor"),CONCATENATE("R9C",'Mapa de Riesgos'!$O$61),"")</f>
        <v/>
      </c>
      <c r="Q14" s="53" t="str">
        <f>IF(AND('Mapa de Riesgos'!$Y$62="Muy Alta",'Mapa de Riesgos'!$AA$62="Menor"),CONCATENATE("R9C",'Mapa de Riesgos'!$O$62),"")</f>
        <v/>
      </c>
      <c r="R14" s="53" t="str">
        <f>IF(AND('Mapa de Riesgos'!$Y$63="Muy Alta",'Mapa de Riesgos'!$AA$63="Menor"),CONCATENATE("R9C",'Mapa de Riesgos'!$O$63),"")</f>
        <v/>
      </c>
      <c r="S14" s="53" t="str">
        <f>IF(AND('Mapa de Riesgos'!$Y$64="Muy Alta",'Mapa de Riesgos'!$AA$64="Menor"),CONCATENATE("R9C",'Mapa de Riesgos'!$O$64),"")</f>
        <v/>
      </c>
      <c r="T14" s="53" t="str">
        <f>IF(AND('Mapa de Riesgos'!$Y$65="Muy Alta",'Mapa de Riesgos'!$AA$65="Menor"),CONCATENATE("R9C",'Mapa de Riesgos'!$O$65),"")</f>
        <v/>
      </c>
      <c r="U14" s="54" t="str">
        <f>IF(AND('Mapa de Riesgos'!$Y$66="Muy Alta",'Mapa de Riesgos'!$AA$66="Menor"),CONCATENATE("R9C",'Mapa de Riesgos'!$O$66),"")</f>
        <v/>
      </c>
      <c r="V14" s="52" t="str">
        <f>IF(AND('Mapa de Riesgos'!$Y$61="Muy Alta",'Mapa de Riesgos'!$AA$61="Moderado"),CONCATENATE("R9C",'Mapa de Riesgos'!$O$61),"")</f>
        <v/>
      </c>
      <c r="W14" s="53" t="str">
        <f>IF(AND('Mapa de Riesgos'!$Y$62="Muy Alta",'Mapa de Riesgos'!$AA$62="Moderado"),CONCATENATE("R9C",'Mapa de Riesgos'!$O$62),"")</f>
        <v/>
      </c>
      <c r="X14" s="53" t="str">
        <f>IF(AND('Mapa de Riesgos'!$Y$63="Muy Alta",'Mapa de Riesgos'!$AA$63="Moderado"),CONCATENATE("R9C",'Mapa de Riesgos'!$O$63),"")</f>
        <v/>
      </c>
      <c r="Y14" s="53" t="str">
        <f>IF(AND('Mapa de Riesgos'!$Y$64="Muy Alta",'Mapa de Riesgos'!$AA$64="Moderado"),CONCATENATE("R9C",'Mapa de Riesgos'!$O$64),"")</f>
        <v/>
      </c>
      <c r="Z14" s="53" t="str">
        <f>IF(AND('Mapa de Riesgos'!$Y$65="Muy Alta",'Mapa de Riesgos'!$AA$65="Moderado"),CONCATENATE("R9C",'Mapa de Riesgos'!$O$65),"")</f>
        <v/>
      </c>
      <c r="AA14" s="54" t="str">
        <f>IF(AND('Mapa de Riesgos'!$Y$66="Muy Alta",'Mapa de Riesgos'!$AA$66="Moderado"),CONCATENATE("R9C",'Mapa de Riesgos'!$O$66),"")</f>
        <v/>
      </c>
      <c r="AB14" s="52" t="str">
        <f>IF(AND('Mapa de Riesgos'!$Y$61="Muy Alta",'Mapa de Riesgos'!$AA$61="Mayor"),CONCATENATE("R9C",'Mapa de Riesgos'!$O$61),"")</f>
        <v/>
      </c>
      <c r="AC14" s="53" t="str">
        <f>IF(AND('Mapa de Riesgos'!$Y$62="Muy Alta",'Mapa de Riesgos'!$AA$62="Mayor"),CONCATENATE("R9C",'Mapa de Riesgos'!$O$62),"")</f>
        <v/>
      </c>
      <c r="AD14" s="53" t="str">
        <f>IF(AND('Mapa de Riesgos'!$Y$63="Muy Alta",'Mapa de Riesgos'!$AA$63="Mayor"),CONCATENATE("R9C",'Mapa de Riesgos'!$O$63),"")</f>
        <v/>
      </c>
      <c r="AE14" s="53" t="str">
        <f>IF(AND('Mapa de Riesgos'!$Y$64="Muy Alta",'Mapa de Riesgos'!$AA$64="Mayor"),CONCATENATE("R9C",'Mapa de Riesgos'!$O$64),"")</f>
        <v/>
      </c>
      <c r="AF14" s="53" t="str">
        <f>IF(AND('Mapa de Riesgos'!$Y$65="Muy Alta",'Mapa de Riesgos'!$AA$65="Mayor"),CONCATENATE("R9C",'Mapa de Riesgos'!$O$65),"")</f>
        <v/>
      </c>
      <c r="AG14" s="54" t="str">
        <f>IF(AND('Mapa de Riesgos'!$Y$66="Muy Alta",'Mapa de Riesgos'!$AA$66="Mayor"),CONCATENATE("R9C",'Mapa de Riesgos'!$O$66),"")</f>
        <v/>
      </c>
      <c r="AH14" s="55" t="str">
        <f>IF(AND('Mapa de Riesgos'!$Y$61="Muy Alta",'Mapa de Riesgos'!$AA$61="Catastrófico"),CONCATENATE("R9C",'Mapa de Riesgos'!$O$61),"")</f>
        <v/>
      </c>
      <c r="AI14" s="56" t="str">
        <f>IF(AND('Mapa de Riesgos'!$Y$62="Muy Alta",'Mapa de Riesgos'!$AA$62="Catastrófico"),CONCATENATE("R9C",'Mapa de Riesgos'!$O$62),"")</f>
        <v/>
      </c>
      <c r="AJ14" s="56" t="str">
        <f>IF(AND('Mapa de Riesgos'!$Y$63="Muy Alta",'Mapa de Riesgos'!$AA$63="Catastrófico"),CONCATENATE("R9C",'Mapa de Riesgos'!$O$63),"")</f>
        <v/>
      </c>
      <c r="AK14" s="56" t="str">
        <f>IF(AND('Mapa de Riesgos'!$Y$64="Muy Alta",'Mapa de Riesgos'!$AA$64="Catastrófico"),CONCATENATE("R9C",'Mapa de Riesgos'!$O$64),"")</f>
        <v/>
      </c>
      <c r="AL14" s="56" t="str">
        <f>IF(AND('Mapa de Riesgos'!$Y$65="Muy Alta",'Mapa de Riesgos'!$AA$65="Catastrófico"),CONCATENATE("R9C",'Mapa de Riesgos'!$O$65),"")</f>
        <v/>
      </c>
      <c r="AM14" s="57" t="str">
        <f>IF(AND('Mapa de Riesgos'!$Y$66="Muy Alta",'Mapa de Riesgos'!$AA$66="Catastrófico"),CONCATENATE("R9C",'Mapa de Riesgos'!$O$66),"")</f>
        <v/>
      </c>
      <c r="AN14" s="83"/>
      <c r="AO14" s="534"/>
      <c r="AP14" s="535"/>
      <c r="AQ14" s="535"/>
      <c r="AR14" s="535"/>
      <c r="AS14" s="535"/>
      <c r="AT14" s="53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29"/>
      <c r="C15" s="429"/>
      <c r="D15" s="430"/>
      <c r="E15" s="529"/>
      <c r="F15" s="530"/>
      <c r="G15" s="530"/>
      <c r="H15" s="530"/>
      <c r="I15" s="544"/>
      <c r="J15" s="58" t="str">
        <f>IF(AND('Mapa de Riesgos'!$Y$67="Muy Alta",'Mapa de Riesgos'!$AA$67="Leve"),CONCATENATE("R10C",'Mapa de Riesgos'!$O$67),"")</f>
        <v/>
      </c>
      <c r="K15" s="59" t="str">
        <f>IF(AND('Mapa de Riesgos'!$Y$68="Muy Alta",'Mapa de Riesgos'!$AA$68="Leve"),CONCATENATE("R10C",'Mapa de Riesgos'!$O$68),"")</f>
        <v/>
      </c>
      <c r="L15" s="59" t="str">
        <f>IF(AND('Mapa de Riesgos'!$Y$69="Muy Alta",'Mapa de Riesgos'!$AA$69="Leve"),CONCATENATE("R10C",'Mapa de Riesgos'!$O$69),"")</f>
        <v/>
      </c>
      <c r="M15" s="59" t="str">
        <f>IF(AND('Mapa de Riesgos'!$Y$70="Muy Alta",'Mapa de Riesgos'!$AA$70="Leve"),CONCATENATE("R10C",'Mapa de Riesgos'!$O$70),"")</f>
        <v/>
      </c>
      <c r="N15" s="59" t="str">
        <f>IF(AND('Mapa de Riesgos'!$Y$71="Muy Alta",'Mapa de Riesgos'!$AA$71="Leve"),CONCATENATE("R10C",'Mapa de Riesgos'!$O$71),"")</f>
        <v/>
      </c>
      <c r="O15" s="60" t="str">
        <f>IF(AND('Mapa de Riesgos'!$Y$72="Muy Alta",'Mapa de Riesgos'!$AA$72="Leve"),CONCATENATE("R10C",'Mapa de Riesgos'!$O$72),"")</f>
        <v/>
      </c>
      <c r="P15" s="52" t="str">
        <f>IF(AND('Mapa de Riesgos'!$Y$67="Muy Alta",'Mapa de Riesgos'!$AA$67="Menor"),CONCATENATE("R10C",'Mapa de Riesgos'!$O$67),"")</f>
        <v/>
      </c>
      <c r="Q15" s="53" t="str">
        <f>IF(AND('Mapa de Riesgos'!$Y$68="Muy Alta",'Mapa de Riesgos'!$AA$68="Menor"),CONCATENATE("R10C",'Mapa de Riesgos'!$O$68),"")</f>
        <v/>
      </c>
      <c r="R15" s="53" t="str">
        <f>IF(AND('Mapa de Riesgos'!$Y$69="Muy Alta",'Mapa de Riesgos'!$AA$69="Menor"),CONCATENATE("R10C",'Mapa de Riesgos'!$O$69),"")</f>
        <v/>
      </c>
      <c r="S15" s="53" t="str">
        <f>IF(AND('Mapa de Riesgos'!$Y$70="Muy Alta",'Mapa de Riesgos'!$AA$70="Menor"),CONCATENATE("R10C",'Mapa de Riesgos'!$O$70),"")</f>
        <v/>
      </c>
      <c r="T15" s="53" t="str">
        <f>IF(AND('Mapa de Riesgos'!$Y$71="Muy Alta",'Mapa de Riesgos'!$AA$71="Menor"),CONCATENATE("R10C",'Mapa de Riesgos'!$O$71),"")</f>
        <v/>
      </c>
      <c r="U15" s="54" t="str">
        <f>IF(AND('Mapa de Riesgos'!$Y$72="Muy Alta",'Mapa de Riesgos'!$AA$72="Menor"),CONCATENATE("R10C",'Mapa de Riesgos'!$O$72),"")</f>
        <v/>
      </c>
      <c r="V15" s="58" t="str">
        <f>IF(AND('Mapa de Riesgos'!$Y$67="Muy Alta",'Mapa de Riesgos'!$AA$67="Moderado"),CONCATENATE("R10C",'Mapa de Riesgos'!$O$67),"")</f>
        <v/>
      </c>
      <c r="W15" s="59" t="str">
        <f>IF(AND('Mapa de Riesgos'!$Y$68="Muy Alta",'Mapa de Riesgos'!$AA$68="Moderado"),CONCATENATE("R10C",'Mapa de Riesgos'!$O$68),"")</f>
        <v/>
      </c>
      <c r="X15" s="59" t="str">
        <f>IF(AND('Mapa de Riesgos'!$Y$69="Muy Alta",'Mapa de Riesgos'!$AA$69="Moderado"),CONCATENATE("R10C",'Mapa de Riesgos'!$O$69),"")</f>
        <v/>
      </c>
      <c r="Y15" s="59" t="str">
        <f>IF(AND('Mapa de Riesgos'!$Y$70="Muy Alta",'Mapa de Riesgos'!$AA$70="Moderado"),CONCATENATE("R10C",'Mapa de Riesgos'!$O$70),"")</f>
        <v/>
      </c>
      <c r="Z15" s="59" t="str">
        <f>IF(AND('Mapa de Riesgos'!$Y$71="Muy Alta",'Mapa de Riesgos'!$AA$71="Moderado"),CONCATENATE("R10C",'Mapa de Riesgos'!$O$71),"")</f>
        <v/>
      </c>
      <c r="AA15" s="60" t="str">
        <f>IF(AND('Mapa de Riesgos'!$Y$72="Muy Alta",'Mapa de Riesgos'!$AA$72="Moderado"),CONCATENATE("R10C",'Mapa de Riesgos'!$O$72),"")</f>
        <v/>
      </c>
      <c r="AB15" s="52" t="str">
        <f>IF(AND('Mapa de Riesgos'!$Y$67="Muy Alta",'Mapa de Riesgos'!$AA$67="Mayor"),CONCATENATE("R10C",'Mapa de Riesgos'!$O$67),"")</f>
        <v/>
      </c>
      <c r="AC15" s="53" t="str">
        <f>IF(AND('Mapa de Riesgos'!$Y$68="Muy Alta",'Mapa de Riesgos'!$AA$68="Mayor"),CONCATENATE("R10C",'Mapa de Riesgos'!$O$68),"")</f>
        <v/>
      </c>
      <c r="AD15" s="53" t="str">
        <f>IF(AND('Mapa de Riesgos'!$Y$69="Muy Alta",'Mapa de Riesgos'!$AA$69="Mayor"),CONCATENATE("R10C",'Mapa de Riesgos'!$O$69),"")</f>
        <v/>
      </c>
      <c r="AE15" s="53" t="str">
        <f>IF(AND('Mapa de Riesgos'!$Y$70="Muy Alta",'Mapa de Riesgos'!$AA$70="Mayor"),CONCATENATE("R10C",'Mapa de Riesgos'!$O$70),"")</f>
        <v/>
      </c>
      <c r="AF15" s="53" t="str">
        <f>IF(AND('Mapa de Riesgos'!$Y$71="Muy Alta",'Mapa de Riesgos'!$AA$71="Mayor"),CONCATENATE("R10C",'Mapa de Riesgos'!$O$71),"")</f>
        <v/>
      </c>
      <c r="AG15" s="54" t="str">
        <f>IF(AND('Mapa de Riesgos'!$Y$72="Muy Alta",'Mapa de Riesgos'!$AA$72="Mayor"),CONCATENATE("R10C",'Mapa de Riesgos'!$O$72),"")</f>
        <v/>
      </c>
      <c r="AH15" s="61" t="str">
        <f>IF(AND('Mapa de Riesgos'!$Y$67="Muy Alta",'Mapa de Riesgos'!$AA$67="Catastrófico"),CONCATENATE("R10C",'Mapa de Riesgos'!$O$67),"")</f>
        <v/>
      </c>
      <c r="AI15" s="62" t="str">
        <f>IF(AND('Mapa de Riesgos'!$Y$68="Muy Alta",'Mapa de Riesgos'!$AA$68="Catastrófico"),CONCATENATE("R10C",'Mapa de Riesgos'!$O$68),"")</f>
        <v/>
      </c>
      <c r="AJ15" s="62" t="str">
        <f>IF(AND('Mapa de Riesgos'!$Y$69="Muy Alta",'Mapa de Riesgos'!$AA$69="Catastrófico"),CONCATENATE("R10C",'Mapa de Riesgos'!$O$69),"")</f>
        <v/>
      </c>
      <c r="AK15" s="62" t="str">
        <f>IF(AND('Mapa de Riesgos'!$Y$70="Muy Alta",'Mapa de Riesgos'!$AA$70="Catastrófico"),CONCATENATE("R10C",'Mapa de Riesgos'!$O$70),"")</f>
        <v/>
      </c>
      <c r="AL15" s="62" t="str">
        <f>IF(AND('Mapa de Riesgos'!$Y$71="Muy Alta",'Mapa de Riesgos'!$AA$71="Catastrófico"),CONCATENATE("R10C",'Mapa de Riesgos'!$O$71),"")</f>
        <v/>
      </c>
      <c r="AM15" s="63" t="str">
        <f>IF(AND('Mapa de Riesgos'!$Y$72="Muy Alta",'Mapa de Riesgos'!$AA$72="Catastrófico"),CONCATENATE("R10C",'Mapa de Riesgos'!$O$72),"")</f>
        <v/>
      </c>
      <c r="AN15" s="83"/>
      <c r="AO15" s="537"/>
      <c r="AP15" s="538"/>
      <c r="AQ15" s="538"/>
      <c r="AR15" s="538"/>
      <c r="AS15" s="538"/>
      <c r="AT15" s="53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29"/>
      <c r="C16" s="429"/>
      <c r="D16" s="430"/>
      <c r="E16" s="524" t="s">
        <v>210</v>
      </c>
      <c r="F16" s="525"/>
      <c r="G16" s="525"/>
      <c r="H16" s="525"/>
      <c r="I16" s="525"/>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15" t="s">
        <v>211</v>
      </c>
      <c r="AP16" s="516"/>
      <c r="AQ16" s="516"/>
      <c r="AR16" s="516"/>
      <c r="AS16" s="516"/>
      <c r="AT16" s="51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29"/>
      <c r="C17" s="429"/>
      <c r="D17" s="430"/>
      <c r="E17" s="526"/>
      <c r="F17" s="527"/>
      <c r="G17" s="527"/>
      <c r="H17" s="527"/>
      <c r="I17" s="527"/>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18"/>
      <c r="AP17" s="519"/>
      <c r="AQ17" s="519"/>
      <c r="AR17" s="519"/>
      <c r="AS17" s="519"/>
      <c r="AT17" s="52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29"/>
      <c r="C18" s="429"/>
      <c r="D18" s="430"/>
      <c r="E18" s="528"/>
      <c r="F18" s="527"/>
      <c r="G18" s="527"/>
      <c r="H18" s="527"/>
      <c r="I18" s="527"/>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18"/>
      <c r="AP18" s="519"/>
      <c r="AQ18" s="519"/>
      <c r="AR18" s="519"/>
      <c r="AS18" s="519"/>
      <c r="AT18" s="52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29"/>
      <c r="C19" s="429"/>
      <c r="D19" s="430"/>
      <c r="E19" s="528"/>
      <c r="F19" s="527"/>
      <c r="G19" s="527"/>
      <c r="H19" s="527"/>
      <c r="I19" s="527"/>
      <c r="J19" s="67" t="str">
        <f>IF(AND('Mapa de Riesgos'!$Y$30="Alta",'Mapa de Riesgos'!$AA$30="Leve"),CONCATENATE("R4C",'Mapa de Riesgos'!$O$30),"")</f>
        <v/>
      </c>
      <c r="K19" s="68" t="str">
        <f>IF(AND('Mapa de Riesgos'!$Y$32="Alta",'Mapa de Riesgos'!$AA$32="Leve"),CONCATENATE("R4C",'Mapa de Riesgos'!$O$32),"")</f>
        <v/>
      </c>
      <c r="L19" s="68" t="str">
        <f>IF(AND('Mapa de Riesgos'!$Y$33="Alta",'Mapa de Riesgos'!$AA$33="Leve"),CONCATENATE("R4C",'Mapa de Riesgos'!$O$33),"")</f>
        <v/>
      </c>
      <c r="M19" s="68" t="str">
        <f>IF(AND('Mapa de Riesgos'!$Y$34="Alta",'Mapa de Riesgos'!$AA$34="Leve"),CONCATENATE("R4C",'Mapa de Riesgos'!$O$34),"")</f>
        <v/>
      </c>
      <c r="N19" s="68" t="str">
        <f>IF(AND('Mapa de Riesgos'!$Y$35="Alta",'Mapa de Riesgos'!$AA$35="Leve"),CONCATENATE("R4C",'Mapa de Riesgos'!$O$35),"")</f>
        <v/>
      </c>
      <c r="O19" s="69" t="str">
        <f>IF(AND('Mapa de Riesgos'!$Y$36="Alta",'Mapa de Riesgos'!$AA$36="Leve"),CONCATENATE("R4C",'Mapa de Riesgos'!$O$36),"")</f>
        <v/>
      </c>
      <c r="P19" s="67" t="str">
        <f>IF(AND('Mapa de Riesgos'!$Y$30="Alta",'Mapa de Riesgos'!$AA$30="Menor"),CONCATENATE("R4C",'Mapa de Riesgos'!$O$30),"")</f>
        <v/>
      </c>
      <c r="Q19" s="68" t="str">
        <f>IF(AND('Mapa de Riesgos'!$Y$32="Alta",'Mapa de Riesgos'!$AA$32="Menor"),CONCATENATE("R4C",'Mapa de Riesgos'!$O$32),"")</f>
        <v/>
      </c>
      <c r="R19" s="68" t="str">
        <f>IF(AND('Mapa de Riesgos'!$Y$33="Alta",'Mapa de Riesgos'!$AA$33="Menor"),CONCATENATE("R4C",'Mapa de Riesgos'!$O$33),"")</f>
        <v/>
      </c>
      <c r="S19" s="68" t="str">
        <f>IF(AND('Mapa de Riesgos'!$Y$34="Alta",'Mapa de Riesgos'!$AA$34="Menor"),CONCATENATE("R4C",'Mapa de Riesgos'!$O$34),"")</f>
        <v/>
      </c>
      <c r="T19" s="68" t="str">
        <f>IF(AND('Mapa de Riesgos'!$Y$35="Alta",'Mapa de Riesgos'!$AA$35="Menor"),CONCATENATE("R4C",'Mapa de Riesgos'!$O$35),"")</f>
        <v/>
      </c>
      <c r="U19" s="69" t="str">
        <f>IF(AND('Mapa de Riesgos'!$Y$36="Alta",'Mapa de Riesgos'!$AA$36="Menor"),CONCATENATE("R4C",'Mapa de Riesgos'!$O$36),"")</f>
        <v/>
      </c>
      <c r="V19" s="52" t="str">
        <f>IF(AND('Mapa de Riesgos'!$Y$30="Alta",'Mapa de Riesgos'!$AA$30="Moderado"),CONCATENATE("R4C",'Mapa de Riesgos'!$O$30),"")</f>
        <v/>
      </c>
      <c r="W19" s="53" t="str">
        <f>IF(AND('Mapa de Riesgos'!$Y$32="Alta",'Mapa de Riesgos'!$AA$32="Moderado"),CONCATENATE("R4C",'Mapa de Riesgos'!$O$32),"")</f>
        <v/>
      </c>
      <c r="X19" s="53" t="str">
        <f>IF(AND('Mapa de Riesgos'!$Y$33="Alta",'Mapa de Riesgos'!$AA$33="Moderado"),CONCATENATE("R4C",'Mapa de Riesgos'!$O$33),"")</f>
        <v/>
      </c>
      <c r="Y19" s="53" t="str">
        <f>IF(AND('Mapa de Riesgos'!$Y$34="Alta",'Mapa de Riesgos'!$AA$34="Moderado"),CONCATENATE("R4C",'Mapa de Riesgos'!$O$34),"")</f>
        <v/>
      </c>
      <c r="Z19" s="53" t="str">
        <f>IF(AND('Mapa de Riesgos'!$Y$35="Alta",'Mapa de Riesgos'!$AA$35="Moderado"),CONCATENATE("R4C",'Mapa de Riesgos'!$O$35),"")</f>
        <v/>
      </c>
      <c r="AA19" s="54" t="str">
        <f>IF(AND('Mapa de Riesgos'!$Y$36="Alta",'Mapa de Riesgos'!$AA$36="Moderado"),CONCATENATE("R4C",'Mapa de Riesgos'!$O$36),"")</f>
        <v/>
      </c>
      <c r="AB19" s="52" t="str">
        <f>IF(AND('Mapa de Riesgos'!$Y$30="Alta",'Mapa de Riesgos'!$AA$30="Mayor"),CONCATENATE("R4C",'Mapa de Riesgos'!$O$30),"")</f>
        <v/>
      </c>
      <c r="AC19" s="53" t="str">
        <f>IF(AND('Mapa de Riesgos'!$Y$32="Alta",'Mapa de Riesgos'!$AA$32="Mayor"),CONCATENATE("R4C",'Mapa de Riesgos'!$O$32),"")</f>
        <v/>
      </c>
      <c r="AD19" s="53" t="str">
        <f>IF(AND('Mapa de Riesgos'!$Y$33="Alta",'Mapa de Riesgos'!$AA$33="Mayor"),CONCATENATE("R4C",'Mapa de Riesgos'!$O$33),"")</f>
        <v/>
      </c>
      <c r="AE19" s="53" t="str">
        <f>IF(AND('Mapa de Riesgos'!$Y$34="Alta",'Mapa de Riesgos'!$AA$34="Mayor"),CONCATENATE("R4C",'Mapa de Riesgos'!$O$34),"")</f>
        <v/>
      </c>
      <c r="AF19" s="53" t="str">
        <f>IF(AND('Mapa de Riesgos'!$Y$35="Alta",'Mapa de Riesgos'!$AA$35="Mayor"),CONCATENATE("R4C",'Mapa de Riesgos'!$O$35),"")</f>
        <v/>
      </c>
      <c r="AG19" s="54" t="str">
        <f>IF(AND('Mapa de Riesgos'!$Y$36="Alta",'Mapa de Riesgos'!$AA$36="Mayor"),CONCATENATE("R4C",'Mapa de Riesgos'!$O$36),"")</f>
        <v/>
      </c>
      <c r="AH19" s="55" t="str">
        <f>IF(AND('Mapa de Riesgos'!$Y$30="Alta",'Mapa de Riesgos'!$AA$30="Catastrófico"),CONCATENATE("R4C",'Mapa de Riesgos'!$O$30),"")</f>
        <v/>
      </c>
      <c r="AI19" s="56" t="str">
        <f>IF(AND('Mapa de Riesgos'!$Y$32="Alta",'Mapa de Riesgos'!$AA$32="Catastrófico"),CONCATENATE("R4C",'Mapa de Riesgos'!$O$32),"")</f>
        <v/>
      </c>
      <c r="AJ19" s="56" t="str">
        <f>IF(AND('Mapa de Riesgos'!$Y$33="Alta",'Mapa de Riesgos'!$AA$33="Catastrófico"),CONCATENATE("R4C",'Mapa de Riesgos'!$O$33),"")</f>
        <v/>
      </c>
      <c r="AK19" s="56" t="str">
        <f>IF(AND('Mapa de Riesgos'!$Y$34="Alta",'Mapa de Riesgos'!$AA$34="Catastrófico"),CONCATENATE("R4C",'Mapa de Riesgos'!$O$34),"")</f>
        <v/>
      </c>
      <c r="AL19" s="56" t="str">
        <f>IF(AND('Mapa de Riesgos'!$Y$35="Alta",'Mapa de Riesgos'!$AA$35="Catastrófico"),CONCATENATE("R4C",'Mapa de Riesgos'!$O$35),"")</f>
        <v/>
      </c>
      <c r="AM19" s="57" t="str">
        <f>IF(AND('Mapa de Riesgos'!$Y$36="Alta",'Mapa de Riesgos'!$AA$36="Catastrófico"),CONCATENATE("R4C",'Mapa de Riesgos'!$O$36),"")</f>
        <v/>
      </c>
      <c r="AN19" s="83"/>
      <c r="AO19" s="518"/>
      <c r="AP19" s="519"/>
      <c r="AQ19" s="519"/>
      <c r="AR19" s="519"/>
      <c r="AS19" s="519"/>
      <c r="AT19" s="52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29"/>
      <c r="C20" s="429"/>
      <c r="D20" s="430"/>
      <c r="E20" s="528"/>
      <c r="F20" s="527"/>
      <c r="G20" s="527"/>
      <c r="H20" s="527"/>
      <c r="I20" s="527"/>
      <c r="J20" s="67" t="str">
        <f>IF(AND('Mapa de Riesgos'!$Y$37="Alta",'Mapa de Riesgos'!$AA$37="Leve"),CONCATENATE("R5C",'Mapa de Riesgos'!$O$37),"")</f>
        <v/>
      </c>
      <c r="K20" s="68" t="str">
        <f>IF(AND('Mapa de Riesgos'!$Y$38="Alta",'Mapa de Riesgos'!$AA$38="Leve"),CONCATENATE("R5C",'Mapa de Riesgos'!$O$38),"")</f>
        <v/>
      </c>
      <c r="L20" s="68" t="str">
        <f>IF(AND('Mapa de Riesgos'!$Y$39="Alta",'Mapa de Riesgos'!$AA$39="Leve"),CONCATENATE("R5C",'Mapa de Riesgos'!$O$39),"")</f>
        <v/>
      </c>
      <c r="M20" s="68" t="str">
        <f>IF(AND('Mapa de Riesgos'!$Y$40="Alta",'Mapa de Riesgos'!$AA$40="Leve"),CONCATENATE("R5C",'Mapa de Riesgos'!$O$40),"")</f>
        <v/>
      </c>
      <c r="N20" s="68" t="str">
        <f>IF(AND('Mapa de Riesgos'!$Y$41="Alta",'Mapa de Riesgos'!$AA$41="Leve"),CONCATENATE("R5C",'Mapa de Riesgos'!$O$41),"")</f>
        <v/>
      </c>
      <c r="O20" s="69" t="str">
        <f>IF(AND('Mapa de Riesgos'!$Y$42="Alta",'Mapa de Riesgos'!$AA$42="Leve"),CONCATENATE("R5C",'Mapa de Riesgos'!$O$42),"")</f>
        <v/>
      </c>
      <c r="P20" s="67" t="str">
        <f>IF(AND('Mapa de Riesgos'!$Y$37="Alta",'Mapa de Riesgos'!$AA$37="Menor"),CONCATENATE("R5C",'Mapa de Riesgos'!$O$37),"")</f>
        <v/>
      </c>
      <c r="Q20" s="68" t="str">
        <f>IF(AND('Mapa de Riesgos'!$Y$38="Alta",'Mapa de Riesgos'!$AA$38="Menor"),CONCATENATE("R5C",'Mapa de Riesgos'!$O$38),"")</f>
        <v/>
      </c>
      <c r="R20" s="68" t="str">
        <f>IF(AND('Mapa de Riesgos'!$Y$39="Alta",'Mapa de Riesgos'!$AA$39="Menor"),CONCATENATE("R5C",'Mapa de Riesgos'!$O$39),"")</f>
        <v/>
      </c>
      <c r="S20" s="68" t="str">
        <f>IF(AND('Mapa de Riesgos'!$Y$40="Alta",'Mapa de Riesgos'!$AA$40="Menor"),CONCATENATE("R5C",'Mapa de Riesgos'!$O$40),"")</f>
        <v/>
      </c>
      <c r="T20" s="68" t="str">
        <f>IF(AND('Mapa de Riesgos'!$Y$41="Alta",'Mapa de Riesgos'!$AA$41="Menor"),CONCATENATE("R5C",'Mapa de Riesgos'!$O$41),"")</f>
        <v/>
      </c>
      <c r="U20" s="69" t="str">
        <f>IF(AND('Mapa de Riesgos'!$Y$42="Alta",'Mapa de Riesgos'!$AA$42="Menor"),CONCATENATE("R5C",'Mapa de Riesgos'!$O$42),"")</f>
        <v/>
      </c>
      <c r="V20" s="52" t="str">
        <f>IF(AND('Mapa de Riesgos'!$Y$37="Alta",'Mapa de Riesgos'!$AA$37="Moderado"),CONCATENATE("R5C",'Mapa de Riesgos'!$O$37),"")</f>
        <v/>
      </c>
      <c r="W20" s="53" t="str">
        <f>IF(AND('Mapa de Riesgos'!$Y$38="Alta",'Mapa de Riesgos'!$AA$38="Moderado"),CONCATENATE("R5C",'Mapa de Riesgos'!$O$38),"")</f>
        <v/>
      </c>
      <c r="X20" s="53" t="str">
        <f>IF(AND('Mapa de Riesgos'!$Y$39="Alta",'Mapa de Riesgos'!$AA$39="Moderado"),CONCATENATE("R5C",'Mapa de Riesgos'!$O$39),"")</f>
        <v/>
      </c>
      <c r="Y20" s="53" t="str">
        <f>IF(AND('Mapa de Riesgos'!$Y$40="Alta",'Mapa de Riesgos'!$AA$40="Moderado"),CONCATENATE("R5C",'Mapa de Riesgos'!$O$40),"")</f>
        <v/>
      </c>
      <c r="Z20" s="53" t="str">
        <f>IF(AND('Mapa de Riesgos'!$Y$41="Alta",'Mapa de Riesgos'!$AA$41="Moderado"),CONCATENATE("R5C",'Mapa de Riesgos'!$O$41),"")</f>
        <v/>
      </c>
      <c r="AA20" s="54" t="str">
        <f>IF(AND('Mapa de Riesgos'!$Y$42="Alta",'Mapa de Riesgos'!$AA$42="Moderado"),CONCATENATE("R5C",'Mapa de Riesgos'!$O$42),"")</f>
        <v/>
      </c>
      <c r="AB20" s="52" t="str">
        <f>IF(AND('Mapa de Riesgos'!$Y$37="Alta",'Mapa de Riesgos'!$AA$37="Mayor"),CONCATENATE("R5C",'Mapa de Riesgos'!$O$37),"")</f>
        <v/>
      </c>
      <c r="AC20" s="53" t="str">
        <f>IF(AND('Mapa de Riesgos'!$Y$38="Alta",'Mapa de Riesgos'!$AA$38="Mayor"),CONCATENATE("R5C",'Mapa de Riesgos'!$O$38),"")</f>
        <v/>
      </c>
      <c r="AD20" s="53" t="str">
        <f>IF(AND('Mapa de Riesgos'!$Y$39="Alta",'Mapa de Riesgos'!$AA$39="Mayor"),CONCATENATE("R5C",'Mapa de Riesgos'!$O$39),"")</f>
        <v/>
      </c>
      <c r="AE20" s="53" t="str">
        <f>IF(AND('Mapa de Riesgos'!$Y$40="Alta",'Mapa de Riesgos'!$AA$40="Mayor"),CONCATENATE("R5C",'Mapa de Riesgos'!$O$40),"")</f>
        <v/>
      </c>
      <c r="AF20" s="53" t="str">
        <f>IF(AND('Mapa de Riesgos'!$Y$41="Alta",'Mapa de Riesgos'!$AA$41="Mayor"),CONCATENATE("R5C",'Mapa de Riesgos'!$O$41),"")</f>
        <v/>
      </c>
      <c r="AG20" s="54" t="str">
        <f>IF(AND('Mapa de Riesgos'!$Y$42="Alta",'Mapa de Riesgos'!$AA$42="Mayor"),CONCATENATE("R5C",'Mapa de Riesgos'!$O$42),"")</f>
        <v/>
      </c>
      <c r="AH20" s="55" t="str">
        <f>IF(AND('Mapa de Riesgos'!$Y$37="Alta",'Mapa de Riesgos'!$AA$37="Catastrófico"),CONCATENATE("R5C",'Mapa de Riesgos'!$O$37),"")</f>
        <v/>
      </c>
      <c r="AI20" s="56" t="str">
        <f>IF(AND('Mapa de Riesgos'!$Y$38="Alta",'Mapa de Riesgos'!$AA$38="Catastrófico"),CONCATENATE("R5C",'Mapa de Riesgos'!$O$38),"")</f>
        <v/>
      </c>
      <c r="AJ20" s="56" t="str">
        <f>IF(AND('Mapa de Riesgos'!$Y$39="Alta",'Mapa de Riesgos'!$AA$39="Catastrófico"),CONCATENATE("R5C",'Mapa de Riesgos'!$O$39),"")</f>
        <v/>
      </c>
      <c r="AK20" s="56" t="str">
        <f>IF(AND('Mapa de Riesgos'!$Y$40="Alta",'Mapa de Riesgos'!$AA$40="Catastrófico"),CONCATENATE("R5C",'Mapa de Riesgos'!$O$40),"")</f>
        <v/>
      </c>
      <c r="AL20" s="56" t="str">
        <f>IF(AND('Mapa de Riesgos'!$Y$41="Alta",'Mapa de Riesgos'!$AA$41="Catastrófico"),CONCATENATE("R5C",'Mapa de Riesgos'!$O$41),"")</f>
        <v/>
      </c>
      <c r="AM20" s="57" t="str">
        <f>IF(AND('Mapa de Riesgos'!$Y$42="Alta",'Mapa de Riesgos'!$AA$42="Catastrófico"),CONCATENATE("R5C",'Mapa de Riesgos'!$O$42),"")</f>
        <v/>
      </c>
      <c r="AN20" s="83"/>
      <c r="AO20" s="518"/>
      <c r="AP20" s="519"/>
      <c r="AQ20" s="519"/>
      <c r="AR20" s="519"/>
      <c r="AS20" s="519"/>
      <c r="AT20" s="52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29"/>
      <c r="C21" s="429"/>
      <c r="D21" s="430"/>
      <c r="E21" s="528"/>
      <c r="F21" s="527"/>
      <c r="G21" s="527"/>
      <c r="H21" s="527"/>
      <c r="I21" s="527"/>
      <c r="J21" s="67" t="str">
        <f>IF(AND('Mapa de Riesgos'!$Y$43="Alta",'Mapa de Riesgos'!$AA$43="Leve"),CONCATENATE("R6C",'Mapa de Riesgos'!$O$43),"")</f>
        <v/>
      </c>
      <c r="K21" s="68" t="str">
        <f>IF(AND('Mapa de Riesgos'!$Y$44="Alta",'Mapa de Riesgos'!$AA$44="Leve"),CONCATENATE("R6C",'Mapa de Riesgos'!$O$44),"")</f>
        <v/>
      </c>
      <c r="L21" s="68" t="str">
        <f>IF(AND('Mapa de Riesgos'!$Y$45="Alta",'Mapa de Riesgos'!$AA$45="Leve"),CONCATENATE("R6C",'Mapa de Riesgos'!$O$45),"")</f>
        <v/>
      </c>
      <c r="M21" s="68" t="str">
        <f>IF(AND('Mapa de Riesgos'!$Y$46="Alta",'Mapa de Riesgos'!$AA$46="Leve"),CONCATENATE("R6C",'Mapa de Riesgos'!$O$46),"")</f>
        <v/>
      </c>
      <c r="N21" s="68" t="str">
        <f>IF(AND('Mapa de Riesgos'!$Y$47="Alta",'Mapa de Riesgos'!$AA$47="Leve"),CONCATENATE("R6C",'Mapa de Riesgos'!$O$47),"")</f>
        <v/>
      </c>
      <c r="O21" s="69" t="str">
        <f>IF(AND('Mapa de Riesgos'!$Y$48="Alta",'Mapa de Riesgos'!$AA$48="Leve"),CONCATENATE("R6C",'Mapa de Riesgos'!$O$48),"")</f>
        <v/>
      </c>
      <c r="P21" s="67" t="str">
        <f>IF(AND('Mapa de Riesgos'!$Y$43="Alta",'Mapa de Riesgos'!$AA$43="Menor"),CONCATENATE("R6C",'Mapa de Riesgos'!$O$43),"")</f>
        <v/>
      </c>
      <c r="Q21" s="68" t="str">
        <f>IF(AND('Mapa de Riesgos'!$Y$44="Alta",'Mapa de Riesgos'!$AA$44="Menor"),CONCATENATE("R6C",'Mapa de Riesgos'!$O$44),"")</f>
        <v/>
      </c>
      <c r="R21" s="68" t="str">
        <f>IF(AND('Mapa de Riesgos'!$Y$45="Alta",'Mapa de Riesgos'!$AA$45="Menor"),CONCATENATE("R6C",'Mapa de Riesgos'!$O$45),"")</f>
        <v/>
      </c>
      <c r="S21" s="68" t="str">
        <f>IF(AND('Mapa de Riesgos'!$Y$46="Alta",'Mapa de Riesgos'!$AA$46="Menor"),CONCATENATE("R6C",'Mapa de Riesgos'!$O$46),"")</f>
        <v/>
      </c>
      <c r="T21" s="68" t="str">
        <f>IF(AND('Mapa de Riesgos'!$Y$47="Alta",'Mapa de Riesgos'!$AA$47="Menor"),CONCATENATE("R6C",'Mapa de Riesgos'!$O$47),"")</f>
        <v/>
      </c>
      <c r="U21" s="69" t="str">
        <f>IF(AND('Mapa de Riesgos'!$Y$48="Alta",'Mapa de Riesgos'!$AA$48="Menor"),CONCATENATE("R6C",'Mapa de Riesgos'!$O$48),"")</f>
        <v/>
      </c>
      <c r="V21" s="52" t="str">
        <f>IF(AND('Mapa de Riesgos'!$Y$43="Alta",'Mapa de Riesgos'!$AA$43="Moderado"),CONCATENATE("R6C",'Mapa de Riesgos'!$O$43),"")</f>
        <v/>
      </c>
      <c r="W21" s="53" t="str">
        <f>IF(AND('Mapa de Riesgos'!$Y$44="Alta",'Mapa de Riesgos'!$AA$44="Moderado"),CONCATENATE("R6C",'Mapa de Riesgos'!$O$44),"")</f>
        <v/>
      </c>
      <c r="X21" s="53" t="str">
        <f>IF(AND('Mapa de Riesgos'!$Y$45="Alta",'Mapa de Riesgos'!$AA$45="Moderado"),CONCATENATE("R6C",'Mapa de Riesgos'!$O$45),"")</f>
        <v/>
      </c>
      <c r="Y21" s="53" t="str">
        <f>IF(AND('Mapa de Riesgos'!$Y$46="Alta",'Mapa de Riesgos'!$AA$46="Moderado"),CONCATENATE("R6C",'Mapa de Riesgos'!$O$46),"")</f>
        <v/>
      </c>
      <c r="Z21" s="53" t="str">
        <f>IF(AND('Mapa de Riesgos'!$Y$47="Alta",'Mapa de Riesgos'!$AA$47="Moderado"),CONCATENATE("R6C",'Mapa de Riesgos'!$O$47),"")</f>
        <v/>
      </c>
      <c r="AA21" s="54" t="str">
        <f>IF(AND('Mapa de Riesgos'!$Y$48="Alta",'Mapa de Riesgos'!$AA$48="Moderado"),CONCATENATE("R6C",'Mapa de Riesgos'!$O$48),"")</f>
        <v/>
      </c>
      <c r="AB21" s="52" t="str">
        <f>IF(AND('Mapa de Riesgos'!$Y$43="Alta",'Mapa de Riesgos'!$AA$43="Mayor"),CONCATENATE("R6C",'Mapa de Riesgos'!$O$43),"")</f>
        <v/>
      </c>
      <c r="AC21" s="53" t="str">
        <f>IF(AND('Mapa de Riesgos'!$Y$44="Alta",'Mapa de Riesgos'!$AA$44="Mayor"),CONCATENATE("R6C",'Mapa de Riesgos'!$O$44),"")</f>
        <v/>
      </c>
      <c r="AD21" s="53" t="str">
        <f>IF(AND('Mapa de Riesgos'!$Y$45="Alta",'Mapa de Riesgos'!$AA$45="Mayor"),CONCATENATE("R6C",'Mapa de Riesgos'!$O$45),"")</f>
        <v/>
      </c>
      <c r="AE21" s="53" t="str">
        <f>IF(AND('Mapa de Riesgos'!$Y$46="Alta",'Mapa de Riesgos'!$AA$46="Mayor"),CONCATENATE("R6C",'Mapa de Riesgos'!$O$46),"")</f>
        <v/>
      </c>
      <c r="AF21" s="53" t="str">
        <f>IF(AND('Mapa de Riesgos'!$Y$47="Alta",'Mapa de Riesgos'!$AA$47="Mayor"),CONCATENATE("R6C",'Mapa de Riesgos'!$O$47),"")</f>
        <v/>
      </c>
      <c r="AG21" s="54" t="str">
        <f>IF(AND('Mapa de Riesgos'!$Y$48="Alta",'Mapa de Riesgos'!$AA$48="Mayor"),CONCATENATE("R6C",'Mapa de Riesgos'!$O$48),"")</f>
        <v/>
      </c>
      <c r="AH21" s="55" t="str">
        <f>IF(AND('Mapa de Riesgos'!$Y$43="Alta",'Mapa de Riesgos'!$AA$43="Catastrófico"),CONCATENATE("R6C",'Mapa de Riesgos'!$O$43),"")</f>
        <v/>
      </c>
      <c r="AI21" s="56" t="str">
        <f>IF(AND('Mapa de Riesgos'!$Y$44="Alta",'Mapa de Riesgos'!$AA$44="Catastrófico"),CONCATENATE("R6C",'Mapa de Riesgos'!$O$44),"")</f>
        <v/>
      </c>
      <c r="AJ21" s="56" t="str">
        <f>IF(AND('Mapa de Riesgos'!$Y$45="Alta",'Mapa de Riesgos'!$AA$45="Catastrófico"),CONCATENATE("R6C",'Mapa de Riesgos'!$O$45),"")</f>
        <v/>
      </c>
      <c r="AK21" s="56" t="str">
        <f>IF(AND('Mapa de Riesgos'!$Y$46="Alta",'Mapa de Riesgos'!$AA$46="Catastrófico"),CONCATENATE("R6C",'Mapa de Riesgos'!$O$46),"")</f>
        <v/>
      </c>
      <c r="AL21" s="56" t="str">
        <f>IF(AND('Mapa de Riesgos'!$Y$47="Alta",'Mapa de Riesgos'!$AA$47="Catastrófico"),CONCATENATE("R6C",'Mapa de Riesgos'!$O$47),"")</f>
        <v/>
      </c>
      <c r="AM21" s="57" t="str">
        <f>IF(AND('Mapa de Riesgos'!$Y$48="Alta",'Mapa de Riesgos'!$AA$48="Catastrófico"),CONCATENATE("R6C",'Mapa de Riesgos'!$O$48),"")</f>
        <v/>
      </c>
      <c r="AN21" s="83"/>
      <c r="AO21" s="518"/>
      <c r="AP21" s="519"/>
      <c r="AQ21" s="519"/>
      <c r="AR21" s="519"/>
      <c r="AS21" s="519"/>
      <c r="AT21" s="52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29"/>
      <c r="C22" s="429"/>
      <c r="D22" s="430"/>
      <c r="E22" s="528"/>
      <c r="F22" s="527"/>
      <c r="G22" s="527"/>
      <c r="H22" s="527"/>
      <c r="I22" s="527"/>
      <c r="J22" s="67" t="str">
        <f>IF(AND('Mapa de Riesgos'!$Y$49="Alta",'Mapa de Riesgos'!$AA$49="Leve"),CONCATENATE("R7C",'Mapa de Riesgos'!$O$49),"")</f>
        <v/>
      </c>
      <c r="K22" s="68" t="str">
        <f>IF(AND('Mapa de Riesgos'!$Y$50="Alta",'Mapa de Riesgos'!$AA$50="Leve"),CONCATENATE("R7C",'Mapa de Riesgos'!$O$50),"")</f>
        <v/>
      </c>
      <c r="L22" s="68" t="str">
        <f>IF(AND('Mapa de Riesgos'!$Y$51="Alta",'Mapa de Riesgos'!$AA$51="Leve"),CONCATENATE("R7C",'Mapa de Riesgos'!$O$51),"")</f>
        <v/>
      </c>
      <c r="M22" s="68" t="str">
        <f>IF(AND('Mapa de Riesgos'!$Y$52="Alta",'Mapa de Riesgos'!$AA$52="Leve"),CONCATENATE("R7C",'Mapa de Riesgos'!$O$52),"")</f>
        <v/>
      </c>
      <c r="N22" s="68" t="str">
        <f>IF(AND('Mapa de Riesgos'!$Y$53="Alta",'Mapa de Riesgos'!$AA$53="Leve"),CONCATENATE("R7C",'Mapa de Riesgos'!$O$53),"")</f>
        <v/>
      </c>
      <c r="O22" s="69" t="str">
        <f>IF(AND('Mapa de Riesgos'!$Y$54="Alta",'Mapa de Riesgos'!$AA$54="Leve"),CONCATENATE("R7C",'Mapa de Riesgos'!$O$54),"")</f>
        <v/>
      </c>
      <c r="P22" s="67" t="str">
        <f>IF(AND('Mapa de Riesgos'!$Y$49="Alta",'Mapa de Riesgos'!$AA$49="Menor"),CONCATENATE("R7C",'Mapa de Riesgos'!$O$49),"")</f>
        <v/>
      </c>
      <c r="Q22" s="68" t="str">
        <f>IF(AND('Mapa de Riesgos'!$Y$50="Alta",'Mapa de Riesgos'!$AA$50="Menor"),CONCATENATE("R7C",'Mapa de Riesgos'!$O$50),"")</f>
        <v/>
      </c>
      <c r="R22" s="68" t="str">
        <f>IF(AND('Mapa de Riesgos'!$Y$51="Alta",'Mapa de Riesgos'!$AA$51="Menor"),CONCATENATE("R7C",'Mapa de Riesgos'!$O$51),"")</f>
        <v/>
      </c>
      <c r="S22" s="68" t="str">
        <f>IF(AND('Mapa de Riesgos'!$Y$52="Alta",'Mapa de Riesgos'!$AA$52="Menor"),CONCATENATE("R7C",'Mapa de Riesgos'!$O$52),"")</f>
        <v/>
      </c>
      <c r="T22" s="68" t="str">
        <f>IF(AND('Mapa de Riesgos'!$Y$53="Alta",'Mapa de Riesgos'!$AA$53="Menor"),CONCATENATE("R7C",'Mapa de Riesgos'!$O$53),"")</f>
        <v/>
      </c>
      <c r="U22" s="69" t="str">
        <f>IF(AND('Mapa de Riesgos'!$Y$54="Alta",'Mapa de Riesgos'!$AA$54="Menor"),CONCATENATE("R7C",'Mapa de Riesgos'!$O$54),"")</f>
        <v/>
      </c>
      <c r="V22" s="52" t="str">
        <f>IF(AND('Mapa de Riesgos'!$Y$49="Alta",'Mapa de Riesgos'!$AA$49="Moderado"),CONCATENATE("R7C",'Mapa de Riesgos'!$O$49),"")</f>
        <v/>
      </c>
      <c r="W22" s="53" t="str">
        <f>IF(AND('Mapa de Riesgos'!$Y$50="Alta",'Mapa de Riesgos'!$AA$50="Moderado"),CONCATENATE("R7C",'Mapa de Riesgos'!$O$50),"")</f>
        <v/>
      </c>
      <c r="X22" s="53" t="str">
        <f>IF(AND('Mapa de Riesgos'!$Y$51="Alta",'Mapa de Riesgos'!$AA$51="Moderado"),CONCATENATE("R7C",'Mapa de Riesgos'!$O$51),"")</f>
        <v/>
      </c>
      <c r="Y22" s="53" t="str">
        <f>IF(AND('Mapa de Riesgos'!$Y$52="Alta",'Mapa de Riesgos'!$AA$52="Moderado"),CONCATENATE("R7C",'Mapa de Riesgos'!$O$52),"")</f>
        <v/>
      </c>
      <c r="Z22" s="53" t="str">
        <f>IF(AND('Mapa de Riesgos'!$Y$53="Alta",'Mapa de Riesgos'!$AA$53="Moderado"),CONCATENATE("R7C",'Mapa de Riesgos'!$O$53),"")</f>
        <v/>
      </c>
      <c r="AA22" s="54" t="str">
        <f>IF(AND('Mapa de Riesgos'!$Y$54="Alta",'Mapa de Riesgos'!$AA$54="Moderado"),CONCATENATE("R7C",'Mapa de Riesgos'!$O$54),"")</f>
        <v/>
      </c>
      <c r="AB22" s="52" t="str">
        <f>IF(AND('Mapa de Riesgos'!$Y$49="Alta",'Mapa de Riesgos'!$AA$49="Mayor"),CONCATENATE("R7C",'Mapa de Riesgos'!$O$49),"")</f>
        <v/>
      </c>
      <c r="AC22" s="53" t="str">
        <f>IF(AND('Mapa de Riesgos'!$Y$50="Alta",'Mapa de Riesgos'!$AA$50="Mayor"),CONCATENATE("R7C",'Mapa de Riesgos'!$O$50),"")</f>
        <v/>
      </c>
      <c r="AD22" s="53" t="str">
        <f>IF(AND('Mapa de Riesgos'!$Y$51="Alta",'Mapa de Riesgos'!$AA$51="Mayor"),CONCATENATE("R7C",'Mapa de Riesgos'!$O$51),"")</f>
        <v/>
      </c>
      <c r="AE22" s="53" t="str">
        <f>IF(AND('Mapa de Riesgos'!$Y$52="Alta",'Mapa de Riesgos'!$AA$52="Mayor"),CONCATENATE("R7C",'Mapa de Riesgos'!$O$52),"")</f>
        <v/>
      </c>
      <c r="AF22" s="53" t="str">
        <f>IF(AND('Mapa de Riesgos'!$Y$53="Alta",'Mapa de Riesgos'!$AA$53="Mayor"),CONCATENATE("R7C",'Mapa de Riesgos'!$O$53),"")</f>
        <v/>
      </c>
      <c r="AG22" s="54" t="str">
        <f>IF(AND('Mapa de Riesgos'!$Y$54="Alta",'Mapa de Riesgos'!$AA$54="Mayor"),CONCATENATE("R7C",'Mapa de Riesgos'!$O$54),"")</f>
        <v/>
      </c>
      <c r="AH22" s="55" t="str">
        <f>IF(AND('Mapa de Riesgos'!$Y$49="Alta",'Mapa de Riesgos'!$AA$49="Catastrófico"),CONCATENATE("R7C",'Mapa de Riesgos'!$O$49),"")</f>
        <v/>
      </c>
      <c r="AI22" s="56" t="str">
        <f>IF(AND('Mapa de Riesgos'!$Y$50="Alta",'Mapa de Riesgos'!$AA$50="Catastrófico"),CONCATENATE("R7C",'Mapa de Riesgos'!$O$50),"")</f>
        <v/>
      </c>
      <c r="AJ22" s="56" t="str">
        <f>IF(AND('Mapa de Riesgos'!$Y$51="Alta",'Mapa de Riesgos'!$AA$51="Catastrófico"),CONCATENATE("R7C",'Mapa de Riesgos'!$O$51),"")</f>
        <v/>
      </c>
      <c r="AK22" s="56" t="str">
        <f>IF(AND('Mapa de Riesgos'!$Y$52="Alta",'Mapa de Riesgos'!$AA$52="Catastrófico"),CONCATENATE("R7C",'Mapa de Riesgos'!$O$52),"")</f>
        <v/>
      </c>
      <c r="AL22" s="56" t="str">
        <f>IF(AND('Mapa de Riesgos'!$Y$53="Alta",'Mapa de Riesgos'!$AA$53="Catastrófico"),CONCATENATE("R7C",'Mapa de Riesgos'!$O$53),"")</f>
        <v/>
      </c>
      <c r="AM22" s="57" t="str">
        <f>IF(AND('Mapa de Riesgos'!$Y$54="Alta",'Mapa de Riesgos'!$AA$54="Catastrófico"),CONCATENATE("R7C",'Mapa de Riesgos'!$O$54),"")</f>
        <v/>
      </c>
      <c r="AN22" s="83"/>
      <c r="AO22" s="518"/>
      <c r="AP22" s="519"/>
      <c r="AQ22" s="519"/>
      <c r="AR22" s="519"/>
      <c r="AS22" s="519"/>
      <c r="AT22" s="52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29"/>
      <c r="C23" s="429"/>
      <c r="D23" s="430"/>
      <c r="E23" s="528"/>
      <c r="F23" s="527"/>
      <c r="G23" s="527"/>
      <c r="H23" s="527"/>
      <c r="I23" s="527"/>
      <c r="J23" s="67" t="str">
        <f>IF(AND('Mapa de Riesgos'!$Y$55="Alta",'Mapa de Riesgos'!$AA$55="Leve"),CONCATENATE("R8C",'Mapa de Riesgos'!$O$55),"")</f>
        <v/>
      </c>
      <c r="K23" s="68" t="str">
        <f>IF(AND('Mapa de Riesgos'!$Y$56="Alta",'Mapa de Riesgos'!$AA$56="Leve"),CONCATENATE("R8C",'Mapa de Riesgos'!$O$56),"")</f>
        <v/>
      </c>
      <c r="L23" s="68" t="str">
        <f>IF(AND('Mapa de Riesgos'!$Y$57="Alta",'Mapa de Riesgos'!$AA$57="Leve"),CONCATENATE("R8C",'Mapa de Riesgos'!$O$57),"")</f>
        <v/>
      </c>
      <c r="M23" s="68" t="str">
        <f>IF(AND('Mapa de Riesgos'!$Y$58="Alta",'Mapa de Riesgos'!$AA$58="Leve"),CONCATENATE("R8C",'Mapa de Riesgos'!$O$58),"")</f>
        <v/>
      </c>
      <c r="N23" s="68" t="str">
        <f>IF(AND('Mapa de Riesgos'!$Y$59="Alta",'Mapa de Riesgos'!$AA$59="Leve"),CONCATENATE("R8C",'Mapa de Riesgos'!$O$59),"")</f>
        <v/>
      </c>
      <c r="O23" s="69" t="str">
        <f>IF(AND('Mapa de Riesgos'!$Y$60="Alta",'Mapa de Riesgos'!$AA$60="Leve"),CONCATENATE("R8C",'Mapa de Riesgos'!$O$60),"")</f>
        <v/>
      </c>
      <c r="P23" s="67" t="str">
        <f>IF(AND('Mapa de Riesgos'!$Y$55="Alta",'Mapa de Riesgos'!$AA$55="Menor"),CONCATENATE("R8C",'Mapa de Riesgos'!$O$55),"")</f>
        <v/>
      </c>
      <c r="Q23" s="68" t="str">
        <f>IF(AND('Mapa de Riesgos'!$Y$56="Alta",'Mapa de Riesgos'!$AA$56="Menor"),CONCATENATE("R8C",'Mapa de Riesgos'!$O$56),"")</f>
        <v/>
      </c>
      <c r="R23" s="68" t="str">
        <f>IF(AND('Mapa de Riesgos'!$Y$57="Alta",'Mapa de Riesgos'!$AA$57="Menor"),CONCATENATE("R8C",'Mapa de Riesgos'!$O$57),"")</f>
        <v/>
      </c>
      <c r="S23" s="68" t="str">
        <f>IF(AND('Mapa de Riesgos'!$Y$58="Alta",'Mapa de Riesgos'!$AA$58="Menor"),CONCATENATE("R8C",'Mapa de Riesgos'!$O$58),"")</f>
        <v/>
      </c>
      <c r="T23" s="68" t="str">
        <f>IF(AND('Mapa de Riesgos'!$Y$59="Alta",'Mapa de Riesgos'!$AA$59="Menor"),CONCATENATE("R8C",'Mapa de Riesgos'!$O$59),"")</f>
        <v/>
      </c>
      <c r="U23" s="69" t="str">
        <f>IF(AND('Mapa de Riesgos'!$Y$60="Alta",'Mapa de Riesgos'!$AA$60="Menor"),CONCATENATE("R8C",'Mapa de Riesgos'!$O$60),"")</f>
        <v/>
      </c>
      <c r="V23" s="52" t="str">
        <f>IF(AND('Mapa de Riesgos'!$Y$55="Alta",'Mapa de Riesgos'!$AA$55="Moderado"),CONCATENATE("R8C",'Mapa de Riesgos'!$O$55),"")</f>
        <v/>
      </c>
      <c r="W23" s="53" t="str">
        <f>IF(AND('Mapa de Riesgos'!$Y$56="Alta",'Mapa de Riesgos'!$AA$56="Moderado"),CONCATENATE("R8C",'Mapa de Riesgos'!$O$56),"")</f>
        <v/>
      </c>
      <c r="X23" s="53" t="str">
        <f>IF(AND('Mapa de Riesgos'!$Y$57="Alta",'Mapa de Riesgos'!$AA$57="Moderado"),CONCATENATE("R8C",'Mapa de Riesgos'!$O$57),"")</f>
        <v/>
      </c>
      <c r="Y23" s="53" t="str">
        <f>IF(AND('Mapa de Riesgos'!$Y$58="Alta",'Mapa de Riesgos'!$AA$58="Moderado"),CONCATENATE("R8C",'Mapa de Riesgos'!$O$58),"")</f>
        <v/>
      </c>
      <c r="Z23" s="53" t="str">
        <f>IF(AND('Mapa de Riesgos'!$Y$59="Alta",'Mapa de Riesgos'!$AA$59="Moderado"),CONCATENATE("R8C",'Mapa de Riesgos'!$O$59),"")</f>
        <v/>
      </c>
      <c r="AA23" s="54" t="str">
        <f>IF(AND('Mapa de Riesgos'!$Y$60="Alta",'Mapa de Riesgos'!$AA$60="Moderado"),CONCATENATE("R8C",'Mapa de Riesgos'!$O$60),"")</f>
        <v/>
      </c>
      <c r="AB23" s="52" t="str">
        <f>IF(AND('Mapa de Riesgos'!$Y$55="Alta",'Mapa de Riesgos'!$AA$55="Mayor"),CONCATENATE("R8C",'Mapa de Riesgos'!$O$55),"")</f>
        <v/>
      </c>
      <c r="AC23" s="53" t="str">
        <f>IF(AND('Mapa de Riesgos'!$Y$56="Alta",'Mapa de Riesgos'!$AA$56="Mayor"),CONCATENATE("R8C",'Mapa de Riesgos'!$O$56),"")</f>
        <v/>
      </c>
      <c r="AD23" s="53" t="str">
        <f>IF(AND('Mapa de Riesgos'!$Y$57="Alta",'Mapa de Riesgos'!$AA$57="Mayor"),CONCATENATE("R8C",'Mapa de Riesgos'!$O$57),"")</f>
        <v/>
      </c>
      <c r="AE23" s="53" t="str">
        <f>IF(AND('Mapa de Riesgos'!$Y$58="Alta",'Mapa de Riesgos'!$AA$58="Mayor"),CONCATENATE("R8C",'Mapa de Riesgos'!$O$58),"")</f>
        <v/>
      </c>
      <c r="AF23" s="53" t="str">
        <f>IF(AND('Mapa de Riesgos'!$Y$59="Alta",'Mapa de Riesgos'!$AA$59="Mayor"),CONCATENATE("R8C",'Mapa de Riesgos'!$O$59),"")</f>
        <v/>
      </c>
      <c r="AG23" s="54" t="str">
        <f>IF(AND('Mapa de Riesgos'!$Y$60="Alta",'Mapa de Riesgos'!$AA$60="Mayor"),CONCATENATE("R8C",'Mapa de Riesgos'!$O$60),"")</f>
        <v/>
      </c>
      <c r="AH23" s="55" t="str">
        <f>IF(AND('Mapa de Riesgos'!$Y$55="Alta",'Mapa de Riesgos'!$AA$55="Catastrófico"),CONCATENATE("R8C",'Mapa de Riesgos'!$O$55),"")</f>
        <v/>
      </c>
      <c r="AI23" s="56" t="str">
        <f>IF(AND('Mapa de Riesgos'!$Y$56="Alta",'Mapa de Riesgos'!$AA$56="Catastrófico"),CONCATENATE("R8C",'Mapa de Riesgos'!$O$56),"")</f>
        <v/>
      </c>
      <c r="AJ23" s="56" t="str">
        <f>IF(AND('Mapa de Riesgos'!$Y$57="Alta",'Mapa de Riesgos'!$AA$57="Catastrófico"),CONCATENATE("R8C",'Mapa de Riesgos'!$O$57),"")</f>
        <v/>
      </c>
      <c r="AK23" s="56" t="str">
        <f>IF(AND('Mapa de Riesgos'!$Y$58="Alta",'Mapa de Riesgos'!$AA$58="Catastrófico"),CONCATENATE("R8C",'Mapa de Riesgos'!$O$58),"")</f>
        <v/>
      </c>
      <c r="AL23" s="56" t="str">
        <f>IF(AND('Mapa de Riesgos'!$Y$59="Alta",'Mapa de Riesgos'!$AA$59="Catastrófico"),CONCATENATE("R8C",'Mapa de Riesgos'!$O$59),"")</f>
        <v/>
      </c>
      <c r="AM23" s="57" t="str">
        <f>IF(AND('Mapa de Riesgos'!$Y$60="Alta",'Mapa de Riesgos'!$AA$60="Catastrófico"),CONCATENATE("R8C",'Mapa de Riesgos'!$O$60),"")</f>
        <v/>
      </c>
      <c r="AN23" s="83"/>
      <c r="AO23" s="518"/>
      <c r="AP23" s="519"/>
      <c r="AQ23" s="519"/>
      <c r="AR23" s="519"/>
      <c r="AS23" s="519"/>
      <c r="AT23" s="52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29"/>
      <c r="C24" s="429"/>
      <c r="D24" s="430"/>
      <c r="E24" s="528"/>
      <c r="F24" s="527"/>
      <c r="G24" s="527"/>
      <c r="H24" s="527"/>
      <c r="I24" s="527"/>
      <c r="J24" s="67" t="str">
        <f>IF(AND('Mapa de Riesgos'!$Y$61="Alta",'Mapa de Riesgos'!$AA$61="Leve"),CONCATENATE("R9C",'Mapa de Riesgos'!$O$61),"")</f>
        <v/>
      </c>
      <c r="K24" s="68" t="str">
        <f>IF(AND('Mapa de Riesgos'!$Y$62="Alta",'Mapa de Riesgos'!$AA$62="Leve"),CONCATENATE("R9C",'Mapa de Riesgos'!$O$62),"")</f>
        <v/>
      </c>
      <c r="L24" s="68" t="str">
        <f>IF(AND('Mapa de Riesgos'!$Y$63="Alta",'Mapa de Riesgos'!$AA$63="Leve"),CONCATENATE("R9C",'Mapa de Riesgos'!$O$63),"")</f>
        <v/>
      </c>
      <c r="M24" s="68" t="str">
        <f>IF(AND('Mapa de Riesgos'!$Y$64="Alta",'Mapa de Riesgos'!$AA$64="Leve"),CONCATENATE("R9C",'Mapa de Riesgos'!$O$64),"")</f>
        <v/>
      </c>
      <c r="N24" s="68" t="str">
        <f>IF(AND('Mapa de Riesgos'!$Y$65="Alta",'Mapa de Riesgos'!$AA$65="Leve"),CONCATENATE("R9C",'Mapa de Riesgos'!$O$65),"")</f>
        <v/>
      </c>
      <c r="O24" s="69" t="str">
        <f>IF(AND('Mapa de Riesgos'!$Y$66="Alta",'Mapa de Riesgos'!$AA$66="Leve"),CONCATENATE("R9C",'Mapa de Riesgos'!$O$66),"")</f>
        <v/>
      </c>
      <c r="P24" s="67" t="str">
        <f>IF(AND('Mapa de Riesgos'!$Y$61="Alta",'Mapa de Riesgos'!$AA$61="Menor"),CONCATENATE("R9C",'Mapa de Riesgos'!$O$61),"")</f>
        <v/>
      </c>
      <c r="Q24" s="68" t="str">
        <f>IF(AND('Mapa de Riesgos'!$Y$62="Alta",'Mapa de Riesgos'!$AA$62="Menor"),CONCATENATE("R9C",'Mapa de Riesgos'!$O$62),"")</f>
        <v/>
      </c>
      <c r="R24" s="68" t="str">
        <f>IF(AND('Mapa de Riesgos'!$Y$63="Alta",'Mapa de Riesgos'!$AA$63="Menor"),CONCATENATE("R9C",'Mapa de Riesgos'!$O$63),"")</f>
        <v/>
      </c>
      <c r="S24" s="68" t="str">
        <f>IF(AND('Mapa de Riesgos'!$Y$64="Alta",'Mapa de Riesgos'!$AA$64="Menor"),CONCATENATE("R9C",'Mapa de Riesgos'!$O$64),"")</f>
        <v/>
      </c>
      <c r="T24" s="68" t="str">
        <f>IF(AND('Mapa de Riesgos'!$Y$65="Alta",'Mapa de Riesgos'!$AA$65="Menor"),CONCATENATE("R9C",'Mapa de Riesgos'!$O$65),"")</f>
        <v/>
      </c>
      <c r="U24" s="69" t="str">
        <f>IF(AND('Mapa de Riesgos'!$Y$66="Alta",'Mapa de Riesgos'!$AA$66="Menor"),CONCATENATE("R9C",'Mapa de Riesgos'!$O$66),"")</f>
        <v/>
      </c>
      <c r="V24" s="52" t="str">
        <f>IF(AND('Mapa de Riesgos'!$Y$61="Alta",'Mapa de Riesgos'!$AA$61="Moderado"),CONCATENATE("R9C",'Mapa de Riesgos'!$O$61),"")</f>
        <v/>
      </c>
      <c r="W24" s="53" t="str">
        <f>IF(AND('Mapa de Riesgos'!$Y$62="Alta",'Mapa de Riesgos'!$AA$62="Moderado"),CONCATENATE("R9C",'Mapa de Riesgos'!$O$62),"")</f>
        <v/>
      </c>
      <c r="X24" s="53" t="str">
        <f>IF(AND('Mapa de Riesgos'!$Y$63="Alta",'Mapa de Riesgos'!$AA$63="Moderado"),CONCATENATE("R9C",'Mapa de Riesgos'!$O$63),"")</f>
        <v/>
      </c>
      <c r="Y24" s="53" t="str">
        <f>IF(AND('Mapa de Riesgos'!$Y$64="Alta",'Mapa de Riesgos'!$AA$64="Moderado"),CONCATENATE("R9C",'Mapa de Riesgos'!$O$64),"")</f>
        <v/>
      </c>
      <c r="Z24" s="53" t="str">
        <f>IF(AND('Mapa de Riesgos'!$Y$65="Alta",'Mapa de Riesgos'!$AA$65="Moderado"),CONCATENATE("R9C",'Mapa de Riesgos'!$O$65),"")</f>
        <v/>
      </c>
      <c r="AA24" s="54" t="str">
        <f>IF(AND('Mapa de Riesgos'!$Y$66="Alta",'Mapa de Riesgos'!$AA$66="Moderado"),CONCATENATE("R9C",'Mapa de Riesgos'!$O$66),"")</f>
        <v/>
      </c>
      <c r="AB24" s="52" t="str">
        <f>IF(AND('Mapa de Riesgos'!$Y$61="Alta",'Mapa de Riesgos'!$AA$61="Mayor"),CONCATENATE("R9C",'Mapa de Riesgos'!$O$61),"")</f>
        <v/>
      </c>
      <c r="AC24" s="53" t="str">
        <f>IF(AND('Mapa de Riesgos'!$Y$62="Alta",'Mapa de Riesgos'!$AA$62="Mayor"),CONCATENATE("R9C",'Mapa de Riesgos'!$O$62),"")</f>
        <v/>
      </c>
      <c r="AD24" s="53" t="str">
        <f>IF(AND('Mapa de Riesgos'!$Y$63="Alta",'Mapa de Riesgos'!$AA$63="Mayor"),CONCATENATE("R9C",'Mapa de Riesgos'!$O$63),"")</f>
        <v/>
      </c>
      <c r="AE24" s="53" t="str">
        <f>IF(AND('Mapa de Riesgos'!$Y$64="Alta",'Mapa de Riesgos'!$AA$64="Mayor"),CONCATENATE("R9C",'Mapa de Riesgos'!$O$64),"")</f>
        <v/>
      </c>
      <c r="AF24" s="53" t="str">
        <f>IF(AND('Mapa de Riesgos'!$Y$65="Alta",'Mapa de Riesgos'!$AA$65="Mayor"),CONCATENATE("R9C",'Mapa de Riesgos'!$O$65),"")</f>
        <v/>
      </c>
      <c r="AG24" s="54" t="str">
        <f>IF(AND('Mapa de Riesgos'!$Y$66="Alta",'Mapa de Riesgos'!$AA$66="Mayor"),CONCATENATE("R9C",'Mapa de Riesgos'!$O$66),"")</f>
        <v/>
      </c>
      <c r="AH24" s="55" t="str">
        <f>IF(AND('Mapa de Riesgos'!$Y$61="Alta",'Mapa de Riesgos'!$AA$61="Catastrófico"),CONCATENATE("R9C",'Mapa de Riesgos'!$O$61),"")</f>
        <v/>
      </c>
      <c r="AI24" s="56" t="str">
        <f>IF(AND('Mapa de Riesgos'!$Y$62="Alta",'Mapa de Riesgos'!$AA$62="Catastrófico"),CONCATENATE("R9C",'Mapa de Riesgos'!$O$62),"")</f>
        <v/>
      </c>
      <c r="AJ24" s="56" t="str">
        <f>IF(AND('Mapa de Riesgos'!$Y$63="Alta",'Mapa de Riesgos'!$AA$63="Catastrófico"),CONCATENATE("R9C",'Mapa de Riesgos'!$O$63),"")</f>
        <v/>
      </c>
      <c r="AK24" s="56" t="str">
        <f>IF(AND('Mapa de Riesgos'!$Y$64="Alta",'Mapa de Riesgos'!$AA$64="Catastrófico"),CONCATENATE("R9C",'Mapa de Riesgos'!$O$64),"")</f>
        <v/>
      </c>
      <c r="AL24" s="56" t="str">
        <f>IF(AND('Mapa de Riesgos'!$Y$65="Alta",'Mapa de Riesgos'!$AA$65="Catastrófico"),CONCATENATE("R9C",'Mapa de Riesgos'!$O$65),"")</f>
        <v/>
      </c>
      <c r="AM24" s="57" t="str">
        <f>IF(AND('Mapa de Riesgos'!$Y$66="Alta",'Mapa de Riesgos'!$AA$66="Catastrófico"),CONCATENATE("R9C",'Mapa de Riesgos'!$O$66),"")</f>
        <v/>
      </c>
      <c r="AN24" s="83"/>
      <c r="AO24" s="518"/>
      <c r="AP24" s="519"/>
      <c r="AQ24" s="519"/>
      <c r="AR24" s="519"/>
      <c r="AS24" s="519"/>
      <c r="AT24" s="52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29"/>
      <c r="C25" s="429"/>
      <c r="D25" s="430"/>
      <c r="E25" s="529"/>
      <c r="F25" s="530"/>
      <c r="G25" s="530"/>
      <c r="H25" s="530"/>
      <c r="I25" s="530"/>
      <c r="J25" s="70" t="str">
        <f>IF(AND('Mapa de Riesgos'!$Y$67="Alta",'Mapa de Riesgos'!$AA$67="Leve"),CONCATENATE("R10C",'Mapa de Riesgos'!$O$67),"")</f>
        <v/>
      </c>
      <c r="K25" s="71" t="str">
        <f>IF(AND('Mapa de Riesgos'!$Y$68="Alta",'Mapa de Riesgos'!$AA$68="Leve"),CONCATENATE("R10C",'Mapa de Riesgos'!$O$68),"")</f>
        <v/>
      </c>
      <c r="L25" s="71" t="str">
        <f>IF(AND('Mapa de Riesgos'!$Y$69="Alta",'Mapa de Riesgos'!$AA$69="Leve"),CONCATENATE("R10C",'Mapa de Riesgos'!$O$69),"")</f>
        <v/>
      </c>
      <c r="M25" s="71" t="str">
        <f>IF(AND('Mapa de Riesgos'!$Y$70="Alta",'Mapa de Riesgos'!$AA$70="Leve"),CONCATENATE("R10C",'Mapa de Riesgos'!$O$70),"")</f>
        <v/>
      </c>
      <c r="N25" s="71" t="str">
        <f>IF(AND('Mapa de Riesgos'!$Y$71="Alta",'Mapa de Riesgos'!$AA$71="Leve"),CONCATENATE("R10C",'Mapa de Riesgos'!$O$71),"")</f>
        <v/>
      </c>
      <c r="O25" s="72" t="str">
        <f>IF(AND('Mapa de Riesgos'!$Y$72="Alta",'Mapa de Riesgos'!$AA$72="Leve"),CONCATENATE("R10C",'Mapa de Riesgos'!$O$72),"")</f>
        <v/>
      </c>
      <c r="P25" s="70" t="str">
        <f>IF(AND('Mapa de Riesgos'!$Y$67="Alta",'Mapa de Riesgos'!$AA$67="Menor"),CONCATENATE("R10C",'Mapa de Riesgos'!$O$67),"")</f>
        <v/>
      </c>
      <c r="Q25" s="71" t="str">
        <f>IF(AND('Mapa de Riesgos'!$Y$68="Alta",'Mapa de Riesgos'!$AA$68="Menor"),CONCATENATE("R10C",'Mapa de Riesgos'!$O$68),"")</f>
        <v/>
      </c>
      <c r="R25" s="71" t="str">
        <f>IF(AND('Mapa de Riesgos'!$Y$69="Alta",'Mapa de Riesgos'!$AA$69="Menor"),CONCATENATE("R10C",'Mapa de Riesgos'!$O$69),"")</f>
        <v/>
      </c>
      <c r="S25" s="71" t="str">
        <f>IF(AND('Mapa de Riesgos'!$Y$70="Alta",'Mapa de Riesgos'!$AA$70="Menor"),CONCATENATE("R10C",'Mapa de Riesgos'!$O$70),"")</f>
        <v/>
      </c>
      <c r="T25" s="71" t="str">
        <f>IF(AND('Mapa de Riesgos'!$Y$71="Alta",'Mapa de Riesgos'!$AA$71="Menor"),CONCATENATE("R10C",'Mapa de Riesgos'!$O$71),"")</f>
        <v/>
      </c>
      <c r="U25" s="72" t="str">
        <f>IF(AND('Mapa de Riesgos'!$Y$72="Alta",'Mapa de Riesgos'!$AA$72="Menor"),CONCATENATE("R10C",'Mapa de Riesgos'!$O$72),"")</f>
        <v/>
      </c>
      <c r="V25" s="58" t="str">
        <f>IF(AND('Mapa de Riesgos'!$Y$67="Alta",'Mapa de Riesgos'!$AA$67="Moderado"),CONCATENATE("R10C",'Mapa de Riesgos'!$O$67),"")</f>
        <v/>
      </c>
      <c r="W25" s="59" t="str">
        <f>IF(AND('Mapa de Riesgos'!$Y$68="Alta",'Mapa de Riesgos'!$AA$68="Moderado"),CONCATENATE("R10C",'Mapa de Riesgos'!$O$68),"")</f>
        <v/>
      </c>
      <c r="X25" s="59" t="str">
        <f>IF(AND('Mapa de Riesgos'!$Y$69="Alta",'Mapa de Riesgos'!$AA$69="Moderado"),CONCATENATE("R10C",'Mapa de Riesgos'!$O$69),"")</f>
        <v/>
      </c>
      <c r="Y25" s="59" t="str">
        <f>IF(AND('Mapa de Riesgos'!$Y$70="Alta",'Mapa de Riesgos'!$AA$70="Moderado"),CONCATENATE("R10C",'Mapa de Riesgos'!$O$70),"")</f>
        <v/>
      </c>
      <c r="Z25" s="59" t="str">
        <f>IF(AND('Mapa de Riesgos'!$Y$71="Alta",'Mapa de Riesgos'!$AA$71="Moderado"),CONCATENATE("R10C",'Mapa de Riesgos'!$O$71),"")</f>
        <v/>
      </c>
      <c r="AA25" s="60" t="str">
        <f>IF(AND('Mapa de Riesgos'!$Y$72="Alta",'Mapa de Riesgos'!$AA$72="Moderado"),CONCATENATE("R10C",'Mapa de Riesgos'!$O$72),"")</f>
        <v/>
      </c>
      <c r="AB25" s="58" t="str">
        <f>IF(AND('Mapa de Riesgos'!$Y$67="Alta",'Mapa de Riesgos'!$AA$67="Mayor"),CONCATENATE("R10C",'Mapa de Riesgos'!$O$67),"")</f>
        <v/>
      </c>
      <c r="AC25" s="59" t="str">
        <f>IF(AND('Mapa de Riesgos'!$Y$68="Alta",'Mapa de Riesgos'!$AA$68="Mayor"),CONCATENATE("R10C",'Mapa de Riesgos'!$O$68),"")</f>
        <v/>
      </c>
      <c r="AD25" s="59" t="str">
        <f>IF(AND('Mapa de Riesgos'!$Y$69="Alta",'Mapa de Riesgos'!$AA$69="Mayor"),CONCATENATE("R10C",'Mapa de Riesgos'!$O$69),"")</f>
        <v/>
      </c>
      <c r="AE25" s="59" t="str">
        <f>IF(AND('Mapa de Riesgos'!$Y$70="Alta",'Mapa de Riesgos'!$AA$70="Mayor"),CONCATENATE("R10C",'Mapa de Riesgos'!$O$70),"")</f>
        <v/>
      </c>
      <c r="AF25" s="59" t="str">
        <f>IF(AND('Mapa de Riesgos'!$Y$71="Alta",'Mapa de Riesgos'!$AA$71="Mayor"),CONCATENATE("R10C",'Mapa de Riesgos'!$O$71),"")</f>
        <v/>
      </c>
      <c r="AG25" s="60" t="str">
        <f>IF(AND('Mapa de Riesgos'!$Y$72="Alta",'Mapa de Riesgos'!$AA$72="Mayor"),CONCATENATE("R10C",'Mapa de Riesgos'!$O$72),"")</f>
        <v/>
      </c>
      <c r="AH25" s="61" t="str">
        <f>IF(AND('Mapa de Riesgos'!$Y$67="Alta",'Mapa de Riesgos'!$AA$67="Catastrófico"),CONCATENATE("R10C",'Mapa de Riesgos'!$O$67),"")</f>
        <v/>
      </c>
      <c r="AI25" s="62" t="str">
        <f>IF(AND('Mapa de Riesgos'!$Y$68="Alta",'Mapa de Riesgos'!$AA$68="Catastrófico"),CONCATENATE("R10C",'Mapa de Riesgos'!$O$68),"")</f>
        <v/>
      </c>
      <c r="AJ25" s="62" t="str">
        <f>IF(AND('Mapa de Riesgos'!$Y$69="Alta",'Mapa de Riesgos'!$AA$69="Catastrófico"),CONCATENATE("R10C",'Mapa de Riesgos'!$O$69),"")</f>
        <v/>
      </c>
      <c r="AK25" s="62" t="str">
        <f>IF(AND('Mapa de Riesgos'!$Y$70="Alta",'Mapa de Riesgos'!$AA$70="Catastrófico"),CONCATENATE("R10C",'Mapa de Riesgos'!$O$70),"")</f>
        <v/>
      </c>
      <c r="AL25" s="62" t="str">
        <f>IF(AND('Mapa de Riesgos'!$Y$71="Alta",'Mapa de Riesgos'!$AA$71="Catastrófico"),CONCATENATE("R10C",'Mapa de Riesgos'!$O$71),"")</f>
        <v/>
      </c>
      <c r="AM25" s="63" t="str">
        <f>IF(AND('Mapa de Riesgos'!$Y$72="Alta",'Mapa de Riesgos'!$AA$72="Catastrófico"),CONCATENATE("R10C",'Mapa de Riesgos'!$O$72),"")</f>
        <v/>
      </c>
      <c r="AN25" s="83"/>
      <c r="AO25" s="521"/>
      <c r="AP25" s="522"/>
      <c r="AQ25" s="522"/>
      <c r="AR25" s="522"/>
      <c r="AS25" s="522"/>
      <c r="AT25" s="52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29"/>
      <c r="C26" s="429"/>
      <c r="D26" s="430"/>
      <c r="E26" s="524" t="s">
        <v>212</v>
      </c>
      <c r="F26" s="525"/>
      <c r="G26" s="525"/>
      <c r="H26" s="525"/>
      <c r="I26" s="542"/>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54" t="s">
        <v>213</v>
      </c>
      <c r="AP26" s="555"/>
      <c r="AQ26" s="555"/>
      <c r="AR26" s="555"/>
      <c r="AS26" s="555"/>
      <c r="AT26" s="55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29"/>
      <c r="C27" s="429"/>
      <c r="D27" s="430"/>
      <c r="E27" s="526"/>
      <c r="F27" s="527"/>
      <c r="G27" s="527"/>
      <c r="H27" s="527"/>
      <c r="I27" s="543"/>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R2C1</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57"/>
      <c r="AP27" s="558"/>
      <c r="AQ27" s="558"/>
      <c r="AR27" s="558"/>
      <c r="AS27" s="558"/>
      <c r="AT27" s="55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29"/>
      <c r="C28" s="429"/>
      <c r="D28" s="430"/>
      <c r="E28" s="528"/>
      <c r="F28" s="527"/>
      <c r="G28" s="527"/>
      <c r="H28" s="527"/>
      <c r="I28" s="543"/>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57"/>
      <c r="AP28" s="558"/>
      <c r="AQ28" s="558"/>
      <c r="AR28" s="558"/>
      <c r="AS28" s="558"/>
      <c r="AT28" s="55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29"/>
      <c r="C29" s="429"/>
      <c r="D29" s="430"/>
      <c r="E29" s="528"/>
      <c r="F29" s="527"/>
      <c r="G29" s="527"/>
      <c r="H29" s="527"/>
      <c r="I29" s="543"/>
      <c r="J29" s="67" t="str">
        <f>IF(AND('Mapa de Riesgos'!$Y$30="Media",'Mapa de Riesgos'!$AA$30="Leve"),CONCATENATE("R4C",'Mapa de Riesgos'!$O$30),"")</f>
        <v/>
      </c>
      <c r="K29" s="68" t="str">
        <f>IF(AND('Mapa de Riesgos'!$Y$32="Media",'Mapa de Riesgos'!$AA$32="Leve"),CONCATENATE("R4C",'Mapa de Riesgos'!$O$32),"")</f>
        <v/>
      </c>
      <c r="L29" s="68" t="str">
        <f>IF(AND('Mapa de Riesgos'!$Y$33="Media",'Mapa de Riesgos'!$AA$33="Leve"),CONCATENATE("R4C",'Mapa de Riesgos'!$O$33),"")</f>
        <v/>
      </c>
      <c r="M29" s="68" t="str">
        <f>IF(AND('Mapa de Riesgos'!$Y$34="Media",'Mapa de Riesgos'!$AA$34="Leve"),CONCATENATE("R4C",'Mapa de Riesgos'!$O$34),"")</f>
        <v/>
      </c>
      <c r="N29" s="68" t="str">
        <f>IF(AND('Mapa de Riesgos'!$Y$35="Media",'Mapa de Riesgos'!$AA$35="Leve"),CONCATENATE("R4C",'Mapa de Riesgos'!$O$35),"")</f>
        <v/>
      </c>
      <c r="O29" s="69" t="str">
        <f>IF(AND('Mapa de Riesgos'!$Y$36="Media",'Mapa de Riesgos'!$AA$36="Leve"),CONCATENATE("R4C",'Mapa de Riesgos'!$O$36),"")</f>
        <v/>
      </c>
      <c r="P29" s="67" t="str">
        <f>IF(AND('Mapa de Riesgos'!$Y$30="Media",'Mapa de Riesgos'!$AA$30="Menor"),CONCATENATE("R4C",'Mapa de Riesgos'!$O$30),"")</f>
        <v/>
      </c>
      <c r="Q29" s="68" t="str">
        <f>IF(AND('Mapa de Riesgos'!$Y$32="Media",'Mapa de Riesgos'!$AA$32="Menor"),CONCATENATE("R4C",'Mapa de Riesgos'!$O$32),"")</f>
        <v/>
      </c>
      <c r="R29" s="68" t="str">
        <f>IF(AND('Mapa de Riesgos'!$Y$33="Media",'Mapa de Riesgos'!$AA$33="Menor"),CONCATENATE("R4C",'Mapa de Riesgos'!$O$33),"")</f>
        <v/>
      </c>
      <c r="S29" s="68" t="str">
        <f>IF(AND('Mapa de Riesgos'!$Y$34="Media",'Mapa de Riesgos'!$AA$34="Menor"),CONCATENATE("R4C",'Mapa de Riesgos'!$O$34),"")</f>
        <v/>
      </c>
      <c r="T29" s="68" t="str">
        <f>IF(AND('Mapa de Riesgos'!$Y$35="Media",'Mapa de Riesgos'!$AA$35="Menor"),CONCATENATE("R4C",'Mapa de Riesgos'!$O$35),"")</f>
        <v/>
      </c>
      <c r="U29" s="69" t="str">
        <f>IF(AND('Mapa de Riesgos'!$Y$36="Media",'Mapa de Riesgos'!$AA$36="Menor"),CONCATENATE("R4C",'Mapa de Riesgos'!$O$36),"")</f>
        <v/>
      </c>
      <c r="V29" s="67" t="str">
        <f>IF(AND('Mapa de Riesgos'!$Y$30="Media",'Mapa de Riesgos'!$AA$30="Moderado"),CONCATENATE("R4C",'Mapa de Riesgos'!$O$30),"")</f>
        <v/>
      </c>
      <c r="W29" s="68" t="str">
        <f>IF(AND('Mapa de Riesgos'!$Y$32="Media",'Mapa de Riesgos'!$AA$32="Moderado"),CONCATENATE("R4C",'Mapa de Riesgos'!$O$32),"")</f>
        <v/>
      </c>
      <c r="X29" s="68" t="str">
        <f>IF(AND('Mapa de Riesgos'!$Y$33="Media",'Mapa de Riesgos'!$AA$33="Moderado"),CONCATENATE("R4C",'Mapa de Riesgos'!$O$33),"")</f>
        <v/>
      </c>
      <c r="Y29" s="68" t="str">
        <f>IF(AND('Mapa de Riesgos'!$Y$34="Media",'Mapa de Riesgos'!$AA$34="Moderado"),CONCATENATE("R4C",'Mapa de Riesgos'!$O$34),"")</f>
        <v/>
      </c>
      <c r="Z29" s="68" t="str">
        <f>IF(AND('Mapa de Riesgos'!$Y$35="Media",'Mapa de Riesgos'!$AA$35="Moderado"),CONCATENATE("R4C",'Mapa de Riesgos'!$O$35),"")</f>
        <v/>
      </c>
      <c r="AA29" s="69" t="str">
        <f>IF(AND('Mapa de Riesgos'!$Y$36="Media",'Mapa de Riesgos'!$AA$36="Moderado"),CONCATENATE("R4C",'Mapa de Riesgos'!$O$36),"")</f>
        <v/>
      </c>
      <c r="AB29" s="52" t="str">
        <f>IF(AND('Mapa de Riesgos'!$Y$30="Media",'Mapa de Riesgos'!$AA$30="Mayor"),CONCATENATE("R4C",'Mapa de Riesgos'!$O$30),"")</f>
        <v>R4C1</v>
      </c>
      <c r="AC29" s="53" t="str">
        <f>IF(AND('Mapa de Riesgos'!$Y$32="Media",'Mapa de Riesgos'!$AA$32="Mayor"),CONCATENATE("R4C",'Mapa de Riesgos'!$O$32),"")</f>
        <v/>
      </c>
      <c r="AD29" s="53" t="str">
        <f>IF(AND('Mapa de Riesgos'!$Y$33="Media",'Mapa de Riesgos'!$AA$33="Mayor"),CONCATENATE("R4C",'Mapa de Riesgos'!$O$33),"")</f>
        <v/>
      </c>
      <c r="AE29" s="53" t="str">
        <f>IF(AND('Mapa de Riesgos'!$Y$34="Media",'Mapa de Riesgos'!$AA$34="Mayor"),CONCATENATE("R4C",'Mapa de Riesgos'!$O$34),"")</f>
        <v/>
      </c>
      <c r="AF29" s="53" t="str">
        <f>IF(AND('Mapa de Riesgos'!$Y$35="Media",'Mapa de Riesgos'!$AA$35="Mayor"),CONCATENATE("R4C",'Mapa de Riesgos'!$O$35),"")</f>
        <v/>
      </c>
      <c r="AG29" s="54" t="str">
        <f>IF(AND('Mapa de Riesgos'!$Y$36="Media",'Mapa de Riesgos'!$AA$36="Mayor"),CONCATENATE("R4C",'Mapa de Riesgos'!$O$36),"")</f>
        <v/>
      </c>
      <c r="AH29" s="55" t="str">
        <f>IF(AND('Mapa de Riesgos'!$Y$30="Media",'Mapa de Riesgos'!$AA$30="Catastrófico"),CONCATENATE("R4C",'Mapa de Riesgos'!$O$30),"")</f>
        <v/>
      </c>
      <c r="AI29" s="56" t="str">
        <f>IF(AND('Mapa de Riesgos'!$Y$32="Media",'Mapa de Riesgos'!$AA$32="Catastrófico"),CONCATENATE("R4C",'Mapa de Riesgos'!$O$32),"")</f>
        <v/>
      </c>
      <c r="AJ29" s="56" t="str">
        <f>IF(AND('Mapa de Riesgos'!$Y$33="Media",'Mapa de Riesgos'!$AA$33="Catastrófico"),CONCATENATE("R4C",'Mapa de Riesgos'!$O$33),"")</f>
        <v/>
      </c>
      <c r="AK29" s="56" t="str">
        <f>IF(AND('Mapa de Riesgos'!$Y$34="Media",'Mapa de Riesgos'!$AA$34="Catastrófico"),CONCATENATE("R4C",'Mapa de Riesgos'!$O$34),"")</f>
        <v/>
      </c>
      <c r="AL29" s="56" t="str">
        <f>IF(AND('Mapa de Riesgos'!$Y$35="Media",'Mapa de Riesgos'!$AA$35="Catastrófico"),CONCATENATE("R4C",'Mapa de Riesgos'!$O$35),"")</f>
        <v/>
      </c>
      <c r="AM29" s="57" t="str">
        <f>IF(AND('Mapa de Riesgos'!$Y$36="Media",'Mapa de Riesgos'!$AA$36="Catastrófico"),CONCATENATE("R4C",'Mapa de Riesgos'!$O$36),"")</f>
        <v/>
      </c>
      <c r="AN29" s="83"/>
      <c r="AO29" s="557"/>
      <c r="AP29" s="558"/>
      <c r="AQ29" s="558"/>
      <c r="AR29" s="558"/>
      <c r="AS29" s="558"/>
      <c r="AT29" s="55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29"/>
      <c r="C30" s="429"/>
      <c r="D30" s="430"/>
      <c r="E30" s="528"/>
      <c r="F30" s="527"/>
      <c r="G30" s="527"/>
      <c r="H30" s="527"/>
      <c r="I30" s="543"/>
      <c r="J30" s="67" t="str">
        <f>IF(AND('Mapa de Riesgos'!$Y$37="Media",'Mapa de Riesgos'!$AA$37="Leve"),CONCATENATE("R5C",'Mapa de Riesgos'!$O$37),"")</f>
        <v/>
      </c>
      <c r="K30" s="68" t="str">
        <f>IF(AND('Mapa de Riesgos'!$Y$38="Media",'Mapa de Riesgos'!$AA$38="Leve"),CONCATENATE("R5C",'Mapa de Riesgos'!$O$38),"")</f>
        <v/>
      </c>
      <c r="L30" s="68" t="str">
        <f>IF(AND('Mapa de Riesgos'!$Y$39="Media",'Mapa de Riesgos'!$AA$39="Leve"),CONCATENATE("R5C",'Mapa de Riesgos'!$O$39),"")</f>
        <v/>
      </c>
      <c r="M30" s="68" t="str">
        <f>IF(AND('Mapa de Riesgos'!$Y$40="Media",'Mapa de Riesgos'!$AA$40="Leve"),CONCATENATE("R5C",'Mapa de Riesgos'!$O$40),"")</f>
        <v/>
      </c>
      <c r="N30" s="68" t="str">
        <f>IF(AND('Mapa de Riesgos'!$Y$41="Media",'Mapa de Riesgos'!$AA$41="Leve"),CONCATENATE("R5C",'Mapa de Riesgos'!$O$41),"")</f>
        <v/>
      </c>
      <c r="O30" s="69" t="str">
        <f>IF(AND('Mapa de Riesgos'!$Y$42="Media",'Mapa de Riesgos'!$AA$42="Leve"),CONCATENATE("R5C",'Mapa de Riesgos'!$O$42),"")</f>
        <v/>
      </c>
      <c r="P30" s="67" t="str">
        <f>IF(AND('Mapa de Riesgos'!$Y$37="Media",'Mapa de Riesgos'!$AA$37="Menor"),CONCATENATE("R5C",'Mapa de Riesgos'!$O$37),"")</f>
        <v/>
      </c>
      <c r="Q30" s="68" t="str">
        <f>IF(AND('Mapa de Riesgos'!$Y$38="Media",'Mapa de Riesgos'!$AA$38="Menor"),CONCATENATE("R5C",'Mapa de Riesgos'!$O$38),"")</f>
        <v/>
      </c>
      <c r="R30" s="68" t="str">
        <f>IF(AND('Mapa de Riesgos'!$Y$39="Media",'Mapa de Riesgos'!$AA$39="Menor"),CONCATENATE("R5C",'Mapa de Riesgos'!$O$39),"")</f>
        <v/>
      </c>
      <c r="S30" s="68" t="str">
        <f>IF(AND('Mapa de Riesgos'!$Y$40="Media",'Mapa de Riesgos'!$AA$40="Menor"),CONCATENATE("R5C",'Mapa de Riesgos'!$O$40),"")</f>
        <v/>
      </c>
      <c r="T30" s="68" t="str">
        <f>IF(AND('Mapa de Riesgos'!$Y$41="Media",'Mapa de Riesgos'!$AA$41="Menor"),CONCATENATE("R5C",'Mapa de Riesgos'!$O$41),"")</f>
        <v/>
      </c>
      <c r="U30" s="69" t="str">
        <f>IF(AND('Mapa de Riesgos'!$Y$42="Media",'Mapa de Riesgos'!$AA$42="Menor"),CONCATENATE("R5C",'Mapa de Riesgos'!$O$42),"")</f>
        <v/>
      </c>
      <c r="V30" s="67" t="str">
        <f>IF(AND('Mapa de Riesgos'!$Y$37="Media",'Mapa de Riesgos'!$AA$37="Moderado"),CONCATENATE("R5C",'Mapa de Riesgos'!$O$37),"")</f>
        <v/>
      </c>
      <c r="W30" s="68" t="str">
        <f>IF(AND('Mapa de Riesgos'!$Y$38="Media",'Mapa de Riesgos'!$AA$38="Moderado"),CONCATENATE("R5C",'Mapa de Riesgos'!$O$38),"")</f>
        <v/>
      </c>
      <c r="X30" s="68" t="str">
        <f>IF(AND('Mapa de Riesgos'!$Y$39="Media",'Mapa de Riesgos'!$AA$39="Moderado"),CONCATENATE("R5C",'Mapa de Riesgos'!$O$39),"")</f>
        <v/>
      </c>
      <c r="Y30" s="68" t="str">
        <f>IF(AND('Mapa de Riesgos'!$Y$40="Media",'Mapa de Riesgos'!$AA$40="Moderado"),CONCATENATE("R5C",'Mapa de Riesgos'!$O$40),"")</f>
        <v/>
      </c>
      <c r="Z30" s="68" t="str">
        <f>IF(AND('Mapa de Riesgos'!$Y$41="Media",'Mapa de Riesgos'!$AA$41="Moderado"),CONCATENATE("R5C",'Mapa de Riesgos'!$O$41),"")</f>
        <v/>
      </c>
      <c r="AA30" s="69" t="str">
        <f>IF(AND('Mapa de Riesgos'!$Y$42="Media",'Mapa de Riesgos'!$AA$42="Moderado"),CONCATENATE("R5C",'Mapa de Riesgos'!$O$42),"")</f>
        <v/>
      </c>
      <c r="AB30" s="52" t="str">
        <f>IF(AND('Mapa de Riesgos'!$Y$37="Media",'Mapa de Riesgos'!$AA$37="Mayor"),CONCATENATE("R5C",'Mapa de Riesgos'!$O$37),"")</f>
        <v/>
      </c>
      <c r="AC30" s="53" t="str">
        <f>IF(AND('Mapa de Riesgos'!$Y$38="Media",'Mapa de Riesgos'!$AA$38="Mayor"),CONCATENATE("R5C",'Mapa de Riesgos'!$O$38),"")</f>
        <v/>
      </c>
      <c r="AD30" s="53" t="str">
        <f>IF(AND('Mapa de Riesgos'!$Y$39="Media",'Mapa de Riesgos'!$AA$39="Mayor"),CONCATENATE("R5C",'Mapa de Riesgos'!$O$39),"")</f>
        <v/>
      </c>
      <c r="AE30" s="53" t="str">
        <f>IF(AND('Mapa de Riesgos'!$Y$40="Media",'Mapa de Riesgos'!$AA$40="Mayor"),CONCATENATE("R5C",'Mapa de Riesgos'!$O$40),"")</f>
        <v/>
      </c>
      <c r="AF30" s="53" t="str">
        <f>IF(AND('Mapa de Riesgos'!$Y$41="Media",'Mapa de Riesgos'!$AA$41="Mayor"),CONCATENATE("R5C",'Mapa de Riesgos'!$O$41),"")</f>
        <v/>
      </c>
      <c r="AG30" s="54" t="str">
        <f>IF(AND('Mapa de Riesgos'!$Y$42="Media",'Mapa de Riesgos'!$AA$42="Mayor"),CONCATENATE("R5C",'Mapa de Riesgos'!$O$42),"")</f>
        <v/>
      </c>
      <c r="AH30" s="55" t="str">
        <f>IF(AND('Mapa de Riesgos'!$Y$37="Media",'Mapa de Riesgos'!$AA$37="Catastrófico"),CONCATENATE("R5C",'Mapa de Riesgos'!$O$37),"")</f>
        <v/>
      </c>
      <c r="AI30" s="56" t="str">
        <f>IF(AND('Mapa de Riesgos'!$Y$38="Media",'Mapa de Riesgos'!$AA$38="Catastrófico"),CONCATENATE("R5C",'Mapa de Riesgos'!$O$38),"")</f>
        <v/>
      </c>
      <c r="AJ30" s="56" t="str">
        <f>IF(AND('Mapa de Riesgos'!$Y$39="Media",'Mapa de Riesgos'!$AA$39="Catastrófico"),CONCATENATE("R5C",'Mapa de Riesgos'!$O$39),"")</f>
        <v/>
      </c>
      <c r="AK30" s="56" t="str">
        <f>IF(AND('Mapa de Riesgos'!$Y$40="Media",'Mapa de Riesgos'!$AA$40="Catastrófico"),CONCATENATE("R5C",'Mapa de Riesgos'!$O$40),"")</f>
        <v/>
      </c>
      <c r="AL30" s="56" t="str">
        <f>IF(AND('Mapa de Riesgos'!$Y$41="Media",'Mapa de Riesgos'!$AA$41="Catastrófico"),CONCATENATE("R5C",'Mapa de Riesgos'!$O$41),"")</f>
        <v/>
      </c>
      <c r="AM30" s="57" t="str">
        <f>IF(AND('Mapa de Riesgos'!$Y$42="Media",'Mapa de Riesgos'!$AA$42="Catastrófico"),CONCATENATE("R5C",'Mapa de Riesgos'!$O$42),"")</f>
        <v/>
      </c>
      <c r="AN30" s="83"/>
      <c r="AO30" s="557"/>
      <c r="AP30" s="558"/>
      <c r="AQ30" s="558"/>
      <c r="AR30" s="558"/>
      <c r="AS30" s="558"/>
      <c r="AT30" s="55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29"/>
      <c r="C31" s="429"/>
      <c r="D31" s="430"/>
      <c r="E31" s="528"/>
      <c r="F31" s="527"/>
      <c r="G31" s="527"/>
      <c r="H31" s="527"/>
      <c r="I31" s="543"/>
      <c r="J31" s="67" t="str">
        <f>IF(AND('Mapa de Riesgos'!$Y$43="Media",'Mapa de Riesgos'!$AA$43="Leve"),CONCATENATE("R6C",'Mapa de Riesgos'!$O$43),"")</f>
        <v/>
      </c>
      <c r="K31" s="68" t="str">
        <f>IF(AND('Mapa de Riesgos'!$Y$44="Media",'Mapa de Riesgos'!$AA$44="Leve"),CONCATENATE("R6C",'Mapa de Riesgos'!$O$44),"")</f>
        <v/>
      </c>
      <c r="L31" s="68" t="str">
        <f>IF(AND('Mapa de Riesgos'!$Y$45="Media",'Mapa de Riesgos'!$AA$45="Leve"),CONCATENATE("R6C",'Mapa de Riesgos'!$O$45),"")</f>
        <v/>
      </c>
      <c r="M31" s="68" t="str">
        <f>IF(AND('Mapa de Riesgos'!$Y$46="Media",'Mapa de Riesgos'!$AA$46="Leve"),CONCATENATE("R6C",'Mapa de Riesgos'!$O$46),"")</f>
        <v/>
      </c>
      <c r="N31" s="68" t="str">
        <f>IF(AND('Mapa de Riesgos'!$Y$47="Media",'Mapa de Riesgos'!$AA$47="Leve"),CONCATENATE("R6C",'Mapa de Riesgos'!$O$47),"")</f>
        <v/>
      </c>
      <c r="O31" s="69" t="str">
        <f>IF(AND('Mapa de Riesgos'!$Y$48="Media",'Mapa de Riesgos'!$AA$48="Leve"),CONCATENATE("R6C",'Mapa de Riesgos'!$O$48),"")</f>
        <v/>
      </c>
      <c r="P31" s="67" t="str">
        <f>IF(AND('Mapa de Riesgos'!$Y$43="Media",'Mapa de Riesgos'!$AA$43="Menor"),CONCATENATE("R6C",'Mapa de Riesgos'!$O$43),"")</f>
        <v/>
      </c>
      <c r="Q31" s="68" t="str">
        <f>IF(AND('Mapa de Riesgos'!$Y$44="Media",'Mapa de Riesgos'!$AA$44="Menor"),CONCATENATE("R6C",'Mapa de Riesgos'!$O$44),"")</f>
        <v/>
      </c>
      <c r="R31" s="68" t="str">
        <f>IF(AND('Mapa de Riesgos'!$Y$45="Media",'Mapa de Riesgos'!$AA$45="Menor"),CONCATENATE("R6C",'Mapa de Riesgos'!$O$45),"")</f>
        <v/>
      </c>
      <c r="S31" s="68" t="str">
        <f>IF(AND('Mapa de Riesgos'!$Y$46="Media",'Mapa de Riesgos'!$AA$46="Menor"),CONCATENATE("R6C",'Mapa de Riesgos'!$O$46),"")</f>
        <v/>
      </c>
      <c r="T31" s="68" t="str">
        <f>IF(AND('Mapa de Riesgos'!$Y$47="Media",'Mapa de Riesgos'!$AA$47="Menor"),CONCATENATE("R6C",'Mapa de Riesgos'!$O$47),"")</f>
        <v/>
      </c>
      <c r="U31" s="69" t="str">
        <f>IF(AND('Mapa de Riesgos'!$Y$48="Media",'Mapa de Riesgos'!$AA$48="Menor"),CONCATENATE("R6C",'Mapa de Riesgos'!$O$48),"")</f>
        <v/>
      </c>
      <c r="V31" s="67" t="str">
        <f>IF(AND('Mapa de Riesgos'!$Y$43="Media",'Mapa de Riesgos'!$AA$43="Moderado"),CONCATENATE("R6C",'Mapa de Riesgos'!$O$43),"")</f>
        <v/>
      </c>
      <c r="W31" s="68" t="str">
        <f>IF(AND('Mapa de Riesgos'!$Y$44="Media",'Mapa de Riesgos'!$AA$44="Moderado"),CONCATENATE("R6C",'Mapa de Riesgos'!$O$44),"")</f>
        <v/>
      </c>
      <c r="X31" s="68" t="str">
        <f>IF(AND('Mapa de Riesgos'!$Y$45="Media",'Mapa de Riesgos'!$AA$45="Moderado"),CONCATENATE("R6C",'Mapa de Riesgos'!$O$45),"")</f>
        <v/>
      </c>
      <c r="Y31" s="68" t="str">
        <f>IF(AND('Mapa de Riesgos'!$Y$46="Media",'Mapa de Riesgos'!$AA$46="Moderado"),CONCATENATE("R6C",'Mapa de Riesgos'!$O$46),"")</f>
        <v/>
      </c>
      <c r="Z31" s="68" t="str">
        <f>IF(AND('Mapa de Riesgos'!$Y$47="Media",'Mapa de Riesgos'!$AA$47="Moderado"),CONCATENATE("R6C",'Mapa de Riesgos'!$O$47),"")</f>
        <v/>
      </c>
      <c r="AA31" s="69" t="str">
        <f>IF(AND('Mapa de Riesgos'!$Y$48="Media",'Mapa de Riesgos'!$AA$48="Moderado"),CONCATENATE("R6C",'Mapa de Riesgos'!$O$48),"")</f>
        <v/>
      </c>
      <c r="AB31" s="52" t="str">
        <f>IF(AND('Mapa de Riesgos'!$Y$43="Media",'Mapa de Riesgos'!$AA$43="Mayor"),CONCATENATE("R6C",'Mapa de Riesgos'!$O$43),"")</f>
        <v/>
      </c>
      <c r="AC31" s="53" t="str">
        <f>IF(AND('Mapa de Riesgos'!$Y$44="Media",'Mapa de Riesgos'!$AA$44="Mayor"),CONCATENATE("R6C",'Mapa de Riesgos'!$O$44),"")</f>
        <v/>
      </c>
      <c r="AD31" s="53" t="str">
        <f>IF(AND('Mapa de Riesgos'!$Y$45="Media",'Mapa de Riesgos'!$AA$45="Mayor"),CONCATENATE("R6C",'Mapa de Riesgos'!$O$45),"")</f>
        <v/>
      </c>
      <c r="AE31" s="53" t="str">
        <f>IF(AND('Mapa de Riesgos'!$Y$46="Media",'Mapa de Riesgos'!$AA$46="Mayor"),CONCATENATE("R6C",'Mapa de Riesgos'!$O$46),"")</f>
        <v/>
      </c>
      <c r="AF31" s="53" t="str">
        <f>IF(AND('Mapa de Riesgos'!$Y$47="Media",'Mapa de Riesgos'!$AA$47="Mayor"),CONCATENATE("R6C",'Mapa de Riesgos'!$O$47),"")</f>
        <v/>
      </c>
      <c r="AG31" s="54" t="str">
        <f>IF(AND('Mapa de Riesgos'!$Y$48="Media",'Mapa de Riesgos'!$AA$48="Mayor"),CONCATENATE("R6C",'Mapa de Riesgos'!$O$48),"")</f>
        <v/>
      </c>
      <c r="AH31" s="55" t="str">
        <f>IF(AND('Mapa de Riesgos'!$Y$43="Media",'Mapa de Riesgos'!$AA$43="Catastrófico"),CONCATENATE("R6C",'Mapa de Riesgos'!$O$43),"")</f>
        <v/>
      </c>
      <c r="AI31" s="56" t="str">
        <f>IF(AND('Mapa de Riesgos'!$Y$44="Media",'Mapa de Riesgos'!$AA$44="Catastrófico"),CONCATENATE("R6C",'Mapa de Riesgos'!$O$44),"")</f>
        <v/>
      </c>
      <c r="AJ31" s="56" t="str">
        <f>IF(AND('Mapa de Riesgos'!$Y$45="Media",'Mapa de Riesgos'!$AA$45="Catastrófico"),CONCATENATE("R6C",'Mapa de Riesgos'!$O$45),"")</f>
        <v/>
      </c>
      <c r="AK31" s="56" t="str">
        <f>IF(AND('Mapa de Riesgos'!$Y$46="Media",'Mapa de Riesgos'!$AA$46="Catastrófico"),CONCATENATE("R6C",'Mapa de Riesgos'!$O$46),"")</f>
        <v/>
      </c>
      <c r="AL31" s="56" t="str">
        <f>IF(AND('Mapa de Riesgos'!$Y$47="Media",'Mapa de Riesgos'!$AA$47="Catastrófico"),CONCATENATE("R6C",'Mapa de Riesgos'!$O$47),"")</f>
        <v/>
      </c>
      <c r="AM31" s="57" t="str">
        <f>IF(AND('Mapa de Riesgos'!$Y$48="Media",'Mapa de Riesgos'!$AA$48="Catastrófico"),CONCATENATE("R6C",'Mapa de Riesgos'!$O$48),"")</f>
        <v/>
      </c>
      <c r="AN31" s="83"/>
      <c r="AO31" s="557"/>
      <c r="AP31" s="558"/>
      <c r="AQ31" s="558"/>
      <c r="AR31" s="558"/>
      <c r="AS31" s="558"/>
      <c r="AT31" s="55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29"/>
      <c r="C32" s="429"/>
      <c r="D32" s="430"/>
      <c r="E32" s="528"/>
      <c r="F32" s="527"/>
      <c r="G32" s="527"/>
      <c r="H32" s="527"/>
      <c r="I32" s="543"/>
      <c r="J32" s="67" t="str">
        <f>IF(AND('Mapa de Riesgos'!$Y$49="Media",'Mapa de Riesgos'!$AA$49="Leve"),CONCATENATE("R7C",'Mapa de Riesgos'!$O$49),"")</f>
        <v/>
      </c>
      <c r="K32" s="68" t="str">
        <f>IF(AND('Mapa de Riesgos'!$Y$50="Media",'Mapa de Riesgos'!$AA$50="Leve"),CONCATENATE("R7C",'Mapa de Riesgos'!$O$50),"")</f>
        <v/>
      </c>
      <c r="L32" s="68" t="str">
        <f>IF(AND('Mapa de Riesgos'!$Y$51="Media",'Mapa de Riesgos'!$AA$51="Leve"),CONCATENATE("R7C",'Mapa de Riesgos'!$O$51),"")</f>
        <v/>
      </c>
      <c r="M32" s="68" t="str">
        <f>IF(AND('Mapa de Riesgos'!$Y$52="Media",'Mapa de Riesgos'!$AA$52="Leve"),CONCATENATE("R7C",'Mapa de Riesgos'!$O$52),"")</f>
        <v/>
      </c>
      <c r="N32" s="68" t="str">
        <f>IF(AND('Mapa de Riesgos'!$Y$53="Media",'Mapa de Riesgos'!$AA$53="Leve"),CONCATENATE("R7C",'Mapa de Riesgos'!$O$53),"")</f>
        <v/>
      </c>
      <c r="O32" s="69" t="str">
        <f>IF(AND('Mapa de Riesgos'!$Y$54="Media",'Mapa de Riesgos'!$AA$54="Leve"),CONCATENATE("R7C",'Mapa de Riesgos'!$O$54),"")</f>
        <v/>
      </c>
      <c r="P32" s="67" t="str">
        <f>IF(AND('Mapa de Riesgos'!$Y$49="Media",'Mapa de Riesgos'!$AA$49="Menor"),CONCATENATE("R7C",'Mapa de Riesgos'!$O$49),"")</f>
        <v/>
      </c>
      <c r="Q32" s="68" t="str">
        <f>IF(AND('Mapa de Riesgos'!$Y$50="Media",'Mapa de Riesgos'!$AA$50="Menor"),CONCATENATE("R7C",'Mapa de Riesgos'!$O$50),"")</f>
        <v/>
      </c>
      <c r="R32" s="68" t="str">
        <f>IF(AND('Mapa de Riesgos'!$Y$51="Media",'Mapa de Riesgos'!$AA$51="Menor"),CONCATENATE("R7C",'Mapa de Riesgos'!$O$51),"")</f>
        <v/>
      </c>
      <c r="S32" s="68" t="str">
        <f>IF(AND('Mapa de Riesgos'!$Y$52="Media",'Mapa de Riesgos'!$AA$52="Menor"),CONCATENATE("R7C",'Mapa de Riesgos'!$O$52),"")</f>
        <v/>
      </c>
      <c r="T32" s="68" t="str">
        <f>IF(AND('Mapa de Riesgos'!$Y$53="Media",'Mapa de Riesgos'!$AA$53="Menor"),CONCATENATE("R7C",'Mapa de Riesgos'!$O$53),"")</f>
        <v/>
      </c>
      <c r="U32" s="69" t="str">
        <f>IF(AND('Mapa de Riesgos'!$Y$54="Media",'Mapa de Riesgos'!$AA$54="Menor"),CONCATENATE("R7C",'Mapa de Riesgos'!$O$54),"")</f>
        <v/>
      </c>
      <c r="V32" s="67" t="str">
        <f>IF(AND('Mapa de Riesgos'!$Y$49="Media",'Mapa de Riesgos'!$AA$49="Moderado"),CONCATENATE("R7C",'Mapa de Riesgos'!$O$49),"")</f>
        <v/>
      </c>
      <c r="W32" s="68" t="str">
        <f>IF(AND('Mapa de Riesgos'!$Y$50="Media",'Mapa de Riesgos'!$AA$50="Moderado"),CONCATENATE("R7C",'Mapa de Riesgos'!$O$50),"")</f>
        <v/>
      </c>
      <c r="X32" s="68" t="str">
        <f>IF(AND('Mapa de Riesgos'!$Y$51="Media",'Mapa de Riesgos'!$AA$51="Moderado"),CONCATENATE("R7C",'Mapa de Riesgos'!$O$51),"")</f>
        <v/>
      </c>
      <c r="Y32" s="68" t="str">
        <f>IF(AND('Mapa de Riesgos'!$Y$52="Media",'Mapa de Riesgos'!$AA$52="Moderado"),CONCATENATE("R7C",'Mapa de Riesgos'!$O$52),"")</f>
        <v/>
      </c>
      <c r="Z32" s="68" t="str">
        <f>IF(AND('Mapa de Riesgos'!$Y$53="Media",'Mapa de Riesgos'!$AA$53="Moderado"),CONCATENATE("R7C",'Mapa de Riesgos'!$O$53),"")</f>
        <v/>
      </c>
      <c r="AA32" s="69" t="str">
        <f>IF(AND('Mapa de Riesgos'!$Y$54="Media",'Mapa de Riesgos'!$AA$54="Moderado"),CONCATENATE("R7C",'Mapa de Riesgos'!$O$54),"")</f>
        <v/>
      </c>
      <c r="AB32" s="52" t="str">
        <f>IF(AND('Mapa de Riesgos'!$Y$49="Media",'Mapa de Riesgos'!$AA$49="Mayor"),CONCATENATE("R7C",'Mapa de Riesgos'!$O$49),"")</f>
        <v/>
      </c>
      <c r="AC32" s="53" t="str">
        <f>IF(AND('Mapa de Riesgos'!$Y$50="Media",'Mapa de Riesgos'!$AA$50="Mayor"),CONCATENATE("R7C",'Mapa de Riesgos'!$O$50),"")</f>
        <v/>
      </c>
      <c r="AD32" s="53" t="str">
        <f>IF(AND('Mapa de Riesgos'!$Y$51="Media",'Mapa de Riesgos'!$AA$51="Mayor"),CONCATENATE("R7C",'Mapa de Riesgos'!$O$51),"")</f>
        <v/>
      </c>
      <c r="AE32" s="53" t="str">
        <f>IF(AND('Mapa de Riesgos'!$Y$52="Media",'Mapa de Riesgos'!$AA$52="Mayor"),CONCATENATE("R7C",'Mapa de Riesgos'!$O$52),"")</f>
        <v/>
      </c>
      <c r="AF32" s="53" t="str">
        <f>IF(AND('Mapa de Riesgos'!$Y$53="Media",'Mapa de Riesgos'!$AA$53="Mayor"),CONCATENATE("R7C",'Mapa de Riesgos'!$O$53),"")</f>
        <v/>
      </c>
      <c r="AG32" s="54" t="str">
        <f>IF(AND('Mapa de Riesgos'!$Y$54="Media",'Mapa de Riesgos'!$AA$54="Mayor"),CONCATENATE("R7C",'Mapa de Riesgos'!$O$54),"")</f>
        <v/>
      </c>
      <c r="AH32" s="55" t="str">
        <f>IF(AND('Mapa de Riesgos'!$Y$49="Media",'Mapa de Riesgos'!$AA$49="Catastrófico"),CONCATENATE("R7C",'Mapa de Riesgos'!$O$49),"")</f>
        <v/>
      </c>
      <c r="AI32" s="56" t="str">
        <f>IF(AND('Mapa de Riesgos'!$Y$50="Media",'Mapa de Riesgos'!$AA$50="Catastrófico"),CONCATENATE("R7C",'Mapa de Riesgos'!$O$50),"")</f>
        <v/>
      </c>
      <c r="AJ32" s="56" t="str">
        <f>IF(AND('Mapa de Riesgos'!$Y$51="Media",'Mapa de Riesgos'!$AA$51="Catastrófico"),CONCATENATE("R7C",'Mapa de Riesgos'!$O$51),"")</f>
        <v/>
      </c>
      <c r="AK32" s="56" t="str">
        <f>IF(AND('Mapa de Riesgos'!$Y$52="Media",'Mapa de Riesgos'!$AA$52="Catastrófico"),CONCATENATE("R7C",'Mapa de Riesgos'!$O$52),"")</f>
        <v/>
      </c>
      <c r="AL32" s="56" t="str">
        <f>IF(AND('Mapa de Riesgos'!$Y$53="Media",'Mapa de Riesgos'!$AA$53="Catastrófico"),CONCATENATE("R7C",'Mapa de Riesgos'!$O$53),"")</f>
        <v/>
      </c>
      <c r="AM32" s="57" t="str">
        <f>IF(AND('Mapa de Riesgos'!$Y$54="Media",'Mapa de Riesgos'!$AA$54="Catastrófico"),CONCATENATE("R7C",'Mapa de Riesgos'!$O$54),"")</f>
        <v/>
      </c>
      <c r="AN32" s="83"/>
      <c r="AO32" s="557"/>
      <c r="AP32" s="558"/>
      <c r="AQ32" s="558"/>
      <c r="AR32" s="558"/>
      <c r="AS32" s="558"/>
      <c r="AT32" s="55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29"/>
      <c r="C33" s="429"/>
      <c r="D33" s="430"/>
      <c r="E33" s="528"/>
      <c r="F33" s="527"/>
      <c r="G33" s="527"/>
      <c r="H33" s="527"/>
      <c r="I33" s="543"/>
      <c r="J33" s="67" t="str">
        <f>IF(AND('Mapa de Riesgos'!$Y$55="Media",'Mapa de Riesgos'!$AA$55="Leve"),CONCATENATE("R8C",'Mapa de Riesgos'!$O$55),"")</f>
        <v/>
      </c>
      <c r="K33" s="68" t="str">
        <f>IF(AND('Mapa de Riesgos'!$Y$56="Media",'Mapa de Riesgos'!$AA$56="Leve"),CONCATENATE("R8C",'Mapa de Riesgos'!$O$56),"")</f>
        <v/>
      </c>
      <c r="L33" s="68" t="str">
        <f>IF(AND('Mapa de Riesgos'!$Y$57="Media",'Mapa de Riesgos'!$AA$57="Leve"),CONCATENATE("R8C",'Mapa de Riesgos'!$O$57),"")</f>
        <v/>
      </c>
      <c r="M33" s="68" t="str">
        <f>IF(AND('Mapa de Riesgos'!$Y$58="Media",'Mapa de Riesgos'!$AA$58="Leve"),CONCATENATE("R8C",'Mapa de Riesgos'!$O$58),"")</f>
        <v/>
      </c>
      <c r="N33" s="68" t="str">
        <f>IF(AND('Mapa de Riesgos'!$Y$59="Media",'Mapa de Riesgos'!$AA$59="Leve"),CONCATENATE("R8C",'Mapa de Riesgos'!$O$59),"")</f>
        <v/>
      </c>
      <c r="O33" s="69" t="str">
        <f>IF(AND('Mapa de Riesgos'!$Y$60="Media",'Mapa de Riesgos'!$AA$60="Leve"),CONCATENATE("R8C",'Mapa de Riesgos'!$O$60),"")</f>
        <v/>
      </c>
      <c r="P33" s="67" t="str">
        <f>IF(AND('Mapa de Riesgos'!$Y$55="Media",'Mapa de Riesgos'!$AA$55="Menor"),CONCATENATE("R8C",'Mapa de Riesgos'!$O$55),"")</f>
        <v/>
      </c>
      <c r="Q33" s="68" t="str">
        <f>IF(AND('Mapa de Riesgos'!$Y$56="Media",'Mapa de Riesgos'!$AA$56="Menor"),CONCATENATE("R8C",'Mapa de Riesgos'!$O$56),"")</f>
        <v/>
      </c>
      <c r="R33" s="68" t="str">
        <f>IF(AND('Mapa de Riesgos'!$Y$57="Media",'Mapa de Riesgos'!$AA$57="Menor"),CONCATENATE("R8C",'Mapa de Riesgos'!$O$57),"")</f>
        <v/>
      </c>
      <c r="S33" s="68" t="str">
        <f>IF(AND('Mapa de Riesgos'!$Y$58="Media",'Mapa de Riesgos'!$AA$58="Menor"),CONCATENATE("R8C",'Mapa de Riesgos'!$O$58),"")</f>
        <v/>
      </c>
      <c r="T33" s="68" t="str">
        <f>IF(AND('Mapa de Riesgos'!$Y$59="Media",'Mapa de Riesgos'!$AA$59="Menor"),CONCATENATE("R8C",'Mapa de Riesgos'!$O$59),"")</f>
        <v/>
      </c>
      <c r="U33" s="69" t="str">
        <f>IF(AND('Mapa de Riesgos'!$Y$60="Media",'Mapa de Riesgos'!$AA$60="Menor"),CONCATENATE("R8C",'Mapa de Riesgos'!$O$60),"")</f>
        <v/>
      </c>
      <c r="V33" s="67" t="str">
        <f>IF(AND('Mapa de Riesgos'!$Y$55="Media",'Mapa de Riesgos'!$AA$55="Moderado"),CONCATENATE("R8C",'Mapa de Riesgos'!$O$55),"")</f>
        <v/>
      </c>
      <c r="W33" s="68" t="str">
        <f>IF(AND('Mapa de Riesgos'!$Y$56="Media",'Mapa de Riesgos'!$AA$56="Moderado"),CONCATENATE("R8C",'Mapa de Riesgos'!$O$56),"")</f>
        <v/>
      </c>
      <c r="X33" s="68" t="str">
        <f>IF(AND('Mapa de Riesgos'!$Y$57="Media",'Mapa de Riesgos'!$AA$57="Moderado"),CONCATENATE("R8C",'Mapa de Riesgos'!$O$57),"")</f>
        <v/>
      </c>
      <c r="Y33" s="68" t="str">
        <f>IF(AND('Mapa de Riesgos'!$Y$58="Media",'Mapa de Riesgos'!$AA$58="Moderado"),CONCATENATE("R8C",'Mapa de Riesgos'!$O$58),"")</f>
        <v/>
      </c>
      <c r="Z33" s="68" t="str">
        <f>IF(AND('Mapa de Riesgos'!$Y$59="Media",'Mapa de Riesgos'!$AA$59="Moderado"),CONCATENATE("R8C",'Mapa de Riesgos'!$O$59),"")</f>
        <v/>
      </c>
      <c r="AA33" s="69" t="str">
        <f>IF(AND('Mapa de Riesgos'!$Y$60="Media",'Mapa de Riesgos'!$AA$60="Moderado"),CONCATENATE("R8C",'Mapa de Riesgos'!$O$60),"")</f>
        <v/>
      </c>
      <c r="AB33" s="52" t="str">
        <f>IF(AND('Mapa de Riesgos'!$Y$55="Media",'Mapa de Riesgos'!$AA$55="Mayor"),CONCATENATE("R8C",'Mapa de Riesgos'!$O$55),"")</f>
        <v/>
      </c>
      <c r="AC33" s="53" t="str">
        <f>IF(AND('Mapa de Riesgos'!$Y$56="Media",'Mapa de Riesgos'!$AA$56="Mayor"),CONCATENATE("R8C",'Mapa de Riesgos'!$O$56),"")</f>
        <v/>
      </c>
      <c r="AD33" s="53" t="str">
        <f>IF(AND('Mapa de Riesgos'!$Y$57="Media",'Mapa de Riesgos'!$AA$57="Mayor"),CONCATENATE("R8C",'Mapa de Riesgos'!$O$57),"")</f>
        <v/>
      </c>
      <c r="AE33" s="53" t="str">
        <f>IF(AND('Mapa de Riesgos'!$Y$58="Media",'Mapa de Riesgos'!$AA$58="Mayor"),CONCATENATE("R8C",'Mapa de Riesgos'!$O$58),"")</f>
        <v/>
      </c>
      <c r="AF33" s="53" t="str">
        <f>IF(AND('Mapa de Riesgos'!$Y$59="Media",'Mapa de Riesgos'!$AA$59="Mayor"),CONCATENATE("R8C",'Mapa de Riesgos'!$O$59),"")</f>
        <v/>
      </c>
      <c r="AG33" s="54" t="str">
        <f>IF(AND('Mapa de Riesgos'!$Y$60="Media",'Mapa de Riesgos'!$AA$60="Mayor"),CONCATENATE("R8C",'Mapa de Riesgos'!$O$60),"")</f>
        <v/>
      </c>
      <c r="AH33" s="55" t="str">
        <f>IF(AND('Mapa de Riesgos'!$Y$55="Media",'Mapa de Riesgos'!$AA$55="Catastrófico"),CONCATENATE("R8C",'Mapa de Riesgos'!$O$55),"")</f>
        <v/>
      </c>
      <c r="AI33" s="56" t="str">
        <f>IF(AND('Mapa de Riesgos'!$Y$56="Media",'Mapa de Riesgos'!$AA$56="Catastrófico"),CONCATENATE("R8C",'Mapa de Riesgos'!$O$56),"")</f>
        <v/>
      </c>
      <c r="AJ33" s="56" t="str">
        <f>IF(AND('Mapa de Riesgos'!$Y$57="Media",'Mapa de Riesgos'!$AA$57="Catastrófico"),CONCATENATE("R8C",'Mapa de Riesgos'!$O$57),"")</f>
        <v/>
      </c>
      <c r="AK33" s="56" t="str">
        <f>IF(AND('Mapa de Riesgos'!$Y$58="Media",'Mapa de Riesgos'!$AA$58="Catastrófico"),CONCATENATE("R8C",'Mapa de Riesgos'!$O$58),"")</f>
        <v/>
      </c>
      <c r="AL33" s="56" t="str">
        <f>IF(AND('Mapa de Riesgos'!$Y$59="Media",'Mapa de Riesgos'!$AA$59="Catastrófico"),CONCATENATE("R8C",'Mapa de Riesgos'!$O$59),"")</f>
        <v/>
      </c>
      <c r="AM33" s="57" t="str">
        <f>IF(AND('Mapa de Riesgos'!$Y$60="Media",'Mapa de Riesgos'!$AA$60="Catastrófico"),CONCATENATE("R8C",'Mapa de Riesgos'!$O$60),"")</f>
        <v/>
      </c>
      <c r="AN33" s="83"/>
      <c r="AO33" s="557"/>
      <c r="AP33" s="558"/>
      <c r="AQ33" s="558"/>
      <c r="AR33" s="558"/>
      <c r="AS33" s="558"/>
      <c r="AT33" s="55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29"/>
      <c r="C34" s="429"/>
      <c r="D34" s="430"/>
      <c r="E34" s="528"/>
      <c r="F34" s="527"/>
      <c r="G34" s="527"/>
      <c r="H34" s="527"/>
      <c r="I34" s="543"/>
      <c r="J34" s="67" t="str">
        <f>IF(AND('Mapa de Riesgos'!$Y$61="Media",'Mapa de Riesgos'!$AA$61="Leve"),CONCATENATE("R9C",'Mapa de Riesgos'!$O$61),"")</f>
        <v/>
      </c>
      <c r="K34" s="68" t="str">
        <f>IF(AND('Mapa de Riesgos'!$Y$62="Media",'Mapa de Riesgos'!$AA$62="Leve"),CONCATENATE("R9C",'Mapa de Riesgos'!$O$62),"")</f>
        <v/>
      </c>
      <c r="L34" s="68" t="str">
        <f>IF(AND('Mapa de Riesgos'!$Y$63="Media",'Mapa de Riesgos'!$AA$63="Leve"),CONCATENATE("R9C",'Mapa de Riesgos'!$O$63),"")</f>
        <v/>
      </c>
      <c r="M34" s="68" t="str">
        <f>IF(AND('Mapa de Riesgos'!$Y$64="Media",'Mapa de Riesgos'!$AA$64="Leve"),CONCATENATE("R9C",'Mapa de Riesgos'!$O$64),"")</f>
        <v/>
      </c>
      <c r="N34" s="68" t="str">
        <f>IF(AND('Mapa de Riesgos'!$Y$65="Media",'Mapa de Riesgos'!$AA$65="Leve"),CONCATENATE("R9C",'Mapa de Riesgos'!$O$65),"")</f>
        <v/>
      </c>
      <c r="O34" s="69" t="str">
        <f>IF(AND('Mapa de Riesgos'!$Y$66="Media",'Mapa de Riesgos'!$AA$66="Leve"),CONCATENATE("R9C",'Mapa de Riesgos'!$O$66),"")</f>
        <v/>
      </c>
      <c r="P34" s="67" t="str">
        <f>IF(AND('Mapa de Riesgos'!$Y$61="Media",'Mapa de Riesgos'!$AA$61="Menor"),CONCATENATE("R9C",'Mapa de Riesgos'!$O$61),"")</f>
        <v/>
      </c>
      <c r="Q34" s="68" t="str">
        <f>IF(AND('Mapa de Riesgos'!$Y$62="Media",'Mapa de Riesgos'!$AA$62="Menor"),CONCATENATE("R9C",'Mapa de Riesgos'!$O$62),"")</f>
        <v/>
      </c>
      <c r="R34" s="68" t="str">
        <f>IF(AND('Mapa de Riesgos'!$Y$63="Media",'Mapa de Riesgos'!$AA$63="Menor"),CONCATENATE("R9C",'Mapa de Riesgos'!$O$63),"")</f>
        <v/>
      </c>
      <c r="S34" s="68" t="str">
        <f>IF(AND('Mapa de Riesgos'!$Y$64="Media",'Mapa de Riesgos'!$AA$64="Menor"),CONCATENATE("R9C",'Mapa de Riesgos'!$O$64),"")</f>
        <v/>
      </c>
      <c r="T34" s="68" t="str">
        <f>IF(AND('Mapa de Riesgos'!$Y$65="Media",'Mapa de Riesgos'!$AA$65="Menor"),CONCATENATE("R9C",'Mapa de Riesgos'!$O$65),"")</f>
        <v/>
      </c>
      <c r="U34" s="69" t="str">
        <f>IF(AND('Mapa de Riesgos'!$Y$66="Media",'Mapa de Riesgos'!$AA$66="Menor"),CONCATENATE("R9C",'Mapa de Riesgos'!$O$66),"")</f>
        <v/>
      </c>
      <c r="V34" s="67" t="str">
        <f>IF(AND('Mapa de Riesgos'!$Y$61="Media",'Mapa de Riesgos'!$AA$61="Moderado"),CONCATENATE("R9C",'Mapa de Riesgos'!$O$61),"")</f>
        <v/>
      </c>
      <c r="W34" s="68" t="str">
        <f>IF(AND('Mapa de Riesgos'!$Y$62="Media",'Mapa de Riesgos'!$AA$62="Moderado"),CONCATENATE("R9C",'Mapa de Riesgos'!$O$62),"")</f>
        <v/>
      </c>
      <c r="X34" s="68" t="str">
        <f>IF(AND('Mapa de Riesgos'!$Y$63="Media",'Mapa de Riesgos'!$AA$63="Moderado"),CONCATENATE("R9C",'Mapa de Riesgos'!$O$63),"")</f>
        <v/>
      </c>
      <c r="Y34" s="68" t="str">
        <f>IF(AND('Mapa de Riesgos'!$Y$64="Media",'Mapa de Riesgos'!$AA$64="Moderado"),CONCATENATE("R9C",'Mapa de Riesgos'!$O$64),"")</f>
        <v/>
      </c>
      <c r="Z34" s="68" t="str">
        <f>IF(AND('Mapa de Riesgos'!$Y$65="Media",'Mapa de Riesgos'!$AA$65="Moderado"),CONCATENATE("R9C",'Mapa de Riesgos'!$O$65),"")</f>
        <v/>
      </c>
      <c r="AA34" s="69" t="str">
        <f>IF(AND('Mapa de Riesgos'!$Y$66="Media",'Mapa de Riesgos'!$AA$66="Moderado"),CONCATENATE("R9C",'Mapa de Riesgos'!$O$66),"")</f>
        <v/>
      </c>
      <c r="AB34" s="52" t="str">
        <f>IF(AND('Mapa de Riesgos'!$Y$61="Media",'Mapa de Riesgos'!$AA$61="Mayor"),CONCATENATE("R9C",'Mapa de Riesgos'!$O$61),"")</f>
        <v/>
      </c>
      <c r="AC34" s="53" t="str">
        <f>IF(AND('Mapa de Riesgos'!$Y$62="Media",'Mapa de Riesgos'!$AA$62="Mayor"),CONCATENATE("R9C",'Mapa de Riesgos'!$O$62),"")</f>
        <v/>
      </c>
      <c r="AD34" s="53" t="str">
        <f>IF(AND('Mapa de Riesgos'!$Y$63="Media",'Mapa de Riesgos'!$AA$63="Mayor"),CONCATENATE("R9C",'Mapa de Riesgos'!$O$63),"")</f>
        <v/>
      </c>
      <c r="AE34" s="53" t="str">
        <f>IF(AND('Mapa de Riesgos'!$Y$64="Media",'Mapa de Riesgos'!$AA$64="Mayor"),CONCATENATE("R9C",'Mapa de Riesgos'!$O$64),"")</f>
        <v/>
      </c>
      <c r="AF34" s="53" t="str">
        <f>IF(AND('Mapa de Riesgos'!$Y$65="Media",'Mapa de Riesgos'!$AA$65="Mayor"),CONCATENATE("R9C",'Mapa de Riesgos'!$O$65),"")</f>
        <v/>
      </c>
      <c r="AG34" s="54" t="str">
        <f>IF(AND('Mapa de Riesgos'!$Y$66="Media",'Mapa de Riesgos'!$AA$66="Mayor"),CONCATENATE("R9C",'Mapa de Riesgos'!$O$66),"")</f>
        <v/>
      </c>
      <c r="AH34" s="55" t="str">
        <f>IF(AND('Mapa de Riesgos'!$Y$61="Media",'Mapa de Riesgos'!$AA$61="Catastrófico"),CONCATENATE("R9C",'Mapa de Riesgos'!$O$61),"")</f>
        <v/>
      </c>
      <c r="AI34" s="56" t="str">
        <f>IF(AND('Mapa de Riesgos'!$Y$62="Media",'Mapa de Riesgos'!$AA$62="Catastrófico"),CONCATENATE("R9C",'Mapa de Riesgos'!$O$62),"")</f>
        <v/>
      </c>
      <c r="AJ34" s="56" t="str">
        <f>IF(AND('Mapa de Riesgos'!$Y$63="Media",'Mapa de Riesgos'!$AA$63="Catastrófico"),CONCATENATE("R9C",'Mapa de Riesgos'!$O$63),"")</f>
        <v/>
      </c>
      <c r="AK34" s="56" t="str">
        <f>IF(AND('Mapa de Riesgos'!$Y$64="Media",'Mapa de Riesgos'!$AA$64="Catastrófico"),CONCATENATE("R9C",'Mapa de Riesgos'!$O$64),"")</f>
        <v/>
      </c>
      <c r="AL34" s="56" t="str">
        <f>IF(AND('Mapa de Riesgos'!$Y$65="Media",'Mapa de Riesgos'!$AA$65="Catastrófico"),CONCATENATE("R9C",'Mapa de Riesgos'!$O$65),"")</f>
        <v/>
      </c>
      <c r="AM34" s="57" t="str">
        <f>IF(AND('Mapa de Riesgos'!$Y$66="Media",'Mapa de Riesgos'!$AA$66="Catastrófico"),CONCATENATE("R9C",'Mapa de Riesgos'!$O$66),"")</f>
        <v/>
      </c>
      <c r="AN34" s="83"/>
      <c r="AO34" s="557"/>
      <c r="AP34" s="558"/>
      <c r="AQ34" s="558"/>
      <c r="AR34" s="558"/>
      <c r="AS34" s="558"/>
      <c r="AT34" s="55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29"/>
      <c r="C35" s="429"/>
      <c r="D35" s="430"/>
      <c r="E35" s="529"/>
      <c r="F35" s="530"/>
      <c r="G35" s="530"/>
      <c r="H35" s="530"/>
      <c r="I35" s="544"/>
      <c r="J35" s="67" t="str">
        <f>IF(AND('Mapa de Riesgos'!$Y$67="Media",'Mapa de Riesgos'!$AA$67="Leve"),CONCATENATE("R10C",'Mapa de Riesgos'!$O$67),"")</f>
        <v/>
      </c>
      <c r="K35" s="68" t="str">
        <f>IF(AND('Mapa de Riesgos'!$Y$68="Media",'Mapa de Riesgos'!$AA$68="Leve"),CONCATENATE("R10C",'Mapa de Riesgos'!$O$68),"")</f>
        <v/>
      </c>
      <c r="L35" s="68" t="str">
        <f>IF(AND('Mapa de Riesgos'!$Y$69="Media",'Mapa de Riesgos'!$AA$69="Leve"),CONCATENATE("R10C",'Mapa de Riesgos'!$O$69),"")</f>
        <v/>
      </c>
      <c r="M35" s="68" t="str">
        <f>IF(AND('Mapa de Riesgos'!$Y$70="Media",'Mapa de Riesgos'!$AA$70="Leve"),CONCATENATE("R10C",'Mapa de Riesgos'!$O$70),"")</f>
        <v/>
      </c>
      <c r="N35" s="68" t="str">
        <f>IF(AND('Mapa de Riesgos'!$Y$71="Media",'Mapa de Riesgos'!$AA$71="Leve"),CONCATENATE("R10C",'Mapa de Riesgos'!$O$71),"")</f>
        <v/>
      </c>
      <c r="O35" s="69" t="str">
        <f>IF(AND('Mapa de Riesgos'!$Y$72="Media",'Mapa de Riesgos'!$AA$72="Leve"),CONCATENATE("R10C",'Mapa de Riesgos'!$O$72),"")</f>
        <v/>
      </c>
      <c r="P35" s="67" t="str">
        <f>IF(AND('Mapa de Riesgos'!$Y$67="Media",'Mapa de Riesgos'!$AA$67="Menor"),CONCATENATE("R10C",'Mapa de Riesgos'!$O$67),"")</f>
        <v/>
      </c>
      <c r="Q35" s="68" t="str">
        <f>IF(AND('Mapa de Riesgos'!$Y$68="Media",'Mapa de Riesgos'!$AA$68="Menor"),CONCATENATE("R10C",'Mapa de Riesgos'!$O$68),"")</f>
        <v/>
      </c>
      <c r="R35" s="68" t="str">
        <f>IF(AND('Mapa de Riesgos'!$Y$69="Media",'Mapa de Riesgos'!$AA$69="Menor"),CONCATENATE("R10C",'Mapa de Riesgos'!$O$69),"")</f>
        <v/>
      </c>
      <c r="S35" s="68" t="str">
        <f>IF(AND('Mapa de Riesgos'!$Y$70="Media",'Mapa de Riesgos'!$AA$70="Menor"),CONCATENATE("R10C",'Mapa de Riesgos'!$O$70),"")</f>
        <v/>
      </c>
      <c r="T35" s="68" t="str">
        <f>IF(AND('Mapa de Riesgos'!$Y$71="Media",'Mapa de Riesgos'!$AA$71="Menor"),CONCATENATE("R10C",'Mapa de Riesgos'!$O$71),"")</f>
        <v/>
      </c>
      <c r="U35" s="69" t="str">
        <f>IF(AND('Mapa de Riesgos'!$Y$72="Media",'Mapa de Riesgos'!$AA$72="Menor"),CONCATENATE("R10C",'Mapa de Riesgos'!$O$72),"")</f>
        <v/>
      </c>
      <c r="V35" s="67" t="str">
        <f>IF(AND('Mapa de Riesgos'!$Y$67="Media",'Mapa de Riesgos'!$AA$67="Moderado"),CONCATENATE("R10C",'Mapa de Riesgos'!$O$67),"")</f>
        <v/>
      </c>
      <c r="W35" s="68" t="str">
        <f>IF(AND('Mapa de Riesgos'!$Y$68="Media",'Mapa de Riesgos'!$AA$68="Moderado"),CONCATENATE("R10C",'Mapa de Riesgos'!$O$68),"")</f>
        <v/>
      </c>
      <c r="X35" s="68" t="str">
        <f>IF(AND('Mapa de Riesgos'!$Y$69="Media",'Mapa de Riesgos'!$AA$69="Moderado"),CONCATENATE("R10C",'Mapa de Riesgos'!$O$69),"")</f>
        <v/>
      </c>
      <c r="Y35" s="68" t="str">
        <f>IF(AND('Mapa de Riesgos'!$Y$70="Media",'Mapa de Riesgos'!$AA$70="Moderado"),CONCATENATE("R10C",'Mapa de Riesgos'!$O$70),"")</f>
        <v/>
      </c>
      <c r="Z35" s="68" t="str">
        <f>IF(AND('Mapa de Riesgos'!$Y$71="Media",'Mapa de Riesgos'!$AA$71="Moderado"),CONCATENATE("R10C",'Mapa de Riesgos'!$O$71),"")</f>
        <v/>
      </c>
      <c r="AA35" s="69" t="str">
        <f>IF(AND('Mapa de Riesgos'!$Y$72="Media",'Mapa de Riesgos'!$AA$72="Moderado"),CONCATENATE("R10C",'Mapa de Riesgos'!$O$72),"")</f>
        <v/>
      </c>
      <c r="AB35" s="58" t="str">
        <f>IF(AND('Mapa de Riesgos'!$Y$67="Media",'Mapa de Riesgos'!$AA$67="Mayor"),CONCATENATE("R10C",'Mapa de Riesgos'!$O$67),"")</f>
        <v/>
      </c>
      <c r="AC35" s="59" t="str">
        <f>IF(AND('Mapa de Riesgos'!$Y$68="Media",'Mapa de Riesgos'!$AA$68="Mayor"),CONCATENATE("R10C",'Mapa de Riesgos'!$O$68),"")</f>
        <v/>
      </c>
      <c r="AD35" s="59" t="str">
        <f>IF(AND('Mapa de Riesgos'!$Y$69="Media",'Mapa de Riesgos'!$AA$69="Mayor"),CONCATENATE("R10C",'Mapa de Riesgos'!$O$69),"")</f>
        <v/>
      </c>
      <c r="AE35" s="59" t="str">
        <f>IF(AND('Mapa de Riesgos'!$Y$70="Media",'Mapa de Riesgos'!$AA$70="Mayor"),CONCATENATE("R10C",'Mapa de Riesgos'!$O$70),"")</f>
        <v/>
      </c>
      <c r="AF35" s="59" t="str">
        <f>IF(AND('Mapa de Riesgos'!$Y$71="Media",'Mapa de Riesgos'!$AA$71="Mayor"),CONCATENATE("R10C",'Mapa de Riesgos'!$O$71),"")</f>
        <v/>
      </c>
      <c r="AG35" s="60" t="str">
        <f>IF(AND('Mapa de Riesgos'!$Y$72="Media",'Mapa de Riesgos'!$AA$72="Mayor"),CONCATENATE("R10C",'Mapa de Riesgos'!$O$72),"")</f>
        <v/>
      </c>
      <c r="AH35" s="61" t="str">
        <f>IF(AND('Mapa de Riesgos'!$Y$67="Media",'Mapa de Riesgos'!$AA$67="Catastrófico"),CONCATENATE("R10C",'Mapa de Riesgos'!$O$67),"")</f>
        <v/>
      </c>
      <c r="AI35" s="62" t="str">
        <f>IF(AND('Mapa de Riesgos'!$Y$68="Media",'Mapa de Riesgos'!$AA$68="Catastrófico"),CONCATENATE("R10C",'Mapa de Riesgos'!$O$68),"")</f>
        <v/>
      </c>
      <c r="AJ35" s="62" t="str">
        <f>IF(AND('Mapa de Riesgos'!$Y$69="Media",'Mapa de Riesgos'!$AA$69="Catastrófico"),CONCATENATE("R10C",'Mapa de Riesgos'!$O$69),"")</f>
        <v/>
      </c>
      <c r="AK35" s="62" t="str">
        <f>IF(AND('Mapa de Riesgos'!$Y$70="Media",'Mapa de Riesgos'!$AA$70="Catastrófico"),CONCATENATE("R10C",'Mapa de Riesgos'!$O$70),"")</f>
        <v/>
      </c>
      <c r="AL35" s="62" t="str">
        <f>IF(AND('Mapa de Riesgos'!$Y$71="Media",'Mapa de Riesgos'!$AA$71="Catastrófico"),CONCATENATE("R10C",'Mapa de Riesgos'!$O$71),"")</f>
        <v/>
      </c>
      <c r="AM35" s="63" t="str">
        <f>IF(AND('Mapa de Riesgos'!$Y$72="Media",'Mapa de Riesgos'!$AA$72="Catastrófico"),CONCATENATE("R10C",'Mapa de Riesgos'!$O$72),"")</f>
        <v/>
      </c>
      <c r="AN35" s="83"/>
      <c r="AO35" s="560"/>
      <c r="AP35" s="561"/>
      <c r="AQ35" s="561"/>
      <c r="AR35" s="561"/>
      <c r="AS35" s="561"/>
      <c r="AT35" s="56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29"/>
      <c r="C36" s="429"/>
      <c r="D36" s="430"/>
      <c r="E36" s="524" t="s">
        <v>214</v>
      </c>
      <c r="F36" s="525"/>
      <c r="G36" s="525"/>
      <c r="H36" s="525"/>
      <c r="I36" s="525"/>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45" t="s">
        <v>215</v>
      </c>
      <c r="AP36" s="546"/>
      <c r="AQ36" s="546"/>
      <c r="AR36" s="546"/>
      <c r="AS36" s="546"/>
      <c r="AT36" s="54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29"/>
      <c r="C37" s="429"/>
      <c r="D37" s="430"/>
      <c r="E37" s="526"/>
      <c r="F37" s="527"/>
      <c r="G37" s="527"/>
      <c r="H37" s="527"/>
      <c r="I37" s="527"/>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48"/>
      <c r="AP37" s="549"/>
      <c r="AQ37" s="549"/>
      <c r="AR37" s="549"/>
      <c r="AS37" s="549"/>
      <c r="AT37" s="55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29"/>
      <c r="C38" s="429"/>
      <c r="D38" s="430"/>
      <c r="E38" s="528"/>
      <c r="F38" s="527"/>
      <c r="G38" s="527"/>
      <c r="H38" s="527"/>
      <c r="I38" s="527"/>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R3C1</v>
      </c>
      <c r="AC38" s="53" t="str">
        <f>IF(AND('Mapa de Riesgos'!$Y$25="Baja",'Mapa de Riesgos'!$AA$25="Mayor"),CONCATENATE("R3C",'Mapa de Riesgos'!$O$25),"")</f>
        <v>R3C2</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48"/>
      <c r="AP38" s="549"/>
      <c r="AQ38" s="549"/>
      <c r="AR38" s="549"/>
      <c r="AS38" s="549"/>
      <c r="AT38" s="55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29"/>
      <c r="C39" s="429"/>
      <c r="D39" s="430"/>
      <c r="E39" s="528"/>
      <c r="F39" s="527"/>
      <c r="G39" s="527"/>
      <c r="H39" s="527"/>
      <c r="I39" s="527"/>
      <c r="J39" s="76" t="str">
        <f>IF(AND('Mapa de Riesgos'!$Y$30="Baja",'Mapa de Riesgos'!$AA$30="Leve"),CONCATENATE("R4C",'Mapa de Riesgos'!$O$30),"")</f>
        <v/>
      </c>
      <c r="K39" s="77" t="str">
        <f>IF(AND('Mapa de Riesgos'!$Y$32="Baja",'Mapa de Riesgos'!$AA$32="Leve"),CONCATENATE("R4C",'Mapa de Riesgos'!$O$32),"")</f>
        <v/>
      </c>
      <c r="L39" s="77" t="str">
        <f>IF(AND('Mapa de Riesgos'!$Y$33="Baja",'Mapa de Riesgos'!$AA$33="Leve"),CONCATENATE("R4C",'Mapa de Riesgos'!$O$33),"")</f>
        <v/>
      </c>
      <c r="M39" s="77" t="str">
        <f>IF(AND('Mapa de Riesgos'!$Y$34="Baja",'Mapa de Riesgos'!$AA$34="Leve"),CONCATENATE("R4C",'Mapa de Riesgos'!$O$34),"")</f>
        <v/>
      </c>
      <c r="N39" s="77" t="str">
        <f>IF(AND('Mapa de Riesgos'!$Y$35="Baja",'Mapa de Riesgos'!$AA$35="Leve"),CONCATENATE("R4C",'Mapa de Riesgos'!$O$35),"")</f>
        <v/>
      </c>
      <c r="O39" s="78" t="str">
        <f>IF(AND('Mapa de Riesgos'!$Y$36="Baja",'Mapa de Riesgos'!$AA$36="Leve"),CONCATENATE("R4C",'Mapa de Riesgos'!$O$36),"")</f>
        <v/>
      </c>
      <c r="P39" s="67" t="str">
        <f>IF(AND('Mapa de Riesgos'!$Y$30="Baja",'Mapa de Riesgos'!$AA$30="Menor"),CONCATENATE("R4C",'Mapa de Riesgos'!$O$30),"")</f>
        <v/>
      </c>
      <c r="Q39" s="68" t="str">
        <f>IF(AND('Mapa de Riesgos'!$Y$32="Baja",'Mapa de Riesgos'!$AA$32="Menor"),CONCATENATE("R4C",'Mapa de Riesgos'!$O$32),"")</f>
        <v/>
      </c>
      <c r="R39" s="68" t="str">
        <f>IF(AND('Mapa de Riesgos'!$Y$33="Baja",'Mapa de Riesgos'!$AA$33="Menor"),CONCATENATE("R4C",'Mapa de Riesgos'!$O$33),"")</f>
        <v/>
      </c>
      <c r="S39" s="68" t="str">
        <f>IF(AND('Mapa de Riesgos'!$Y$34="Baja",'Mapa de Riesgos'!$AA$34="Menor"),CONCATENATE("R4C",'Mapa de Riesgos'!$O$34),"")</f>
        <v/>
      </c>
      <c r="T39" s="68" t="str">
        <f>IF(AND('Mapa de Riesgos'!$Y$35="Baja",'Mapa de Riesgos'!$AA$35="Menor"),CONCATENATE("R4C",'Mapa de Riesgos'!$O$35),"")</f>
        <v/>
      </c>
      <c r="U39" s="69" t="str">
        <f>IF(AND('Mapa de Riesgos'!$Y$36="Baja",'Mapa de Riesgos'!$AA$36="Menor"),CONCATENATE("R4C",'Mapa de Riesgos'!$O$36),"")</f>
        <v/>
      </c>
      <c r="V39" s="67" t="str">
        <f>IF(AND('Mapa de Riesgos'!$Y$30="Baja",'Mapa de Riesgos'!$AA$30="Moderado"),CONCATENATE("R4C",'Mapa de Riesgos'!$O$30),"")</f>
        <v/>
      </c>
      <c r="W39" s="68" t="str">
        <f>IF(AND('Mapa de Riesgos'!$Y$32="Baja",'Mapa de Riesgos'!$AA$32="Moderado"),CONCATENATE("R4C",'Mapa de Riesgos'!$O$32),"")</f>
        <v/>
      </c>
      <c r="X39" s="68" t="str">
        <f>IF(AND('Mapa de Riesgos'!$Y$33="Baja",'Mapa de Riesgos'!$AA$33="Moderado"),CONCATENATE("R4C",'Mapa de Riesgos'!$O$33),"")</f>
        <v/>
      </c>
      <c r="Y39" s="68" t="str">
        <f>IF(AND('Mapa de Riesgos'!$Y$34="Baja",'Mapa de Riesgos'!$AA$34="Moderado"),CONCATENATE("R4C",'Mapa de Riesgos'!$O$34),"")</f>
        <v/>
      </c>
      <c r="Z39" s="68" t="str">
        <f>IF(AND('Mapa de Riesgos'!$Y$35="Baja",'Mapa de Riesgos'!$AA$35="Moderado"),CONCATENATE("R4C",'Mapa de Riesgos'!$O$35),"")</f>
        <v/>
      </c>
      <c r="AA39" s="69" t="str">
        <f>IF(AND('Mapa de Riesgos'!$Y$36="Baja",'Mapa de Riesgos'!$AA$36="Moderado"),CONCATENATE("R4C",'Mapa de Riesgos'!$O$36),"")</f>
        <v/>
      </c>
      <c r="AB39" s="52" t="str">
        <f>IF(AND('Mapa de Riesgos'!$Y$30="Baja",'Mapa de Riesgos'!$AA$30="Mayor"),CONCATENATE("R4C",'Mapa de Riesgos'!$O$30),"")</f>
        <v/>
      </c>
      <c r="AC39" s="53" t="str">
        <f>IF(AND('Mapa de Riesgos'!$Y$32="Baja",'Mapa de Riesgos'!$AA$32="Mayor"),CONCATENATE("R4C",'Mapa de Riesgos'!$O$32),"")</f>
        <v/>
      </c>
      <c r="AD39" s="53" t="str">
        <f>IF(AND('Mapa de Riesgos'!$Y$33="Baja",'Mapa de Riesgos'!$AA$33="Mayor"),CONCATENATE("R4C",'Mapa de Riesgos'!$O$33),"")</f>
        <v/>
      </c>
      <c r="AE39" s="53" t="str">
        <f>IF(AND('Mapa de Riesgos'!$Y$34="Baja",'Mapa de Riesgos'!$AA$34="Mayor"),CONCATENATE("R4C",'Mapa de Riesgos'!$O$34),"")</f>
        <v/>
      </c>
      <c r="AF39" s="53" t="str">
        <f>IF(AND('Mapa de Riesgos'!$Y$35="Baja",'Mapa de Riesgos'!$AA$35="Mayor"),CONCATENATE("R4C",'Mapa de Riesgos'!$O$35),"")</f>
        <v/>
      </c>
      <c r="AG39" s="54" t="str">
        <f>IF(AND('Mapa de Riesgos'!$Y$36="Baja",'Mapa de Riesgos'!$AA$36="Mayor"),CONCATENATE("R4C",'Mapa de Riesgos'!$O$36),"")</f>
        <v/>
      </c>
      <c r="AH39" s="55" t="str">
        <f>IF(AND('Mapa de Riesgos'!$Y$30="Baja",'Mapa de Riesgos'!$AA$30="Catastrófico"),CONCATENATE("R4C",'Mapa de Riesgos'!$O$30),"")</f>
        <v/>
      </c>
      <c r="AI39" s="56" t="str">
        <f>IF(AND('Mapa de Riesgos'!$Y$32="Baja",'Mapa de Riesgos'!$AA$32="Catastrófico"),CONCATENATE("R4C",'Mapa de Riesgos'!$O$32),"")</f>
        <v/>
      </c>
      <c r="AJ39" s="56" t="str">
        <f>IF(AND('Mapa de Riesgos'!$Y$33="Baja",'Mapa de Riesgos'!$AA$33="Catastrófico"),CONCATENATE("R4C",'Mapa de Riesgos'!$O$33),"")</f>
        <v/>
      </c>
      <c r="AK39" s="56" t="str">
        <f>IF(AND('Mapa de Riesgos'!$Y$34="Baja",'Mapa de Riesgos'!$AA$34="Catastrófico"),CONCATENATE("R4C",'Mapa de Riesgos'!$O$34),"")</f>
        <v/>
      </c>
      <c r="AL39" s="56" t="str">
        <f>IF(AND('Mapa de Riesgos'!$Y$35="Baja",'Mapa de Riesgos'!$AA$35="Catastrófico"),CONCATENATE("R4C",'Mapa de Riesgos'!$O$35),"")</f>
        <v/>
      </c>
      <c r="AM39" s="57" t="str">
        <f>IF(AND('Mapa de Riesgos'!$Y$36="Baja",'Mapa de Riesgos'!$AA$36="Catastrófico"),CONCATENATE("R4C",'Mapa de Riesgos'!$O$36),"")</f>
        <v/>
      </c>
      <c r="AN39" s="83"/>
      <c r="AO39" s="548"/>
      <c r="AP39" s="549"/>
      <c r="AQ39" s="549"/>
      <c r="AR39" s="549"/>
      <c r="AS39" s="549"/>
      <c r="AT39" s="55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29"/>
      <c r="C40" s="429"/>
      <c r="D40" s="430"/>
      <c r="E40" s="528"/>
      <c r="F40" s="527"/>
      <c r="G40" s="527"/>
      <c r="H40" s="527"/>
      <c r="I40" s="527"/>
      <c r="J40" s="76" t="str">
        <f>IF(AND('Mapa de Riesgos'!$Y$37="Baja",'Mapa de Riesgos'!$AA$37="Leve"),CONCATENATE("R5C",'Mapa de Riesgos'!$O$37),"")</f>
        <v/>
      </c>
      <c r="K40" s="77" t="str">
        <f>IF(AND('Mapa de Riesgos'!$Y$38="Baja",'Mapa de Riesgos'!$AA$38="Leve"),CONCATENATE("R5C",'Mapa de Riesgos'!$O$38),"")</f>
        <v/>
      </c>
      <c r="L40" s="77" t="str">
        <f>IF(AND('Mapa de Riesgos'!$Y$39="Baja",'Mapa de Riesgos'!$AA$39="Leve"),CONCATENATE("R5C",'Mapa de Riesgos'!$O$39),"")</f>
        <v/>
      </c>
      <c r="M40" s="77" t="str">
        <f>IF(AND('Mapa de Riesgos'!$Y$40="Baja",'Mapa de Riesgos'!$AA$40="Leve"),CONCATENATE("R5C",'Mapa de Riesgos'!$O$40),"")</f>
        <v/>
      </c>
      <c r="N40" s="77" t="str">
        <f>IF(AND('Mapa de Riesgos'!$Y$41="Baja",'Mapa de Riesgos'!$AA$41="Leve"),CONCATENATE("R5C",'Mapa de Riesgos'!$O$41),"")</f>
        <v/>
      </c>
      <c r="O40" s="78" t="str">
        <f>IF(AND('Mapa de Riesgos'!$Y$42="Baja",'Mapa de Riesgos'!$AA$42="Leve"),CONCATENATE("R5C",'Mapa de Riesgos'!$O$42),"")</f>
        <v/>
      </c>
      <c r="P40" s="67" t="str">
        <f>IF(AND('Mapa de Riesgos'!$Y$37="Baja",'Mapa de Riesgos'!$AA$37="Menor"),CONCATENATE("R5C",'Mapa de Riesgos'!$O$37),"")</f>
        <v/>
      </c>
      <c r="Q40" s="68" t="str">
        <f>IF(AND('Mapa de Riesgos'!$Y$38="Baja",'Mapa de Riesgos'!$AA$38="Menor"),CONCATENATE("R5C",'Mapa de Riesgos'!$O$38),"")</f>
        <v/>
      </c>
      <c r="R40" s="68" t="str">
        <f>IF(AND('Mapa de Riesgos'!$Y$39="Baja",'Mapa de Riesgos'!$AA$39="Menor"),CONCATENATE("R5C",'Mapa de Riesgos'!$O$39),"")</f>
        <v/>
      </c>
      <c r="S40" s="68" t="str">
        <f>IF(AND('Mapa de Riesgos'!$Y$40="Baja",'Mapa de Riesgos'!$AA$40="Menor"),CONCATENATE("R5C",'Mapa de Riesgos'!$O$40),"")</f>
        <v/>
      </c>
      <c r="T40" s="68" t="str">
        <f>IF(AND('Mapa de Riesgos'!$Y$41="Baja",'Mapa de Riesgos'!$AA$41="Menor"),CONCATENATE("R5C",'Mapa de Riesgos'!$O$41),"")</f>
        <v/>
      </c>
      <c r="U40" s="69" t="str">
        <f>IF(AND('Mapa de Riesgos'!$Y$42="Baja",'Mapa de Riesgos'!$AA$42="Menor"),CONCATENATE("R5C",'Mapa de Riesgos'!$O$42),"")</f>
        <v/>
      </c>
      <c r="V40" s="67" t="str">
        <f>IF(AND('Mapa de Riesgos'!$Y$37="Baja",'Mapa de Riesgos'!$AA$37="Moderado"),CONCATENATE("R5C",'Mapa de Riesgos'!$O$37),"")</f>
        <v>R5C1</v>
      </c>
      <c r="W40" s="68" t="str">
        <f>IF(AND('Mapa de Riesgos'!$Y$38="Baja",'Mapa de Riesgos'!$AA$38="Moderado"),CONCATENATE("R5C",'Mapa de Riesgos'!$O$38),"")</f>
        <v/>
      </c>
      <c r="X40" s="68" t="str">
        <f>IF(AND('Mapa de Riesgos'!$Y$39="Baja",'Mapa de Riesgos'!$AA$39="Moderado"),CONCATENATE("R5C",'Mapa de Riesgos'!$O$39),"")</f>
        <v/>
      </c>
      <c r="Y40" s="68" t="str">
        <f>IF(AND('Mapa de Riesgos'!$Y$40="Baja",'Mapa de Riesgos'!$AA$40="Moderado"),CONCATENATE("R5C",'Mapa de Riesgos'!$O$40),"")</f>
        <v/>
      </c>
      <c r="Z40" s="68" t="str">
        <f>IF(AND('Mapa de Riesgos'!$Y$41="Baja",'Mapa de Riesgos'!$AA$41="Moderado"),CONCATENATE("R5C",'Mapa de Riesgos'!$O$41),"")</f>
        <v/>
      </c>
      <c r="AA40" s="69" t="str">
        <f>IF(AND('Mapa de Riesgos'!$Y$42="Baja",'Mapa de Riesgos'!$AA$42="Moderado"),CONCATENATE("R5C",'Mapa de Riesgos'!$O$42),"")</f>
        <v/>
      </c>
      <c r="AB40" s="52" t="str">
        <f>IF(AND('Mapa de Riesgos'!$Y$37="Baja",'Mapa de Riesgos'!$AA$37="Mayor"),CONCATENATE("R5C",'Mapa de Riesgos'!$O$37),"")</f>
        <v/>
      </c>
      <c r="AC40" s="53" t="str">
        <f>IF(AND('Mapa de Riesgos'!$Y$38="Baja",'Mapa de Riesgos'!$AA$38="Mayor"),CONCATENATE("R5C",'Mapa de Riesgos'!$O$38),"")</f>
        <v/>
      </c>
      <c r="AD40" s="53" t="str">
        <f>IF(AND('Mapa de Riesgos'!$Y$39="Baja",'Mapa de Riesgos'!$AA$39="Mayor"),CONCATENATE("R5C",'Mapa de Riesgos'!$O$39),"")</f>
        <v/>
      </c>
      <c r="AE40" s="53" t="str">
        <f>IF(AND('Mapa de Riesgos'!$Y$40="Baja",'Mapa de Riesgos'!$AA$40="Mayor"),CONCATENATE("R5C",'Mapa de Riesgos'!$O$40),"")</f>
        <v/>
      </c>
      <c r="AF40" s="53" t="str">
        <f>IF(AND('Mapa de Riesgos'!$Y$41="Baja",'Mapa de Riesgos'!$AA$41="Mayor"),CONCATENATE("R5C",'Mapa de Riesgos'!$O$41),"")</f>
        <v/>
      </c>
      <c r="AG40" s="54" t="str">
        <f>IF(AND('Mapa de Riesgos'!$Y$42="Baja",'Mapa de Riesgos'!$AA$42="Mayor"),CONCATENATE("R5C",'Mapa de Riesgos'!$O$42),"")</f>
        <v/>
      </c>
      <c r="AH40" s="55" t="str">
        <f>IF(AND('Mapa de Riesgos'!$Y$37="Baja",'Mapa de Riesgos'!$AA$37="Catastrófico"),CONCATENATE("R5C",'Mapa de Riesgos'!$O$37),"")</f>
        <v/>
      </c>
      <c r="AI40" s="56" t="str">
        <f>IF(AND('Mapa de Riesgos'!$Y$38="Baja",'Mapa de Riesgos'!$AA$38="Catastrófico"),CONCATENATE("R5C",'Mapa de Riesgos'!$O$38),"")</f>
        <v/>
      </c>
      <c r="AJ40" s="56" t="str">
        <f>IF(AND('Mapa de Riesgos'!$Y$39="Baja",'Mapa de Riesgos'!$AA$39="Catastrófico"),CONCATENATE("R5C",'Mapa de Riesgos'!$O$39),"")</f>
        <v/>
      </c>
      <c r="AK40" s="56" t="str">
        <f>IF(AND('Mapa de Riesgos'!$Y$40="Baja",'Mapa de Riesgos'!$AA$40="Catastrófico"),CONCATENATE("R5C",'Mapa de Riesgos'!$O$40),"")</f>
        <v/>
      </c>
      <c r="AL40" s="56" t="str">
        <f>IF(AND('Mapa de Riesgos'!$Y$41="Baja",'Mapa de Riesgos'!$AA$41="Catastrófico"),CONCATENATE("R5C",'Mapa de Riesgos'!$O$41),"")</f>
        <v/>
      </c>
      <c r="AM40" s="57" t="str">
        <f>IF(AND('Mapa de Riesgos'!$Y$42="Baja",'Mapa de Riesgos'!$AA$42="Catastrófico"),CONCATENATE("R5C",'Mapa de Riesgos'!$O$42),"")</f>
        <v/>
      </c>
      <c r="AN40" s="83"/>
      <c r="AO40" s="548"/>
      <c r="AP40" s="549"/>
      <c r="AQ40" s="549"/>
      <c r="AR40" s="549"/>
      <c r="AS40" s="549"/>
      <c r="AT40" s="55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29"/>
      <c r="C41" s="429"/>
      <c r="D41" s="430"/>
      <c r="E41" s="528"/>
      <c r="F41" s="527"/>
      <c r="G41" s="527"/>
      <c r="H41" s="527"/>
      <c r="I41" s="527"/>
      <c r="J41" s="76" t="str">
        <f>IF(AND('Mapa de Riesgos'!$Y$43="Baja",'Mapa de Riesgos'!$AA$43="Leve"),CONCATENATE("R6C",'Mapa de Riesgos'!$O$43),"")</f>
        <v/>
      </c>
      <c r="K41" s="77" t="str">
        <f>IF(AND('Mapa de Riesgos'!$Y$44="Baja",'Mapa de Riesgos'!$AA$44="Leve"),CONCATENATE("R6C",'Mapa de Riesgos'!$O$44),"")</f>
        <v/>
      </c>
      <c r="L41" s="77" t="str">
        <f>IF(AND('Mapa de Riesgos'!$Y$45="Baja",'Mapa de Riesgos'!$AA$45="Leve"),CONCATENATE("R6C",'Mapa de Riesgos'!$O$45),"")</f>
        <v/>
      </c>
      <c r="M41" s="77" t="str">
        <f>IF(AND('Mapa de Riesgos'!$Y$46="Baja",'Mapa de Riesgos'!$AA$46="Leve"),CONCATENATE("R6C",'Mapa de Riesgos'!$O$46),"")</f>
        <v/>
      </c>
      <c r="N41" s="77" t="str">
        <f>IF(AND('Mapa de Riesgos'!$Y$47="Baja",'Mapa de Riesgos'!$AA$47="Leve"),CONCATENATE("R6C",'Mapa de Riesgos'!$O$47),"")</f>
        <v/>
      </c>
      <c r="O41" s="78" t="str">
        <f>IF(AND('Mapa de Riesgos'!$Y$48="Baja",'Mapa de Riesgos'!$AA$48="Leve"),CONCATENATE("R6C",'Mapa de Riesgos'!$O$48),"")</f>
        <v/>
      </c>
      <c r="P41" s="67" t="str">
        <f>IF(AND('Mapa de Riesgos'!$Y$43="Baja",'Mapa de Riesgos'!$AA$43="Menor"),CONCATENATE("R6C",'Mapa de Riesgos'!$O$43),"")</f>
        <v/>
      </c>
      <c r="Q41" s="68" t="str">
        <f>IF(AND('Mapa de Riesgos'!$Y$44="Baja",'Mapa de Riesgos'!$AA$44="Menor"),CONCATENATE("R6C",'Mapa de Riesgos'!$O$44),"")</f>
        <v/>
      </c>
      <c r="R41" s="68" t="str">
        <f>IF(AND('Mapa de Riesgos'!$Y$45="Baja",'Mapa de Riesgos'!$AA$45="Menor"),CONCATENATE("R6C",'Mapa de Riesgos'!$O$45),"")</f>
        <v/>
      </c>
      <c r="S41" s="68" t="str">
        <f>IF(AND('Mapa de Riesgos'!$Y$46="Baja",'Mapa de Riesgos'!$AA$46="Menor"),CONCATENATE("R6C",'Mapa de Riesgos'!$O$46),"")</f>
        <v/>
      </c>
      <c r="T41" s="68" t="str">
        <f>IF(AND('Mapa de Riesgos'!$Y$47="Baja",'Mapa de Riesgos'!$AA$47="Menor"),CONCATENATE("R6C",'Mapa de Riesgos'!$O$47),"")</f>
        <v/>
      </c>
      <c r="U41" s="69" t="str">
        <f>IF(AND('Mapa de Riesgos'!$Y$48="Baja",'Mapa de Riesgos'!$AA$48="Menor"),CONCATENATE("R6C",'Mapa de Riesgos'!$O$48),"")</f>
        <v/>
      </c>
      <c r="V41" s="67" t="str">
        <f>IF(AND('Mapa de Riesgos'!$Y$43="Baja",'Mapa de Riesgos'!$AA$43="Moderado"),CONCATENATE("R6C",'Mapa de Riesgos'!$O$43),"")</f>
        <v/>
      </c>
      <c r="W41" s="68" t="str">
        <f>IF(AND('Mapa de Riesgos'!$Y$44="Baja",'Mapa de Riesgos'!$AA$44="Moderado"),CONCATENATE("R6C",'Mapa de Riesgos'!$O$44),"")</f>
        <v/>
      </c>
      <c r="X41" s="68" t="str">
        <f>IF(AND('Mapa de Riesgos'!$Y$45="Baja",'Mapa de Riesgos'!$AA$45="Moderado"),CONCATENATE("R6C",'Mapa de Riesgos'!$O$45),"")</f>
        <v/>
      </c>
      <c r="Y41" s="68" t="str">
        <f>IF(AND('Mapa de Riesgos'!$Y$46="Baja",'Mapa de Riesgos'!$AA$46="Moderado"),CONCATENATE("R6C",'Mapa de Riesgos'!$O$46),"")</f>
        <v/>
      </c>
      <c r="Z41" s="68" t="str">
        <f>IF(AND('Mapa de Riesgos'!$Y$47="Baja",'Mapa de Riesgos'!$AA$47="Moderado"),CONCATENATE("R6C",'Mapa de Riesgos'!$O$47),"")</f>
        <v/>
      </c>
      <c r="AA41" s="69" t="str">
        <f>IF(AND('Mapa de Riesgos'!$Y$48="Baja",'Mapa de Riesgos'!$AA$48="Moderado"),CONCATENATE("R6C",'Mapa de Riesgos'!$O$48),"")</f>
        <v/>
      </c>
      <c r="AB41" s="52" t="str">
        <f>IF(AND('Mapa de Riesgos'!$Y$43="Baja",'Mapa de Riesgos'!$AA$43="Mayor"),CONCATENATE("R6C",'Mapa de Riesgos'!$O$43),"")</f>
        <v/>
      </c>
      <c r="AC41" s="53" t="str">
        <f>IF(AND('Mapa de Riesgos'!$Y$44="Baja",'Mapa de Riesgos'!$AA$44="Mayor"),CONCATENATE("R6C",'Mapa de Riesgos'!$O$44),"")</f>
        <v/>
      </c>
      <c r="AD41" s="53" t="str">
        <f>IF(AND('Mapa de Riesgos'!$Y$45="Baja",'Mapa de Riesgos'!$AA$45="Mayor"),CONCATENATE("R6C",'Mapa de Riesgos'!$O$45),"")</f>
        <v/>
      </c>
      <c r="AE41" s="53" t="str">
        <f>IF(AND('Mapa de Riesgos'!$Y$46="Baja",'Mapa de Riesgos'!$AA$46="Mayor"),CONCATENATE("R6C",'Mapa de Riesgos'!$O$46),"")</f>
        <v/>
      </c>
      <c r="AF41" s="53" t="str">
        <f>IF(AND('Mapa de Riesgos'!$Y$47="Baja",'Mapa de Riesgos'!$AA$47="Mayor"),CONCATENATE("R6C",'Mapa de Riesgos'!$O$47),"")</f>
        <v/>
      </c>
      <c r="AG41" s="54" t="str">
        <f>IF(AND('Mapa de Riesgos'!$Y$48="Baja",'Mapa de Riesgos'!$AA$48="Mayor"),CONCATENATE("R6C",'Mapa de Riesgos'!$O$48),"")</f>
        <v/>
      </c>
      <c r="AH41" s="55" t="str">
        <f>IF(AND('Mapa de Riesgos'!$Y$43="Baja",'Mapa de Riesgos'!$AA$43="Catastrófico"),CONCATENATE("R6C",'Mapa de Riesgos'!$O$43),"")</f>
        <v/>
      </c>
      <c r="AI41" s="56" t="str">
        <f>IF(AND('Mapa de Riesgos'!$Y$44="Baja",'Mapa de Riesgos'!$AA$44="Catastrófico"),CONCATENATE("R6C",'Mapa de Riesgos'!$O$44),"")</f>
        <v/>
      </c>
      <c r="AJ41" s="56" t="str">
        <f>IF(AND('Mapa de Riesgos'!$Y$45="Baja",'Mapa de Riesgos'!$AA$45="Catastrófico"),CONCATENATE("R6C",'Mapa de Riesgos'!$O$45),"")</f>
        <v/>
      </c>
      <c r="AK41" s="56" t="str">
        <f>IF(AND('Mapa de Riesgos'!$Y$46="Baja",'Mapa de Riesgos'!$AA$46="Catastrófico"),CONCATENATE("R6C",'Mapa de Riesgos'!$O$46),"")</f>
        <v/>
      </c>
      <c r="AL41" s="56" t="str">
        <f>IF(AND('Mapa de Riesgos'!$Y$47="Baja",'Mapa de Riesgos'!$AA$47="Catastrófico"),CONCATENATE("R6C",'Mapa de Riesgos'!$O$47),"")</f>
        <v/>
      </c>
      <c r="AM41" s="57" t="str">
        <f>IF(AND('Mapa de Riesgos'!$Y$48="Baja",'Mapa de Riesgos'!$AA$48="Catastrófico"),CONCATENATE("R6C",'Mapa de Riesgos'!$O$48),"")</f>
        <v/>
      </c>
      <c r="AN41" s="83"/>
      <c r="AO41" s="548"/>
      <c r="AP41" s="549"/>
      <c r="AQ41" s="549"/>
      <c r="AR41" s="549"/>
      <c r="AS41" s="549"/>
      <c r="AT41" s="55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29"/>
      <c r="C42" s="429"/>
      <c r="D42" s="430"/>
      <c r="E42" s="528"/>
      <c r="F42" s="527"/>
      <c r="G42" s="527"/>
      <c r="H42" s="527"/>
      <c r="I42" s="527"/>
      <c r="J42" s="76" t="str">
        <f>IF(AND('Mapa de Riesgos'!$Y$49="Baja",'Mapa de Riesgos'!$AA$49="Leve"),CONCATENATE("R7C",'Mapa de Riesgos'!$O$49),"")</f>
        <v/>
      </c>
      <c r="K42" s="77" t="str">
        <f>IF(AND('Mapa de Riesgos'!$Y$50="Baja",'Mapa de Riesgos'!$AA$50="Leve"),CONCATENATE("R7C",'Mapa de Riesgos'!$O$50),"")</f>
        <v/>
      </c>
      <c r="L42" s="77" t="str">
        <f>IF(AND('Mapa de Riesgos'!$Y$51="Baja",'Mapa de Riesgos'!$AA$51="Leve"),CONCATENATE("R7C",'Mapa de Riesgos'!$O$51),"")</f>
        <v/>
      </c>
      <c r="M42" s="77" t="str">
        <f>IF(AND('Mapa de Riesgos'!$Y$52="Baja",'Mapa de Riesgos'!$AA$52="Leve"),CONCATENATE("R7C",'Mapa de Riesgos'!$O$52),"")</f>
        <v/>
      </c>
      <c r="N42" s="77" t="str">
        <f>IF(AND('Mapa de Riesgos'!$Y$53="Baja",'Mapa de Riesgos'!$AA$53="Leve"),CONCATENATE("R7C",'Mapa de Riesgos'!$O$53),"")</f>
        <v/>
      </c>
      <c r="O42" s="78" t="str">
        <f>IF(AND('Mapa de Riesgos'!$Y$54="Baja",'Mapa de Riesgos'!$AA$54="Leve"),CONCATENATE("R7C",'Mapa de Riesgos'!$O$54),"")</f>
        <v/>
      </c>
      <c r="P42" s="67" t="str">
        <f>IF(AND('Mapa de Riesgos'!$Y$49="Baja",'Mapa de Riesgos'!$AA$49="Menor"),CONCATENATE("R7C",'Mapa de Riesgos'!$O$49),"")</f>
        <v/>
      </c>
      <c r="Q42" s="68" t="str">
        <f>IF(AND('Mapa de Riesgos'!$Y$50="Baja",'Mapa de Riesgos'!$AA$50="Menor"),CONCATENATE("R7C",'Mapa de Riesgos'!$O$50),"")</f>
        <v/>
      </c>
      <c r="R42" s="68" t="str">
        <f>IF(AND('Mapa de Riesgos'!$Y$51="Baja",'Mapa de Riesgos'!$AA$51="Menor"),CONCATENATE("R7C",'Mapa de Riesgos'!$O$51),"")</f>
        <v/>
      </c>
      <c r="S42" s="68" t="str">
        <f>IF(AND('Mapa de Riesgos'!$Y$52="Baja",'Mapa de Riesgos'!$AA$52="Menor"),CONCATENATE("R7C",'Mapa de Riesgos'!$O$52),"")</f>
        <v/>
      </c>
      <c r="T42" s="68" t="str">
        <f>IF(AND('Mapa de Riesgos'!$Y$53="Baja",'Mapa de Riesgos'!$AA$53="Menor"),CONCATENATE("R7C",'Mapa de Riesgos'!$O$53),"")</f>
        <v/>
      </c>
      <c r="U42" s="69" t="str">
        <f>IF(AND('Mapa de Riesgos'!$Y$54="Baja",'Mapa de Riesgos'!$AA$54="Menor"),CONCATENATE("R7C",'Mapa de Riesgos'!$O$54),"")</f>
        <v/>
      </c>
      <c r="V42" s="67" t="str">
        <f>IF(AND('Mapa de Riesgos'!$Y$49="Baja",'Mapa de Riesgos'!$AA$49="Moderado"),CONCATENATE("R7C",'Mapa de Riesgos'!$O$49),"")</f>
        <v/>
      </c>
      <c r="W42" s="68" t="str">
        <f>IF(AND('Mapa de Riesgos'!$Y$50="Baja",'Mapa de Riesgos'!$AA$50="Moderado"),CONCATENATE("R7C",'Mapa de Riesgos'!$O$50),"")</f>
        <v/>
      </c>
      <c r="X42" s="68" t="str">
        <f>IF(AND('Mapa de Riesgos'!$Y$51="Baja",'Mapa de Riesgos'!$AA$51="Moderado"),CONCATENATE("R7C",'Mapa de Riesgos'!$O$51),"")</f>
        <v/>
      </c>
      <c r="Y42" s="68" t="str">
        <f>IF(AND('Mapa de Riesgos'!$Y$52="Baja",'Mapa de Riesgos'!$AA$52="Moderado"),CONCATENATE("R7C",'Mapa de Riesgos'!$O$52),"")</f>
        <v/>
      </c>
      <c r="Z42" s="68" t="str">
        <f>IF(AND('Mapa de Riesgos'!$Y$53="Baja",'Mapa de Riesgos'!$AA$53="Moderado"),CONCATENATE("R7C",'Mapa de Riesgos'!$O$53),"")</f>
        <v/>
      </c>
      <c r="AA42" s="69" t="str">
        <f>IF(AND('Mapa de Riesgos'!$Y$54="Baja",'Mapa de Riesgos'!$AA$54="Moderado"),CONCATENATE("R7C",'Mapa de Riesgos'!$O$54),"")</f>
        <v/>
      </c>
      <c r="AB42" s="52" t="str">
        <f>IF(AND('Mapa de Riesgos'!$Y$49="Baja",'Mapa de Riesgos'!$AA$49="Mayor"),CONCATENATE("R7C",'Mapa de Riesgos'!$O$49),"")</f>
        <v/>
      </c>
      <c r="AC42" s="53" t="str">
        <f>IF(AND('Mapa de Riesgos'!$Y$50="Baja",'Mapa de Riesgos'!$AA$50="Mayor"),CONCATENATE("R7C",'Mapa de Riesgos'!$O$50),"")</f>
        <v/>
      </c>
      <c r="AD42" s="53" t="str">
        <f>IF(AND('Mapa de Riesgos'!$Y$51="Baja",'Mapa de Riesgos'!$AA$51="Mayor"),CONCATENATE("R7C",'Mapa de Riesgos'!$O$51),"")</f>
        <v/>
      </c>
      <c r="AE42" s="53" t="str">
        <f>IF(AND('Mapa de Riesgos'!$Y$52="Baja",'Mapa de Riesgos'!$AA$52="Mayor"),CONCATENATE("R7C",'Mapa de Riesgos'!$O$52),"")</f>
        <v/>
      </c>
      <c r="AF42" s="53" t="str">
        <f>IF(AND('Mapa de Riesgos'!$Y$53="Baja",'Mapa de Riesgos'!$AA$53="Mayor"),CONCATENATE("R7C",'Mapa de Riesgos'!$O$53),"")</f>
        <v/>
      </c>
      <c r="AG42" s="54" t="str">
        <f>IF(AND('Mapa de Riesgos'!$Y$54="Baja",'Mapa de Riesgos'!$AA$54="Mayor"),CONCATENATE("R7C",'Mapa de Riesgos'!$O$54),"")</f>
        <v/>
      </c>
      <c r="AH42" s="55" t="str">
        <f>IF(AND('Mapa de Riesgos'!$Y$49="Baja",'Mapa de Riesgos'!$AA$49="Catastrófico"),CONCATENATE("R7C",'Mapa de Riesgos'!$O$49),"")</f>
        <v/>
      </c>
      <c r="AI42" s="56" t="str">
        <f>IF(AND('Mapa de Riesgos'!$Y$50="Baja",'Mapa de Riesgos'!$AA$50="Catastrófico"),CONCATENATE("R7C",'Mapa de Riesgos'!$O$50),"")</f>
        <v/>
      </c>
      <c r="AJ42" s="56" t="str">
        <f>IF(AND('Mapa de Riesgos'!$Y$51="Baja",'Mapa de Riesgos'!$AA$51="Catastrófico"),CONCATENATE("R7C",'Mapa de Riesgos'!$O$51),"")</f>
        <v/>
      </c>
      <c r="AK42" s="56" t="str">
        <f>IF(AND('Mapa de Riesgos'!$Y$52="Baja",'Mapa de Riesgos'!$AA$52="Catastrófico"),CONCATENATE("R7C",'Mapa de Riesgos'!$O$52),"")</f>
        <v/>
      </c>
      <c r="AL42" s="56" t="str">
        <f>IF(AND('Mapa de Riesgos'!$Y$53="Baja",'Mapa de Riesgos'!$AA$53="Catastrófico"),CONCATENATE("R7C",'Mapa de Riesgos'!$O$53),"")</f>
        <v/>
      </c>
      <c r="AM42" s="57" t="str">
        <f>IF(AND('Mapa de Riesgos'!$Y$54="Baja",'Mapa de Riesgos'!$AA$54="Catastrófico"),CONCATENATE("R7C",'Mapa de Riesgos'!$O$54),"")</f>
        <v/>
      </c>
      <c r="AN42" s="83"/>
      <c r="AO42" s="548"/>
      <c r="AP42" s="549"/>
      <c r="AQ42" s="549"/>
      <c r="AR42" s="549"/>
      <c r="AS42" s="549"/>
      <c r="AT42" s="55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29"/>
      <c r="C43" s="429"/>
      <c r="D43" s="430"/>
      <c r="E43" s="528"/>
      <c r="F43" s="527"/>
      <c r="G43" s="527"/>
      <c r="H43" s="527"/>
      <c r="I43" s="527"/>
      <c r="J43" s="76" t="str">
        <f>IF(AND('Mapa de Riesgos'!$Y$55="Baja",'Mapa de Riesgos'!$AA$55="Leve"),CONCATENATE("R8C",'Mapa de Riesgos'!$O$55),"")</f>
        <v/>
      </c>
      <c r="K43" s="77" t="str">
        <f>IF(AND('Mapa de Riesgos'!$Y$56="Baja",'Mapa de Riesgos'!$AA$56="Leve"),CONCATENATE("R8C",'Mapa de Riesgos'!$O$56),"")</f>
        <v/>
      </c>
      <c r="L43" s="77" t="str">
        <f>IF(AND('Mapa de Riesgos'!$Y$57="Baja",'Mapa de Riesgos'!$AA$57="Leve"),CONCATENATE("R8C",'Mapa de Riesgos'!$O$57),"")</f>
        <v/>
      </c>
      <c r="M43" s="77" t="str">
        <f>IF(AND('Mapa de Riesgos'!$Y$58="Baja",'Mapa de Riesgos'!$AA$58="Leve"),CONCATENATE("R8C",'Mapa de Riesgos'!$O$58),"")</f>
        <v/>
      </c>
      <c r="N43" s="77" t="str">
        <f>IF(AND('Mapa de Riesgos'!$Y$59="Baja",'Mapa de Riesgos'!$AA$59="Leve"),CONCATENATE("R8C",'Mapa de Riesgos'!$O$59),"")</f>
        <v/>
      </c>
      <c r="O43" s="78" t="str">
        <f>IF(AND('Mapa de Riesgos'!$Y$60="Baja",'Mapa de Riesgos'!$AA$60="Leve"),CONCATENATE("R8C",'Mapa de Riesgos'!$O$60),"")</f>
        <v/>
      </c>
      <c r="P43" s="67" t="str">
        <f>IF(AND('Mapa de Riesgos'!$Y$55="Baja",'Mapa de Riesgos'!$AA$55="Menor"),CONCATENATE("R8C",'Mapa de Riesgos'!$O$55),"")</f>
        <v/>
      </c>
      <c r="Q43" s="68" t="str">
        <f>IF(AND('Mapa de Riesgos'!$Y$56="Baja",'Mapa de Riesgos'!$AA$56="Menor"),CONCATENATE("R8C",'Mapa de Riesgos'!$O$56),"")</f>
        <v/>
      </c>
      <c r="R43" s="68" t="str">
        <f>IF(AND('Mapa de Riesgos'!$Y$57="Baja",'Mapa de Riesgos'!$AA$57="Menor"),CONCATENATE("R8C",'Mapa de Riesgos'!$O$57),"")</f>
        <v/>
      </c>
      <c r="S43" s="68" t="str">
        <f>IF(AND('Mapa de Riesgos'!$Y$58="Baja",'Mapa de Riesgos'!$AA$58="Menor"),CONCATENATE("R8C",'Mapa de Riesgos'!$O$58),"")</f>
        <v/>
      </c>
      <c r="T43" s="68" t="str">
        <f>IF(AND('Mapa de Riesgos'!$Y$59="Baja",'Mapa de Riesgos'!$AA$59="Menor"),CONCATENATE("R8C",'Mapa de Riesgos'!$O$59),"")</f>
        <v/>
      </c>
      <c r="U43" s="69" t="str">
        <f>IF(AND('Mapa de Riesgos'!$Y$60="Baja",'Mapa de Riesgos'!$AA$60="Menor"),CONCATENATE("R8C",'Mapa de Riesgos'!$O$60),"")</f>
        <v/>
      </c>
      <c r="V43" s="67" t="str">
        <f>IF(AND('Mapa de Riesgos'!$Y$55="Baja",'Mapa de Riesgos'!$AA$55="Moderado"),CONCATENATE("R8C",'Mapa de Riesgos'!$O$55),"")</f>
        <v/>
      </c>
      <c r="W43" s="68" t="str">
        <f>IF(AND('Mapa de Riesgos'!$Y$56="Baja",'Mapa de Riesgos'!$AA$56="Moderado"),CONCATENATE("R8C",'Mapa de Riesgos'!$O$56),"")</f>
        <v/>
      </c>
      <c r="X43" s="68" t="str">
        <f>IF(AND('Mapa de Riesgos'!$Y$57="Baja",'Mapa de Riesgos'!$AA$57="Moderado"),CONCATENATE("R8C",'Mapa de Riesgos'!$O$57),"")</f>
        <v/>
      </c>
      <c r="Y43" s="68" t="str">
        <f>IF(AND('Mapa de Riesgos'!$Y$58="Baja",'Mapa de Riesgos'!$AA$58="Moderado"),CONCATENATE("R8C",'Mapa de Riesgos'!$O$58),"")</f>
        <v/>
      </c>
      <c r="Z43" s="68" t="str">
        <f>IF(AND('Mapa de Riesgos'!$Y$59="Baja",'Mapa de Riesgos'!$AA$59="Moderado"),CONCATENATE("R8C",'Mapa de Riesgos'!$O$59),"")</f>
        <v/>
      </c>
      <c r="AA43" s="69" t="str">
        <f>IF(AND('Mapa de Riesgos'!$Y$60="Baja",'Mapa de Riesgos'!$AA$60="Moderado"),CONCATENATE("R8C",'Mapa de Riesgos'!$O$60),"")</f>
        <v/>
      </c>
      <c r="AB43" s="52" t="str">
        <f>IF(AND('Mapa de Riesgos'!$Y$55="Baja",'Mapa de Riesgos'!$AA$55="Mayor"),CONCATENATE("R8C",'Mapa de Riesgos'!$O$55),"")</f>
        <v/>
      </c>
      <c r="AC43" s="53" t="str">
        <f>IF(AND('Mapa de Riesgos'!$Y$56="Baja",'Mapa de Riesgos'!$AA$56="Mayor"),CONCATENATE("R8C",'Mapa de Riesgos'!$O$56),"")</f>
        <v/>
      </c>
      <c r="AD43" s="53" t="str">
        <f>IF(AND('Mapa de Riesgos'!$Y$57="Baja",'Mapa de Riesgos'!$AA$57="Mayor"),CONCATENATE("R8C",'Mapa de Riesgos'!$O$57),"")</f>
        <v/>
      </c>
      <c r="AE43" s="53" t="str">
        <f>IF(AND('Mapa de Riesgos'!$Y$58="Baja",'Mapa de Riesgos'!$AA$58="Mayor"),CONCATENATE("R8C",'Mapa de Riesgos'!$O$58),"")</f>
        <v/>
      </c>
      <c r="AF43" s="53" t="str">
        <f>IF(AND('Mapa de Riesgos'!$Y$59="Baja",'Mapa de Riesgos'!$AA$59="Mayor"),CONCATENATE("R8C",'Mapa de Riesgos'!$O$59),"")</f>
        <v/>
      </c>
      <c r="AG43" s="54" t="str">
        <f>IF(AND('Mapa de Riesgos'!$Y$60="Baja",'Mapa de Riesgos'!$AA$60="Mayor"),CONCATENATE("R8C",'Mapa de Riesgos'!$O$60),"")</f>
        <v/>
      </c>
      <c r="AH43" s="55" t="str">
        <f>IF(AND('Mapa de Riesgos'!$Y$55="Baja",'Mapa de Riesgos'!$AA$55="Catastrófico"),CONCATENATE("R8C",'Mapa de Riesgos'!$O$55),"")</f>
        <v/>
      </c>
      <c r="AI43" s="56" t="str">
        <f>IF(AND('Mapa de Riesgos'!$Y$56="Baja",'Mapa de Riesgos'!$AA$56="Catastrófico"),CONCATENATE("R8C",'Mapa de Riesgos'!$O$56),"")</f>
        <v/>
      </c>
      <c r="AJ43" s="56" t="str">
        <f>IF(AND('Mapa de Riesgos'!$Y$57="Baja",'Mapa de Riesgos'!$AA$57="Catastrófico"),CONCATENATE("R8C",'Mapa de Riesgos'!$O$57),"")</f>
        <v/>
      </c>
      <c r="AK43" s="56" t="str">
        <f>IF(AND('Mapa de Riesgos'!$Y$58="Baja",'Mapa de Riesgos'!$AA$58="Catastrófico"),CONCATENATE("R8C",'Mapa de Riesgos'!$O$58),"")</f>
        <v/>
      </c>
      <c r="AL43" s="56" t="str">
        <f>IF(AND('Mapa de Riesgos'!$Y$59="Baja",'Mapa de Riesgos'!$AA$59="Catastrófico"),CONCATENATE("R8C",'Mapa de Riesgos'!$O$59),"")</f>
        <v/>
      </c>
      <c r="AM43" s="57" t="str">
        <f>IF(AND('Mapa de Riesgos'!$Y$60="Baja",'Mapa de Riesgos'!$AA$60="Catastrófico"),CONCATENATE("R8C",'Mapa de Riesgos'!$O$60),"")</f>
        <v/>
      </c>
      <c r="AN43" s="83"/>
      <c r="AO43" s="548"/>
      <c r="AP43" s="549"/>
      <c r="AQ43" s="549"/>
      <c r="AR43" s="549"/>
      <c r="AS43" s="549"/>
      <c r="AT43" s="55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29"/>
      <c r="C44" s="429"/>
      <c r="D44" s="430"/>
      <c r="E44" s="528"/>
      <c r="F44" s="527"/>
      <c r="G44" s="527"/>
      <c r="H44" s="527"/>
      <c r="I44" s="527"/>
      <c r="J44" s="76" t="str">
        <f>IF(AND('Mapa de Riesgos'!$Y$61="Baja",'Mapa de Riesgos'!$AA$61="Leve"),CONCATENATE("R9C",'Mapa de Riesgos'!$O$61),"")</f>
        <v/>
      </c>
      <c r="K44" s="77" t="str">
        <f>IF(AND('Mapa de Riesgos'!$Y$62="Baja",'Mapa de Riesgos'!$AA$62="Leve"),CONCATENATE("R9C",'Mapa de Riesgos'!$O$62),"")</f>
        <v/>
      </c>
      <c r="L44" s="77" t="str">
        <f>IF(AND('Mapa de Riesgos'!$Y$63="Baja",'Mapa de Riesgos'!$AA$63="Leve"),CONCATENATE("R9C",'Mapa de Riesgos'!$O$63),"")</f>
        <v/>
      </c>
      <c r="M44" s="77" t="str">
        <f>IF(AND('Mapa de Riesgos'!$Y$64="Baja",'Mapa de Riesgos'!$AA$64="Leve"),CONCATENATE("R9C",'Mapa de Riesgos'!$O$64),"")</f>
        <v/>
      </c>
      <c r="N44" s="77" t="str">
        <f>IF(AND('Mapa de Riesgos'!$Y$65="Baja",'Mapa de Riesgos'!$AA$65="Leve"),CONCATENATE("R9C",'Mapa de Riesgos'!$O$65),"")</f>
        <v/>
      </c>
      <c r="O44" s="78" t="str">
        <f>IF(AND('Mapa de Riesgos'!$Y$66="Baja",'Mapa de Riesgos'!$AA$66="Leve"),CONCATENATE("R9C",'Mapa de Riesgos'!$O$66),"")</f>
        <v/>
      </c>
      <c r="P44" s="67" t="str">
        <f>IF(AND('Mapa de Riesgos'!$Y$61="Baja",'Mapa de Riesgos'!$AA$61="Menor"),CONCATENATE("R9C",'Mapa de Riesgos'!$O$61),"")</f>
        <v/>
      </c>
      <c r="Q44" s="68" t="str">
        <f>IF(AND('Mapa de Riesgos'!$Y$62="Baja",'Mapa de Riesgos'!$AA$62="Menor"),CONCATENATE("R9C",'Mapa de Riesgos'!$O$62),"")</f>
        <v/>
      </c>
      <c r="R44" s="68" t="str">
        <f>IF(AND('Mapa de Riesgos'!$Y$63="Baja",'Mapa de Riesgos'!$AA$63="Menor"),CONCATENATE("R9C",'Mapa de Riesgos'!$O$63),"")</f>
        <v/>
      </c>
      <c r="S44" s="68" t="str">
        <f>IF(AND('Mapa de Riesgos'!$Y$64="Baja",'Mapa de Riesgos'!$AA$64="Menor"),CONCATENATE("R9C",'Mapa de Riesgos'!$O$64),"")</f>
        <v/>
      </c>
      <c r="T44" s="68" t="str">
        <f>IF(AND('Mapa de Riesgos'!$Y$65="Baja",'Mapa de Riesgos'!$AA$65="Menor"),CONCATENATE("R9C",'Mapa de Riesgos'!$O$65),"")</f>
        <v/>
      </c>
      <c r="U44" s="69" t="str">
        <f>IF(AND('Mapa de Riesgos'!$Y$66="Baja",'Mapa de Riesgos'!$AA$66="Menor"),CONCATENATE("R9C",'Mapa de Riesgos'!$O$66),"")</f>
        <v/>
      </c>
      <c r="V44" s="67" t="str">
        <f>IF(AND('Mapa de Riesgos'!$Y$61="Baja",'Mapa de Riesgos'!$AA$61="Moderado"),CONCATENATE("R9C",'Mapa de Riesgos'!$O$61),"")</f>
        <v/>
      </c>
      <c r="W44" s="68" t="str">
        <f>IF(AND('Mapa de Riesgos'!$Y$62="Baja",'Mapa de Riesgos'!$AA$62="Moderado"),CONCATENATE("R9C",'Mapa de Riesgos'!$O$62),"")</f>
        <v/>
      </c>
      <c r="X44" s="68" t="str">
        <f>IF(AND('Mapa de Riesgos'!$Y$63="Baja",'Mapa de Riesgos'!$AA$63="Moderado"),CONCATENATE("R9C",'Mapa de Riesgos'!$O$63),"")</f>
        <v/>
      </c>
      <c r="Y44" s="68" t="str">
        <f>IF(AND('Mapa de Riesgos'!$Y$64="Baja",'Mapa de Riesgos'!$AA$64="Moderado"),CONCATENATE("R9C",'Mapa de Riesgos'!$O$64),"")</f>
        <v/>
      </c>
      <c r="Z44" s="68" t="str">
        <f>IF(AND('Mapa de Riesgos'!$Y$65="Baja",'Mapa de Riesgos'!$AA$65="Moderado"),CONCATENATE("R9C",'Mapa de Riesgos'!$O$65),"")</f>
        <v/>
      </c>
      <c r="AA44" s="69" t="str">
        <f>IF(AND('Mapa de Riesgos'!$Y$66="Baja",'Mapa de Riesgos'!$AA$66="Moderado"),CONCATENATE("R9C",'Mapa de Riesgos'!$O$66),"")</f>
        <v/>
      </c>
      <c r="AB44" s="52" t="str">
        <f>IF(AND('Mapa de Riesgos'!$Y$61="Baja",'Mapa de Riesgos'!$AA$61="Mayor"),CONCATENATE("R9C",'Mapa de Riesgos'!$O$61),"")</f>
        <v/>
      </c>
      <c r="AC44" s="53" t="str">
        <f>IF(AND('Mapa de Riesgos'!$Y$62="Baja",'Mapa de Riesgos'!$AA$62="Mayor"),CONCATENATE("R9C",'Mapa de Riesgos'!$O$62),"")</f>
        <v/>
      </c>
      <c r="AD44" s="53" t="str">
        <f>IF(AND('Mapa de Riesgos'!$Y$63="Baja",'Mapa de Riesgos'!$AA$63="Mayor"),CONCATENATE("R9C",'Mapa de Riesgos'!$O$63),"")</f>
        <v/>
      </c>
      <c r="AE44" s="53" t="str">
        <f>IF(AND('Mapa de Riesgos'!$Y$64="Baja",'Mapa de Riesgos'!$AA$64="Mayor"),CONCATENATE("R9C",'Mapa de Riesgos'!$O$64),"")</f>
        <v/>
      </c>
      <c r="AF44" s="53" t="str">
        <f>IF(AND('Mapa de Riesgos'!$Y$65="Baja",'Mapa de Riesgos'!$AA$65="Mayor"),CONCATENATE("R9C",'Mapa de Riesgos'!$O$65),"")</f>
        <v/>
      </c>
      <c r="AG44" s="54" t="str">
        <f>IF(AND('Mapa de Riesgos'!$Y$66="Baja",'Mapa de Riesgos'!$AA$66="Mayor"),CONCATENATE("R9C",'Mapa de Riesgos'!$O$66),"")</f>
        <v/>
      </c>
      <c r="AH44" s="55" t="str">
        <f>IF(AND('Mapa de Riesgos'!$Y$61="Baja",'Mapa de Riesgos'!$AA$61="Catastrófico"),CONCATENATE("R9C",'Mapa de Riesgos'!$O$61),"")</f>
        <v/>
      </c>
      <c r="AI44" s="56" t="str">
        <f>IF(AND('Mapa de Riesgos'!$Y$62="Baja",'Mapa de Riesgos'!$AA$62="Catastrófico"),CONCATENATE("R9C",'Mapa de Riesgos'!$O$62),"")</f>
        <v/>
      </c>
      <c r="AJ44" s="56" t="str">
        <f>IF(AND('Mapa de Riesgos'!$Y$63="Baja",'Mapa de Riesgos'!$AA$63="Catastrófico"),CONCATENATE("R9C",'Mapa de Riesgos'!$O$63),"")</f>
        <v/>
      </c>
      <c r="AK44" s="56" t="str">
        <f>IF(AND('Mapa de Riesgos'!$Y$64="Baja",'Mapa de Riesgos'!$AA$64="Catastrófico"),CONCATENATE("R9C",'Mapa de Riesgos'!$O$64),"")</f>
        <v/>
      </c>
      <c r="AL44" s="56" t="str">
        <f>IF(AND('Mapa de Riesgos'!$Y$65="Baja",'Mapa de Riesgos'!$AA$65="Catastrófico"),CONCATENATE("R9C",'Mapa de Riesgos'!$O$65),"")</f>
        <v/>
      </c>
      <c r="AM44" s="57" t="str">
        <f>IF(AND('Mapa de Riesgos'!$Y$66="Baja",'Mapa de Riesgos'!$AA$66="Catastrófico"),CONCATENATE("R9C",'Mapa de Riesgos'!$O$66),"")</f>
        <v/>
      </c>
      <c r="AN44" s="83"/>
      <c r="AO44" s="548"/>
      <c r="AP44" s="549"/>
      <c r="AQ44" s="549"/>
      <c r="AR44" s="549"/>
      <c r="AS44" s="549"/>
      <c r="AT44" s="55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29"/>
      <c r="C45" s="429"/>
      <c r="D45" s="430"/>
      <c r="E45" s="529"/>
      <c r="F45" s="530"/>
      <c r="G45" s="530"/>
      <c r="H45" s="530"/>
      <c r="I45" s="530"/>
      <c r="J45" s="79" t="str">
        <f>IF(AND('Mapa de Riesgos'!$Y$67="Baja",'Mapa de Riesgos'!$AA$67="Leve"),CONCATENATE("R10C",'Mapa de Riesgos'!$O$67),"")</f>
        <v/>
      </c>
      <c r="K45" s="80" t="str">
        <f>IF(AND('Mapa de Riesgos'!$Y$68="Baja",'Mapa de Riesgos'!$AA$68="Leve"),CONCATENATE("R10C",'Mapa de Riesgos'!$O$68),"")</f>
        <v/>
      </c>
      <c r="L45" s="80" t="str">
        <f>IF(AND('Mapa de Riesgos'!$Y$69="Baja",'Mapa de Riesgos'!$AA$69="Leve"),CONCATENATE("R10C",'Mapa de Riesgos'!$O$69),"")</f>
        <v/>
      </c>
      <c r="M45" s="80" t="str">
        <f>IF(AND('Mapa de Riesgos'!$Y$70="Baja",'Mapa de Riesgos'!$AA$70="Leve"),CONCATENATE("R10C",'Mapa de Riesgos'!$O$70),"")</f>
        <v/>
      </c>
      <c r="N45" s="80" t="str">
        <f>IF(AND('Mapa de Riesgos'!$Y$71="Baja",'Mapa de Riesgos'!$AA$71="Leve"),CONCATENATE("R10C",'Mapa de Riesgos'!$O$71),"")</f>
        <v/>
      </c>
      <c r="O45" s="81" t="str">
        <f>IF(AND('Mapa de Riesgos'!$Y$72="Baja",'Mapa de Riesgos'!$AA$72="Leve"),CONCATENATE("R10C",'Mapa de Riesgos'!$O$72),"")</f>
        <v/>
      </c>
      <c r="P45" s="67" t="str">
        <f>IF(AND('Mapa de Riesgos'!$Y$67="Baja",'Mapa de Riesgos'!$AA$67="Menor"),CONCATENATE("R10C",'Mapa de Riesgos'!$O$67),"")</f>
        <v/>
      </c>
      <c r="Q45" s="68" t="str">
        <f>IF(AND('Mapa de Riesgos'!$Y$68="Baja",'Mapa de Riesgos'!$AA$68="Menor"),CONCATENATE("R10C",'Mapa de Riesgos'!$O$68),"")</f>
        <v/>
      </c>
      <c r="R45" s="68" t="str">
        <f>IF(AND('Mapa de Riesgos'!$Y$69="Baja",'Mapa de Riesgos'!$AA$69="Menor"),CONCATENATE("R10C",'Mapa de Riesgos'!$O$69),"")</f>
        <v/>
      </c>
      <c r="S45" s="68" t="str">
        <f>IF(AND('Mapa de Riesgos'!$Y$70="Baja",'Mapa de Riesgos'!$AA$70="Menor"),CONCATENATE("R10C",'Mapa de Riesgos'!$O$70),"")</f>
        <v/>
      </c>
      <c r="T45" s="68" t="str">
        <f>IF(AND('Mapa de Riesgos'!$Y$71="Baja",'Mapa de Riesgos'!$AA$71="Menor"),CONCATENATE("R10C",'Mapa de Riesgos'!$O$71),"")</f>
        <v/>
      </c>
      <c r="U45" s="69" t="str">
        <f>IF(AND('Mapa de Riesgos'!$Y$72="Baja",'Mapa de Riesgos'!$AA$72="Menor"),CONCATENATE("R10C",'Mapa de Riesgos'!$O$72),"")</f>
        <v/>
      </c>
      <c r="V45" s="70" t="str">
        <f>IF(AND('Mapa de Riesgos'!$Y$67="Baja",'Mapa de Riesgos'!$AA$67="Moderado"),CONCATENATE("R10C",'Mapa de Riesgos'!$O$67),"")</f>
        <v/>
      </c>
      <c r="W45" s="71" t="str">
        <f>IF(AND('Mapa de Riesgos'!$Y$68="Baja",'Mapa de Riesgos'!$AA$68="Moderado"),CONCATENATE("R10C",'Mapa de Riesgos'!$O$68),"")</f>
        <v/>
      </c>
      <c r="X45" s="71" t="str">
        <f>IF(AND('Mapa de Riesgos'!$Y$69="Baja",'Mapa de Riesgos'!$AA$69="Moderado"),CONCATENATE("R10C",'Mapa de Riesgos'!$O$69),"")</f>
        <v/>
      </c>
      <c r="Y45" s="71" t="str">
        <f>IF(AND('Mapa de Riesgos'!$Y$70="Baja",'Mapa de Riesgos'!$AA$70="Moderado"),CONCATENATE("R10C",'Mapa de Riesgos'!$O$70),"")</f>
        <v/>
      </c>
      <c r="Z45" s="71" t="str">
        <f>IF(AND('Mapa de Riesgos'!$Y$71="Baja",'Mapa de Riesgos'!$AA$71="Moderado"),CONCATENATE("R10C",'Mapa de Riesgos'!$O$71),"")</f>
        <v/>
      </c>
      <c r="AA45" s="72" t="str">
        <f>IF(AND('Mapa de Riesgos'!$Y$72="Baja",'Mapa de Riesgos'!$AA$72="Moderado"),CONCATENATE("R10C",'Mapa de Riesgos'!$O$72),"")</f>
        <v/>
      </c>
      <c r="AB45" s="58" t="str">
        <f>IF(AND('Mapa de Riesgos'!$Y$67="Baja",'Mapa de Riesgos'!$AA$67="Mayor"),CONCATENATE("R10C",'Mapa de Riesgos'!$O$67),"")</f>
        <v/>
      </c>
      <c r="AC45" s="59" t="str">
        <f>IF(AND('Mapa de Riesgos'!$Y$68="Baja",'Mapa de Riesgos'!$AA$68="Mayor"),CONCATENATE("R10C",'Mapa de Riesgos'!$O$68),"")</f>
        <v/>
      </c>
      <c r="AD45" s="59" t="str">
        <f>IF(AND('Mapa de Riesgos'!$Y$69="Baja",'Mapa de Riesgos'!$AA$69="Mayor"),CONCATENATE("R10C",'Mapa de Riesgos'!$O$69),"")</f>
        <v/>
      </c>
      <c r="AE45" s="59" t="str">
        <f>IF(AND('Mapa de Riesgos'!$Y$70="Baja",'Mapa de Riesgos'!$AA$70="Mayor"),CONCATENATE("R10C",'Mapa de Riesgos'!$O$70),"")</f>
        <v/>
      </c>
      <c r="AF45" s="59" t="str">
        <f>IF(AND('Mapa de Riesgos'!$Y$71="Baja",'Mapa de Riesgos'!$AA$71="Mayor"),CONCATENATE("R10C",'Mapa de Riesgos'!$O$71),"")</f>
        <v/>
      </c>
      <c r="AG45" s="60" t="str">
        <f>IF(AND('Mapa de Riesgos'!$Y$72="Baja",'Mapa de Riesgos'!$AA$72="Mayor"),CONCATENATE("R10C",'Mapa de Riesgos'!$O$72),"")</f>
        <v/>
      </c>
      <c r="AH45" s="61" t="str">
        <f>IF(AND('Mapa de Riesgos'!$Y$67="Baja",'Mapa de Riesgos'!$AA$67="Catastrófico"),CONCATENATE("R10C",'Mapa de Riesgos'!$O$67),"")</f>
        <v/>
      </c>
      <c r="AI45" s="62" t="str">
        <f>IF(AND('Mapa de Riesgos'!$Y$68="Baja",'Mapa de Riesgos'!$AA$68="Catastrófico"),CONCATENATE("R10C",'Mapa de Riesgos'!$O$68),"")</f>
        <v/>
      </c>
      <c r="AJ45" s="62" t="str">
        <f>IF(AND('Mapa de Riesgos'!$Y$69="Baja",'Mapa de Riesgos'!$AA$69="Catastrófico"),CONCATENATE("R10C",'Mapa de Riesgos'!$O$69),"")</f>
        <v/>
      </c>
      <c r="AK45" s="62" t="str">
        <f>IF(AND('Mapa de Riesgos'!$Y$70="Baja",'Mapa de Riesgos'!$AA$70="Catastrófico"),CONCATENATE("R10C",'Mapa de Riesgos'!$O$70),"")</f>
        <v/>
      </c>
      <c r="AL45" s="62" t="str">
        <f>IF(AND('Mapa de Riesgos'!$Y$71="Baja",'Mapa de Riesgos'!$AA$71="Catastrófico"),CONCATENATE("R10C",'Mapa de Riesgos'!$O$71),"")</f>
        <v/>
      </c>
      <c r="AM45" s="63" t="str">
        <f>IF(AND('Mapa de Riesgos'!$Y$72="Baja",'Mapa de Riesgos'!$AA$72="Catastrófico"),CONCATENATE("R10C",'Mapa de Riesgos'!$O$72),"")</f>
        <v/>
      </c>
      <c r="AN45" s="83"/>
      <c r="AO45" s="551"/>
      <c r="AP45" s="552"/>
      <c r="AQ45" s="552"/>
      <c r="AR45" s="552"/>
      <c r="AS45" s="552"/>
      <c r="AT45" s="553"/>
    </row>
    <row r="46" spans="1:80" ht="46.5" customHeight="1" x14ac:dyDescent="0.35">
      <c r="A46" s="83"/>
      <c r="B46" s="429"/>
      <c r="C46" s="429"/>
      <c r="D46" s="430"/>
      <c r="E46" s="524" t="s">
        <v>216</v>
      </c>
      <c r="F46" s="525"/>
      <c r="G46" s="525"/>
      <c r="H46" s="525"/>
      <c r="I46" s="542"/>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29"/>
      <c r="C47" s="429"/>
      <c r="D47" s="430"/>
      <c r="E47" s="526"/>
      <c r="F47" s="527"/>
      <c r="G47" s="527"/>
      <c r="H47" s="527"/>
      <c r="I47" s="543"/>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29"/>
      <c r="C48" s="429"/>
      <c r="D48" s="430"/>
      <c r="E48" s="526"/>
      <c r="F48" s="527"/>
      <c r="G48" s="527"/>
      <c r="H48" s="527"/>
      <c r="I48" s="543"/>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29"/>
      <c r="C49" s="429"/>
      <c r="D49" s="430"/>
      <c r="E49" s="528"/>
      <c r="F49" s="527"/>
      <c r="G49" s="527"/>
      <c r="H49" s="527"/>
      <c r="I49" s="543"/>
      <c r="J49" s="76" t="str">
        <f>IF(AND('Mapa de Riesgos'!$Y$30="Muy Baja",'Mapa de Riesgos'!$AA$30="Leve"),CONCATENATE("R4C",'Mapa de Riesgos'!$O$30),"")</f>
        <v/>
      </c>
      <c r="K49" s="77" t="str">
        <f>IF(AND('Mapa de Riesgos'!$Y$32="Muy Baja",'Mapa de Riesgos'!$AA$32="Leve"),CONCATENATE("R4C",'Mapa de Riesgos'!$O$32),"")</f>
        <v/>
      </c>
      <c r="L49" s="77" t="str">
        <f>IF(AND('Mapa de Riesgos'!$Y$33="Muy Baja",'Mapa de Riesgos'!$AA$33="Leve"),CONCATENATE("R4C",'Mapa de Riesgos'!$O$33),"")</f>
        <v/>
      </c>
      <c r="M49" s="77" t="str">
        <f>IF(AND('Mapa de Riesgos'!$Y$34="Muy Baja",'Mapa de Riesgos'!$AA$34="Leve"),CONCATENATE("R4C",'Mapa de Riesgos'!$O$34),"")</f>
        <v/>
      </c>
      <c r="N49" s="77" t="str">
        <f>IF(AND('Mapa de Riesgos'!$Y$35="Muy Baja",'Mapa de Riesgos'!$AA$35="Leve"),CONCATENATE("R4C",'Mapa de Riesgos'!$O$35),"")</f>
        <v/>
      </c>
      <c r="O49" s="78" t="str">
        <f>IF(AND('Mapa de Riesgos'!$Y$36="Muy Baja",'Mapa de Riesgos'!$AA$36="Leve"),CONCATENATE("R4C",'Mapa de Riesgos'!$O$36),"")</f>
        <v/>
      </c>
      <c r="P49" s="76" t="str">
        <f>IF(AND('Mapa de Riesgos'!$Y$30="Muy Baja",'Mapa de Riesgos'!$AA$30="Menor"),CONCATENATE("R4C",'Mapa de Riesgos'!$O$30),"")</f>
        <v/>
      </c>
      <c r="Q49" s="77" t="str">
        <f>IF(AND('Mapa de Riesgos'!$Y$32="Muy Baja",'Mapa de Riesgos'!$AA$32="Menor"),CONCATENATE("R4C",'Mapa de Riesgos'!$O$32),"")</f>
        <v/>
      </c>
      <c r="R49" s="77" t="str">
        <f>IF(AND('Mapa de Riesgos'!$Y$33="Muy Baja",'Mapa de Riesgos'!$AA$33="Menor"),CONCATENATE("R4C",'Mapa de Riesgos'!$O$33),"")</f>
        <v/>
      </c>
      <c r="S49" s="77" t="str">
        <f>IF(AND('Mapa de Riesgos'!$Y$34="Muy Baja",'Mapa de Riesgos'!$AA$34="Menor"),CONCATENATE("R4C",'Mapa de Riesgos'!$O$34),"")</f>
        <v/>
      </c>
      <c r="T49" s="77" t="str">
        <f>IF(AND('Mapa de Riesgos'!$Y$35="Muy Baja",'Mapa de Riesgos'!$AA$35="Menor"),CONCATENATE("R4C",'Mapa de Riesgos'!$O$35),"")</f>
        <v/>
      </c>
      <c r="U49" s="78" t="str">
        <f>IF(AND('Mapa de Riesgos'!$Y$36="Muy Baja",'Mapa de Riesgos'!$AA$36="Menor"),CONCATENATE("R4C",'Mapa de Riesgos'!$O$36),"")</f>
        <v/>
      </c>
      <c r="V49" s="67" t="str">
        <f>IF(AND('Mapa de Riesgos'!$Y$30="Muy Baja",'Mapa de Riesgos'!$AA$30="Moderado"),CONCATENATE("R4C",'Mapa de Riesgos'!$O$30),"")</f>
        <v/>
      </c>
      <c r="W49" s="68" t="str">
        <f>IF(AND('Mapa de Riesgos'!$Y$32="Muy Baja",'Mapa de Riesgos'!$AA$32="Moderado"),CONCATENATE("R4C",'Mapa de Riesgos'!$O$32),"")</f>
        <v/>
      </c>
      <c r="X49" s="68" t="str">
        <f>IF(AND('Mapa de Riesgos'!$Y$33="Muy Baja",'Mapa de Riesgos'!$AA$33="Moderado"),CONCATENATE("R4C",'Mapa de Riesgos'!$O$33),"")</f>
        <v/>
      </c>
      <c r="Y49" s="68" t="str">
        <f>IF(AND('Mapa de Riesgos'!$Y$34="Muy Baja",'Mapa de Riesgos'!$AA$34="Moderado"),CONCATENATE("R4C",'Mapa de Riesgos'!$O$34),"")</f>
        <v/>
      </c>
      <c r="Z49" s="68" t="str">
        <f>IF(AND('Mapa de Riesgos'!$Y$35="Muy Baja",'Mapa de Riesgos'!$AA$35="Moderado"),CONCATENATE("R4C",'Mapa de Riesgos'!$O$35),"")</f>
        <v/>
      </c>
      <c r="AA49" s="69" t="str">
        <f>IF(AND('Mapa de Riesgos'!$Y$36="Muy Baja",'Mapa de Riesgos'!$AA$36="Moderado"),CONCATENATE("R4C",'Mapa de Riesgos'!$O$36),"")</f>
        <v/>
      </c>
      <c r="AB49" s="52" t="str">
        <f>IF(AND('Mapa de Riesgos'!$Y$30="Muy Baja",'Mapa de Riesgos'!$AA$30="Mayor"),CONCATENATE("R4C",'Mapa de Riesgos'!$O$30),"")</f>
        <v/>
      </c>
      <c r="AC49" s="53" t="str">
        <f>IF(AND('Mapa de Riesgos'!$Y$32="Muy Baja",'Mapa de Riesgos'!$AA$32="Mayor"),CONCATENATE("R4C",'Mapa de Riesgos'!$O$32),"")</f>
        <v/>
      </c>
      <c r="AD49" s="53" t="str">
        <f>IF(AND('Mapa de Riesgos'!$Y$33="Muy Baja",'Mapa de Riesgos'!$AA$33="Mayor"),CONCATENATE("R4C",'Mapa de Riesgos'!$O$33),"")</f>
        <v/>
      </c>
      <c r="AE49" s="53" t="str">
        <f>IF(AND('Mapa de Riesgos'!$Y$34="Muy Baja",'Mapa de Riesgos'!$AA$34="Mayor"),CONCATENATE("R4C",'Mapa de Riesgos'!$O$34),"")</f>
        <v/>
      </c>
      <c r="AF49" s="53" t="str">
        <f>IF(AND('Mapa de Riesgos'!$Y$35="Muy Baja",'Mapa de Riesgos'!$AA$35="Mayor"),CONCATENATE("R4C",'Mapa de Riesgos'!$O$35),"")</f>
        <v/>
      </c>
      <c r="AG49" s="54" t="str">
        <f>IF(AND('Mapa de Riesgos'!$Y$36="Muy Baja",'Mapa de Riesgos'!$AA$36="Mayor"),CONCATENATE("R4C",'Mapa de Riesgos'!$O$36),"")</f>
        <v/>
      </c>
      <c r="AH49" s="55" t="str">
        <f>IF(AND('Mapa de Riesgos'!$Y$30="Muy Baja",'Mapa de Riesgos'!$AA$30="Catastrófico"),CONCATENATE("R4C",'Mapa de Riesgos'!$O$30),"")</f>
        <v/>
      </c>
      <c r="AI49" s="56" t="str">
        <f>IF(AND('Mapa de Riesgos'!$Y$32="Muy Baja",'Mapa de Riesgos'!$AA$32="Catastrófico"),CONCATENATE("R4C",'Mapa de Riesgos'!$O$32),"")</f>
        <v/>
      </c>
      <c r="AJ49" s="56" t="str">
        <f>IF(AND('Mapa de Riesgos'!$Y$33="Muy Baja",'Mapa de Riesgos'!$AA$33="Catastrófico"),CONCATENATE("R4C",'Mapa de Riesgos'!$O$33),"")</f>
        <v/>
      </c>
      <c r="AK49" s="56" t="str">
        <f>IF(AND('Mapa de Riesgos'!$Y$34="Muy Baja",'Mapa de Riesgos'!$AA$34="Catastrófico"),CONCATENATE("R4C",'Mapa de Riesgos'!$O$34),"")</f>
        <v/>
      </c>
      <c r="AL49" s="56" t="str">
        <f>IF(AND('Mapa de Riesgos'!$Y$35="Muy Baja",'Mapa de Riesgos'!$AA$35="Catastrófico"),CONCATENATE("R4C",'Mapa de Riesgos'!$O$35),"")</f>
        <v/>
      </c>
      <c r="AM49" s="57" t="str">
        <f>IF(AND('Mapa de Riesgos'!$Y$36="Muy Baja",'Mapa de Riesgos'!$AA$36="Catastrófico"),CONCATENATE("R4C",'Mapa de Riesgos'!$O$36),"")</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29"/>
      <c r="C50" s="429"/>
      <c r="D50" s="430"/>
      <c r="E50" s="528"/>
      <c r="F50" s="527"/>
      <c r="G50" s="527"/>
      <c r="H50" s="527"/>
      <c r="I50" s="543"/>
      <c r="J50" s="76" t="str">
        <f>IF(AND('Mapa de Riesgos'!$Y$37="Muy Baja",'Mapa de Riesgos'!$AA$37="Leve"),CONCATENATE("R5C",'Mapa de Riesgos'!$O$37),"")</f>
        <v/>
      </c>
      <c r="K50" s="77" t="str">
        <f>IF(AND('Mapa de Riesgos'!$Y$38="Muy Baja",'Mapa de Riesgos'!$AA$38="Leve"),CONCATENATE("R5C",'Mapa de Riesgos'!$O$38),"")</f>
        <v/>
      </c>
      <c r="L50" s="77" t="str">
        <f>IF(AND('Mapa de Riesgos'!$Y$39="Muy Baja",'Mapa de Riesgos'!$AA$39="Leve"),CONCATENATE("R5C",'Mapa de Riesgos'!$O$39),"")</f>
        <v/>
      </c>
      <c r="M50" s="77" t="str">
        <f>IF(AND('Mapa de Riesgos'!$Y$40="Muy Baja",'Mapa de Riesgos'!$AA$40="Leve"),CONCATENATE("R5C",'Mapa de Riesgos'!$O$40),"")</f>
        <v/>
      </c>
      <c r="N50" s="77" t="str">
        <f>IF(AND('Mapa de Riesgos'!$Y$41="Muy Baja",'Mapa de Riesgos'!$AA$41="Leve"),CONCATENATE("R5C",'Mapa de Riesgos'!$O$41),"")</f>
        <v/>
      </c>
      <c r="O50" s="78" t="str">
        <f>IF(AND('Mapa de Riesgos'!$Y$42="Muy Baja",'Mapa de Riesgos'!$AA$42="Leve"),CONCATENATE("R5C",'Mapa de Riesgos'!$O$42),"")</f>
        <v/>
      </c>
      <c r="P50" s="76" t="str">
        <f>IF(AND('Mapa de Riesgos'!$Y$37="Muy Baja",'Mapa de Riesgos'!$AA$37="Menor"),CONCATENATE("R5C",'Mapa de Riesgos'!$O$37),"")</f>
        <v/>
      </c>
      <c r="Q50" s="77" t="str">
        <f>IF(AND('Mapa de Riesgos'!$Y$38="Muy Baja",'Mapa de Riesgos'!$AA$38="Menor"),CONCATENATE("R5C",'Mapa de Riesgos'!$O$38),"")</f>
        <v/>
      </c>
      <c r="R50" s="77" t="str">
        <f>IF(AND('Mapa de Riesgos'!$Y$39="Muy Baja",'Mapa de Riesgos'!$AA$39="Menor"),CONCATENATE("R5C",'Mapa de Riesgos'!$O$39),"")</f>
        <v/>
      </c>
      <c r="S50" s="77" t="str">
        <f>IF(AND('Mapa de Riesgos'!$Y$40="Muy Baja",'Mapa de Riesgos'!$AA$40="Menor"),CONCATENATE("R5C",'Mapa de Riesgos'!$O$40),"")</f>
        <v/>
      </c>
      <c r="T50" s="77" t="str">
        <f>IF(AND('Mapa de Riesgos'!$Y$41="Muy Baja",'Mapa de Riesgos'!$AA$41="Menor"),CONCATENATE("R5C",'Mapa de Riesgos'!$O$41),"")</f>
        <v/>
      </c>
      <c r="U50" s="78" t="str">
        <f>IF(AND('Mapa de Riesgos'!$Y$42="Muy Baja",'Mapa de Riesgos'!$AA$42="Menor"),CONCATENATE("R5C",'Mapa de Riesgos'!$O$42),"")</f>
        <v/>
      </c>
      <c r="V50" s="67" t="str">
        <f>IF(AND('Mapa de Riesgos'!$Y$37="Muy Baja",'Mapa de Riesgos'!$AA$37="Moderado"),CONCATENATE("R5C",'Mapa de Riesgos'!$O$37),"")</f>
        <v/>
      </c>
      <c r="W50" s="68" t="str">
        <f>IF(AND('Mapa de Riesgos'!$Y$38="Muy Baja",'Mapa de Riesgos'!$AA$38="Moderado"),CONCATENATE("R5C",'Mapa de Riesgos'!$O$38),"")</f>
        <v/>
      </c>
      <c r="X50" s="68" t="str">
        <f>IF(AND('Mapa de Riesgos'!$Y$39="Muy Baja",'Mapa de Riesgos'!$AA$39="Moderado"),CONCATENATE("R5C",'Mapa de Riesgos'!$O$39),"")</f>
        <v/>
      </c>
      <c r="Y50" s="68" t="str">
        <f>IF(AND('Mapa de Riesgos'!$Y$40="Muy Baja",'Mapa de Riesgos'!$AA$40="Moderado"),CONCATENATE("R5C",'Mapa de Riesgos'!$O$40),"")</f>
        <v/>
      </c>
      <c r="Z50" s="68" t="str">
        <f>IF(AND('Mapa de Riesgos'!$Y$41="Muy Baja",'Mapa de Riesgos'!$AA$41="Moderado"),CONCATENATE("R5C",'Mapa de Riesgos'!$O$41),"")</f>
        <v/>
      </c>
      <c r="AA50" s="69" t="str">
        <f>IF(AND('Mapa de Riesgos'!$Y$42="Muy Baja",'Mapa de Riesgos'!$AA$42="Moderado"),CONCATENATE("R5C",'Mapa de Riesgos'!$O$42),"")</f>
        <v/>
      </c>
      <c r="AB50" s="52" t="str">
        <f>IF(AND('Mapa de Riesgos'!$Y$37="Muy Baja",'Mapa de Riesgos'!$AA$37="Mayor"),CONCATENATE("R5C",'Mapa de Riesgos'!$O$37),"")</f>
        <v/>
      </c>
      <c r="AC50" s="53" t="str">
        <f>IF(AND('Mapa de Riesgos'!$Y$38="Muy Baja",'Mapa de Riesgos'!$AA$38="Mayor"),CONCATENATE("R5C",'Mapa de Riesgos'!$O$38),"")</f>
        <v/>
      </c>
      <c r="AD50" s="53" t="str">
        <f>IF(AND('Mapa de Riesgos'!$Y$39="Muy Baja",'Mapa de Riesgos'!$AA$39="Mayor"),CONCATENATE("R5C",'Mapa de Riesgos'!$O$39),"")</f>
        <v/>
      </c>
      <c r="AE50" s="53" t="str">
        <f>IF(AND('Mapa de Riesgos'!$Y$40="Muy Baja",'Mapa de Riesgos'!$AA$40="Mayor"),CONCATENATE("R5C",'Mapa de Riesgos'!$O$40),"")</f>
        <v/>
      </c>
      <c r="AF50" s="53" t="str">
        <f>IF(AND('Mapa de Riesgos'!$Y$41="Muy Baja",'Mapa de Riesgos'!$AA$41="Mayor"),CONCATENATE("R5C",'Mapa de Riesgos'!$O$41),"")</f>
        <v/>
      </c>
      <c r="AG50" s="54" t="str">
        <f>IF(AND('Mapa de Riesgos'!$Y$42="Muy Baja",'Mapa de Riesgos'!$AA$42="Mayor"),CONCATENATE("R5C",'Mapa de Riesgos'!$O$42),"")</f>
        <v/>
      </c>
      <c r="AH50" s="55" t="str">
        <f>IF(AND('Mapa de Riesgos'!$Y$37="Muy Baja",'Mapa de Riesgos'!$AA$37="Catastrófico"),CONCATENATE("R5C",'Mapa de Riesgos'!$O$37),"")</f>
        <v/>
      </c>
      <c r="AI50" s="56" t="str">
        <f>IF(AND('Mapa de Riesgos'!$Y$38="Muy Baja",'Mapa de Riesgos'!$AA$38="Catastrófico"),CONCATENATE("R5C",'Mapa de Riesgos'!$O$38),"")</f>
        <v/>
      </c>
      <c r="AJ50" s="56" t="str">
        <f>IF(AND('Mapa de Riesgos'!$Y$39="Muy Baja",'Mapa de Riesgos'!$AA$39="Catastrófico"),CONCATENATE("R5C",'Mapa de Riesgos'!$O$39),"")</f>
        <v/>
      </c>
      <c r="AK50" s="56" t="str">
        <f>IF(AND('Mapa de Riesgos'!$Y$40="Muy Baja",'Mapa de Riesgos'!$AA$40="Catastrófico"),CONCATENATE("R5C",'Mapa de Riesgos'!$O$40),"")</f>
        <v/>
      </c>
      <c r="AL50" s="56" t="str">
        <f>IF(AND('Mapa de Riesgos'!$Y$41="Muy Baja",'Mapa de Riesgos'!$AA$41="Catastrófico"),CONCATENATE("R5C",'Mapa de Riesgos'!$O$41),"")</f>
        <v/>
      </c>
      <c r="AM50" s="57" t="str">
        <f>IF(AND('Mapa de Riesgos'!$Y$42="Muy Baja",'Mapa de Riesgos'!$AA$42="Catastrófico"),CONCATENATE("R5C",'Mapa de Riesgos'!$O$42),"")</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29"/>
      <c r="C51" s="429"/>
      <c r="D51" s="430"/>
      <c r="E51" s="528"/>
      <c r="F51" s="527"/>
      <c r="G51" s="527"/>
      <c r="H51" s="527"/>
      <c r="I51" s="543"/>
      <c r="J51" s="76" t="str">
        <f>IF(AND('Mapa de Riesgos'!$Y$43="Muy Baja",'Mapa de Riesgos'!$AA$43="Leve"),CONCATENATE("R6C",'Mapa de Riesgos'!$O$43),"")</f>
        <v/>
      </c>
      <c r="K51" s="77" t="str">
        <f>IF(AND('Mapa de Riesgos'!$Y$44="Muy Baja",'Mapa de Riesgos'!$AA$44="Leve"),CONCATENATE("R6C",'Mapa de Riesgos'!$O$44),"")</f>
        <v/>
      </c>
      <c r="L51" s="77" t="str">
        <f>IF(AND('Mapa de Riesgos'!$Y$45="Muy Baja",'Mapa de Riesgos'!$AA$45="Leve"),CONCATENATE("R6C",'Mapa de Riesgos'!$O$45),"")</f>
        <v/>
      </c>
      <c r="M51" s="77" t="str">
        <f>IF(AND('Mapa de Riesgos'!$Y$46="Muy Baja",'Mapa de Riesgos'!$AA$46="Leve"),CONCATENATE("R6C",'Mapa de Riesgos'!$O$46),"")</f>
        <v/>
      </c>
      <c r="N51" s="77" t="str">
        <f>IF(AND('Mapa de Riesgos'!$Y$47="Muy Baja",'Mapa de Riesgos'!$AA$47="Leve"),CONCATENATE("R6C",'Mapa de Riesgos'!$O$47),"")</f>
        <v/>
      </c>
      <c r="O51" s="78" t="str">
        <f>IF(AND('Mapa de Riesgos'!$Y$48="Muy Baja",'Mapa de Riesgos'!$AA$48="Leve"),CONCATENATE("R6C",'Mapa de Riesgos'!$O$48),"")</f>
        <v/>
      </c>
      <c r="P51" s="76" t="str">
        <f>IF(AND('Mapa de Riesgos'!$Y$43="Muy Baja",'Mapa de Riesgos'!$AA$43="Menor"),CONCATENATE("R6C",'Mapa de Riesgos'!$O$43),"")</f>
        <v/>
      </c>
      <c r="Q51" s="77" t="str">
        <f>IF(AND('Mapa de Riesgos'!$Y$44="Muy Baja",'Mapa de Riesgos'!$AA$44="Menor"),CONCATENATE("R6C",'Mapa de Riesgos'!$O$44),"")</f>
        <v/>
      </c>
      <c r="R51" s="77" t="str">
        <f>IF(AND('Mapa de Riesgos'!$Y$45="Muy Baja",'Mapa de Riesgos'!$AA$45="Menor"),CONCATENATE("R6C",'Mapa de Riesgos'!$O$45),"")</f>
        <v/>
      </c>
      <c r="S51" s="77" t="str">
        <f>IF(AND('Mapa de Riesgos'!$Y$46="Muy Baja",'Mapa de Riesgos'!$AA$46="Menor"),CONCATENATE("R6C",'Mapa de Riesgos'!$O$46),"")</f>
        <v/>
      </c>
      <c r="T51" s="77" t="str">
        <f>IF(AND('Mapa de Riesgos'!$Y$47="Muy Baja",'Mapa de Riesgos'!$AA$47="Menor"),CONCATENATE("R6C",'Mapa de Riesgos'!$O$47),"")</f>
        <v/>
      </c>
      <c r="U51" s="78" t="str">
        <f>IF(AND('Mapa de Riesgos'!$Y$48="Muy Baja",'Mapa de Riesgos'!$AA$48="Menor"),CONCATENATE("R6C",'Mapa de Riesgos'!$O$48),"")</f>
        <v/>
      </c>
      <c r="V51" s="67" t="str">
        <f>IF(AND('Mapa de Riesgos'!$Y$43="Muy Baja",'Mapa de Riesgos'!$AA$43="Moderado"),CONCATENATE("R6C",'Mapa de Riesgos'!$O$43),"")</f>
        <v/>
      </c>
      <c r="W51" s="68" t="str">
        <f>IF(AND('Mapa de Riesgos'!$Y$44="Muy Baja",'Mapa de Riesgos'!$AA$44="Moderado"),CONCATENATE("R6C",'Mapa de Riesgos'!$O$44),"")</f>
        <v/>
      </c>
      <c r="X51" s="68" t="str">
        <f>IF(AND('Mapa de Riesgos'!$Y$45="Muy Baja",'Mapa de Riesgos'!$AA$45="Moderado"),CONCATENATE("R6C",'Mapa de Riesgos'!$O$45),"")</f>
        <v/>
      </c>
      <c r="Y51" s="68" t="str">
        <f>IF(AND('Mapa de Riesgos'!$Y$46="Muy Baja",'Mapa de Riesgos'!$AA$46="Moderado"),CONCATENATE("R6C",'Mapa de Riesgos'!$O$46),"")</f>
        <v/>
      </c>
      <c r="Z51" s="68" t="str">
        <f>IF(AND('Mapa de Riesgos'!$Y$47="Muy Baja",'Mapa de Riesgos'!$AA$47="Moderado"),CONCATENATE("R6C",'Mapa de Riesgos'!$O$47),"")</f>
        <v/>
      </c>
      <c r="AA51" s="69" t="str">
        <f>IF(AND('Mapa de Riesgos'!$Y$48="Muy Baja",'Mapa de Riesgos'!$AA$48="Moderado"),CONCATENATE("R6C",'Mapa de Riesgos'!$O$48),"")</f>
        <v/>
      </c>
      <c r="AB51" s="52" t="str">
        <f>IF(AND('Mapa de Riesgos'!$Y$43="Muy Baja",'Mapa de Riesgos'!$AA$43="Mayor"),CONCATENATE("R6C",'Mapa de Riesgos'!$O$43),"")</f>
        <v/>
      </c>
      <c r="AC51" s="53" t="str">
        <f>IF(AND('Mapa de Riesgos'!$Y$44="Muy Baja",'Mapa de Riesgos'!$AA$44="Mayor"),CONCATENATE("R6C",'Mapa de Riesgos'!$O$44),"")</f>
        <v/>
      </c>
      <c r="AD51" s="53" t="str">
        <f>IF(AND('Mapa de Riesgos'!$Y$45="Muy Baja",'Mapa de Riesgos'!$AA$45="Mayor"),CONCATENATE("R6C",'Mapa de Riesgos'!$O$45),"")</f>
        <v/>
      </c>
      <c r="AE51" s="53" t="str">
        <f>IF(AND('Mapa de Riesgos'!$Y$46="Muy Baja",'Mapa de Riesgos'!$AA$46="Mayor"),CONCATENATE("R6C",'Mapa de Riesgos'!$O$46),"")</f>
        <v/>
      </c>
      <c r="AF51" s="53" t="str">
        <f>IF(AND('Mapa de Riesgos'!$Y$47="Muy Baja",'Mapa de Riesgos'!$AA$47="Mayor"),CONCATENATE("R6C",'Mapa de Riesgos'!$O$47),"")</f>
        <v/>
      </c>
      <c r="AG51" s="54" t="str">
        <f>IF(AND('Mapa de Riesgos'!$Y$48="Muy Baja",'Mapa de Riesgos'!$AA$48="Mayor"),CONCATENATE("R6C",'Mapa de Riesgos'!$O$48),"")</f>
        <v/>
      </c>
      <c r="AH51" s="55" t="str">
        <f>IF(AND('Mapa de Riesgos'!$Y$43="Muy Baja",'Mapa de Riesgos'!$AA$43="Catastrófico"),CONCATENATE("R6C",'Mapa de Riesgos'!$O$43),"")</f>
        <v/>
      </c>
      <c r="AI51" s="56" t="str">
        <f>IF(AND('Mapa de Riesgos'!$Y$44="Muy Baja",'Mapa de Riesgos'!$AA$44="Catastrófico"),CONCATENATE("R6C",'Mapa de Riesgos'!$O$44),"")</f>
        <v/>
      </c>
      <c r="AJ51" s="56" t="str">
        <f>IF(AND('Mapa de Riesgos'!$Y$45="Muy Baja",'Mapa de Riesgos'!$AA$45="Catastrófico"),CONCATENATE("R6C",'Mapa de Riesgos'!$O$45),"")</f>
        <v/>
      </c>
      <c r="AK51" s="56" t="str">
        <f>IF(AND('Mapa de Riesgos'!$Y$46="Muy Baja",'Mapa de Riesgos'!$AA$46="Catastrófico"),CONCATENATE("R6C",'Mapa de Riesgos'!$O$46),"")</f>
        <v/>
      </c>
      <c r="AL51" s="56" t="str">
        <f>IF(AND('Mapa de Riesgos'!$Y$47="Muy Baja",'Mapa de Riesgos'!$AA$47="Catastrófico"),CONCATENATE("R6C",'Mapa de Riesgos'!$O$47),"")</f>
        <v/>
      </c>
      <c r="AM51" s="57" t="str">
        <f>IF(AND('Mapa de Riesgos'!$Y$48="Muy Baja",'Mapa de Riesgos'!$AA$48="Catastrófico"),CONCATENATE("R6C",'Mapa de Riesgos'!$O$48),"")</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29"/>
      <c r="C52" s="429"/>
      <c r="D52" s="430"/>
      <c r="E52" s="528"/>
      <c r="F52" s="527"/>
      <c r="G52" s="527"/>
      <c r="H52" s="527"/>
      <c r="I52" s="543"/>
      <c r="J52" s="76" t="str">
        <f>IF(AND('Mapa de Riesgos'!$Y$49="Muy Baja",'Mapa de Riesgos'!$AA$49="Leve"),CONCATENATE("R7C",'Mapa de Riesgos'!$O$49),"")</f>
        <v/>
      </c>
      <c r="K52" s="77" t="str">
        <f>IF(AND('Mapa de Riesgos'!$Y$50="Muy Baja",'Mapa de Riesgos'!$AA$50="Leve"),CONCATENATE("R7C",'Mapa de Riesgos'!$O$50),"")</f>
        <v/>
      </c>
      <c r="L52" s="77" t="str">
        <f>IF(AND('Mapa de Riesgos'!$Y$51="Muy Baja",'Mapa de Riesgos'!$AA$51="Leve"),CONCATENATE("R7C",'Mapa de Riesgos'!$O$51),"")</f>
        <v/>
      </c>
      <c r="M52" s="77" t="str">
        <f>IF(AND('Mapa de Riesgos'!$Y$52="Muy Baja",'Mapa de Riesgos'!$AA$52="Leve"),CONCATENATE("R7C",'Mapa de Riesgos'!$O$52),"")</f>
        <v/>
      </c>
      <c r="N52" s="77" t="str">
        <f>IF(AND('Mapa de Riesgos'!$Y$53="Muy Baja",'Mapa de Riesgos'!$AA$53="Leve"),CONCATENATE("R7C",'Mapa de Riesgos'!$O$53),"")</f>
        <v/>
      </c>
      <c r="O52" s="78" t="str">
        <f>IF(AND('Mapa de Riesgos'!$Y$54="Muy Baja",'Mapa de Riesgos'!$AA$54="Leve"),CONCATENATE("R7C",'Mapa de Riesgos'!$O$54),"")</f>
        <v/>
      </c>
      <c r="P52" s="76" t="str">
        <f>IF(AND('Mapa de Riesgos'!$Y$49="Muy Baja",'Mapa de Riesgos'!$AA$49="Menor"),CONCATENATE("R7C",'Mapa de Riesgos'!$O$49),"")</f>
        <v/>
      </c>
      <c r="Q52" s="77" t="str">
        <f>IF(AND('Mapa de Riesgos'!$Y$50="Muy Baja",'Mapa de Riesgos'!$AA$50="Menor"),CONCATENATE("R7C",'Mapa de Riesgos'!$O$50),"")</f>
        <v/>
      </c>
      <c r="R52" s="77" t="str">
        <f>IF(AND('Mapa de Riesgos'!$Y$51="Muy Baja",'Mapa de Riesgos'!$AA$51="Menor"),CONCATENATE("R7C",'Mapa de Riesgos'!$O$51),"")</f>
        <v/>
      </c>
      <c r="S52" s="77" t="str">
        <f>IF(AND('Mapa de Riesgos'!$Y$52="Muy Baja",'Mapa de Riesgos'!$AA$52="Menor"),CONCATENATE("R7C",'Mapa de Riesgos'!$O$52),"")</f>
        <v/>
      </c>
      <c r="T52" s="77" t="str">
        <f>IF(AND('Mapa de Riesgos'!$Y$53="Muy Baja",'Mapa de Riesgos'!$AA$53="Menor"),CONCATENATE("R7C",'Mapa de Riesgos'!$O$53),"")</f>
        <v/>
      </c>
      <c r="U52" s="78" t="str">
        <f>IF(AND('Mapa de Riesgos'!$Y$54="Muy Baja",'Mapa de Riesgos'!$AA$54="Menor"),CONCATENATE("R7C",'Mapa de Riesgos'!$O$54),"")</f>
        <v/>
      </c>
      <c r="V52" s="67" t="str">
        <f>IF(AND('Mapa de Riesgos'!$Y$49="Muy Baja",'Mapa de Riesgos'!$AA$49="Moderado"),CONCATENATE("R7C",'Mapa de Riesgos'!$O$49),"")</f>
        <v/>
      </c>
      <c r="W52" s="68" t="str">
        <f>IF(AND('Mapa de Riesgos'!$Y$50="Muy Baja",'Mapa de Riesgos'!$AA$50="Moderado"),CONCATENATE("R7C",'Mapa de Riesgos'!$O$50),"")</f>
        <v/>
      </c>
      <c r="X52" s="68" t="str">
        <f>IF(AND('Mapa de Riesgos'!$Y$51="Muy Baja",'Mapa de Riesgos'!$AA$51="Moderado"),CONCATENATE("R7C",'Mapa de Riesgos'!$O$51),"")</f>
        <v/>
      </c>
      <c r="Y52" s="68" t="str">
        <f>IF(AND('Mapa de Riesgos'!$Y$52="Muy Baja",'Mapa de Riesgos'!$AA$52="Moderado"),CONCATENATE("R7C",'Mapa de Riesgos'!$O$52),"")</f>
        <v/>
      </c>
      <c r="Z52" s="68" t="str">
        <f>IF(AND('Mapa de Riesgos'!$Y$53="Muy Baja",'Mapa de Riesgos'!$AA$53="Moderado"),CONCATENATE("R7C",'Mapa de Riesgos'!$O$53),"")</f>
        <v/>
      </c>
      <c r="AA52" s="69" t="str">
        <f>IF(AND('Mapa de Riesgos'!$Y$54="Muy Baja",'Mapa de Riesgos'!$AA$54="Moderado"),CONCATENATE("R7C",'Mapa de Riesgos'!$O$54),"")</f>
        <v/>
      </c>
      <c r="AB52" s="52" t="str">
        <f>IF(AND('Mapa de Riesgos'!$Y$49="Muy Baja",'Mapa de Riesgos'!$AA$49="Mayor"),CONCATENATE("R7C",'Mapa de Riesgos'!$O$49),"")</f>
        <v/>
      </c>
      <c r="AC52" s="53" t="str">
        <f>IF(AND('Mapa de Riesgos'!$Y$50="Muy Baja",'Mapa de Riesgos'!$AA$50="Mayor"),CONCATENATE("R7C",'Mapa de Riesgos'!$O$50),"")</f>
        <v/>
      </c>
      <c r="AD52" s="53" t="str">
        <f>IF(AND('Mapa de Riesgos'!$Y$51="Muy Baja",'Mapa de Riesgos'!$AA$51="Mayor"),CONCATENATE("R7C",'Mapa de Riesgos'!$O$51),"")</f>
        <v/>
      </c>
      <c r="AE52" s="53" t="str">
        <f>IF(AND('Mapa de Riesgos'!$Y$52="Muy Baja",'Mapa de Riesgos'!$AA$52="Mayor"),CONCATENATE("R7C",'Mapa de Riesgos'!$O$52),"")</f>
        <v/>
      </c>
      <c r="AF52" s="53" t="str">
        <f>IF(AND('Mapa de Riesgos'!$Y$53="Muy Baja",'Mapa de Riesgos'!$AA$53="Mayor"),CONCATENATE("R7C",'Mapa de Riesgos'!$O$53),"")</f>
        <v/>
      </c>
      <c r="AG52" s="54" t="str">
        <f>IF(AND('Mapa de Riesgos'!$Y$54="Muy Baja",'Mapa de Riesgos'!$AA$54="Mayor"),CONCATENATE("R7C",'Mapa de Riesgos'!$O$54),"")</f>
        <v/>
      </c>
      <c r="AH52" s="55" t="str">
        <f>IF(AND('Mapa de Riesgos'!$Y$49="Muy Baja",'Mapa de Riesgos'!$AA$49="Catastrófico"),CONCATENATE("R7C",'Mapa de Riesgos'!$O$49),"")</f>
        <v/>
      </c>
      <c r="AI52" s="56" t="str">
        <f>IF(AND('Mapa de Riesgos'!$Y$50="Muy Baja",'Mapa de Riesgos'!$AA$50="Catastrófico"),CONCATENATE("R7C",'Mapa de Riesgos'!$O$50),"")</f>
        <v/>
      </c>
      <c r="AJ52" s="56" t="str">
        <f>IF(AND('Mapa de Riesgos'!$Y$51="Muy Baja",'Mapa de Riesgos'!$AA$51="Catastrófico"),CONCATENATE("R7C",'Mapa de Riesgos'!$O$51),"")</f>
        <v/>
      </c>
      <c r="AK52" s="56" t="str">
        <f>IF(AND('Mapa de Riesgos'!$Y$52="Muy Baja",'Mapa de Riesgos'!$AA$52="Catastrófico"),CONCATENATE("R7C",'Mapa de Riesgos'!$O$52),"")</f>
        <v/>
      </c>
      <c r="AL52" s="56" t="str">
        <f>IF(AND('Mapa de Riesgos'!$Y$53="Muy Baja",'Mapa de Riesgos'!$AA$53="Catastrófico"),CONCATENATE("R7C",'Mapa de Riesgos'!$O$53),"")</f>
        <v/>
      </c>
      <c r="AM52" s="57" t="str">
        <f>IF(AND('Mapa de Riesgos'!$Y$54="Muy Baja",'Mapa de Riesgos'!$AA$54="Catastrófico"),CONCATENATE("R7C",'Mapa de Riesgos'!$O$54),"")</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29"/>
      <c r="C53" s="429"/>
      <c r="D53" s="430"/>
      <c r="E53" s="528"/>
      <c r="F53" s="527"/>
      <c r="G53" s="527"/>
      <c r="H53" s="527"/>
      <c r="I53" s="543"/>
      <c r="J53" s="76" t="str">
        <f>IF(AND('Mapa de Riesgos'!$Y$55="Muy Baja",'Mapa de Riesgos'!$AA$55="Leve"),CONCATENATE("R8C",'Mapa de Riesgos'!$O$55),"")</f>
        <v/>
      </c>
      <c r="K53" s="77" t="str">
        <f>IF(AND('Mapa de Riesgos'!$Y$56="Muy Baja",'Mapa de Riesgos'!$AA$56="Leve"),CONCATENATE("R8C",'Mapa de Riesgos'!$O$56),"")</f>
        <v/>
      </c>
      <c r="L53" s="77" t="str">
        <f>IF(AND('Mapa de Riesgos'!$Y$57="Muy Baja",'Mapa de Riesgos'!$AA$57="Leve"),CONCATENATE("R8C",'Mapa de Riesgos'!$O$57),"")</f>
        <v/>
      </c>
      <c r="M53" s="77" t="str">
        <f>IF(AND('Mapa de Riesgos'!$Y$58="Muy Baja",'Mapa de Riesgos'!$AA$58="Leve"),CONCATENATE("R8C",'Mapa de Riesgos'!$O$58),"")</f>
        <v/>
      </c>
      <c r="N53" s="77" t="str">
        <f>IF(AND('Mapa de Riesgos'!$Y$59="Muy Baja",'Mapa de Riesgos'!$AA$59="Leve"),CONCATENATE("R8C",'Mapa de Riesgos'!$O$59),"")</f>
        <v/>
      </c>
      <c r="O53" s="78" t="str">
        <f>IF(AND('Mapa de Riesgos'!$Y$60="Muy Baja",'Mapa de Riesgos'!$AA$60="Leve"),CONCATENATE("R8C",'Mapa de Riesgos'!$O$60),"")</f>
        <v/>
      </c>
      <c r="P53" s="76" t="str">
        <f>IF(AND('Mapa de Riesgos'!$Y$55="Muy Baja",'Mapa de Riesgos'!$AA$55="Menor"),CONCATENATE("R8C",'Mapa de Riesgos'!$O$55),"")</f>
        <v/>
      </c>
      <c r="Q53" s="77" t="str">
        <f>IF(AND('Mapa de Riesgos'!$Y$56="Muy Baja",'Mapa de Riesgos'!$AA$56="Menor"),CONCATENATE("R8C",'Mapa de Riesgos'!$O$56),"")</f>
        <v/>
      </c>
      <c r="R53" s="77" t="str">
        <f>IF(AND('Mapa de Riesgos'!$Y$57="Muy Baja",'Mapa de Riesgos'!$AA$57="Menor"),CONCATENATE("R8C",'Mapa de Riesgos'!$O$57),"")</f>
        <v/>
      </c>
      <c r="S53" s="77" t="str">
        <f>IF(AND('Mapa de Riesgos'!$Y$58="Muy Baja",'Mapa de Riesgos'!$AA$58="Menor"),CONCATENATE("R8C",'Mapa de Riesgos'!$O$58),"")</f>
        <v/>
      </c>
      <c r="T53" s="77" t="str">
        <f>IF(AND('Mapa de Riesgos'!$Y$59="Muy Baja",'Mapa de Riesgos'!$AA$59="Menor"),CONCATENATE("R8C",'Mapa de Riesgos'!$O$59),"")</f>
        <v/>
      </c>
      <c r="U53" s="78" t="str">
        <f>IF(AND('Mapa de Riesgos'!$Y$60="Muy Baja",'Mapa de Riesgos'!$AA$60="Menor"),CONCATENATE("R8C",'Mapa de Riesgos'!$O$60),"")</f>
        <v/>
      </c>
      <c r="V53" s="67" t="str">
        <f>IF(AND('Mapa de Riesgos'!$Y$55="Muy Baja",'Mapa de Riesgos'!$AA$55="Moderado"),CONCATENATE("R8C",'Mapa de Riesgos'!$O$55),"")</f>
        <v/>
      </c>
      <c r="W53" s="68" t="str">
        <f>IF(AND('Mapa de Riesgos'!$Y$56="Muy Baja",'Mapa de Riesgos'!$AA$56="Moderado"),CONCATENATE("R8C",'Mapa de Riesgos'!$O$56),"")</f>
        <v/>
      </c>
      <c r="X53" s="68" t="str">
        <f>IF(AND('Mapa de Riesgos'!$Y$57="Muy Baja",'Mapa de Riesgos'!$AA$57="Moderado"),CONCATENATE("R8C",'Mapa de Riesgos'!$O$57),"")</f>
        <v/>
      </c>
      <c r="Y53" s="68" t="str">
        <f>IF(AND('Mapa de Riesgos'!$Y$58="Muy Baja",'Mapa de Riesgos'!$AA$58="Moderado"),CONCATENATE("R8C",'Mapa de Riesgos'!$O$58),"")</f>
        <v/>
      </c>
      <c r="Z53" s="68" t="str">
        <f>IF(AND('Mapa de Riesgos'!$Y$59="Muy Baja",'Mapa de Riesgos'!$AA$59="Moderado"),CONCATENATE("R8C",'Mapa de Riesgos'!$O$59),"")</f>
        <v/>
      </c>
      <c r="AA53" s="69" t="str">
        <f>IF(AND('Mapa de Riesgos'!$Y$60="Muy Baja",'Mapa de Riesgos'!$AA$60="Moderado"),CONCATENATE("R8C",'Mapa de Riesgos'!$O$60),"")</f>
        <v/>
      </c>
      <c r="AB53" s="52" t="str">
        <f>IF(AND('Mapa de Riesgos'!$Y$55="Muy Baja",'Mapa de Riesgos'!$AA$55="Mayor"),CONCATENATE("R8C",'Mapa de Riesgos'!$O$55),"")</f>
        <v/>
      </c>
      <c r="AC53" s="53" t="str">
        <f>IF(AND('Mapa de Riesgos'!$Y$56="Muy Baja",'Mapa de Riesgos'!$AA$56="Mayor"),CONCATENATE("R8C",'Mapa de Riesgos'!$O$56),"")</f>
        <v/>
      </c>
      <c r="AD53" s="53" t="str">
        <f>IF(AND('Mapa de Riesgos'!$Y$57="Muy Baja",'Mapa de Riesgos'!$AA$57="Mayor"),CONCATENATE("R8C",'Mapa de Riesgos'!$O$57),"")</f>
        <v/>
      </c>
      <c r="AE53" s="53" t="str">
        <f>IF(AND('Mapa de Riesgos'!$Y$58="Muy Baja",'Mapa de Riesgos'!$AA$58="Mayor"),CONCATENATE("R8C",'Mapa de Riesgos'!$O$58),"")</f>
        <v/>
      </c>
      <c r="AF53" s="53" t="str">
        <f>IF(AND('Mapa de Riesgos'!$Y$59="Muy Baja",'Mapa de Riesgos'!$AA$59="Mayor"),CONCATENATE("R8C",'Mapa de Riesgos'!$O$59),"")</f>
        <v/>
      </c>
      <c r="AG53" s="54" t="str">
        <f>IF(AND('Mapa de Riesgos'!$Y$60="Muy Baja",'Mapa de Riesgos'!$AA$60="Mayor"),CONCATENATE("R8C",'Mapa de Riesgos'!$O$60),"")</f>
        <v/>
      </c>
      <c r="AH53" s="55" t="str">
        <f>IF(AND('Mapa de Riesgos'!$Y$55="Muy Baja",'Mapa de Riesgos'!$AA$55="Catastrófico"),CONCATENATE("R8C",'Mapa de Riesgos'!$O$55),"")</f>
        <v/>
      </c>
      <c r="AI53" s="56" t="str">
        <f>IF(AND('Mapa de Riesgos'!$Y$56="Muy Baja",'Mapa de Riesgos'!$AA$56="Catastrófico"),CONCATENATE("R8C",'Mapa de Riesgos'!$O$56),"")</f>
        <v/>
      </c>
      <c r="AJ53" s="56" t="str">
        <f>IF(AND('Mapa de Riesgos'!$Y$57="Muy Baja",'Mapa de Riesgos'!$AA$57="Catastrófico"),CONCATENATE("R8C",'Mapa de Riesgos'!$O$57),"")</f>
        <v/>
      </c>
      <c r="AK53" s="56" t="str">
        <f>IF(AND('Mapa de Riesgos'!$Y$58="Muy Baja",'Mapa de Riesgos'!$AA$58="Catastrófico"),CONCATENATE("R8C",'Mapa de Riesgos'!$O$58),"")</f>
        <v/>
      </c>
      <c r="AL53" s="56" t="str">
        <f>IF(AND('Mapa de Riesgos'!$Y$59="Muy Baja",'Mapa de Riesgos'!$AA$59="Catastrófico"),CONCATENATE("R8C",'Mapa de Riesgos'!$O$59),"")</f>
        <v/>
      </c>
      <c r="AM53" s="57" t="str">
        <f>IF(AND('Mapa de Riesgos'!$Y$60="Muy Baja",'Mapa de Riesgos'!$AA$60="Catastrófico"),CONCATENATE("R8C",'Mapa de Riesgos'!$O$60),"")</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29"/>
      <c r="C54" s="429"/>
      <c r="D54" s="430"/>
      <c r="E54" s="528"/>
      <c r="F54" s="527"/>
      <c r="G54" s="527"/>
      <c r="H54" s="527"/>
      <c r="I54" s="543"/>
      <c r="J54" s="76" t="str">
        <f>IF(AND('Mapa de Riesgos'!$Y$61="Muy Baja",'Mapa de Riesgos'!$AA$61="Leve"),CONCATENATE("R9C",'Mapa de Riesgos'!$O$61),"")</f>
        <v/>
      </c>
      <c r="K54" s="77" t="str">
        <f>IF(AND('Mapa de Riesgos'!$Y$62="Muy Baja",'Mapa de Riesgos'!$AA$62="Leve"),CONCATENATE("R9C",'Mapa de Riesgos'!$O$62),"")</f>
        <v/>
      </c>
      <c r="L54" s="77" t="str">
        <f>IF(AND('Mapa de Riesgos'!$Y$63="Muy Baja",'Mapa de Riesgos'!$AA$63="Leve"),CONCATENATE("R9C",'Mapa de Riesgos'!$O$63),"")</f>
        <v/>
      </c>
      <c r="M54" s="77" t="str">
        <f>IF(AND('Mapa de Riesgos'!$Y$64="Muy Baja",'Mapa de Riesgos'!$AA$64="Leve"),CONCATENATE("R9C",'Mapa de Riesgos'!$O$64),"")</f>
        <v/>
      </c>
      <c r="N54" s="77" t="str">
        <f>IF(AND('Mapa de Riesgos'!$Y$65="Muy Baja",'Mapa de Riesgos'!$AA$65="Leve"),CONCATENATE("R9C",'Mapa de Riesgos'!$O$65),"")</f>
        <v/>
      </c>
      <c r="O54" s="78" t="str">
        <f>IF(AND('Mapa de Riesgos'!$Y$66="Muy Baja",'Mapa de Riesgos'!$AA$66="Leve"),CONCATENATE("R9C",'Mapa de Riesgos'!$O$66),"")</f>
        <v/>
      </c>
      <c r="P54" s="76" t="str">
        <f>IF(AND('Mapa de Riesgos'!$Y$61="Muy Baja",'Mapa de Riesgos'!$AA$61="Menor"),CONCATENATE("R9C",'Mapa de Riesgos'!$O$61),"")</f>
        <v/>
      </c>
      <c r="Q54" s="77" t="str">
        <f>IF(AND('Mapa de Riesgos'!$Y$62="Muy Baja",'Mapa de Riesgos'!$AA$62="Menor"),CONCATENATE("R9C",'Mapa de Riesgos'!$O$62),"")</f>
        <v/>
      </c>
      <c r="R54" s="77" t="str">
        <f>IF(AND('Mapa de Riesgos'!$Y$63="Muy Baja",'Mapa de Riesgos'!$AA$63="Menor"),CONCATENATE("R9C",'Mapa de Riesgos'!$O$63),"")</f>
        <v/>
      </c>
      <c r="S54" s="77" t="str">
        <f>IF(AND('Mapa de Riesgos'!$Y$64="Muy Baja",'Mapa de Riesgos'!$AA$64="Menor"),CONCATENATE("R9C",'Mapa de Riesgos'!$O$64),"")</f>
        <v/>
      </c>
      <c r="T54" s="77" t="str">
        <f>IF(AND('Mapa de Riesgos'!$Y$65="Muy Baja",'Mapa de Riesgos'!$AA$65="Menor"),CONCATENATE("R9C",'Mapa de Riesgos'!$O$65),"")</f>
        <v/>
      </c>
      <c r="U54" s="78" t="str">
        <f>IF(AND('Mapa de Riesgos'!$Y$66="Muy Baja",'Mapa de Riesgos'!$AA$66="Menor"),CONCATENATE("R9C",'Mapa de Riesgos'!$O$66),"")</f>
        <v/>
      </c>
      <c r="V54" s="67" t="str">
        <f>IF(AND('Mapa de Riesgos'!$Y$61="Muy Baja",'Mapa de Riesgos'!$AA$61="Moderado"),CONCATENATE("R9C",'Mapa de Riesgos'!$O$61),"")</f>
        <v/>
      </c>
      <c r="W54" s="68" t="str">
        <f>IF(AND('Mapa de Riesgos'!$Y$62="Muy Baja",'Mapa de Riesgos'!$AA$62="Moderado"),CONCATENATE("R9C",'Mapa de Riesgos'!$O$62),"")</f>
        <v/>
      </c>
      <c r="X54" s="68" t="str">
        <f>IF(AND('Mapa de Riesgos'!$Y$63="Muy Baja",'Mapa de Riesgos'!$AA$63="Moderado"),CONCATENATE("R9C",'Mapa de Riesgos'!$O$63),"")</f>
        <v/>
      </c>
      <c r="Y54" s="68" t="str">
        <f>IF(AND('Mapa de Riesgos'!$Y$64="Muy Baja",'Mapa de Riesgos'!$AA$64="Moderado"),CONCATENATE("R9C",'Mapa de Riesgos'!$O$64),"")</f>
        <v/>
      </c>
      <c r="Z54" s="68" t="str">
        <f>IF(AND('Mapa de Riesgos'!$Y$65="Muy Baja",'Mapa de Riesgos'!$AA$65="Moderado"),CONCATENATE("R9C",'Mapa de Riesgos'!$O$65),"")</f>
        <v/>
      </c>
      <c r="AA54" s="69" t="str">
        <f>IF(AND('Mapa de Riesgos'!$Y$66="Muy Baja",'Mapa de Riesgos'!$AA$66="Moderado"),CONCATENATE("R9C",'Mapa de Riesgos'!$O$66),"")</f>
        <v/>
      </c>
      <c r="AB54" s="52" t="str">
        <f>IF(AND('Mapa de Riesgos'!$Y$61="Muy Baja",'Mapa de Riesgos'!$AA$61="Mayor"),CONCATENATE("R9C",'Mapa de Riesgos'!$O$61),"")</f>
        <v/>
      </c>
      <c r="AC54" s="53" t="str">
        <f>IF(AND('Mapa de Riesgos'!$Y$62="Muy Baja",'Mapa de Riesgos'!$AA$62="Mayor"),CONCATENATE("R9C",'Mapa de Riesgos'!$O$62),"")</f>
        <v/>
      </c>
      <c r="AD54" s="53" t="str">
        <f>IF(AND('Mapa de Riesgos'!$Y$63="Muy Baja",'Mapa de Riesgos'!$AA$63="Mayor"),CONCATENATE("R9C",'Mapa de Riesgos'!$O$63),"")</f>
        <v/>
      </c>
      <c r="AE54" s="53" t="str">
        <f>IF(AND('Mapa de Riesgos'!$Y$64="Muy Baja",'Mapa de Riesgos'!$AA$64="Mayor"),CONCATENATE("R9C",'Mapa de Riesgos'!$O$64),"")</f>
        <v/>
      </c>
      <c r="AF54" s="53" t="str">
        <f>IF(AND('Mapa de Riesgos'!$Y$65="Muy Baja",'Mapa de Riesgos'!$AA$65="Mayor"),CONCATENATE("R9C",'Mapa de Riesgos'!$O$65),"")</f>
        <v/>
      </c>
      <c r="AG54" s="54" t="str">
        <f>IF(AND('Mapa de Riesgos'!$Y$66="Muy Baja",'Mapa de Riesgos'!$AA$66="Mayor"),CONCATENATE("R9C",'Mapa de Riesgos'!$O$66),"")</f>
        <v/>
      </c>
      <c r="AH54" s="55" t="str">
        <f>IF(AND('Mapa de Riesgos'!$Y$61="Muy Baja",'Mapa de Riesgos'!$AA$61="Catastrófico"),CONCATENATE("R9C",'Mapa de Riesgos'!$O$61),"")</f>
        <v/>
      </c>
      <c r="AI54" s="56" t="str">
        <f>IF(AND('Mapa de Riesgos'!$Y$62="Muy Baja",'Mapa de Riesgos'!$AA$62="Catastrófico"),CONCATENATE("R9C",'Mapa de Riesgos'!$O$62),"")</f>
        <v/>
      </c>
      <c r="AJ54" s="56" t="str">
        <f>IF(AND('Mapa de Riesgos'!$Y$63="Muy Baja",'Mapa de Riesgos'!$AA$63="Catastrófico"),CONCATENATE("R9C",'Mapa de Riesgos'!$O$63),"")</f>
        <v/>
      </c>
      <c r="AK54" s="56" t="str">
        <f>IF(AND('Mapa de Riesgos'!$Y$64="Muy Baja",'Mapa de Riesgos'!$AA$64="Catastrófico"),CONCATENATE("R9C",'Mapa de Riesgos'!$O$64),"")</f>
        <v/>
      </c>
      <c r="AL54" s="56" t="str">
        <f>IF(AND('Mapa de Riesgos'!$Y$65="Muy Baja",'Mapa de Riesgos'!$AA$65="Catastrófico"),CONCATENATE("R9C",'Mapa de Riesgos'!$O$65),"")</f>
        <v/>
      </c>
      <c r="AM54" s="57" t="str">
        <f>IF(AND('Mapa de Riesgos'!$Y$66="Muy Baja",'Mapa de Riesgos'!$AA$66="Catastrófico"),CONCATENATE("R9C",'Mapa de Riesgos'!$O$66),"")</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29"/>
      <c r="C55" s="429"/>
      <c r="D55" s="430"/>
      <c r="E55" s="529"/>
      <c r="F55" s="530"/>
      <c r="G55" s="530"/>
      <c r="H55" s="530"/>
      <c r="I55" s="544"/>
      <c r="J55" s="79" t="str">
        <f>IF(AND('Mapa de Riesgos'!$Y$67="Muy Baja",'Mapa de Riesgos'!$AA$67="Leve"),CONCATENATE("R10C",'Mapa de Riesgos'!$O$67),"")</f>
        <v/>
      </c>
      <c r="K55" s="80" t="str">
        <f>IF(AND('Mapa de Riesgos'!$Y$68="Muy Baja",'Mapa de Riesgos'!$AA$68="Leve"),CONCATENATE("R10C",'Mapa de Riesgos'!$O$68),"")</f>
        <v/>
      </c>
      <c r="L55" s="80" t="str">
        <f>IF(AND('Mapa de Riesgos'!$Y$69="Muy Baja",'Mapa de Riesgos'!$AA$69="Leve"),CONCATENATE("R10C",'Mapa de Riesgos'!$O$69),"")</f>
        <v/>
      </c>
      <c r="M55" s="80" t="str">
        <f>IF(AND('Mapa de Riesgos'!$Y$70="Muy Baja",'Mapa de Riesgos'!$AA$70="Leve"),CONCATENATE("R10C",'Mapa de Riesgos'!$O$70),"")</f>
        <v/>
      </c>
      <c r="N55" s="80" t="str">
        <f>IF(AND('Mapa de Riesgos'!$Y$71="Muy Baja",'Mapa de Riesgos'!$AA$71="Leve"),CONCATENATE("R10C",'Mapa de Riesgos'!$O$71),"")</f>
        <v/>
      </c>
      <c r="O55" s="81" t="str">
        <f>IF(AND('Mapa de Riesgos'!$Y$72="Muy Baja",'Mapa de Riesgos'!$AA$72="Leve"),CONCATENATE("R10C",'Mapa de Riesgos'!$O$72),"")</f>
        <v/>
      </c>
      <c r="P55" s="79" t="str">
        <f>IF(AND('Mapa de Riesgos'!$Y$67="Muy Baja",'Mapa de Riesgos'!$AA$67="Menor"),CONCATENATE("R10C",'Mapa de Riesgos'!$O$67),"")</f>
        <v/>
      </c>
      <c r="Q55" s="80" t="str">
        <f>IF(AND('Mapa de Riesgos'!$Y$68="Muy Baja",'Mapa de Riesgos'!$AA$68="Menor"),CONCATENATE("R10C",'Mapa de Riesgos'!$O$68),"")</f>
        <v/>
      </c>
      <c r="R55" s="80" t="str">
        <f>IF(AND('Mapa de Riesgos'!$Y$69="Muy Baja",'Mapa de Riesgos'!$AA$69="Menor"),CONCATENATE("R10C",'Mapa de Riesgos'!$O$69),"")</f>
        <v/>
      </c>
      <c r="S55" s="80" t="str">
        <f>IF(AND('Mapa de Riesgos'!$Y$70="Muy Baja",'Mapa de Riesgos'!$AA$70="Menor"),CONCATENATE("R10C",'Mapa de Riesgos'!$O$70),"")</f>
        <v/>
      </c>
      <c r="T55" s="80" t="str">
        <f>IF(AND('Mapa de Riesgos'!$Y$71="Muy Baja",'Mapa de Riesgos'!$AA$71="Menor"),CONCATENATE("R10C",'Mapa de Riesgos'!$O$71),"")</f>
        <v/>
      </c>
      <c r="U55" s="81" t="str">
        <f>IF(AND('Mapa de Riesgos'!$Y$72="Muy Baja",'Mapa de Riesgos'!$AA$72="Menor"),CONCATENATE("R10C",'Mapa de Riesgos'!$O$72),"")</f>
        <v/>
      </c>
      <c r="V55" s="70" t="str">
        <f>IF(AND('Mapa de Riesgos'!$Y$67="Muy Baja",'Mapa de Riesgos'!$AA$67="Moderado"),CONCATENATE("R10C",'Mapa de Riesgos'!$O$67),"")</f>
        <v/>
      </c>
      <c r="W55" s="71" t="str">
        <f>IF(AND('Mapa de Riesgos'!$Y$68="Muy Baja",'Mapa de Riesgos'!$AA$68="Moderado"),CONCATENATE("R10C",'Mapa de Riesgos'!$O$68),"")</f>
        <v/>
      </c>
      <c r="X55" s="71" t="str">
        <f>IF(AND('Mapa de Riesgos'!$Y$69="Muy Baja",'Mapa de Riesgos'!$AA$69="Moderado"),CONCATENATE("R10C",'Mapa de Riesgos'!$O$69),"")</f>
        <v/>
      </c>
      <c r="Y55" s="71" t="str">
        <f>IF(AND('Mapa de Riesgos'!$Y$70="Muy Baja",'Mapa de Riesgos'!$AA$70="Moderado"),CONCATENATE("R10C",'Mapa de Riesgos'!$O$70),"")</f>
        <v/>
      </c>
      <c r="Z55" s="71" t="str">
        <f>IF(AND('Mapa de Riesgos'!$Y$71="Muy Baja",'Mapa de Riesgos'!$AA$71="Moderado"),CONCATENATE("R10C",'Mapa de Riesgos'!$O$71),"")</f>
        <v/>
      </c>
      <c r="AA55" s="72" t="str">
        <f>IF(AND('Mapa de Riesgos'!$Y$72="Muy Baja",'Mapa de Riesgos'!$AA$72="Moderado"),CONCATENATE("R10C",'Mapa de Riesgos'!$O$72),"")</f>
        <v/>
      </c>
      <c r="AB55" s="58" t="str">
        <f>IF(AND('Mapa de Riesgos'!$Y$67="Muy Baja",'Mapa de Riesgos'!$AA$67="Mayor"),CONCATENATE("R10C",'Mapa de Riesgos'!$O$67),"")</f>
        <v/>
      </c>
      <c r="AC55" s="59" t="str">
        <f>IF(AND('Mapa de Riesgos'!$Y$68="Muy Baja",'Mapa de Riesgos'!$AA$68="Mayor"),CONCATENATE("R10C",'Mapa de Riesgos'!$O$68),"")</f>
        <v/>
      </c>
      <c r="AD55" s="59" t="str">
        <f>IF(AND('Mapa de Riesgos'!$Y$69="Muy Baja",'Mapa de Riesgos'!$AA$69="Mayor"),CONCATENATE("R10C",'Mapa de Riesgos'!$O$69),"")</f>
        <v/>
      </c>
      <c r="AE55" s="59" t="str">
        <f>IF(AND('Mapa de Riesgos'!$Y$70="Muy Baja",'Mapa de Riesgos'!$AA$70="Mayor"),CONCATENATE("R10C",'Mapa de Riesgos'!$O$70),"")</f>
        <v/>
      </c>
      <c r="AF55" s="59" t="str">
        <f>IF(AND('Mapa de Riesgos'!$Y$71="Muy Baja",'Mapa de Riesgos'!$AA$71="Mayor"),CONCATENATE("R10C",'Mapa de Riesgos'!$O$71),"")</f>
        <v/>
      </c>
      <c r="AG55" s="60" t="str">
        <f>IF(AND('Mapa de Riesgos'!$Y$72="Muy Baja",'Mapa de Riesgos'!$AA$72="Mayor"),CONCATENATE("R10C",'Mapa de Riesgos'!$O$72),"")</f>
        <v/>
      </c>
      <c r="AH55" s="61" t="str">
        <f>IF(AND('Mapa de Riesgos'!$Y$67="Muy Baja",'Mapa de Riesgos'!$AA$67="Catastrófico"),CONCATENATE("R10C",'Mapa de Riesgos'!$O$67),"")</f>
        <v/>
      </c>
      <c r="AI55" s="62" t="str">
        <f>IF(AND('Mapa de Riesgos'!$Y$68="Muy Baja",'Mapa de Riesgos'!$AA$68="Catastrófico"),CONCATENATE("R10C",'Mapa de Riesgos'!$O$68),"")</f>
        <v/>
      </c>
      <c r="AJ55" s="62" t="str">
        <f>IF(AND('Mapa de Riesgos'!$Y$69="Muy Baja",'Mapa de Riesgos'!$AA$69="Catastrófico"),CONCATENATE("R10C",'Mapa de Riesgos'!$O$69),"")</f>
        <v/>
      </c>
      <c r="AK55" s="62" t="str">
        <f>IF(AND('Mapa de Riesgos'!$Y$70="Muy Baja",'Mapa de Riesgos'!$AA$70="Catastrófico"),CONCATENATE("R10C",'Mapa de Riesgos'!$O$70),"")</f>
        <v/>
      </c>
      <c r="AL55" s="62" t="str">
        <f>IF(AND('Mapa de Riesgos'!$Y$71="Muy Baja",'Mapa de Riesgos'!$AA$71="Catastrófico"),CONCATENATE("R10C",'Mapa de Riesgos'!$O$71),"")</f>
        <v/>
      </c>
      <c r="AM55" s="63" t="str">
        <f>IF(AND('Mapa de Riesgos'!$Y$72="Muy Baja",'Mapa de Riesgos'!$AA$72="Catastrófico"),CONCATENATE("R10C",'Mapa de Riesgos'!$O$72),"")</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24" t="s">
        <v>217</v>
      </c>
      <c r="K56" s="525"/>
      <c r="L56" s="525"/>
      <c r="M56" s="525"/>
      <c r="N56" s="525"/>
      <c r="O56" s="542"/>
      <c r="P56" s="524" t="s">
        <v>218</v>
      </c>
      <c r="Q56" s="525"/>
      <c r="R56" s="525"/>
      <c r="S56" s="525"/>
      <c r="T56" s="525"/>
      <c r="U56" s="542"/>
      <c r="V56" s="524" t="s">
        <v>219</v>
      </c>
      <c r="W56" s="525"/>
      <c r="X56" s="525"/>
      <c r="Y56" s="525"/>
      <c r="Z56" s="525"/>
      <c r="AA56" s="542"/>
      <c r="AB56" s="524" t="s">
        <v>220</v>
      </c>
      <c r="AC56" s="563"/>
      <c r="AD56" s="525"/>
      <c r="AE56" s="525"/>
      <c r="AF56" s="525"/>
      <c r="AG56" s="542"/>
      <c r="AH56" s="524" t="s">
        <v>221</v>
      </c>
      <c r="AI56" s="525"/>
      <c r="AJ56" s="525"/>
      <c r="AK56" s="525"/>
      <c r="AL56" s="525"/>
      <c r="AM56" s="54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28"/>
      <c r="K57" s="527"/>
      <c r="L57" s="527"/>
      <c r="M57" s="527"/>
      <c r="N57" s="527"/>
      <c r="O57" s="543"/>
      <c r="P57" s="528"/>
      <c r="Q57" s="527"/>
      <c r="R57" s="527"/>
      <c r="S57" s="527"/>
      <c r="T57" s="527"/>
      <c r="U57" s="543"/>
      <c r="V57" s="528"/>
      <c r="W57" s="527"/>
      <c r="X57" s="527"/>
      <c r="Y57" s="527"/>
      <c r="Z57" s="527"/>
      <c r="AA57" s="543"/>
      <c r="AB57" s="528"/>
      <c r="AC57" s="527"/>
      <c r="AD57" s="527"/>
      <c r="AE57" s="527"/>
      <c r="AF57" s="527"/>
      <c r="AG57" s="543"/>
      <c r="AH57" s="528"/>
      <c r="AI57" s="527"/>
      <c r="AJ57" s="527"/>
      <c r="AK57" s="527"/>
      <c r="AL57" s="527"/>
      <c r="AM57" s="54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28"/>
      <c r="K58" s="527"/>
      <c r="L58" s="527"/>
      <c r="M58" s="527"/>
      <c r="N58" s="527"/>
      <c r="O58" s="543"/>
      <c r="P58" s="528"/>
      <c r="Q58" s="527"/>
      <c r="R58" s="527"/>
      <c r="S58" s="527"/>
      <c r="T58" s="527"/>
      <c r="U58" s="543"/>
      <c r="V58" s="528"/>
      <c r="W58" s="527"/>
      <c r="X58" s="527"/>
      <c r="Y58" s="527"/>
      <c r="Z58" s="527"/>
      <c r="AA58" s="543"/>
      <c r="AB58" s="528"/>
      <c r="AC58" s="527"/>
      <c r="AD58" s="527"/>
      <c r="AE58" s="527"/>
      <c r="AF58" s="527"/>
      <c r="AG58" s="543"/>
      <c r="AH58" s="528"/>
      <c r="AI58" s="527"/>
      <c r="AJ58" s="527"/>
      <c r="AK58" s="527"/>
      <c r="AL58" s="527"/>
      <c r="AM58" s="54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28"/>
      <c r="K59" s="527"/>
      <c r="L59" s="527"/>
      <c r="M59" s="527"/>
      <c r="N59" s="527"/>
      <c r="O59" s="543"/>
      <c r="P59" s="528"/>
      <c r="Q59" s="527"/>
      <c r="R59" s="527"/>
      <c r="S59" s="527"/>
      <c r="T59" s="527"/>
      <c r="U59" s="543"/>
      <c r="V59" s="528"/>
      <c r="W59" s="527"/>
      <c r="X59" s="527"/>
      <c r="Y59" s="527"/>
      <c r="Z59" s="527"/>
      <c r="AA59" s="543"/>
      <c r="AB59" s="528"/>
      <c r="AC59" s="527"/>
      <c r="AD59" s="527"/>
      <c r="AE59" s="527"/>
      <c r="AF59" s="527"/>
      <c r="AG59" s="543"/>
      <c r="AH59" s="528"/>
      <c r="AI59" s="527"/>
      <c r="AJ59" s="527"/>
      <c r="AK59" s="527"/>
      <c r="AL59" s="527"/>
      <c r="AM59" s="54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28"/>
      <c r="K60" s="527"/>
      <c r="L60" s="527"/>
      <c r="M60" s="527"/>
      <c r="N60" s="527"/>
      <c r="O60" s="543"/>
      <c r="P60" s="528"/>
      <c r="Q60" s="527"/>
      <c r="R60" s="527"/>
      <c r="S60" s="527"/>
      <c r="T60" s="527"/>
      <c r="U60" s="543"/>
      <c r="V60" s="528"/>
      <c r="W60" s="527"/>
      <c r="X60" s="527"/>
      <c r="Y60" s="527"/>
      <c r="Z60" s="527"/>
      <c r="AA60" s="543"/>
      <c r="AB60" s="528"/>
      <c r="AC60" s="527"/>
      <c r="AD60" s="527"/>
      <c r="AE60" s="527"/>
      <c r="AF60" s="527"/>
      <c r="AG60" s="543"/>
      <c r="AH60" s="528"/>
      <c r="AI60" s="527"/>
      <c r="AJ60" s="527"/>
      <c r="AK60" s="527"/>
      <c r="AL60" s="527"/>
      <c r="AM60" s="54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29"/>
      <c r="K61" s="530"/>
      <c r="L61" s="530"/>
      <c r="M61" s="530"/>
      <c r="N61" s="530"/>
      <c r="O61" s="544"/>
      <c r="P61" s="529"/>
      <c r="Q61" s="530"/>
      <c r="R61" s="530"/>
      <c r="S61" s="530"/>
      <c r="T61" s="530"/>
      <c r="U61" s="544"/>
      <c r="V61" s="529"/>
      <c r="W61" s="530"/>
      <c r="X61" s="530"/>
      <c r="Y61" s="530"/>
      <c r="Z61" s="530"/>
      <c r="AA61" s="544"/>
      <c r="AB61" s="529"/>
      <c r="AC61" s="530"/>
      <c r="AD61" s="530"/>
      <c r="AE61" s="530"/>
      <c r="AF61" s="530"/>
      <c r="AG61" s="544"/>
      <c r="AH61" s="529"/>
      <c r="AI61" s="530"/>
      <c r="AJ61" s="530"/>
      <c r="AK61" s="530"/>
      <c r="AL61" s="530"/>
      <c r="AM61" s="54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64" t="s">
        <v>223</v>
      </c>
      <c r="C1" s="564"/>
      <c r="D1" s="56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224</v>
      </c>
      <c r="D3" s="12" t="s">
        <v>207</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225</v>
      </c>
      <c r="C4" s="14" t="s">
        <v>226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227</v>
      </c>
      <c r="C5" s="17" t="s">
        <v>228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229</v>
      </c>
      <c r="C6" s="17" t="s">
        <v>230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231</v>
      </c>
      <c r="C7" s="17" t="s">
        <v>232</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233</v>
      </c>
      <c r="C8" s="17" t="s">
        <v>234</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65" t="s">
        <v>235</v>
      </c>
      <c r="C1" s="565"/>
      <c r="D1" s="56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236</v>
      </c>
      <c r="D3" s="36" t="s">
        <v>237</v>
      </c>
      <c r="E3" s="83"/>
      <c r="F3" s="83"/>
      <c r="G3" s="83"/>
      <c r="H3" s="83"/>
      <c r="I3" s="83"/>
      <c r="J3" s="83"/>
      <c r="K3" s="83"/>
      <c r="L3" s="83"/>
      <c r="M3" s="83"/>
      <c r="N3" s="83"/>
      <c r="O3" s="83"/>
      <c r="P3" s="83"/>
      <c r="Q3" s="83"/>
      <c r="R3" s="83"/>
      <c r="S3" s="83"/>
      <c r="T3" s="83"/>
      <c r="U3" s="83"/>
    </row>
    <row r="4" spans="1:21" ht="33.75" x14ac:dyDescent="0.25">
      <c r="A4" s="100" t="s">
        <v>238</v>
      </c>
      <c r="B4" s="39" t="s">
        <v>239</v>
      </c>
      <c r="C4" s="44" t="s">
        <v>240</v>
      </c>
      <c r="D4" s="37" t="s">
        <v>241</v>
      </c>
      <c r="E4" s="83"/>
      <c r="F4" s="83"/>
      <c r="G4" s="83"/>
      <c r="H4" s="83"/>
      <c r="I4" s="83"/>
      <c r="J4" s="83"/>
      <c r="K4" s="83"/>
      <c r="L4" s="83"/>
      <c r="M4" s="83"/>
      <c r="N4" s="83"/>
      <c r="O4" s="83"/>
      <c r="P4" s="83"/>
      <c r="Q4" s="83"/>
      <c r="R4" s="83"/>
      <c r="S4" s="83"/>
      <c r="T4" s="83"/>
      <c r="U4" s="83"/>
    </row>
    <row r="5" spans="1:21" ht="67.5" x14ac:dyDescent="0.25">
      <c r="A5" s="100" t="s">
        <v>242</v>
      </c>
      <c r="B5" s="40" t="s">
        <v>243</v>
      </c>
      <c r="C5" s="45" t="s">
        <v>244</v>
      </c>
      <c r="D5" s="38" t="s">
        <v>245</v>
      </c>
      <c r="E5" s="83"/>
      <c r="F5" s="83"/>
      <c r="G5" s="83"/>
      <c r="H5" s="83"/>
      <c r="I5" s="83"/>
      <c r="J5" s="83"/>
      <c r="K5" s="83"/>
      <c r="L5" s="83"/>
      <c r="M5" s="83"/>
      <c r="N5" s="83"/>
      <c r="O5" s="83"/>
      <c r="P5" s="83"/>
      <c r="Q5" s="83"/>
      <c r="R5" s="83"/>
      <c r="S5" s="83"/>
      <c r="T5" s="83"/>
      <c r="U5" s="83"/>
    </row>
    <row r="6" spans="1:21" ht="67.5" x14ac:dyDescent="0.25">
      <c r="A6" s="100" t="s">
        <v>213</v>
      </c>
      <c r="B6" s="41" t="s">
        <v>246</v>
      </c>
      <c r="C6" s="45" t="s">
        <v>247</v>
      </c>
      <c r="D6" s="38" t="s">
        <v>248</v>
      </c>
      <c r="E6" s="83"/>
      <c r="F6" s="83"/>
      <c r="G6" s="83"/>
      <c r="H6" s="83"/>
      <c r="I6" s="83"/>
      <c r="J6" s="83"/>
      <c r="K6" s="83"/>
      <c r="L6" s="83"/>
      <c r="M6" s="83"/>
      <c r="N6" s="83"/>
      <c r="O6" s="83"/>
      <c r="P6" s="83"/>
      <c r="Q6" s="83"/>
      <c r="R6" s="83"/>
      <c r="S6" s="83"/>
      <c r="T6" s="83"/>
      <c r="U6" s="83"/>
    </row>
    <row r="7" spans="1:21" ht="101.25" x14ac:dyDescent="0.25">
      <c r="A7" s="100" t="s">
        <v>249</v>
      </c>
      <c r="B7" s="42" t="s">
        <v>250</v>
      </c>
      <c r="C7" s="45" t="s">
        <v>251</v>
      </c>
      <c r="D7" s="38" t="s">
        <v>252</v>
      </c>
      <c r="E7" s="83"/>
      <c r="F7" s="83"/>
      <c r="G7" s="83"/>
      <c r="H7" s="83"/>
      <c r="I7" s="83"/>
      <c r="J7" s="83"/>
      <c r="K7" s="83"/>
      <c r="L7" s="83"/>
      <c r="M7" s="83"/>
      <c r="N7" s="83"/>
      <c r="O7" s="83"/>
      <c r="P7" s="83"/>
      <c r="Q7" s="83"/>
      <c r="R7" s="83"/>
      <c r="S7" s="83"/>
      <c r="T7" s="83"/>
      <c r="U7" s="83"/>
    </row>
    <row r="8" spans="1:21" ht="67.5" x14ac:dyDescent="0.25">
      <c r="A8" s="100" t="s">
        <v>253</v>
      </c>
      <c r="B8" s="43" t="s">
        <v>254</v>
      </c>
      <c r="C8" s="45" t="s">
        <v>255</v>
      </c>
      <c r="D8" s="38" t="s">
        <v>256</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257</v>
      </c>
      <c r="C11" s="100" t="s">
        <v>258</v>
      </c>
      <c r="D11" s="100" t="s">
        <v>259</v>
      </c>
      <c r="E11" s="83"/>
      <c r="F11" s="83"/>
      <c r="G11" s="83"/>
      <c r="H11" s="83"/>
      <c r="I11" s="83"/>
      <c r="J11" s="83"/>
      <c r="K11" s="83"/>
      <c r="L11" s="83"/>
      <c r="M11" s="83"/>
      <c r="N11" s="83"/>
      <c r="O11" s="83"/>
      <c r="P11" s="83"/>
      <c r="Q11" s="83"/>
      <c r="R11" s="83"/>
      <c r="S11" s="83"/>
      <c r="T11" s="83"/>
      <c r="U11" s="83"/>
    </row>
    <row r="12" spans="1:21" x14ac:dyDescent="0.25">
      <c r="A12" s="100"/>
      <c r="B12" s="100" t="s">
        <v>260</v>
      </c>
      <c r="C12" s="100" t="s">
        <v>261</v>
      </c>
      <c r="D12" s="100" t="s">
        <v>262</v>
      </c>
      <c r="E12" s="83"/>
      <c r="F12" s="83"/>
      <c r="G12" s="83"/>
      <c r="H12" s="83"/>
      <c r="I12" s="83"/>
      <c r="J12" s="83"/>
      <c r="K12" s="83"/>
      <c r="L12" s="83"/>
      <c r="M12" s="83"/>
      <c r="N12" s="83"/>
      <c r="O12" s="83"/>
      <c r="P12" s="83"/>
      <c r="Q12" s="83"/>
      <c r="R12" s="83"/>
      <c r="S12" s="83"/>
      <c r="T12" s="83"/>
      <c r="U12" s="83"/>
    </row>
    <row r="13" spans="1:21" x14ac:dyDescent="0.25">
      <c r="A13" s="100"/>
      <c r="B13" s="100"/>
      <c r="C13" s="100" t="s">
        <v>263</v>
      </c>
      <c r="D13" s="100" t="s">
        <v>167</v>
      </c>
      <c r="E13" s="83"/>
      <c r="F13" s="83"/>
      <c r="G13" s="83"/>
      <c r="H13" s="83"/>
      <c r="I13" s="83"/>
      <c r="J13" s="83"/>
      <c r="K13" s="83"/>
      <c r="L13" s="83"/>
      <c r="M13" s="83"/>
      <c r="N13" s="83"/>
      <c r="O13" s="83"/>
      <c r="P13" s="83"/>
      <c r="Q13" s="83"/>
      <c r="R13" s="83"/>
      <c r="S13" s="83"/>
      <c r="T13" s="83"/>
      <c r="U13" s="83"/>
    </row>
    <row r="14" spans="1:21" x14ac:dyDescent="0.25">
      <c r="A14" s="100"/>
      <c r="B14" s="100"/>
      <c r="C14" s="100" t="s">
        <v>195</v>
      </c>
      <c r="D14" s="100" t="s">
        <v>185</v>
      </c>
      <c r="E14" s="83"/>
      <c r="F14" s="83"/>
      <c r="G14" s="83"/>
      <c r="H14" s="83"/>
      <c r="I14" s="83"/>
      <c r="J14" s="83"/>
      <c r="K14" s="83"/>
      <c r="L14" s="83"/>
      <c r="M14" s="83"/>
      <c r="N14" s="83"/>
      <c r="O14" s="83"/>
      <c r="P14" s="83"/>
      <c r="Q14" s="83"/>
      <c r="R14" s="83"/>
      <c r="S14" s="83"/>
      <c r="T14" s="83"/>
      <c r="U14" s="83"/>
    </row>
    <row r="15" spans="1:21" x14ac:dyDescent="0.25">
      <c r="A15" s="100"/>
      <c r="B15" s="100"/>
      <c r="C15" s="100" t="s">
        <v>264</v>
      </c>
      <c r="D15" s="100" t="s">
        <v>265</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266</v>
      </c>
      <c r="C209" s="30" t="s">
        <v>267</v>
      </c>
      <c r="D209" s="33" t="s">
        <v>266</v>
      </c>
      <c r="E209" s="33" t="s">
        <v>267</v>
      </c>
    </row>
    <row r="210" spans="1:8" ht="21" x14ac:dyDescent="0.35">
      <c r="A210" s="83"/>
      <c r="B210" s="31" t="s">
        <v>268</v>
      </c>
      <c r="C210" s="31" t="s">
        <v>269</v>
      </c>
      <c r="D210" t="s">
        <v>268</v>
      </c>
      <c r="F210" t="str">
        <f>IF(NOT(ISBLANK(D210)),D210,IF(NOT(ISBLANK(E210)),"     "&amp;E210,FALSE))</f>
        <v>Afectación Económica o presupuestal</v>
      </c>
      <c r="G210" t="s">
        <v>268</v>
      </c>
      <c r="H210" t="str">
        <f>IF(NOT(ISERROR(MATCH(G210,_xlfn.ANCHORARRAY(B221),0))),F223&amp;"Por favor no seleccionar los criterios de impacto",G210)</f>
        <v>❌Por favor no seleccionar los criterios de impacto</v>
      </c>
    </row>
    <row r="211" spans="1:8" ht="21" x14ac:dyDescent="0.35">
      <c r="A211" s="83"/>
      <c r="B211" s="31" t="s">
        <v>268</v>
      </c>
      <c r="C211" s="31" t="s">
        <v>244</v>
      </c>
      <c r="E211" t="s">
        <v>269</v>
      </c>
      <c r="F211" t="str">
        <f t="shared" ref="F211:F221" si="0">IF(NOT(ISBLANK(D211)),D211,IF(NOT(ISBLANK(E211)),"     "&amp;E211,FALSE))</f>
        <v xml:space="preserve">     Afectación menor a 10 SMLMV .</v>
      </c>
    </row>
    <row r="212" spans="1:8" ht="21" x14ac:dyDescent="0.35">
      <c r="A212" s="83"/>
      <c r="B212" s="31" t="s">
        <v>268</v>
      </c>
      <c r="C212" s="31" t="s">
        <v>247</v>
      </c>
      <c r="E212" t="s">
        <v>244</v>
      </c>
      <c r="F212" t="str">
        <f t="shared" si="0"/>
        <v xml:space="preserve">     Entre 10 y 50 SMLMV </v>
      </c>
    </row>
    <row r="213" spans="1:8" ht="21" x14ac:dyDescent="0.35">
      <c r="A213" s="83"/>
      <c r="B213" s="31" t="s">
        <v>268</v>
      </c>
      <c r="C213" s="31" t="s">
        <v>251</v>
      </c>
      <c r="E213" t="s">
        <v>247</v>
      </c>
      <c r="F213" t="str">
        <f t="shared" si="0"/>
        <v xml:space="preserve">     Entre 50 y 100 SMLMV </v>
      </c>
    </row>
    <row r="214" spans="1:8" ht="21" x14ac:dyDescent="0.35">
      <c r="A214" s="83"/>
      <c r="B214" s="31" t="s">
        <v>268</v>
      </c>
      <c r="C214" s="31" t="s">
        <v>255</v>
      </c>
      <c r="E214" t="s">
        <v>251</v>
      </c>
      <c r="F214" t="str">
        <f t="shared" si="0"/>
        <v xml:space="preserve">     Entre 100 y 500 SMLMV </v>
      </c>
    </row>
    <row r="215" spans="1:8" ht="21" x14ac:dyDescent="0.35">
      <c r="A215" s="83"/>
      <c r="B215" s="31" t="s">
        <v>237</v>
      </c>
      <c r="C215" s="31" t="s">
        <v>241</v>
      </c>
      <c r="E215" t="s">
        <v>255</v>
      </c>
      <c r="F215" t="str">
        <f t="shared" si="0"/>
        <v xml:space="preserve">     Mayor a 500 SMLMV </v>
      </c>
    </row>
    <row r="216" spans="1:8" ht="21" x14ac:dyDescent="0.35">
      <c r="A216" s="83"/>
      <c r="B216" s="31" t="s">
        <v>237</v>
      </c>
      <c r="C216" s="31" t="s">
        <v>245</v>
      </c>
      <c r="D216" t="s">
        <v>237</v>
      </c>
      <c r="F216" t="str">
        <f t="shared" si="0"/>
        <v>Pérdida Reputacional</v>
      </c>
    </row>
    <row r="217" spans="1:8" ht="21" x14ac:dyDescent="0.35">
      <c r="A217" s="83"/>
      <c r="B217" s="31" t="s">
        <v>237</v>
      </c>
      <c r="C217" s="31" t="s">
        <v>248</v>
      </c>
      <c r="E217" t="s">
        <v>241</v>
      </c>
      <c r="F217" t="str">
        <f t="shared" si="0"/>
        <v xml:space="preserve">     El riesgo afecta la imagen de alguna área de la organización</v>
      </c>
    </row>
    <row r="218" spans="1:8" ht="21" x14ac:dyDescent="0.35">
      <c r="A218" s="83"/>
      <c r="B218" s="31" t="s">
        <v>237</v>
      </c>
      <c r="C218" s="31" t="s">
        <v>252</v>
      </c>
      <c r="E218" t="s">
        <v>245</v>
      </c>
      <c r="F218" t="str">
        <f t="shared" si="0"/>
        <v xml:space="preserve">     El riesgo afecta la imagen de la entidad internamente, de conocimiento general, nivel interno, de junta dircetiva y accionistas y/o de provedores</v>
      </c>
    </row>
    <row r="219" spans="1:8" ht="21" x14ac:dyDescent="0.35">
      <c r="A219" s="83"/>
      <c r="B219" s="31" t="s">
        <v>237</v>
      </c>
      <c r="C219" s="31" t="s">
        <v>256</v>
      </c>
      <c r="E219" t="s">
        <v>248</v>
      </c>
      <c r="F219" t="str">
        <f t="shared" si="0"/>
        <v xml:space="preserve">     El riesgo afecta la imagen de la entidad con algunos usuarios de relevancia frente al logro de los objetivos</v>
      </c>
    </row>
    <row r="220" spans="1:8" x14ac:dyDescent="0.25">
      <c r="A220" s="83"/>
      <c r="B220" s="32"/>
      <c r="C220" s="32"/>
      <c r="E220" t="s">
        <v>252</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256</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270</v>
      </c>
    </row>
    <row r="224" spans="1:8" x14ac:dyDescent="0.25">
      <c r="B224" s="22"/>
      <c r="C224" s="22"/>
      <c r="F224" s="35" t="s">
        <v>271</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66" t="s">
        <v>272</v>
      </c>
      <c r="C1" s="567"/>
      <c r="D1" s="567"/>
      <c r="E1" s="567"/>
      <c r="F1" s="568"/>
    </row>
    <row r="2" spans="2:6" ht="16.5" thickBot="1" x14ac:dyDescent="0.3">
      <c r="B2" s="86"/>
      <c r="C2" s="86"/>
      <c r="D2" s="86"/>
      <c r="E2" s="86"/>
      <c r="F2" s="86"/>
    </row>
    <row r="3" spans="2:6" ht="16.5" thickBot="1" x14ac:dyDescent="0.25">
      <c r="B3" s="570" t="s">
        <v>273</v>
      </c>
      <c r="C3" s="571"/>
      <c r="D3" s="571"/>
      <c r="E3" s="98" t="s">
        <v>274</v>
      </c>
      <c r="F3" s="99" t="s">
        <v>275</v>
      </c>
    </row>
    <row r="4" spans="2:6" ht="31.5" x14ac:dyDescent="0.2">
      <c r="B4" s="572" t="s">
        <v>276</v>
      </c>
      <c r="C4" s="574" t="s">
        <v>156</v>
      </c>
      <c r="D4" s="87" t="s">
        <v>169</v>
      </c>
      <c r="E4" s="88" t="s">
        <v>277</v>
      </c>
      <c r="F4" s="89">
        <v>0.25</v>
      </c>
    </row>
    <row r="5" spans="2:6" ht="47.25" x14ac:dyDescent="0.2">
      <c r="B5" s="573"/>
      <c r="C5" s="575"/>
      <c r="D5" s="90" t="s">
        <v>278</v>
      </c>
      <c r="E5" s="91" t="s">
        <v>279</v>
      </c>
      <c r="F5" s="92">
        <v>0.15</v>
      </c>
    </row>
    <row r="6" spans="2:6" ht="47.25" x14ac:dyDescent="0.2">
      <c r="B6" s="573"/>
      <c r="C6" s="575"/>
      <c r="D6" s="90" t="s">
        <v>280</v>
      </c>
      <c r="E6" s="91" t="s">
        <v>281</v>
      </c>
      <c r="F6" s="92">
        <v>0.1</v>
      </c>
    </row>
    <row r="7" spans="2:6" ht="63" x14ac:dyDescent="0.2">
      <c r="B7" s="573"/>
      <c r="C7" s="575" t="s">
        <v>157</v>
      </c>
      <c r="D7" s="90" t="s">
        <v>282</v>
      </c>
      <c r="E7" s="91" t="s">
        <v>283</v>
      </c>
      <c r="F7" s="92">
        <v>0.25</v>
      </c>
    </row>
    <row r="8" spans="2:6" ht="31.5" x14ac:dyDescent="0.2">
      <c r="B8" s="573"/>
      <c r="C8" s="575"/>
      <c r="D8" s="90" t="s">
        <v>170</v>
      </c>
      <c r="E8" s="91" t="s">
        <v>284</v>
      </c>
      <c r="F8" s="92">
        <v>0.15</v>
      </c>
    </row>
    <row r="9" spans="2:6" ht="47.25" x14ac:dyDescent="0.2">
      <c r="B9" s="573" t="s">
        <v>285</v>
      </c>
      <c r="C9" s="575" t="s">
        <v>159</v>
      </c>
      <c r="D9" s="90" t="s">
        <v>171</v>
      </c>
      <c r="E9" s="91" t="s">
        <v>286</v>
      </c>
      <c r="F9" s="93" t="s">
        <v>287</v>
      </c>
    </row>
    <row r="10" spans="2:6" ht="63" x14ac:dyDescent="0.2">
      <c r="B10" s="573"/>
      <c r="C10" s="575"/>
      <c r="D10" s="90" t="s">
        <v>288</v>
      </c>
      <c r="E10" s="91" t="s">
        <v>289</v>
      </c>
      <c r="F10" s="93" t="s">
        <v>287</v>
      </c>
    </row>
    <row r="11" spans="2:6" ht="47.25" x14ac:dyDescent="0.2">
      <c r="B11" s="573"/>
      <c r="C11" s="575" t="s">
        <v>160</v>
      </c>
      <c r="D11" s="90" t="s">
        <v>172</v>
      </c>
      <c r="E11" s="91" t="s">
        <v>290</v>
      </c>
      <c r="F11" s="93" t="s">
        <v>287</v>
      </c>
    </row>
    <row r="12" spans="2:6" ht="47.25" x14ac:dyDescent="0.2">
      <c r="B12" s="573"/>
      <c r="C12" s="575"/>
      <c r="D12" s="90" t="s">
        <v>291</v>
      </c>
      <c r="E12" s="91" t="s">
        <v>292</v>
      </c>
      <c r="F12" s="93" t="s">
        <v>287</v>
      </c>
    </row>
    <row r="13" spans="2:6" ht="31.5" x14ac:dyDescent="0.2">
      <c r="B13" s="573"/>
      <c r="C13" s="575" t="s">
        <v>161</v>
      </c>
      <c r="D13" s="90" t="s">
        <v>173</v>
      </c>
      <c r="E13" s="91" t="s">
        <v>293</v>
      </c>
      <c r="F13" s="93" t="s">
        <v>287</v>
      </c>
    </row>
    <row r="14" spans="2:6" ht="32.25" thickBot="1" x14ac:dyDescent="0.25">
      <c r="B14" s="576"/>
      <c r="C14" s="577"/>
      <c r="D14" s="94" t="s">
        <v>294</v>
      </c>
      <c r="E14" s="95" t="s">
        <v>295</v>
      </c>
      <c r="F14" s="96" t="s">
        <v>287</v>
      </c>
    </row>
    <row r="15" spans="2:6" ht="49.5" customHeight="1" x14ac:dyDescent="0.2">
      <c r="B15" s="569" t="s">
        <v>296</v>
      </c>
      <c r="C15" s="569"/>
      <c r="D15" s="569"/>
      <c r="E15" s="569"/>
      <c r="F15" s="569"/>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297</v>
      </c>
      <c r="E2" t="s">
        <v>298</v>
      </c>
    </row>
    <row r="3" spans="2:5" x14ac:dyDescent="0.25">
      <c r="B3" t="s">
        <v>299</v>
      </c>
      <c r="E3" t="s">
        <v>162</v>
      </c>
    </row>
    <row r="4" spans="2:5" x14ac:dyDescent="0.25">
      <c r="B4" t="s">
        <v>300</v>
      </c>
      <c r="E4" t="s">
        <v>191</v>
      </c>
    </row>
    <row r="5" spans="2:5" x14ac:dyDescent="0.25">
      <c r="B5" t="s">
        <v>174</v>
      </c>
    </row>
    <row r="8" spans="2:5" x14ac:dyDescent="0.25">
      <c r="B8" t="s">
        <v>301</v>
      </c>
    </row>
    <row r="9" spans="2:5" x14ac:dyDescent="0.25">
      <c r="B9" t="s">
        <v>302</v>
      </c>
    </row>
    <row r="10" spans="2:5" x14ac:dyDescent="0.25">
      <c r="B10" t="s">
        <v>303</v>
      </c>
    </row>
    <row r="13" spans="2:5" x14ac:dyDescent="0.25">
      <c r="B13" t="s">
        <v>304</v>
      </c>
    </row>
    <row r="14" spans="2:5" x14ac:dyDescent="0.25">
      <c r="B14" t="s">
        <v>166</v>
      </c>
    </row>
    <row r="15" spans="2:5" x14ac:dyDescent="0.25">
      <c r="B15" t="s">
        <v>305</v>
      </c>
    </row>
    <row r="16" spans="2:5" x14ac:dyDescent="0.25">
      <c r="B16" t="s">
        <v>306</v>
      </c>
    </row>
    <row r="17" spans="2:2" x14ac:dyDescent="0.25">
      <c r="B17" t="s">
        <v>307</v>
      </c>
    </row>
    <row r="18" spans="2:2" x14ac:dyDescent="0.25">
      <c r="B18" t="s">
        <v>308</v>
      </c>
    </row>
    <row r="19" spans="2:2" x14ac:dyDescent="0.25">
      <c r="B19" t="s">
        <v>309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2024-04-05T13:59:31Z</dcterms:modified>
  <cp:category/>
  <cp:contentStatus/>
</cp:coreProperties>
</file>