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12B7EEDC-861B-41EC-A075-90373E183D78}"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s>
  <calcPr calcId="191028"/>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1" i="1" l="1"/>
  <c r="Q51" i="1"/>
  <c r="K56" i="1"/>
  <c r="K55" i="1"/>
  <c r="K54" i="1"/>
  <c r="K53" i="1"/>
  <c r="K52" i="1"/>
  <c r="M51" i="1"/>
  <c r="K51" i="1"/>
  <c r="H51" i="1"/>
  <c r="I51" i="1" s="1"/>
  <c r="T47" i="1"/>
  <c r="T48" i="1"/>
  <c r="T49" i="1"/>
  <c r="T50" i="1"/>
  <c r="K45" i="1"/>
  <c r="L45" i="1" s="1"/>
  <c r="M45" i="1" s="1"/>
  <c r="H45" i="1"/>
  <c r="X51" i="1" l="1"/>
  <c r="Y51" i="1"/>
  <c r="Z51" i="1"/>
  <c r="AB51" i="1"/>
  <c r="AA51" i="1" s="1"/>
  <c r="N51" i="1"/>
  <c r="N45" i="1"/>
  <c r="I45" i="1"/>
  <c r="AC51" i="1" l="1"/>
  <c r="Q45" i="1"/>
  <c r="AB45" i="1" l="1"/>
  <c r="T40" i="1"/>
  <c r="T41" i="1"/>
  <c r="T42" i="1"/>
  <c r="T43" i="1"/>
  <c r="T44" i="1"/>
  <c r="T45" i="1"/>
  <c r="X45" i="1" s="1"/>
  <c r="T46" i="1"/>
  <c r="Q40" i="1"/>
  <c r="Q41" i="1"/>
  <c r="Q42" i="1"/>
  <c r="Q43" i="1"/>
  <c r="Q44" i="1"/>
  <c r="Q46" i="1"/>
  <c r="Q47" i="1"/>
  <c r="AB48" i="1" s="1"/>
  <c r="AA48" i="1" s="1"/>
  <c r="Q48" i="1"/>
  <c r="AB49" i="1" s="1"/>
  <c r="AA49" i="1" s="1"/>
  <c r="Q49" i="1"/>
  <c r="Q50" i="1"/>
  <c r="T34" i="1"/>
  <c r="T35" i="1"/>
  <c r="T36" i="1"/>
  <c r="T37" i="1"/>
  <c r="T38" i="1"/>
  <c r="T39" i="1"/>
  <c r="Q34" i="1"/>
  <c r="Q35" i="1"/>
  <c r="Q36" i="1"/>
  <c r="Q37" i="1"/>
  <c r="Q38" i="1"/>
  <c r="Q39" i="1"/>
  <c r="H39" i="1"/>
  <c r="T28" i="1"/>
  <c r="T29" i="1"/>
  <c r="T30" i="1"/>
  <c r="T31" i="1"/>
  <c r="T32" i="1"/>
  <c r="T33" i="1"/>
  <c r="AB47" i="1" l="1"/>
  <c r="AA47" i="1" s="1"/>
  <c r="AB50" i="1"/>
  <c r="AA50" i="1" s="1"/>
  <c r="H63" i="1"/>
  <c r="I63" i="1" s="1"/>
  <c r="T69" i="1"/>
  <c r="T63" i="1"/>
  <c r="K64" i="1"/>
  <c r="Q64" i="1"/>
  <c r="T64" i="1"/>
  <c r="K65" i="1"/>
  <c r="Q65" i="1"/>
  <c r="T65" i="1"/>
  <c r="K66" i="1"/>
  <c r="Q66" i="1"/>
  <c r="T66" i="1"/>
  <c r="K67" i="1"/>
  <c r="Q67" i="1"/>
  <c r="T67" i="1"/>
  <c r="K68" i="1"/>
  <c r="Q68" i="1"/>
  <c r="T68" i="1"/>
  <c r="H69" i="1"/>
  <c r="I69" i="1" s="1"/>
  <c r="K70" i="1"/>
  <c r="Q70" i="1"/>
  <c r="T70" i="1"/>
  <c r="K71" i="1"/>
  <c r="Q71" i="1"/>
  <c r="T71" i="1"/>
  <c r="K72" i="1"/>
  <c r="Q72" i="1"/>
  <c r="T72" i="1"/>
  <c r="K73" i="1"/>
  <c r="Q73" i="1"/>
  <c r="T73" i="1"/>
  <c r="K74" i="1"/>
  <c r="Q74" i="1"/>
  <c r="T74" i="1"/>
  <c r="AB67" i="1" l="1"/>
  <c r="AA67" i="1" s="1"/>
  <c r="X71" i="1"/>
  <c r="Y71" i="1" s="1"/>
  <c r="AB66" i="1"/>
  <c r="AA66" i="1" s="1"/>
  <c r="AB70" i="1"/>
  <c r="AA70" i="1" s="1"/>
  <c r="AB69" i="1"/>
  <c r="AA69" i="1" s="1"/>
  <c r="X69" i="1"/>
  <c r="Z69" i="1" s="1"/>
  <c r="X65" i="1"/>
  <c r="Z65" i="1" s="1"/>
  <c r="X74" i="1"/>
  <c r="Z74" i="1" s="1"/>
  <c r="X70" i="1"/>
  <c r="Z70" i="1" s="1"/>
  <c r="X68" i="1"/>
  <c r="Y68" i="1" s="1"/>
  <c r="X66" i="1"/>
  <c r="Z66" i="1" s="1"/>
  <c r="X73" i="1"/>
  <c r="Y73" i="1" s="1"/>
  <c r="AB71" i="1"/>
  <c r="AA71" i="1" s="1"/>
  <c r="X67" i="1"/>
  <c r="Y67" i="1" s="1"/>
  <c r="X72" i="1"/>
  <c r="Z72" i="1" s="1"/>
  <c r="X63" i="1"/>
  <c r="AB73" i="1"/>
  <c r="AA73" i="1" s="1"/>
  <c r="AB65" i="1"/>
  <c r="AA65" i="1" s="1"/>
  <c r="AB74" i="1"/>
  <c r="AA74" i="1" s="1"/>
  <c r="AB72" i="1"/>
  <c r="AA72" i="1" s="1"/>
  <c r="AB64" i="1"/>
  <c r="AA64" i="1" s="1"/>
  <c r="AB68" i="1"/>
  <c r="AA68" i="1" s="1"/>
  <c r="X64" i="1"/>
  <c r="Z71" i="1" l="1"/>
  <c r="AC68" i="1"/>
  <c r="AC71" i="1"/>
  <c r="Y66" i="1"/>
  <c r="AC66" i="1" s="1"/>
  <c r="AC67" i="1"/>
  <c r="Y65" i="1"/>
  <c r="AC65" i="1" s="1"/>
  <c r="Z68" i="1"/>
  <c r="Y72" i="1"/>
  <c r="AC72" i="1" s="1"/>
  <c r="Y69" i="1"/>
  <c r="AC69" i="1" s="1"/>
  <c r="Y74" i="1"/>
  <c r="AC74" i="1" s="1"/>
  <c r="Y70" i="1"/>
  <c r="AC70" i="1" s="1"/>
  <c r="Z67" i="1"/>
  <c r="Z73" i="1"/>
  <c r="Y63" i="1"/>
  <c r="Z63" i="1"/>
  <c r="AC73" i="1"/>
  <c r="Y64" i="1"/>
  <c r="AC64" i="1" s="1"/>
  <c r="Z64" i="1"/>
  <c r="T27" i="1" l="1"/>
  <c r="T12" i="1" l="1"/>
  <c r="Q12" i="1"/>
  <c r="H12" i="1" l="1"/>
  <c r="I12" i="1" s="1"/>
  <c r="K62" i="1"/>
  <c r="K36" i="1"/>
  <c r="K22" i="1"/>
  <c r="K34" i="1"/>
  <c r="K59" i="1"/>
  <c r="K35" i="1"/>
  <c r="K43" i="1"/>
  <c r="K32" i="1"/>
  <c r="K40" i="1"/>
  <c r="K61" i="1"/>
  <c r="K44" i="1"/>
  <c r="K29" i="1"/>
  <c r="K42" i="1"/>
  <c r="K46" i="1"/>
  <c r="K26" i="1"/>
  <c r="K24" i="1"/>
  <c r="K60" i="1"/>
  <c r="K23" i="1"/>
  <c r="K37" i="1"/>
  <c r="K31" i="1"/>
  <c r="K38" i="1"/>
  <c r="K47" i="1"/>
  <c r="K25" i="1"/>
  <c r="K41" i="1"/>
  <c r="K28" i="1"/>
  <c r="K58" i="1"/>
  <c r="K48" i="1"/>
  <c r="K30" i="1"/>
  <c r="K49" i="1"/>
  <c r="K50" i="1"/>
  <c r="F221" i="13" l="1"/>
  <c r="F211" i="13"/>
  <c r="F212" i="13"/>
  <c r="F213" i="13"/>
  <c r="F214" i="13"/>
  <c r="F215" i="13"/>
  <c r="F216" i="13"/>
  <c r="F217" i="13"/>
  <c r="F218" i="13"/>
  <c r="F219" i="13"/>
  <c r="F220" i="13"/>
  <c r="F210" i="13"/>
  <c r="K20" i="1"/>
  <c r="K19" i="1"/>
  <c r="K16" i="1"/>
  <c r="K17" i="1"/>
  <c r="B221" i="13" a="1"/>
  <c r="K18" i="1"/>
  <c r="B221" i="13" l="1"/>
  <c r="K63" i="1" l="1"/>
  <c r="L63" i="1" s="1"/>
  <c r="K69" i="1"/>
  <c r="L69"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9" i="1" l="1"/>
  <c r="N69" i="1"/>
  <c r="N63" i="1"/>
  <c r="M63" i="1"/>
  <c r="AB63" i="1" s="1"/>
  <c r="AA63" i="1" s="1"/>
  <c r="AC63" i="1" s="1"/>
  <c r="T62" i="1"/>
  <c r="Q62" i="1"/>
  <c r="T61" i="1"/>
  <c r="Q61" i="1"/>
  <c r="T60" i="1"/>
  <c r="Q60" i="1"/>
  <c r="T59" i="1"/>
  <c r="Q59" i="1"/>
  <c r="T58" i="1"/>
  <c r="Q58" i="1"/>
  <c r="T57" i="1"/>
  <c r="H57" i="1"/>
  <c r="I57" i="1" s="1"/>
  <c r="I39" i="1"/>
  <c r="Q33" i="1"/>
  <c r="H33" i="1"/>
  <c r="I33" i="1" s="1"/>
  <c r="Q32" i="1"/>
  <c r="Q31" i="1"/>
  <c r="Q30" i="1"/>
  <c r="Q29" i="1"/>
  <c r="Q28" i="1"/>
  <c r="Q27" i="1"/>
  <c r="H27" i="1"/>
  <c r="I27" i="1" s="1"/>
  <c r="H21" i="1"/>
  <c r="Q20" i="1"/>
  <c r="Q19" i="1"/>
  <c r="T26" i="1"/>
  <c r="Q26" i="1"/>
  <c r="T25" i="1"/>
  <c r="Q25" i="1"/>
  <c r="T24" i="1"/>
  <c r="Q24" i="1"/>
  <c r="T23" i="1"/>
  <c r="Q23" i="1"/>
  <c r="T22" i="1"/>
  <c r="Q22" i="1"/>
  <c r="T21" i="1"/>
  <c r="Q21" i="1"/>
  <c r="X57" i="1" l="1"/>
  <c r="X30" i="1"/>
  <c r="X41" i="1"/>
  <c r="X49" i="1"/>
  <c r="X61" i="1"/>
  <c r="X35" i="1"/>
  <c r="X32" i="1"/>
  <c r="X43" i="1"/>
  <c r="X38" i="1"/>
  <c r="X37" i="1"/>
  <c r="X36" i="1"/>
  <c r="AB58" i="1"/>
  <c r="X59" i="1"/>
  <c r="X58" i="1"/>
  <c r="X34" i="1"/>
  <c r="X33" i="1"/>
  <c r="X60" i="1"/>
  <c r="X62" i="1"/>
  <c r="X27" i="1"/>
  <c r="X29" i="1"/>
  <c r="X31" i="1"/>
  <c r="X40" i="1"/>
  <c r="X39" i="1"/>
  <c r="X42" i="1"/>
  <c r="X44" i="1"/>
  <c r="X48" i="1"/>
  <c r="X47" i="1"/>
  <c r="X50" i="1"/>
  <c r="AB34" i="1"/>
  <c r="AB40" i="1"/>
  <c r="I21" i="1"/>
  <c r="X21" i="1" s="1"/>
  <c r="Y47" i="1" l="1"/>
  <c r="AC47" i="1" s="1"/>
  <c r="Z47" i="1"/>
  <c r="Y50" i="1"/>
  <c r="AC50" i="1" s="1"/>
  <c r="Z50" i="1"/>
  <c r="Z49" i="1"/>
  <c r="Y49" i="1"/>
  <c r="AC49" i="1" s="1"/>
  <c r="Z48" i="1"/>
  <c r="Y48" i="1"/>
  <c r="AC48" i="1" s="1"/>
  <c r="Y57" i="1"/>
  <c r="Z57" i="1"/>
  <c r="Z58" i="1" s="1"/>
  <c r="Y45" i="1"/>
  <c r="Z45" i="1"/>
  <c r="Y39" i="1"/>
  <c r="Z39" i="1"/>
  <c r="Y33" i="1"/>
  <c r="Z33" i="1"/>
  <c r="Z34" i="1" s="1"/>
  <c r="Y35" i="1" s="1"/>
  <c r="Y27" i="1"/>
  <c r="Z27" i="1"/>
  <c r="Y21" i="1"/>
  <c r="Z21" i="1"/>
  <c r="X22" i="1" s="1"/>
  <c r="X46" i="1" l="1"/>
  <c r="Z46" i="1" s="1"/>
  <c r="X28" i="1"/>
  <c r="Y28" i="1" s="1"/>
  <c r="Y58" i="1"/>
  <c r="Y34" i="1"/>
  <c r="Z59" i="1"/>
  <c r="Y59"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6" i="1"/>
  <c r="T19" i="1"/>
  <c r="T20" i="1"/>
  <c r="Y46" i="1" l="1"/>
  <c r="Z28" i="1"/>
  <c r="Y29" i="1" s="1"/>
  <c r="Y60" i="1"/>
  <c r="Z60" i="1"/>
  <c r="Z29" i="1"/>
  <c r="Z30" i="1" s="1"/>
  <c r="Y40" i="1"/>
  <c r="Z40" i="1"/>
  <c r="Y41" i="1" s="1"/>
  <c r="Y37" i="1"/>
  <c r="Y22" i="1"/>
  <c r="Z22" i="1"/>
  <c r="X23" i="1" s="1"/>
  <c r="Y23" i="1" s="1"/>
  <c r="Z41" i="1" l="1"/>
  <c r="Z42" i="1" s="1"/>
  <c r="Y61" i="1"/>
  <c r="Z61" i="1"/>
  <c r="Y30" i="1"/>
  <c r="Y42" i="1"/>
  <c r="Y36" i="1"/>
  <c r="Z36" i="1"/>
  <c r="Z37" i="1"/>
  <c r="Z23" i="1"/>
  <c r="X24" i="1" s="1"/>
  <c r="Y24" i="1" s="1"/>
  <c r="Y62" i="1" l="1"/>
  <c r="Z62" i="1"/>
  <c r="Z43" i="1"/>
  <c r="Y43" i="1"/>
  <c r="Y31" i="1"/>
  <c r="Z31" i="1"/>
  <c r="Y32" i="1" s="1"/>
  <c r="Y38" i="1"/>
  <c r="Z38" i="1"/>
  <c r="Z24" i="1"/>
  <c r="X25" i="1" s="1"/>
  <c r="Z25" i="1" s="1"/>
  <c r="X26" i="1" s="1"/>
  <c r="X12" i="1"/>
  <c r="Y12" i="1" l="1"/>
  <c r="Z12" i="1"/>
  <c r="Y44" i="1"/>
  <c r="Z44" i="1"/>
  <c r="Z32" i="1"/>
  <c r="Y25" i="1"/>
  <c r="Y26" i="1"/>
  <c r="Z26" i="1"/>
  <c r="Q16" i="1"/>
  <c r="X16" i="1" l="1"/>
  <c r="Y16" i="1" l="1"/>
  <c r="Z16" i="1" l="1"/>
  <c r="X19" i="1" l="1"/>
  <c r="Y19" i="1" l="1"/>
  <c r="Z19" i="1"/>
  <c r="X20" i="1" s="1"/>
  <c r="Y20" i="1" l="1"/>
  <c r="Z20" i="1"/>
  <c r="K33" i="1" l="1"/>
  <c r="L33" i="1" s="1"/>
  <c r="K27" i="1"/>
  <c r="L27" i="1" s="1"/>
  <c r="K57" i="1"/>
  <c r="L57" i="1" s="1"/>
  <c r="K39" i="1"/>
  <c r="L39" i="1" s="1"/>
  <c r="K12" i="1"/>
  <c r="L12" i="1" s="1"/>
  <c r="K21" i="1"/>
  <c r="L21"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7" i="1"/>
  <c r="AJ42" i="18"/>
  <c r="AJ18" i="18"/>
  <c r="AD26" i="18"/>
  <c r="L10" i="18"/>
  <c r="AD10" i="18"/>
  <c r="X18" i="18"/>
  <c r="AD42" i="18"/>
  <c r="L18" i="18"/>
  <c r="R10" i="18"/>
  <c r="N57"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7" i="1"/>
  <c r="T14" i="18"/>
  <c r="T22" i="18"/>
  <c r="N6" i="18"/>
  <c r="AL30" i="18"/>
  <c r="Z22" i="18"/>
  <c r="Z14" i="18"/>
  <c r="M27"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3" i="1"/>
  <c r="J40" i="18"/>
  <c r="J16" i="18"/>
  <c r="P16" i="18"/>
  <c r="V8" i="18"/>
  <c r="J8" i="18"/>
  <c r="J24" i="18"/>
  <c r="AH16" i="18"/>
  <c r="AB16" i="18"/>
  <c r="AB40" i="18"/>
  <c r="P32" i="18"/>
  <c r="P40" i="18"/>
  <c r="AH24" i="18"/>
  <c r="AB32" i="18"/>
  <c r="J32" i="18"/>
  <c r="V16" i="18"/>
  <c r="V40" i="18"/>
  <c r="AH32" i="18"/>
  <c r="V24" i="18"/>
  <c r="V32" i="18"/>
  <c r="AH8" i="18"/>
  <c r="AB8" i="18"/>
  <c r="P8" i="18"/>
  <c r="N33" i="1"/>
  <c r="AH40" i="18"/>
  <c r="AB24" i="18"/>
  <c r="P24" i="18"/>
  <c r="AD38" i="18"/>
  <c r="L30" i="18"/>
  <c r="AD30" i="18"/>
  <c r="AJ6" i="18"/>
  <c r="L14" i="18"/>
  <c r="L22" i="18"/>
  <c r="X6" i="18"/>
  <c r="L6" i="18"/>
  <c r="N21" i="1"/>
  <c r="R38" i="18"/>
  <c r="AJ38" i="18"/>
  <c r="L38" i="18"/>
  <c r="AD6" i="18"/>
  <c r="R6" i="18"/>
  <c r="AJ30" i="18"/>
  <c r="R30" i="18"/>
  <c r="AD22" i="18"/>
  <c r="AJ14" i="18"/>
  <c r="AJ22" i="18"/>
  <c r="AD14" i="18"/>
  <c r="X38" i="18"/>
  <c r="X14" i="18"/>
  <c r="R22" i="18"/>
  <c r="X22" i="18"/>
  <c r="M21"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6" i="1" s="1"/>
  <c r="N12"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B33" i="1" l="1"/>
  <c r="AA33" i="1" s="1"/>
  <c r="AB57" i="1"/>
  <c r="AA57" i="1" s="1"/>
  <c r="AA12" i="1"/>
  <c r="AB21" i="1"/>
  <c r="AB27" i="1"/>
  <c r="AB39" i="1"/>
  <c r="AA39" i="1" s="1"/>
  <c r="AA45" i="1" l="1"/>
  <c r="AB46" i="1"/>
  <c r="AA46" i="1" s="1"/>
  <c r="V22" i="19"/>
  <c r="AA27" i="1"/>
  <c r="AH8" i="19" s="1"/>
  <c r="AB28" i="1"/>
  <c r="AA28" i="1" s="1"/>
  <c r="AA21" i="1"/>
  <c r="J47" i="19" s="1"/>
  <c r="AB22" i="1"/>
  <c r="AB23"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5" i="1"/>
  <c r="AH41" i="19"/>
  <c r="P41" i="19"/>
  <c r="J21" i="19"/>
  <c r="AB31" i="19"/>
  <c r="AB51" i="19"/>
  <c r="P21" i="19"/>
  <c r="V41" i="19"/>
  <c r="V31" i="19"/>
  <c r="AH21" i="19"/>
  <c r="AB11" i="19"/>
  <c r="P51" i="19"/>
  <c r="V21" i="19"/>
  <c r="AH31" i="19"/>
  <c r="V51" i="19"/>
  <c r="J51" i="19"/>
  <c r="AH51" i="19"/>
  <c r="AH11" i="19"/>
  <c r="J41" i="19"/>
  <c r="P11" i="19"/>
  <c r="AB29"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7"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3"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7" i="1"/>
  <c r="P38" i="19"/>
  <c r="AH38" i="19"/>
  <c r="P48" i="19"/>
  <c r="AB18" i="19"/>
  <c r="J8" i="19"/>
  <c r="J18" i="19"/>
  <c r="AA16" i="1"/>
  <c r="AB41" i="1"/>
  <c r="AA40" i="1"/>
  <c r="AA58" i="1"/>
  <c r="AB59" i="1"/>
  <c r="AA34" i="1"/>
  <c r="AB35" i="1"/>
  <c r="P8" i="19" l="1"/>
  <c r="V48" i="19"/>
  <c r="AH28" i="19"/>
  <c r="V38" i="19"/>
  <c r="AB28" i="19"/>
  <c r="P28" i="19"/>
  <c r="AB8" i="19"/>
  <c r="V28" i="19"/>
  <c r="J48" i="19"/>
  <c r="J28" i="19"/>
  <c r="P18" i="19"/>
  <c r="AB38" i="19"/>
  <c r="J38" i="19"/>
  <c r="V18" i="19"/>
  <c r="AH18" i="19"/>
  <c r="AH48" i="19"/>
  <c r="V8" i="19"/>
  <c r="AB48" i="19"/>
  <c r="AH17" i="19"/>
  <c r="P47" i="19"/>
  <c r="P7" i="19"/>
  <c r="V27" i="19"/>
  <c r="V37" i="19"/>
  <c r="J7" i="19"/>
  <c r="AB17"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2" i="1"/>
  <c r="W27" i="19" s="1"/>
  <c r="P37" i="19"/>
  <c r="J27" i="19"/>
  <c r="AH7" i="19"/>
  <c r="AH27" i="19"/>
  <c r="V17" i="19"/>
  <c r="AC21"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6"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4" i="1"/>
  <c r="AA23" i="1"/>
  <c r="AA35" i="1"/>
  <c r="AB36" i="1"/>
  <c r="AA59" i="1"/>
  <c r="AB6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C40" i="1"/>
  <c r="K10" i="19"/>
  <c r="Q40" i="19"/>
  <c r="K30" i="19"/>
  <c r="AI50" i="19"/>
  <c r="AI20" i="19"/>
  <c r="K50" i="19"/>
  <c r="AI40" i="19"/>
  <c r="W40" i="19"/>
  <c r="K20" i="19"/>
  <c r="AC10" i="19"/>
  <c r="AI10" i="19"/>
  <c r="AC20" i="19"/>
  <c r="AI30" i="19"/>
  <c r="AC30" i="19"/>
  <c r="W30" i="19"/>
  <c r="Q20" i="19"/>
  <c r="AC16"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0" i="1"/>
  <c r="AA29" i="1"/>
  <c r="K39" i="19"/>
  <c r="AC39" i="19"/>
  <c r="W29" i="19"/>
  <c r="AI49" i="19"/>
  <c r="W9" i="19"/>
  <c r="AC19" i="19"/>
  <c r="Q49" i="19"/>
  <c r="W49" i="19"/>
  <c r="AC9" i="19"/>
  <c r="AI9" i="19"/>
  <c r="Q29" i="19"/>
  <c r="W39" i="19"/>
  <c r="Q39" i="19"/>
  <c r="AC34"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41" i="1"/>
  <c r="AB42" i="1"/>
  <c r="AB1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8" i="1"/>
  <c r="K7" i="19" l="1"/>
  <c r="Q7" i="19"/>
  <c r="AI37" i="19"/>
  <c r="AC17" i="19"/>
  <c r="AC27" i="19"/>
  <c r="Q27" i="19"/>
  <c r="AI7" i="19"/>
  <c r="K17" i="19"/>
  <c r="W37" i="19"/>
  <c r="AI27" i="19"/>
  <c r="K27" i="19"/>
  <c r="AC37" i="19"/>
  <c r="W47" i="19"/>
  <c r="AI47" i="19"/>
  <c r="AC7" i="19"/>
  <c r="K47" i="19"/>
  <c r="Q17" i="19"/>
  <c r="K37" i="19"/>
  <c r="AI17" i="19"/>
  <c r="AC22" i="1"/>
  <c r="W7" i="19"/>
  <c r="Q47" i="19"/>
  <c r="Q37" i="19"/>
  <c r="AC47" i="19"/>
  <c r="W17" i="19"/>
  <c r="AA19" i="1"/>
  <c r="AB20" i="1"/>
  <c r="AA20" i="1" s="1"/>
  <c r="R40" i="19"/>
  <c r="AD10" i="19"/>
  <c r="X40" i="19"/>
  <c r="AJ10" i="19"/>
  <c r="R50" i="19"/>
  <c r="X10" i="19"/>
  <c r="R30" i="19"/>
  <c r="AC41" i="1"/>
  <c r="L10" i="19"/>
  <c r="L50" i="19"/>
  <c r="AJ20" i="19"/>
  <c r="AJ40" i="19"/>
  <c r="AD30" i="19"/>
  <c r="R20" i="19"/>
  <c r="AD50" i="19"/>
  <c r="AJ30" i="19"/>
  <c r="AJ50" i="19"/>
  <c r="X30" i="19"/>
  <c r="AD20" i="19"/>
  <c r="L40" i="19"/>
  <c r="X50" i="19"/>
  <c r="X20" i="19"/>
  <c r="AD40" i="19"/>
  <c r="R10" i="19"/>
  <c r="L30" i="19"/>
  <c r="L20" i="19"/>
  <c r="AA60" i="1"/>
  <c r="AB61" i="1"/>
  <c r="AD47" i="19"/>
  <c r="AJ27" i="19"/>
  <c r="AD27" i="19"/>
  <c r="AJ7" i="19"/>
  <c r="AJ37" i="19"/>
  <c r="L27" i="19"/>
  <c r="AD17" i="19"/>
  <c r="L37" i="19"/>
  <c r="R17" i="19"/>
  <c r="AJ17" i="19"/>
  <c r="X7" i="19"/>
  <c r="X47" i="19"/>
  <c r="L7" i="19"/>
  <c r="L17" i="19"/>
  <c r="R27" i="19"/>
  <c r="X27" i="19"/>
  <c r="R7" i="19"/>
  <c r="X17" i="19"/>
  <c r="AJ47" i="19"/>
  <c r="L47" i="19"/>
  <c r="R37" i="19"/>
  <c r="AD7" i="19"/>
  <c r="X37" i="19"/>
  <c r="AC23" i="1"/>
  <c r="R47" i="19"/>
  <c r="AD37" i="19"/>
  <c r="AB31" i="1"/>
  <c r="AA31" i="1" s="1"/>
  <c r="AA30" i="1"/>
  <c r="AB32" i="1"/>
  <c r="AA32" i="1" s="1"/>
  <c r="AJ43" i="19"/>
  <c r="AD33" i="19"/>
  <c r="X33" i="19"/>
  <c r="X13" i="19"/>
  <c r="AD43" i="19"/>
  <c r="L43" i="19"/>
  <c r="AC59" i="1"/>
  <c r="X23" i="19"/>
  <c r="R33" i="19"/>
  <c r="R43" i="19"/>
  <c r="AD53" i="19"/>
  <c r="AJ13" i="19"/>
  <c r="R23" i="19"/>
  <c r="R13" i="19"/>
  <c r="AJ53" i="19"/>
  <c r="L33" i="19"/>
  <c r="L23" i="19"/>
  <c r="X43" i="19"/>
  <c r="X53" i="19"/>
  <c r="AD13" i="19"/>
  <c r="L53" i="19"/>
  <c r="L13" i="19"/>
  <c r="AD23" i="19"/>
  <c r="AJ33" i="19"/>
  <c r="AJ23" i="19"/>
  <c r="R53" i="19"/>
  <c r="AA24" i="1"/>
  <c r="AB25"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9"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2" i="1"/>
  <c r="AB43"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3" i="1" l="1"/>
  <c r="AB44" i="1"/>
  <c r="AA44"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4"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0"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2"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1"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1" i="1"/>
  <c r="AB62" i="1"/>
  <c r="AA62" i="1" s="1"/>
  <c r="AM46" i="19"/>
  <c r="U36" i="19"/>
  <c r="AG16" i="19"/>
  <c r="O6" i="19"/>
  <c r="AA36" i="19"/>
  <c r="AM16" i="19"/>
  <c r="U6" i="19"/>
  <c r="AG46" i="19"/>
  <c r="AA16" i="19"/>
  <c r="AC20" i="1"/>
  <c r="AA6" i="19"/>
  <c r="AG6" i="19"/>
  <c r="AA46" i="19"/>
  <c r="AM26" i="19"/>
  <c r="U16" i="19"/>
  <c r="O36" i="19"/>
  <c r="U26" i="19"/>
  <c r="O46" i="19"/>
  <c r="AA26" i="19"/>
  <c r="AM6" i="19"/>
  <c r="U46" i="19"/>
  <c r="AG26" i="19"/>
  <c r="O16" i="19"/>
  <c r="AG36" i="19"/>
  <c r="O26" i="19"/>
  <c r="AM36" i="19"/>
  <c r="AB26" i="1"/>
  <c r="AA26" i="1" s="1"/>
  <c r="AA25" i="1"/>
  <c r="O8" i="19"/>
  <c r="AA48" i="19"/>
  <c r="AM38" i="19"/>
  <c r="U48" i="19"/>
  <c r="AA18" i="19"/>
  <c r="AG18" i="19"/>
  <c r="AG48" i="19"/>
  <c r="AM18" i="19"/>
  <c r="AA28" i="19"/>
  <c r="AG28" i="19"/>
  <c r="AA8" i="19"/>
  <c r="U18" i="19"/>
  <c r="AG38" i="19"/>
  <c r="U38" i="19"/>
  <c r="AM8" i="19"/>
  <c r="AA38" i="19"/>
  <c r="AM48" i="19"/>
  <c r="U28" i="19"/>
  <c r="O38" i="19"/>
  <c r="U8" i="19"/>
  <c r="AG8" i="19"/>
  <c r="AC32"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0" i="1"/>
  <c r="M33" i="19"/>
  <c r="AF6" i="19"/>
  <c r="N46" i="19"/>
  <c r="Z26" i="19"/>
  <c r="AL6" i="19"/>
  <c r="AL36" i="19"/>
  <c r="AF26" i="19"/>
  <c r="Z6" i="19"/>
  <c r="T26" i="19"/>
  <c r="Z46" i="19"/>
  <c r="AF46" i="19"/>
  <c r="T46" i="19"/>
  <c r="T6" i="19"/>
  <c r="AF36" i="19"/>
  <c r="N26" i="19"/>
  <c r="Z16" i="19"/>
  <c r="AL26" i="19"/>
  <c r="Z36" i="19"/>
  <c r="N36" i="19"/>
  <c r="AL46" i="19"/>
  <c r="T36" i="19"/>
  <c r="AF16" i="19"/>
  <c r="N6" i="19"/>
  <c r="N16" i="19"/>
  <c r="AC19"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1" i="1"/>
  <c r="T53" i="19"/>
  <c r="AL33" i="19"/>
  <c r="T13" i="19"/>
  <c r="Z33" i="19"/>
  <c r="Z47" i="19"/>
  <c r="T7" i="19"/>
  <c r="AL37" i="19"/>
  <c r="T17" i="19"/>
  <c r="Z17" i="19"/>
  <c r="AF7" i="19"/>
  <c r="AF37" i="19"/>
  <c r="N17" i="19"/>
  <c r="AF27" i="19"/>
  <c r="AC25"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4"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6" i="1"/>
  <c r="AA17" i="19"/>
  <c r="O7" i="19"/>
  <c r="AA37" i="19"/>
  <c r="AA27" i="19"/>
  <c r="AM27" i="19"/>
  <c r="U17" i="19"/>
  <c r="U47" i="19"/>
  <c r="AG17" i="19"/>
  <c r="O47" i="19"/>
  <c r="Z40" i="19"/>
  <c r="AC43"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<sst xmlns="http://schemas.openxmlformats.org/spreadsheetml/2006/main" count="518" uniqueCount="331">
  <si>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</si>
  <si>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</si>
  <si>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</si>
  <si>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</si>
  <si>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</si>
  <si>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</si>
  <si>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</si>
  <si>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</si>
  <si>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</si>
  <si>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</si>
  <si>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</si>
  <si>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</si>
  <si>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</si>
  <si>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</si>
  <si>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</si>
  <si>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</si>
  <si>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</si>
  <si>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</si>
  <si>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</si>
  <si>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</si>
  <si>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</si>
  <si>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</si>
  <si>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</si>
  <si>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</si>
  <si>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</si>
  <si>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</si>
  <si>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</si>
  <si>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</si>
  <si>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</si>
  <si>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</si>
  <si>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</si>
  <si>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</si>
  <si>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</si>
  <si>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</si>
  <si>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</si>
  <si>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</si>
  <si>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</si>
  <si>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</si>
  <si>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</si>
  <si>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</si>
  <si>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</si>
  <si>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</si>
  <si>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</si>
  <si>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</si>
  <si>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</si>
  <si>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</si>
  <si>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</si>
  <si>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</si>
  <si>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</si>
  <si>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</si>
  <si>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</si>
  <si>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</si>
  <si>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</si>
  <si>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</si>
  <si>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</si>
  <si>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</si>
  <si>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</si>
  <si>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</si>
  <si>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</si>
  <si>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</si>
  <si>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</si>
  <si>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</si>
  <si>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</si>
  <si>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</si>
  <si>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</si>
  <si>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</si>
  <si>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</si>
  <si>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</si>
  <si>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</si>
  <si>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</si>
  <si>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</si>
  <si>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</si>
  <si>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</si>
  <si>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</si>
  <si>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</si>
  <si>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</si>
  <si>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</si>
  <si>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</si>
  <si>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LAS TIC</t>
  </si>
  <si>
    <t>ALCANCE:</t>
  </si>
  <si>
    <t>A través de la adecuada planeación en la implementación de tecnologías de la información basada en la identificación de necesidades de la entidad ,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</si>
  <si>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</si>
  <si>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</si>
  <si>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</si>
  <si>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</si>
  <si>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</si>
  <si>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Liderar la gestión estratégica de las tecnologías de la información y lascomunicaciones en la Administración Municipal mediante la definición, implementación y mantenimiento de un modelo de arquitectura de TI integrando las estrategias de gobierno electrónico y normatividad vigente asociada al sector TIC, para el beneficio de la gestión institucional y la ciudadanía</t>
  </si>
  <si>
    <t>PETI
Documento arquitectura empresarial
Plan de mantenimiento de equipos
Procedimiento sistemas de información
 Plan tratamiento de riesgos de seguridad digital
 Política de seguridad y privacidad de la información
Solicitud activos de información v1
 Política de uso de los activos de información
Res 0340: Política de tratamiento de datos personales
Plan copias de seguridad del centro de datos
Plan de recuperación de desastres - DRP</t>
  </si>
  <si>
    <t>Formulación, ejecución y seguimiento de las políticas, planes, procesos y procedimientos definidos en el proceso de gestión de las TIC</t>
  </si>
  <si>
    <t>MATRIZ DOFA</t>
  </si>
  <si>
    <t>DEBILIDADES</t>
  </si>
  <si>
    <t>AMENAZAS</t>
  </si>
  <si>
    <t>Perdida de la curva de aprendizaje por la no continuidad del personal contratista</t>
  </si>
  <si>
    <t>Inestabilidad cambiaria</t>
  </si>
  <si>
    <t>Insuficiencia de recurso humano y financiero para atender toda la problemática del Municipio</t>
  </si>
  <si>
    <t>Crisis económica</t>
  </si>
  <si>
    <t>Deficiencia en la claridad por parte de cada área de sus competencias</t>
  </si>
  <si>
    <t>Alta tasa de informalidad</t>
  </si>
  <si>
    <t>Pérdida de confianza por parte de la comunidad hacia la institución</t>
  </si>
  <si>
    <t>Crisis política y humanitaria en Venezuela</t>
  </si>
  <si>
    <t>Limitados recursos tecnológicos para atender las necesidades de la entidad y de la ciudadanía</t>
  </si>
  <si>
    <t>Crisis política y Social en el país</t>
  </si>
  <si>
    <t>Recortes presupuestales del orden Nacional y Departamental</t>
  </si>
  <si>
    <t>Cambios Normativos frecuentes en temas de contratación</t>
  </si>
  <si>
    <t>Desconocimiento de contratación estatal en relación a las TIC</t>
  </si>
  <si>
    <t xml:space="preserve">Complejidad logistica para la importacion de equipos e infraestrucutura tecnologica </t>
  </si>
  <si>
    <t>FORTALEZAS</t>
  </si>
  <si>
    <t>OPORTUNIDADES</t>
  </si>
  <si>
    <t>Experiencia y compromiso de los servidores públicos vinculados al proceso</t>
  </si>
  <si>
    <t>La participación de la comunidad en los procesos de planificación</t>
  </si>
  <si>
    <t>Adecuada planeación del desarrollo territorial</t>
  </si>
  <si>
    <t>La gestión preventiva que realiza la Oficina de Control Interno de Gestión</t>
  </si>
  <si>
    <t>Cumplimiento en el seguimiento al Plan de Desarrollo en sus líneas de acción</t>
  </si>
  <si>
    <t>Vías de acceso</t>
  </si>
  <si>
    <t>Implementación y mejoramiento del Modelo Integrado de Planeación y Gestión - MIPG</t>
  </si>
  <si>
    <t>Situación Geopolítica de la entidad territorial</t>
  </si>
  <si>
    <t>Política de Administración de Riesgos actualizada</t>
  </si>
  <si>
    <t>Políticas de transferencia de recursos</t>
  </si>
  <si>
    <t>Empoderamiento, responsabilidad y compromiso por el líder del proceso Planeación Estratégica</t>
  </si>
  <si>
    <t>Reconocimiento de la atención de calidad brindada por los servidores públicos</t>
  </si>
  <si>
    <t>Conocimiento del desarrollo de los procesos</t>
  </si>
  <si>
    <t>Buena posición en el ranking de ciudades prósperas de Colombia</t>
  </si>
  <si>
    <t>Identificación del patrimonio inmobiliario del municipio.</t>
  </si>
  <si>
    <t>Desarrollo e implementación de plataformas tecnológicas que facilitan las actividades laborales</t>
  </si>
  <si>
    <t>Trabajo en equipo y excelentes relaciones interpersonales</t>
  </si>
  <si>
    <t>Buenas prácticas bajo lineamientos del Departamento Nacional de Planeación y Departamento Administrativo de la Función Pública.</t>
  </si>
  <si>
    <t>Matriz Mapa Riesgos de Gestión</t>
  </si>
  <si>
    <t>Código: F-DPM-1210-238,37-013</t>
  </si>
  <si>
    <t>Versión: 3.0</t>
  </si>
  <si>
    <t>Fecha Aprobación: Octubre-19-2021</t>
  </si>
  <si>
    <t xml:space="preserve">Página: 1 de 1 </t>
  </si>
  <si>
    <t>Proceso:</t>
  </si>
  <si>
    <t>Objetivo:</t>
  </si>
  <si>
    <t>Alcance:</t>
  </si>
  <si>
    <t>A través de la adecuada planeación en la implementación de tecnologías de la información basada en la identificación de necesidades de la entidad ,  la oficina TIC busca definir y ejecutar acciones  tanto preventivas como correctivas que permitan aplicar estrategias de mejora continua a través de la correcta trazabilidad y mantenimiento de un modelo de Gestión y Operación que integre estrategias de gobierno digital  y normatividad vigente asociada al sector TIC que apoyen los procesos internos y  la optimización de la gestión institucional y la atención a los ciudadanos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</si>
  <si>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</si>
  <si>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</si>
  <si>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</si>
  <si>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</si>
  <si>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</si>
  <si>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</si>
  <si>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</si>
  <si>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</si>
  <si>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</si>
  <si>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</si>
  <si>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</si>
  <si>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</si>
  <si>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</si>
  <si>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</si>
  <si>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</si>
  <si>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</si>
  <si>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</si>
  <si>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</si>
  <si>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</si>
  <si>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</si>
  <si>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</si>
  <si>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</si>
  <si>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</si>
  <si>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</si>
  <si>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</si>
  <si>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</si>
  <si>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</si>
  <si>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</si>
  <si>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</si>
  <si>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</si>
  <si>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Sanciones por parte de la Superintendencia de Industria y Comercio y entes de control</t>
  </si>
  <si>
    <t>No registro y/o actualización de la información de datos personales ante la Superintendencia de Industria y Comercio por reportes extemporaneos de las áreas involucradas</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</si>
  <si>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</si>
  <si>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Ejecucion y Administracion de procesos</t>
  </si>
  <si>
    <t xml:space="preserve">     El riesgo afecta la imagen de la entidad con algunos usuarios de relevancia frente al logro de los objetivos</t>
  </si>
  <si>
    <t>El profesional encargado revisa o verifica el registro y/o actualización de las bases de datos reportadas ante la SIC solicitadas a las dependencias involucradas por medio de una lista de chequeo.</t>
  </si>
  <si>
    <t>Preventivo</t>
  </si>
  <si>
    <t>Manual</t>
  </si>
  <si>
    <t>Documentado</t>
  </si>
  <si>
    <t>Continua</t>
  </si>
  <si>
    <t>Con Registro</t>
  </si>
  <si>
    <t>Reducir (mitigar)</t>
  </si>
  <si>
    <t>Asesor TIC</t>
  </si>
  <si>
    <t>Remitir una (1) circular que contenga los lineamientos y términos de publicación a las áreas involucradas en el registro y/o actualización de bases de datos que deban ser reportadas a la SIC.</t>
  </si>
  <si>
    <t>Profesional Encargado</t>
  </si>
  <si>
    <t>Económico y Reputacional</t>
  </si>
  <si>
    <t xml:space="preserve">Sanciones por parte de las entidades de control </t>
  </si>
  <si>
    <t>Tratamiento no adecuado de la  información que gestiona la entidad por falta de la implementación de estandares y buenas practicas de seguridad de la información en el desarrollo de software al interior de la entidad.</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</si>
  <si>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</si>
  <si>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Usuarios, productos y practicas , organizacionales</t>
  </si>
  <si>
    <t xml:space="preserve">     El riesgo afecta la imagen de de la entidad con efecto publicitario sostenido a nivel de sector administrativo, nivel departamental o municipal</t>
  </si>
  <si>
    <t>Detectivo</t>
  </si>
  <si>
    <t xml:space="preserve">El profesional encargado de Seguridad de la información valida que las políticas de acceso a la información se encuentren actualizadas a las necesidades de la entidad y acorde a la normatividad legal vigente. </t>
  </si>
  <si>
    <t>Realizar un (1) informe de la revisión de las políticas de acceso a la información que se encuentren vigentes y actualizarlas de ser necesario.</t>
  </si>
  <si>
    <t>El profesional encargado facilita que los servidores públicos y contratistas de la entidad conozcan y apliquen los aspectos referentes a la seguridad de los datos incluidos en la política de tratamiento de datos personales de la entidad.</t>
  </si>
  <si>
    <t>Investigaciones y sanciones por entes de control.</t>
  </si>
  <si>
    <t>Insuficiente cultura organizacional en seguridad de la información generando incumplimiento del Modelo de Seguridad y Privacidad de la Información del MINTIC en los procesos de la entidad.</t>
  </si>
  <si>
    <t xml:space="preserve">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 </t>
  </si>
  <si>
    <t>Disminucion en los niveles de servicio y satisfaccion de los usuarios internos de la entidad.</t>
  </si>
  <si>
    <t xml:space="preserve">No atención oportuna de soporte a los requerimientos técnicos surgidos por las distintas dependencias de la administración municipal. </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</si>
  <si>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</si>
  <si>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 xml:space="preserve">     El riesgo afecta la imagen de la entidad internamente, de conocimiento general, nivel interno, de junta dircetiva y accionistas y/o de provedores</t>
  </si>
  <si>
    <t>El profesional encargado de la mesa de ayuda verifica que los requerimientos de soporte técnico y de sistemas de información se realicen de manera oportuna y en los tiempos establecidos a través de la generación de  indicadores de atención.</t>
  </si>
  <si>
    <t>Investigaciones disciplinarias y sanciones por entes de control.</t>
  </si>
  <si>
    <t>Incumplimiento de la normatividad archivística en los documentos emanados de la OATIC</t>
  </si>
  <si>
    <t>Posibilidad de afectación reputacional por posibles investigaciones y sanciones disciplinarias por entes de control, debido al incumplimiento de la Ley 594 del 2000 en los documentos emanados por la OATIC</t>
  </si>
  <si>
    <t>El auxiliar administrativo asignado al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</si>
  <si>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OATIC en los tiempos establecidos en el cronograma del  Archivo Central</t>
  </si>
  <si>
    <t>Auxiliar administrativo</t>
  </si>
  <si>
    <t xml:space="preserve">     Entre 10 y 50 SMLMV </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</si>
  <si>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</si>
  <si>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</si>
  <si>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</si>
  <si>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</si>
  <si>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</si>
  <si>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</si>
  <si>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</si>
  <si>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</si>
  <si>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</si>
  <si>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</si>
  <si>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</si>
  <si>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</si>
  <si>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</si>
  <si>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</si>
  <si>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</si>
  <si>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</si>
  <si>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</si>
  <si>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</si>
  <si>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</si>
  <si>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</si>
  <si>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</si>
  <si>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</si>
  <si>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</si>
  <si>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</si>
  <si>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</si>
  <si>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</si>
  <si>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</si>
  <si>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</si>
  <si>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</si>
  <si>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</si>
  <si>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</si>
  <si>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</si>
  <si>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</si>
  <si>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</si>
  <si>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</si>
  <si>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</si>
  <si>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</si>
  <si>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</si>
  <si>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</si>
  <si>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</si>
  <si>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</si>
  <si>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</si>
  <si>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</si>
  <si>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</si>
  <si>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</si>
  <si>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</si>
  <si>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</si>
  <si>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</si>
  <si>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</si>
  <si>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</si>
  <si>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</si>
  <si>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</si>
  <si>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</si>
  <si>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</si>
  <si>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</si>
  <si>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</si>
  <si>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</si>
  <si>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</si>
  <si>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</si>
  <si>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</si>
  <si>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</si>
  <si>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</si>
  <si>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</si>
  <si>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</si>
  <si>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</si>
  <si>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</si>
  <si>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</si>
  <si>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</si>
  <si>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</si>
  <si>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</si>
  <si>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</si>
  <si>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</si>
  <si>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</si>
  <si>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</si>
  <si>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</si>
  <si>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</si>
  <si>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</si>
  <si>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</si>
  <si>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</si>
  <si>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</si>
  <si>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</si>
  <si>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</si>
  <si>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</si>
  <si>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</si>
  <si>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</si>
  <si>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</si>
  <si>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</si>
  <si>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</si>
  <si>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</si>
  <si>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</si>
  <si>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</si>
  <si>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</si>
  <si>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</si>
  <si>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</si>
  <si>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</si>
  <si>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</si>
  <si>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</si>
  <si>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</si>
  <si>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</si>
  <si>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</si>
  <si>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</si>
  <si>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</si>
  <si>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</si>
  <si>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Registro Sustancial</t>
  </si>
  <si>
    <t>Registro Material</t>
  </si>
  <si>
    <t>Sin registro</t>
  </si>
  <si>
    <t>Reducir</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</si>
  <si>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</si>
  <si>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Realizar un (1) informe seguimiento semestral al registro y/o actualización de las bases de datos reportadas ante la SIC.</t>
  </si>
  <si>
    <t>Realizar un (1) informe anual que permita verificar el uso de las buenas prácticas relacionadas con OWASP Projects para el aseguramiento en los sistemas implementados para el desarrollo de software.</t>
  </si>
  <si>
    <t>Realizar dos (2) capacitaciones, una a nivel directivo y otra a nivel de usuarios con respecto a las políticas de tratamiento de datos personales y seguridad de la información.</t>
  </si>
  <si>
    <t>Toma de decisiones no adecuadas por la mala implementación del proceso de actualización, extracción, transformación, carga y visualización realizados con las herramientas tecnologícas que se utilizan como apoyo al proceso de analítica de datos que realiza la entidad.</t>
  </si>
  <si>
    <t>Posibilidad de afectación económica y reputacional por investigaciones y sanciones por entes de control debido a la toma de decisiones no adecuadas por la mala implementación del proceso de actualización, extracción, transformación, carga y visualización realizados con las herramientas tecnologícas que se utilizan como apoyo al proceso de analítica de datos que realiza la entidad.</t>
  </si>
  <si>
    <t>El profesional encargado verifica, para cada requerimiento con el area solicitante, que el proceso de analitica de datos se ejecutó de acuerdo con el procedimiento "PROCEDIMIENTO PARA TRATAMIENTO DE DATOS EN EL CENTRO DE ANALÍTICA DE DATOS DEL MUNICIPIO DE BUCARAMANGA - P-TIC-1400-170-011".</t>
  </si>
  <si>
    <t>Realizar un (1) análisis GAP a los sistemas de información de la entidad usando los controles del Anexo A de la norma ISO27001:2022.</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</si>
  <si>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</si>
  <si>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</si>
  <si>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</si>
  <si>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1 seguimiento trimestral a la planeación contractual programada para la vigencia, mediante una mesa de trabajo y la matriz de contratación de la Dependencia.</t>
  </si>
  <si>
    <t>Profesional encargado</t>
  </si>
  <si>
    <t>El ordenador del gasto, el profesional líder de contratación y el profesional encargado de presupuesto en la OATIC, realizarán el seguimiento al presupuesto en materia de contratación, conforme al principio de planeación, con el fin de evitar la constitución de reservas presupuestales a través del sistema financiero.</t>
  </si>
  <si>
    <t>Realizar una (1) sensibilización con las áreas involucradas sobre el proceso de publicación de las bases de datos correspondientes a datos personales de la entidad, de acuerdo con la guía de responsabilidad demostrada establecida por la SIC.</t>
  </si>
  <si>
    <t>El profesional encargado de Seguridad de la información verifica el aseguramiento de aplicaciones usando conceptos de OWASP Projects aplicados para el desarrollo de software.</t>
  </si>
  <si>
    <t>Realizar la validación del 100% de las solicitudes relacionadas a procesos de analítica de datos con las áreas solicitantes, antes de la publicación, de acuerdo con el procedimiento establecido.</t>
  </si>
  <si>
    <t>El profesional encargado de seguridad de la información valida el avance al cumplimiento de los controles aplicables a nivel de seguridad de la información contemplados en el anexo A de la norma ISO 27001:2022 por parte de la entidad.</t>
  </si>
  <si>
    <t>Realizar un (1) informe trimestral del nivel de cumplimiento de las solicitudes de soporte técnico y requerimientos de sistemas de información, de manera oportuna y en los tiempos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</si>
</sst>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60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4" borderId="45" xfId="0" applyFont="1" applyFill="1" applyBorder="1" applyAlignment="1">
      <alignment horizontal="center" vertical="center" wrapText="1" readingOrder="1"/>
    </xf>
    <xf numFmtId="0" fontId="36" fillId="14"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8" fillId="3" borderId="51" xfId="2" applyFont="1" applyFill="1" applyBorder="1"/>
    <xf numFmtId="0" fontId="48" fillId="3" borderId="52" xfId="2" applyFont="1" applyFill="1" applyBorder="1"/>
    <xf numFmtId="0" fontId="48" fillId="3" borderId="53" xfId="2" applyFont="1" applyFill="1" applyBorder="1"/>
    <xf numFmtId="0" fontId="0" fillId="3" borderId="15" xfId="0" applyFill="1" applyBorder="1"/>
    <xf numFmtId="0" fontId="50" fillId="3" borderId="0" xfId="2" quotePrefix="1" applyFont="1" applyFill="1" applyAlignment="1">
      <alignment horizontal="left" vertical="top" wrapText="1"/>
    </xf>
    <xf numFmtId="0" fontId="51" fillId="3" borderId="0" xfId="2" quotePrefix="1" applyFont="1" applyFill="1" applyAlignment="1">
      <alignment horizontal="left" vertical="top" wrapText="1"/>
    </xf>
    <xf numFmtId="0" fontId="51" fillId="3" borderId="75" xfId="2" quotePrefix="1" applyFont="1" applyFill="1" applyBorder="1" applyAlignment="1">
      <alignment horizontal="left" vertical="top" wrapText="1"/>
    </xf>
    <xf numFmtId="0" fontId="48" fillId="3" borderId="0" xfId="2" quotePrefix="1" applyFont="1" applyFill="1" applyAlignment="1">
      <alignment horizontal="left" vertical="top" wrapText="1"/>
    </xf>
    <xf numFmtId="0" fontId="48" fillId="3" borderId="75" xfId="2" quotePrefix="1" applyFont="1" applyFill="1" applyBorder="1" applyAlignment="1">
      <alignment horizontal="left" vertical="top" wrapText="1"/>
    </xf>
    <xf numFmtId="0" fontId="48" fillId="0" borderId="75" xfId="2" quotePrefix="1" applyFont="1" applyBorder="1" applyAlignment="1">
      <alignment horizontal="left" vertical="top" wrapText="1"/>
    </xf>
    <xf numFmtId="0" fontId="52" fillId="3" borderId="0" xfId="2" quotePrefix="1" applyFont="1" applyFill="1" applyAlignment="1">
      <alignment horizontal="left" vertical="top" wrapText="1"/>
    </xf>
    <xf numFmtId="0" fontId="52" fillId="3" borderId="86" xfId="2" quotePrefix="1" applyFont="1" applyFill="1" applyBorder="1" applyAlignment="1">
      <alignment horizontal="left" vertical="top" wrapText="1"/>
    </xf>
    <xf numFmtId="0" fontId="52" fillId="3" borderId="75" xfId="2" quotePrefix="1" applyFont="1" applyFill="1" applyBorder="1" applyAlignment="1">
      <alignment horizontal="left" vertical="top" wrapText="1"/>
    </xf>
    <xf numFmtId="0" fontId="48" fillId="3" borderId="86" xfId="2" applyFont="1" applyFill="1" applyBorder="1"/>
    <xf numFmtId="0" fontId="48" fillId="3" borderId="0" xfId="2" applyFont="1" applyFill="1"/>
    <xf numFmtId="0" fontId="48" fillId="3" borderId="75" xfId="2" applyFont="1" applyFill="1" applyBorder="1"/>
    <xf numFmtId="0" fontId="48" fillId="3" borderId="15" xfId="2" applyFont="1" applyFill="1" applyBorder="1"/>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applyAlignment="1">
      <alignment horizontal="left" vertical="top" wrapText="1"/>
    </xf>
    <xf numFmtId="0" fontId="48" fillId="3" borderId="14" xfId="2" applyFont="1" applyFill="1" applyBorder="1" applyAlignment="1">
      <alignment horizontal="left" vertical="top" wrapText="1"/>
    </xf>
    <xf numFmtId="0" fontId="48" fillId="3" borderId="15" xfId="2" applyFont="1" applyFill="1" applyBorder="1" applyAlignment="1">
      <alignment horizontal="left" vertical="top" wrapText="1"/>
    </xf>
    <xf numFmtId="0" fontId="48" fillId="3" borderId="16" xfId="2" applyFont="1" applyFill="1" applyBorder="1"/>
    <xf numFmtId="0" fontId="48" fillId="3" borderId="18" xfId="2" applyFont="1" applyFill="1" applyBorder="1"/>
    <xf numFmtId="0" fontId="48" fillId="3" borderId="17" xfId="2" applyFont="1" applyFill="1" applyBorder="1"/>
    <xf numFmtId="0" fontId="15" fillId="16" borderId="0" xfId="0" applyFont="1" applyFill="1" applyAlignment="1">
      <alignment horizontal="left" vertical="top" wrapText="1"/>
    </xf>
    <xf numFmtId="0" fontId="46" fillId="3" borderId="95" xfId="0" applyFont="1" applyFill="1" applyBorder="1" applyAlignment="1">
      <alignment vertical="center" wrapText="1"/>
    </xf>
    <xf numFmtId="0" fontId="46" fillId="3" borderId="97" xfId="0" applyFont="1" applyFill="1" applyBorder="1" applyAlignment="1">
      <alignment vertical="center" wrapText="1"/>
    </xf>
    <xf numFmtId="0" fontId="15" fillId="16" borderId="0" xfId="0" applyFont="1" applyFill="1" applyAlignment="1">
      <alignment wrapText="1"/>
    </xf>
    <xf numFmtId="0" fontId="5" fillId="0" borderId="0" xfId="0" applyFont="1" applyAlignment="1">
      <alignment vertical="top" wrapText="1"/>
    </xf>
    <xf numFmtId="0" fontId="61" fillId="0" borderId="0" xfId="0" applyFont="1" applyAlignment="1">
      <alignment horizontal="center" vertical="center" wrapText="1"/>
    </xf>
    <xf numFmtId="0" fontId="62" fillId="0" borderId="0" xfId="0" applyFont="1" applyAlignment="1">
      <alignment vertical="center" wrapText="1"/>
    </xf>
    <xf numFmtId="0" fontId="43" fillId="17" borderId="98" xfId="0" applyFont="1" applyFill="1" applyBorder="1" applyAlignment="1">
      <alignment horizontal="left" vertical="center" wrapText="1" indent="1"/>
    </xf>
    <xf numFmtId="0" fontId="43" fillId="17" borderId="100" xfId="0" applyFont="1" applyFill="1" applyBorder="1" applyAlignment="1">
      <alignment horizontal="left" vertical="center" wrapText="1" indent="1"/>
    </xf>
    <xf numFmtId="0" fontId="56" fillId="17" borderId="104" xfId="0" applyFont="1" applyFill="1" applyBorder="1" applyAlignment="1">
      <alignment horizontal="center" vertical="center" wrapText="1"/>
    </xf>
    <xf numFmtId="0" fontId="56" fillId="17" borderId="47" xfId="0" applyFont="1" applyFill="1" applyBorder="1" applyAlignment="1">
      <alignment horizontal="center" vertical="center" wrapText="1"/>
    </xf>
    <xf numFmtId="0" fontId="60" fillId="0" borderId="0" xfId="0" applyFont="1" applyAlignment="1">
      <alignment horizontal="center" vertical="center"/>
    </xf>
    <xf numFmtId="0" fontId="63"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6" fillId="3" borderId="0" xfId="0" applyFont="1" applyFill="1"/>
    <xf numFmtId="0" fontId="6" fillId="0" borderId="0" xfId="0" applyFont="1"/>
    <xf numFmtId="0" fontId="6" fillId="3" borderId="0" xfId="0" applyFont="1" applyFill="1" applyAlignment="1">
      <alignment horizontal="justify" vertical="center"/>
    </xf>
    <xf numFmtId="0" fontId="6" fillId="0" borderId="0" xfId="0" applyFont="1" applyAlignment="1">
      <alignment horizontal="justify" vertical="center"/>
    </xf>
    <xf numFmtId="0" fontId="1" fillId="3" borderId="2" xfId="0" applyFont="1" applyFill="1" applyBorder="1" applyAlignment="1">
      <alignment horizontal="justify" vertical="center" wrapText="1"/>
    </xf>
    <xf numFmtId="0" fontId="1" fillId="3" borderId="2" xfId="0"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53" fillId="15" borderId="76" xfId="3" applyFont="1" applyFill="1" applyBorder="1" applyAlignment="1">
      <alignment horizontal="center" vertical="center" wrapText="1"/>
    </xf>
    <xf numFmtId="0" fontId="53" fillId="15" borderId="77" xfId="3" applyFont="1" applyFill="1" applyBorder="1" applyAlignment="1">
      <alignment horizontal="center" vertical="center" wrapText="1"/>
    </xf>
    <xf numFmtId="0" fontId="53" fillId="15" borderId="54" xfId="2" applyFont="1" applyFill="1" applyBorder="1" applyAlignment="1">
      <alignment horizontal="center" vertical="center"/>
    </xf>
    <xf numFmtId="0" fontId="53" fillId="15" borderId="55" xfId="2" applyFont="1" applyFill="1" applyBorder="1" applyAlignment="1">
      <alignment horizontal="center" vertical="center"/>
    </xf>
    <xf numFmtId="0" fontId="49" fillId="15" borderId="48" xfId="2" applyFont="1" applyFill="1" applyBorder="1" applyAlignment="1">
      <alignment horizontal="center" vertical="center" wrapText="1"/>
    </xf>
    <xf numFmtId="0" fontId="49" fillId="15" borderId="49" xfId="2" applyFont="1" applyFill="1" applyBorder="1" applyAlignment="1">
      <alignment horizontal="center" vertical="center" wrapText="1"/>
    </xf>
    <xf numFmtId="0" fontId="49" fillId="15"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52"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8" fillId="3" borderId="0" xfId="2" quotePrefix="1" applyFont="1" applyFill="1" applyAlignment="1">
      <alignment horizontal="left" vertical="top" wrapText="1"/>
    </xf>
    <xf numFmtId="0" fontId="48" fillId="3" borderId="75" xfId="2" quotePrefix="1" applyFont="1" applyFill="1" applyBorder="1" applyAlignment="1">
      <alignment horizontal="left" vertical="top" wrapText="1"/>
    </xf>
    <xf numFmtId="0" fontId="53" fillId="3" borderId="56" xfId="3" applyFont="1" applyFill="1" applyBorder="1" applyAlignment="1">
      <alignment horizontal="left" vertical="top" wrapText="1" readingOrder="1"/>
    </xf>
    <xf numFmtId="0" fontId="53" fillId="3" borderId="78" xfId="3" applyFont="1" applyFill="1" applyBorder="1" applyAlignment="1">
      <alignment horizontal="left" vertical="top" wrapText="1" readingOrder="1"/>
    </xf>
    <xf numFmtId="0" fontId="54" fillId="3" borderId="79" xfId="2" applyFont="1" applyFill="1" applyBorder="1" applyAlignment="1">
      <alignment horizontal="justify" vertical="center" wrapText="1"/>
    </xf>
    <xf numFmtId="0" fontId="54" fillId="3" borderId="80" xfId="2" applyFont="1" applyFill="1" applyBorder="1" applyAlignment="1">
      <alignment horizontal="justify" vertical="center" wrapText="1"/>
    </xf>
    <xf numFmtId="0" fontId="53" fillId="3" borderId="92"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93" xfId="2" applyFont="1" applyFill="1" applyBorder="1" applyAlignment="1">
      <alignment horizontal="justify" vertical="center" wrapText="1"/>
    </xf>
    <xf numFmtId="0" fontId="54" fillId="3" borderId="81" xfId="2" applyFont="1" applyFill="1" applyBorder="1" applyAlignment="1">
      <alignment horizontal="justify" vertical="center" wrapText="1"/>
    </xf>
    <xf numFmtId="0" fontId="53" fillId="3" borderId="82" xfId="3" applyFont="1" applyFill="1" applyBorder="1" applyAlignment="1">
      <alignment horizontal="left" vertical="top" wrapText="1" readingOrder="1"/>
    </xf>
    <xf numFmtId="0" fontId="53" fillId="3" borderId="83" xfId="3" applyFont="1" applyFill="1" applyBorder="1" applyAlignment="1">
      <alignment horizontal="left" vertical="top" wrapText="1" readingOrder="1"/>
    </xf>
    <xf numFmtId="0" fontId="54" fillId="3" borderId="84" xfId="2" applyFont="1" applyFill="1" applyBorder="1" applyAlignment="1">
      <alignment horizontal="justify" vertical="center" wrapText="1"/>
    </xf>
    <xf numFmtId="0" fontId="54" fillId="3" borderId="85" xfId="2" applyFont="1" applyFill="1" applyBorder="1" applyAlignment="1">
      <alignment horizontal="justify" vertical="center" wrapText="1"/>
    </xf>
    <xf numFmtId="0" fontId="52" fillId="3" borderId="14" xfId="2" quotePrefix="1" applyFont="1" applyFill="1" applyBorder="1" applyAlignment="1">
      <alignment horizontal="center" vertical="top" wrapText="1"/>
    </xf>
    <xf numFmtId="0" fontId="52" fillId="3" borderId="0" xfId="2" quotePrefix="1" applyFont="1" applyFill="1" applyAlignment="1">
      <alignment horizontal="center" vertical="top" wrapText="1"/>
    </xf>
    <xf numFmtId="0" fontId="52" fillId="3" borderId="75" xfId="2" quotePrefix="1" applyFont="1" applyFill="1" applyBorder="1" applyAlignment="1">
      <alignment horizontal="center" vertical="top" wrapText="1"/>
    </xf>
    <xf numFmtId="0" fontId="53" fillId="15" borderId="87" xfId="3" applyFont="1" applyFill="1" applyBorder="1" applyAlignment="1">
      <alignment horizontal="center" vertical="center" wrapText="1"/>
    </xf>
    <xf numFmtId="0" fontId="53" fillId="3" borderId="88" xfId="3" applyFont="1" applyFill="1" applyBorder="1" applyAlignment="1">
      <alignment horizontal="left" vertical="top" wrapText="1" readingOrder="1"/>
    </xf>
    <xf numFmtId="0" fontId="53" fillId="3" borderId="89" xfId="3" applyFont="1" applyFill="1" applyBorder="1" applyAlignment="1">
      <alignment horizontal="left" vertical="top" wrapText="1" readingOrder="1"/>
    </xf>
    <xf numFmtId="0" fontId="54" fillId="3" borderId="90" xfId="2" applyFont="1" applyFill="1" applyBorder="1" applyAlignment="1">
      <alignment horizontal="justify" vertical="center" wrapText="1"/>
    </xf>
    <xf numFmtId="0" fontId="54" fillId="3" borderId="91"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7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43" fillId="17" borderId="12" xfId="0" applyFont="1" applyFill="1" applyBorder="1" applyAlignment="1">
      <alignment horizontal="center" vertical="center" wrapText="1"/>
    </xf>
    <xf numFmtId="0" fontId="43" fillId="17" borderId="19" xfId="0" applyFont="1" applyFill="1" applyBorder="1" applyAlignment="1">
      <alignment horizontal="center" vertical="center" wrapText="1"/>
    </xf>
    <xf numFmtId="0" fontId="43" fillId="17" borderId="13" xfId="0" applyFont="1" applyFill="1" applyBorder="1" applyAlignment="1">
      <alignment horizontal="center" vertical="center" wrapText="1"/>
    </xf>
    <xf numFmtId="0" fontId="56" fillId="17" borderId="35" xfId="0" applyFont="1" applyFill="1" applyBorder="1" applyAlignment="1">
      <alignment horizontal="center" vertical="center" wrapText="1"/>
    </xf>
    <xf numFmtId="0" fontId="56" fillId="17" borderId="104" xfId="0" applyFont="1" applyFill="1" applyBorder="1" applyAlignment="1">
      <alignment horizontal="center" vertical="center" wrapText="1"/>
    </xf>
    <xf numFmtId="0" fontId="57" fillId="0" borderId="35" xfId="0" applyFont="1" applyBorder="1" applyAlignment="1">
      <alignment horizontal="left" vertical="center" wrapText="1"/>
    </xf>
    <xf numFmtId="0" fontId="57" fillId="0" borderId="36" xfId="0" applyFont="1" applyBorder="1" applyAlignment="1">
      <alignment horizontal="left" vertical="center" wrapText="1"/>
    </xf>
    <xf numFmtId="0" fontId="61" fillId="0" borderId="0" xfId="0" applyFont="1" applyAlignment="1">
      <alignment horizontal="center" vertical="center"/>
    </xf>
    <xf numFmtId="0" fontId="43" fillId="20" borderId="12" xfId="0" applyFont="1" applyFill="1" applyBorder="1" applyAlignment="1">
      <alignment horizontal="center" vertical="center" wrapText="1"/>
    </xf>
    <xf numFmtId="0" fontId="43" fillId="20" borderId="19" xfId="0" applyFont="1" applyFill="1" applyBorder="1" applyAlignment="1">
      <alignment horizontal="center" vertical="center" wrapText="1"/>
    </xf>
    <xf numFmtId="0" fontId="43" fillId="20" borderId="13" xfId="0" applyFont="1" applyFill="1" applyBorder="1" applyAlignment="1">
      <alignment horizontal="center" vertical="center" wrapText="1"/>
    </xf>
    <xf numFmtId="0" fontId="57" fillId="0" borderId="94" xfId="0" applyFont="1" applyBorder="1" applyAlignment="1">
      <alignment horizontal="center" vertical="center" wrapText="1"/>
    </xf>
    <xf numFmtId="0" fontId="57" fillId="0" borderId="97"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7" xfId="0" applyFont="1" applyBorder="1" applyAlignment="1">
      <alignment horizontal="center"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0" fillId="0" borderId="12"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Alignment="1">
      <alignment horizontal="center" vertical="center" wrapText="1"/>
    </xf>
    <xf numFmtId="0" fontId="60" fillId="0" borderId="16" xfId="0" applyFont="1" applyBorder="1" applyAlignment="1">
      <alignment horizontal="center" vertical="center" wrapText="1"/>
    </xf>
    <xf numFmtId="0" fontId="60" fillId="0" borderId="18" xfId="0" applyFont="1" applyBorder="1" applyAlignment="1">
      <alignment horizontal="center" vertical="center" wrapText="1"/>
    </xf>
    <xf numFmtId="0" fontId="43" fillId="18" borderId="99" xfId="0" applyFont="1" applyFill="1" applyBorder="1" applyAlignment="1">
      <alignment horizontal="left" vertical="center" wrapText="1" indent="1"/>
    </xf>
    <xf numFmtId="0" fontId="43" fillId="18" borderId="49" xfId="0" applyFont="1" applyFill="1" applyBorder="1" applyAlignment="1">
      <alignment horizontal="left" vertical="center" wrapText="1" indent="1"/>
    </xf>
    <xf numFmtId="0" fontId="43" fillId="18" borderId="50" xfId="0" applyFont="1" applyFill="1" applyBorder="1" applyAlignment="1">
      <alignment horizontal="left" vertical="center" wrapText="1" indent="1"/>
    </xf>
    <xf numFmtId="0" fontId="57" fillId="18" borderId="101" xfId="0" applyFont="1" applyFill="1" applyBorder="1" applyAlignment="1">
      <alignment horizontal="left" vertical="center" wrapText="1" indent="1"/>
    </xf>
    <xf numFmtId="0" fontId="57" fillId="18" borderId="102" xfId="0" applyFont="1" applyFill="1" applyBorder="1" applyAlignment="1">
      <alignment horizontal="left" vertical="center" wrapText="1" indent="1"/>
    </xf>
    <xf numFmtId="0" fontId="57" fillId="18" borderId="103" xfId="0" applyFont="1" applyFill="1" applyBorder="1" applyAlignment="1">
      <alignment horizontal="left" vertical="center" wrapText="1" indent="1"/>
    </xf>
    <xf numFmtId="0" fontId="36" fillId="19" borderId="0" xfId="0" applyFont="1" applyFill="1" applyAlignment="1">
      <alignment horizontal="center" vertical="center"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4" fillId="0" borderId="110" xfId="0" applyFont="1" applyBorder="1" applyAlignment="1">
      <alignment horizontal="left" vertical="center" wrapText="1"/>
    </xf>
    <xf numFmtId="0" fontId="64"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4" fillId="3" borderId="37" xfId="0" applyFont="1" applyFill="1" applyBorder="1" applyAlignment="1">
      <alignment horizontal="left" wrapText="1"/>
    </xf>
    <xf numFmtId="0" fontId="64" fillId="3" borderId="33" xfId="0" applyFont="1" applyFill="1" applyBorder="1" applyAlignment="1">
      <alignment horizontal="left" wrapText="1"/>
    </xf>
    <xf numFmtId="0" fontId="64" fillId="3" borderId="38" xfId="0" applyFont="1" applyFill="1" applyBorder="1" applyAlignment="1">
      <alignment horizontal="left" wrapText="1"/>
    </xf>
    <xf numFmtId="0" fontId="64" fillId="0" borderId="110" xfId="0" applyFont="1" applyBorder="1" applyAlignment="1">
      <alignment horizontal="left" vertical="center"/>
    </xf>
    <xf numFmtId="0" fontId="64" fillId="0" borderId="38" xfId="0" applyFont="1" applyBorder="1" applyAlignment="1">
      <alignment horizontal="left" vertical="center"/>
    </xf>
    <xf numFmtId="0" fontId="64" fillId="0" borderId="108" xfId="0" applyFont="1" applyBorder="1" applyAlignment="1">
      <alignment horizontal="left" vertical="center"/>
    </xf>
    <xf numFmtId="0" fontId="64"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4" fillId="0" borderId="111" xfId="0" applyFont="1" applyBorder="1" applyAlignment="1">
      <alignment horizontal="left" wrapText="1"/>
    </xf>
    <xf numFmtId="0" fontId="64" fillId="0" borderId="41" xfId="0" applyFont="1" applyBorder="1" applyAlignment="1">
      <alignment horizontal="left" wrapText="1"/>
    </xf>
    <xf numFmtId="0" fontId="43" fillId="20" borderId="14" xfId="0" applyFont="1" applyFill="1" applyBorder="1" applyAlignment="1">
      <alignment horizontal="center" vertical="center" wrapText="1"/>
    </xf>
    <xf numFmtId="0" fontId="43" fillId="20" borderId="0" xfId="0" applyFont="1" applyFill="1" applyAlignment="1">
      <alignment horizontal="center" vertical="center" wrapText="1"/>
    </xf>
    <xf numFmtId="0" fontId="43" fillId="20" borderId="35" xfId="0" applyFont="1" applyFill="1" applyBorder="1" applyAlignment="1">
      <alignment horizontal="center" vertical="center" wrapText="1"/>
    </xf>
    <xf numFmtId="0" fontId="43"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4" fillId="0" borderId="98" xfId="0" applyFont="1" applyBorder="1" applyAlignment="1">
      <alignment horizontal="left" wrapText="1"/>
    </xf>
    <xf numFmtId="0" fontId="64"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4" fillId="0" borderId="37" xfId="0" applyFont="1" applyBorder="1" applyAlignment="1">
      <alignment horizontal="left" vertical="center" wrapText="1"/>
    </xf>
    <xf numFmtId="0" fontId="64" fillId="0" borderId="33" xfId="0" applyFont="1" applyBorder="1" applyAlignment="1">
      <alignment horizontal="left" vertical="center" wrapText="1"/>
    </xf>
    <xf numFmtId="0" fontId="64" fillId="0" borderId="37" xfId="0" applyFont="1" applyBorder="1" applyAlignment="1">
      <alignment horizontal="left" wrapText="1"/>
    </xf>
    <xf numFmtId="0" fontId="64" fillId="0" borderId="38" xfId="0" applyFont="1" applyBorder="1" applyAlignment="1">
      <alignment horizontal="left" wrapText="1"/>
    </xf>
    <xf numFmtId="0" fontId="64" fillId="0" borderId="39" xfId="0" applyFont="1" applyBorder="1" applyAlignment="1">
      <alignment horizontal="left" vertical="center" wrapText="1"/>
    </xf>
    <xf numFmtId="0" fontId="64" fillId="0" borderId="40" xfId="0" applyFont="1" applyBorder="1" applyAlignment="1">
      <alignment horizontal="left" vertical="center" wrapText="1"/>
    </xf>
    <xf numFmtId="0" fontId="64"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justify" vertical="center" wrapText="1"/>
      <protection locked="0"/>
    </xf>
    <xf numFmtId="0" fontId="1" fillId="0" borderId="8"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justify" vertical="center" wrapText="1"/>
      <protection locked="0"/>
    </xf>
    <xf numFmtId="0" fontId="1" fillId="3" borderId="10" xfId="0" applyFont="1" applyFill="1" applyBorder="1" applyAlignment="1" applyProtection="1">
      <alignment horizontal="justify" vertical="center" wrapText="1"/>
      <protection locked="0"/>
    </xf>
    <xf numFmtId="0" fontId="1" fillId="3" borderId="7" xfId="0" applyFont="1" applyFill="1" applyBorder="1" applyAlignment="1" applyProtection="1">
      <alignment horizontal="justify"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4" fillId="3" borderId="28" xfId="0" applyFont="1" applyFill="1" applyBorder="1" applyAlignment="1">
      <alignment horizontal="center" vertical="center"/>
    </xf>
    <xf numFmtId="0" fontId="24" fillId="3" borderId="2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9" xfId="0" applyFont="1" applyFill="1" applyBorder="1" applyAlignment="1">
      <alignment horizontal="center" vertical="center"/>
    </xf>
    <xf numFmtId="0" fontId="24" fillId="3" borderId="0" xfId="0" applyFont="1" applyFill="1" applyAlignment="1">
      <alignment horizontal="center" vertical="center"/>
    </xf>
    <xf numFmtId="0" fontId="24" fillId="3" borderId="113"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31" xfId="0" applyFont="1" applyFill="1" applyBorder="1" applyAlignment="1">
      <alignment horizontal="center" vertical="center"/>
    </xf>
    <xf numFmtId="0" fontId="24" fillId="3" borderId="32"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6" fillId="2" borderId="6" xfId="0" applyFont="1" applyFill="1" applyBorder="1" applyAlignment="1">
      <alignment horizontal="left" vertical="center"/>
    </xf>
    <xf numFmtId="0" fontId="66" fillId="2" borderId="7" xfId="0" applyFont="1" applyFill="1" applyBorder="1" applyAlignment="1">
      <alignment horizontal="left" vertical="center"/>
    </xf>
    <xf numFmtId="0" fontId="52" fillId="2" borderId="6" xfId="0" applyFont="1" applyFill="1" applyBorder="1" applyAlignment="1">
      <alignment horizontal="left" vertical="center"/>
    </xf>
    <xf numFmtId="0" fontId="67" fillId="2" borderId="7" xfId="0" applyFont="1" applyFill="1" applyBorder="1" applyAlignment="1">
      <alignment horizontal="left" vertical="center"/>
    </xf>
    <xf numFmtId="0" fontId="52" fillId="2" borderId="7" xfId="0" applyFont="1" applyFill="1" applyBorder="1" applyAlignment="1">
      <alignment horizontal="left" vertical="center"/>
    </xf>
    <xf numFmtId="0" fontId="65" fillId="2" borderId="28" xfId="0" applyFont="1" applyFill="1" applyBorder="1" applyAlignment="1">
      <alignment horizontal="center" vertical="center" wrapText="1"/>
    </xf>
    <xf numFmtId="0" fontId="65" fillId="2" borderId="29" xfId="0" applyFont="1" applyFill="1" applyBorder="1" applyAlignment="1">
      <alignment horizontal="center" vertical="center" wrapText="1"/>
    </xf>
    <xf numFmtId="0" fontId="65" fillId="2" borderId="30"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2" borderId="0" xfId="0" applyFont="1" applyFill="1" applyAlignment="1">
      <alignment horizontal="center" vertical="center" wrapText="1"/>
    </xf>
    <xf numFmtId="0" fontId="65" fillId="2" borderId="113" xfId="0" applyFont="1" applyFill="1" applyBorder="1" applyAlignment="1">
      <alignment horizontal="center" vertical="center" wrapText="1"/>
    </xf>
    <xf numFmtId="0" fontId="65" fillId="2" borderId="3" xfId="0" applyFont="1" applyFill="1" applyBorder="1" applyAlignment="1">
      <alignment horizontal="center" vertical="center" wrapText="1"/>
    </xf>
    <xf numFmtId="0" fontId="65" fillId="2" borderId="31" xfId="0" applyFont="1" applyFill="1" applyBorder="1" applyAlignment="1">
      <alignment horizontal="center" vertical="center" wrapText="1"/>
    </xf>
    <xf numFmtId="0" fontId="65" fillId="2" borderId="32" xfId="0" applyFont="1" applyFill="1" applyBorder="1" applyAlignment="1">
      <alignment horizontal="center" vertical="center" wrapText="1"/>
    </xf>
    <xf numFmtId="0" fontId="1" fillId="3" borderId="0" xfId="0" applyFont="1" applyFill="1" applyAlignment="1">
      <alignment horizontal="left" vertical="center"/>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2" fillId="0" borderId="19" xfId="0" applyFont="1" applyBorder="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4" xfId="0" applyFont="1" applyBorder="1" applyAlignment="1">
      <alignment horizontal="center" vertical="center" wrapText="1"/>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4" fillId="0" borderId="0" xfId="0" applyFont="1" applyAlignment="1">
      <alignment horizontal="center" vertical="center"/>
    </xf>
    <xf numFmtId="0" fontId="39" fillId="14" borderId="35" xfId="0" applyFont="1" applyFill="1" applyBorder="1" applyAlignment="1">
      <alignment horizontal="center" vertical="center" wrapText="1" readingOrder="1"/>
    </xf>
    <xf numFmtId="0" fontId="39" fillId="14" borderId="36" xfId="0" applyFont="1" applyFill="1" applyBorder="1" applyAlignment="1">
      <alignment horizontal="center" vertical="center" wrapText="1" readingOrder="1"/>
    </xf>
    <xf numFmtId="0" fontId="39" fillId="14"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4" borderId="44" xfId="0" applyFont="1" applyFill="1" applyBorder="1" applyAlignment="1">
      <alignment horizontal="center" vertical="center" wrapText="1" readingOrder="1"/>
    </xf>
    <xf numFmtId="0" fontId="36" fillId="14"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MAPAS/MRG/DADEP/MRG%202024%20DAD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6" t="s">
        <v>0</v>
      </c>
      <c r="C2" s="187"/>
      <c r="D2" s="187"/>
      <c r="E2" s="187"/>
      <c r="F2" s="187"/>
      <c r="G2" s="187"/>
      <c r="H2" s="188"/>
    </row>
    <row r="3" spans="1:8" x14ac:dyDescent="0.25">
      <c r="B3" s="117"/>
      <c r="C3" s="118"/>
      <c r="D3" s="118"/>
      <c r="E3" s="118"/>
      <c r="F3" s="118"/>
      <c r="G3" s="118"/>
      <c r="H3" s="119"/>
    </row>
    <row r="4" spans="1:8" ht="63" customHeight="1" x14ac:dyDescent="0.25">
      <c r="B4" s="189" t="s">
        <v>1</v>
      </c>
      <c r="C4" s="190"/>
      <c r="D4" s="190"/>
      <c r="E4" s="190"/>
      <c r="F4" s="190"/>
      <c r="G4" s="190"/>
      <c r="H4" s="191"/>
    </row>
    <row r="5" spans="1:8" ht="63" customHeight="1" x14ac:dyDescent="0.25">
      <c r="B5" s="192"/>
      <c r="C5" s="193"/>
      <c r="D5" s="193"/>
      <c r="E5" s="193"/>
      <c r="F5" s="193"/>
      <c r="G5" s="193"/>
      <c r="H5" s="194"/>
    </row>
    <row r="6" spans="1:8" ht="16.5" x14ac:dyDescent="0.25">
      <c r="A6" s="120"/>
      <c r="B6" s="195" t="s">
        <v>2</v>
      </c>
      <c r="C6" s="196"/>
      <c r="D6" s="196"/>
      <c r="E6" s="196"/>
      <c r="F6" s="196"/>
      <c r="G6" s="196"/>
      <c r="H6" s="197"/>
    </row>
    <row r="7" spans="1:8" ht="95.25" customHeight="1" x14ac:dyDescent="0.25">
      <c r="A7" s="120"/>
      <c r="B7" s="198" t="s">
        <v>3</v>
      </c>
      <c r="C7" s="198"/>
      <c r="D7" s="198"/>
      <c r="E7" s="198"/>
      <c r="F7" s="198"/>
      <c r="G7" s="198"/>
      <c r="H7" s="199"/>
    </row>
    <row r="8" spans="1:8" ht="16.5" x14ac:dyDescent="0.25">
      <c r="A8" s="120"/>
      <c r="B8" s="121"/>
      <c r="C8" s="122"/>
      <c r="D8" s="122"/>
      <c r="E8" s="122"/>
      <c r="F8" s="122"/>
      <c r="G8" s="122"/>
      <c r="H8" s="123"/>
    </row>
    <row r="9" spans="1:8" ht="16.5" customHeight="1" x14ac:dyDescent="0.25">
      <c r="A9" s="120"/>
      <c r="B9" s="200" t="s">
        <v>4</v>
      </c>
      <c r="C9" s="200"/>
      <c r="D9" s="200"/>
      <c r="E9" s="200"/>
      <c r="F9" s="200"/>
      <c r="G9" s="200"/>
      <c r="H9" s="201"/>
    </row>
    <row r="10" spans="1:8" ht="16.5" customHeight="1" x14ac:dyDescent="0.25">
      <c r="A10" s="120"/>
      <c r="B10" s="200"/>
      <c r="C10" s="200"/>
      <c r="D10" s="200"/>
      <c r="E10" s="200"/>
      <c r="F10" s="200"/>
      <c r="G10" s="200"/>
      <c r="H10" s="201"/>
    </row>
    <row r="11" spans="1:8" ht="11.65" customHeight="1" x14ac:dyDescent="0.25">
      <c r="A11" s="120"/>
      <c r="B11" s="200"/>
      <c r="C11" s="200"/>
      <c r="D11" s="200"/>
      <c r="E11" s="200"/>
      <c r="F11" s="200"/>
      <c r="G11" s="200"/>
      <c r="H11" s="201"/>
    </row>
    <row r="12" spans="1:8" ht="11.65" customHeight="1" thickBot="1" x14ac:dyDescent="0.3">
      <c r="A12" s="120"/>
      <c r="B12" s="124"/>
      <c r="C12" s="124"/>
      <c r="D12" s="124"/>
      <c r="E12" s="124"/>
      <c r="F12" s="124"/>
      <c r="G12" s="124"/>
      <c r="H12" s="125"/>
    </row>
    <row r="13" spans="1:8" ht="15.4" customHeight="1" thickTop="1" x14ac:dyDescent="0.25">
      <c r="A13" s="120"/>
      <c r="B13" s="124"/>
      <c r="C13" s="182" t="s">
        <v>5</v>
      </c>
      <c r="D13" s="183"/>
      <c r="E13" s="184" t="s">
        <v>6</v>
      </c>
      <c r="F13" s="185"/>
      <c r="G13" s="124"/>
      <c r="H13" s="125"/>
    </row>
    <row r="14" spans="1:8" ht="11.65" customHeight="1" x14ac:dyDescent="0.25">
      <c r="A14" s="120"/>
      <c r="B14" s="124"/>
      <c r="C14" s="202" t="s">
        <v>7</v>
      </c>
      <c r="D14" s="203"/>
      <c r="E14" s="204" t="s">
        <v>8</v>
      </c>
      <c r="F14" s="205"/>
      <c r="G14" s="124"/>
      <c r="H14" s="125"/>
    </row>
    <row r="15" spans="1:8" ht="11.65" customHeight="1" x14ac:dyDescent="0.25">
      <c r="A15" s="120"/>
      <c r="B15" s="124"/>
      <c r="C15" s="202" t="s">
        <v>9</v>
      </c>
      <c r="D15" s="203"/>
      <c r="E15" s="204" t="s">
        <v>10</v>
      </c>
      <c r="F15" s="205"/>
      <c r="G15" s="124"/>
      <c r="H15" s="125"/>
    </row>
    <row r="16" spans="1:8" ht="11.65" customHeight="1" x14ac:dyDescent="0.25">
      <c r="A16" s="120"/>
      <c r="B16" s="124"/>
      <c r="C16" s="202" t="s">
        <v>11</v>
      </c>
      <c r="D16" s="203"/>
      <c r="E16" s="204" t="s">
        <v>12</v>
      </c>
      <c r="F16" s="205"/>
      <c r="G16" s="124"/>
      <c r="H16" s="125"/>
    </row>
    <row r="17" spans="1:8" ht="13.5" customHeight="1" x14ac:dyDescent="0.25">
      <c r="A17" s="120"/>
      <c r="B17" s="124"/>
      <c r="C17" s="202" t="s">
        <v>13</v>
      </c>
      <c r="D17" s="203"/>
      <c r="E17" s="204" t="s">
        <v>14</v>
      </c>
      <c r="F17" s="205"/>
      <c r="G17" s="124"/>
      <c r="H17" s="126"/>
    </row>
    <row r="18" spans="1:8" ht="12.4" customHeight="1" x14ac:dyDescent="0.25">
      <c r="A18" s="120"/>
      <c r="B18" s="124"/>
      <c r="C18" s="202" t="s">
        <v>15</v>
      </c>
      <c r="D18" s="203"/>
      <c r="E18" s="209" t="s">
        <v>16</v>
      </c>
      <c r="F18" s="205"/>
      <c r="G18" s="124"/>
      <c r="H18" s="125"/>
    </row>
    <row r="19" spans="1:8" ht="24" customHeight="1" thickBot="1" x14ac:dyDescent="0.3">
      <c r="A19" s="120"/>
      <c r="B19" s="124"/>
      <c r="C19" s="210" t="s">
        <v>17</v>
      </c>
      <c r="D19" s="211"/>
      <c r="E19" s="212" t="s">
        <v>18</v>
      </c>
      <c r="F19" s="213"/>
      <c r="G19" s="124"/>
      <c r="H19" s="125"/>
    </row>
    <row r="20" spans="1:8" ht="11.65" customHeight="1" thickTop="1" x14ac:dyDescent="0.25">
      <c r="A20" s="120"/>
      <c r="B20" s="124"/>
      <c r="C20" s="127"/>
      <c r="D20" s="127"/>
      <c r="E20" s="127"/>
      <c r="F20" s="127"/>
      <c r="G20" s="124"/>
      <c r="H20" s="125"/>
    </row>
    <row r="21" spans="1:8" ht="27.4" customHeight="1" thickBot="1" x14ac:dyDescent="0.3">
      <c r="A21" s="120"/>
      <c r="B21" s="214" t="s">
        <v>19</v>
      </c>
      <c r="C21" s="215"/>
      <c r="D21" s="215"/>
      <c r="E21" s="215"/>
      <c r="F21" s="215"/>
      <c r="G21" s="215"/>
      <c r="H21" s="216"/>
    </row>
    <row r="22" spans="1:8" ht="15.75" thickTop="1" x14ac:dyDescent="0.25">
      <c r="A22" s="120"/>
      <c r="B22" s="128"/>
      <c r="C22" s="217" t="s">
        <v>5</v>
      </c>
      <c r="D22" s="183"/>
      <c r="E22" s="184" t="s">
        <v>6</v>
      </c>
      <c r="F22" s="185"/>
      <c r="G22" s="127"/>
      <c r="H22" s="129"/>
    </row>
    <row r="23" spans="1:8" ht="13.5" customHeight="1" x14ac:dyDescent="0.25">
      <c r="A23" s="120"/>
      <c r="B23" s="130"/>
      <c r="C23" s="218" t="s">
        <v>7</v>
      </c>
      <c r="D23" s="219"/>
      <c r="E23" s="220" t="s">
        <v>8</v>
      </c>
      <c r="F23" s="221"/>
      <c r="G23" s="131"/>
      <c r="H23" s="132"/>
    </row>
    <row r="24" spans="1:8" ht="13.5" customHeight="1" x14ac:dyDescent="0.25">
      <c r="A24" s="120"/>
      <c r="B24" s="130"/>
      <c r="C24" s="206" t="s">
        <v>20</v>
      </c>
      <c r="D24" s="207"/>
      <c r="E24" s="208" t="s">
        <v>14</v>
      </c>
      <c r="F24" s="205"/>
      <c r="G24" s="131"/>
      <c r="H24" s="132"/>
    </row>
    <row r="25" spans="1:8" ht="13.5" customHeight="1" x14ac:dyDescent="0.25">
      <c r="A25" s="120"/>
      <c r="B25" s="130"/>
      <c r="C25" s="206" t="s">
        <v>9</v>
      </c>
      <c r="D25" s="207"/>
      <c r="E25" s="208" t="s">
        <v>10</v>
      </c>
      <c r="F25" s="205"/>
      <c r="G25" s="131"/>
      <c r="H25" s="132"/>
    </row>
    <row r="26" spans="1:8" ht="22.9" customHeight="1" x14ac:dyDescent="0.25">
      <c r="A26" s="120"/>
      <c r="B26" s="130"/>
      <c r="C26" s="206" t="s">
        <v>21</v>
      </c>
      <c r="D26" s="207"/>
      <c r="E26" s="222" t="s">
        <v>22</v>
      </c>
      <c r="F26" s="223"/>
      <c r="G26" s="131"/>
      <c r="H26" s="132"/>
    </row>
    <row r="27" spans="1:8" ht="69.75" customHeight="1" x14ac:dyDescent="0.25">
      <c r="A27" s="120"/>
      <c r="B27" s="130"/>
      <c r="C27" s="224" t="s">
        <v>23</v>
      </c>
      <c r="D27" s="225"/>
      <c r="E27" s="226" t="s">
        <v>24</v>
      </c>
      <c r="F27" s="227"/>
      <c r="G27" s="131"/>
      <c r="H27" s="133"/>
    </row>
    <row r="28" spans="1:8" ht="34.5" customHeight="1" x14ac:dyDescent="0.25">
      <c r="B28" s="134"/>
      <c r="C28" s="228" t="s">
        <v>25</v>
      </c>
      <c r="D28" s="225"/>
      <c r="E28" s="226" t="s">
        <v>26</v>
      </c>
      <c r="F28" s="227"/>
      <c r="G28" s="131"/>
      <c r="H28" s="133"/>
    </row>
    <row r="29" spans="1:8" ht="27.75" customHeight="1" x14ac:dyDescent="0.25">
      <c r="B29" s="134"/>
      <c r="C29" s="228" t="s">
        <v>27</v>
      </c>
      <c r="D29" s="225"/>
      <c r="E29" s="226" t="s">
        <v>28</v>
      </c>
      <c r="F29" s="227"/>
      <c r="G29" s="131"/>
      <c r="H29" s="133"/>
    </row>
    <row r="30" spans="1:8" ht="28.5" customHeight="1" x14ac:dyDescent="0.25">
      <c r="B30" s="134"/>
      <c r="C30" s="228" t="s">
        <v>29</v>
      </c>
      <c r="D30" s="225"/>
      <c r="E30" s="226" t="s">
        <v>30</v>
      </c>
      <c r="F30" s="227"/>
      <c r="G30" s="131"/>
      <c r="H30" s="133"/>
    </row>
    <row r="31" spans="1:8" ht="72.75" customHeight="1" x14ac:dyDescent="0.25">
      <c r="B31" s="134"/>
      <c r="C31" s="228" t="s">
        <v>31</v>
      </c>
      <c r="D31" s="225"/>
      <c r="E31" s="226" t="s">
        <v>32</v>
      </c>
      <c r="F31" s="227"/>
      <c r="G31" s="131"/>
      <c r="H31" s="133"/>
    </row>
    <row r="32" spans="1:8" ht="64.5" customHeight="1" x14ac:dyDescent="0.25">
      <c r="B32" s="134"/>
      <c r="C32" s="228" t="s">
        <v>33</v>
      </c>
      <c r="D32" s="225"/>
      <c r="E32" s="226" t="s">
        <v>34</v>
      </c>
      <c r="F32" s="227"/>
      <c r="G32" s="131"/>
      <c r="H32" s="133"/>
    </row>
    <row r="33" spans="2:8" ht="71.25" customHeight="1" x14ac:dyDescent="0.25">
      <c r="B33" s="134"/>
      <c r="C33" s="229" t="s">
        <v>35</v>
      </c>
      <c r="D33" s="224"/>
      <c r="E33" s="226" t="s">
        <v>36</v>
      </c>
      <c r="F33" s="227"/>
      <c r="G33" s="131"/>
      <c r="H33" s="133"/>
    </row>
    <row r="34" spans="2:8" ht="55.5" customHeight="1" x14ac:dyDescent="0.25">
      <c r="B34" s="134"/>
      <c r="C34" s="229" t="s">
        <v>37</v>
      </c>
      <c r="D34" s="224"/>
      <c r="E34" s="226" t="s">
        <v>38</v>
      </c>
      <c r="F34" s="227"/>
      <c r="G34" s="131"/>
      <c r="H34" s="133"/>
    </row>
    <row r="35" spans="2:8" ht="42" customHeight="1" x14ac:dyDescent="0.25">
      <c r="B35" s="134"/>
      <c r="C35" s="229" t="s">
        <v>39</v>
      </c>
      <c r="D35" s="224"/>
      <c r="E35" s="226" t="s">
        <v>40</v>
      </c>
      <c r="F35" s="227"/>
      <c r="G35" s="131"/>
      <c r="H35" s="133"/>
    </row>
    <row r="36" spans="2:8" ht="59.25" customHeight="1" x14ac:dyDescent="0.25">
      <c r="B36" s="134"/>
      <c r="C36" s="229" t="s">
        <v>41</v>
      </c>
      <c r="D36" s="224"/>
      <c r="E36" s="226" t="s">
        <v>42</v>
      </c>
      <c r="F36" s="227"/>
      <c r="G36" s="131"/>
      <c r="H36" s="133"/>
    </row>
    <row r="37" spans="2:8" ht="23.25" customHeight="1" x14ac:dyDescent="0.25">
      <c r="B37" s="134"/>
      <c r="C37" s="229" t="s">
        <v>43</v>
      </c>
      <c r="D37" s="224"/>
      <c r="E37" s="226" t="s">
        <v>44</v>
      </c>
      <c r="F37" s="227"/>
      <c r="G37" s="131"/>
      <c r="H37" s="133"/>
    </row>
    <row r="38" spans="2:8" ht="30.75" customHeight="1" x14ac:dyDescent="0.25">
      <c r="B38" s="134"/>
      <c r="C38" s="229" t="s">
        <v>45</v>
      </c>
      <c r="D38" s="224"/>
      <c r="E38" s="226" t="s">
        <v>46</v>
      </c>
      <c r="F38" s="227"/>
      <c r="G38" s="131"/>
      <c r="H38" s="133"/>
    </row>
    <row r="39" spans="2:8" ht="35.25" customHeight="1" x14ac:dyDescent="0.25">
      <c r="B39" s="134"/>
      <c r="C39" s="229" t="s">
        <v>45</v>
      </c>
      <c r="D39" s="224"/>
      <c r="E39" s="226" t="s">
        <v>46</v>
      </c>
      <c r="F39" s="227"/>
      <c r="G39" s="131"/>
      <c r="H39" s="133"/>
    </row>
    <row r="40" spans="2:8" ht="33" customHeight="1" x14ac:dyDescent="0.25">
      <c r="B40" s="134"/>
      <c r="C40" s="229" t="s">
        <v>47</v>
      </c>
      <c r="D40" s="224"/>
      <c r="E40" s="226" t="s">
        <v>48</v>
      </c>
      <c r="F40" s="227"/>
      <c r="G40" s="131"/>
      <c r="H40" s="133"/>
    </row>
    <row r="41" spans="2:8" ht="30" customHeight="1" x14ac:dyDescent="0.25">
      <c r="B41" s="134"/>
      <c r="C41" s="229" t="s">
        <v>49</v>
      </c>
      <c r="D41" s="224"/>
      <c r="E41" s="226" t="s">
        <v>50</v>
      </c>
      <c r="F41" s="227"/>
      <c r="G41" s="131"/>
      <c r="H41" s="133"/>
    </row>
    <row r="42" spans="2:8" ht="35.25" customHeight="1" x14ac:dyDescent="0.25">
      <c r="B42" s="134"/>
      <c r="C42" s="229" t="s">
        <v>51</v>
      </c>
      <c r="D42" s="224"/>
      <c r="E42" s="226" t="s">
        <v>52</v>
      </c>
      <c r="F42" s="227"/>
      <c r="G42" s="131"/>
      <c r="H42" s="133"/>
    </row>
    <row r="43" spans="2:8" ht="31.5" customHeight="1" x14ac:dyDescent="0.25">
      <c r="B43" s="134"/>
      <c r="C43" s="229" t="s">
        <v>53</v>
      </c>
      <c r="D43" s="224"/>
      <c r="E43" s="226" t="s">
        <v>54</v>
      </c>
      <c r="F43" s="227"/>
      <c r="G43" s="131"/>
      <c r="H43" s="133"/>
    </row>
    <row r="44" spans="2:8" ht="54" customHeight="1" x14ac:dyDescent="0.25">
      <c r="B44" s="134"/>
      <c r="C44" s="229" t="s">
        <v>55</v>
      </c>
      <c r="D44" s="224"/>
      <c r="E44" s="226" t="s">
        <v>56</v>
      </c>
      <c r="F44" s="227"/>
      <c r="G44" s="131"/>
      <c r="H44" s="133"/>
    </row>
    <row r="45" spans="2:8" ht="59.25" customHeight="1" x14ac:dyDescent="0.25">
      <c r="B45" s="134"/>
      <c r="C45" s="229" t="s">
        <v>57</v>
      </c>
      <c r="D45" s="224"/>
      <c r="E45" s="226" t="s">
        <v>58</v>
      </c>
      <c r="F45" s="227"/>
      <c r="G45" s="131"/>
      <c r="H45" s="133"/>
    </row>
    <row r="46" spans="2:8" ht="84" customHeight="1" x14ac:dyDescent="0.25">
      <c r="B46" s="134"/>
      <c r="C46" s="229" t="s">
        <v>59</v>
      </c>
      <c r="D46" s="224"/>
      <c r="E46" s="226" t="s">
        <v>60</v>
      </c>
      <c r="F46" s="227"/>
      <c r="G46" s="131"/>
      <c r="H46" s="133"/>
    </row>
    <row r="47" spans="2:8" ht="82.5" customHeight="1" x14ac:dyDescent="0.25">
      <c r="B47" s="134"/>
      <c r="C47" s="229" t="s">
        <v>61</v>
      </c>
      <c r="D47" s="224"/>
      <c r="E47" s="226" t="s">
        <v>62</v>
      </c>
      <c r="F47" s="227"/>
      <c r="G47" s="131"/>
      <c r="H47" s="133"/>
    </row>
    <row r="48" spans="2:8" ht="46.5" customHeight="1" thickBot="1" x14ac:dyDescent="0.3">
      <c r="B48" s="134"/>
      <c r="C48" s="230"/>
      <c r="D48" s="231"/>
      <c r="E48" s="232"/>
      <c r="F48" s="233"/>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171</v>
      </c>
    </row>
    <row r="4" spans="1:1" x14ac:dyDescent="0.2">
      <c r="A4" s="10" t="s">
        <v>186</v>
      </c>
    </row>
    <row r="5" spans="1:1" x14ac:dyDescent="0.2">
      <c r="A5" s="10" t="s">
        <v>279</v>
      </c>
    </row>
    <row r="6" spans="1:1" x14ac:dyDescent="0.2">
      <c r="A6" s="10" t="s">
        <v>281</v>
      </c>
    </row>
    <row r="7" spans="1:1" x14ac:dyDescent="0.2">
      <c r="A7" s="10" t="s">
        <v>172</v>
      </c>
    </row>
    <row r="8" spans="1:1" x14ac:dyDescent="0.2">
      <c r="A8" s="10" t="s">
        <v>173</v>
      </c>
    </row>
    <row r="9" spans="1:1" x14ac:dyDescent="0.2">
      <c r="A9" s="10" t="s">
        <v>287</v>
      </c>
    </row>
    <row r="10" spans="1:1" x14ac:dyDescent="0.2">
      <c r="A10" s="10" t="s">
        <v>174</v>
      </c>
    </row>
    <row r="11" spans="1:1" x14ac:dyDescent="0.2">
      <c r="A11" s="10" t="s">
        <v>290</v>
      </c>
    </row>
    <row r="12" spans="1:1" x14ac:dyDescent="0.2">
      <c r="A12" s="10" t="s">
        <v>308</v>
      </c>
    </row>
    <row r="13" spans="1:1" x14ac:dyDescent="0.2">
      <c r="A13" s="10" t="s">
        <v>309</v>
      </c>
    </row>
    <row r="14" spans="1:1" x14ac:dyDescent="0.2">
      <c r="A14" s="10" t="s">
        <v>310</v>
      </c>
    </row>
    <row r="16" spans="1:1" x14ac:dyDescent="0.2">
      <c r="A16" s="10" t="s">
        <v>311</v>
      </c>
    </row>
    <row r="17" spans="1:1" x14ac:dyDescent="0.2">
      <c r="A17" s="10" t="s">
        <v>296</v>
      </c>
    </row>
    <row r="18" spans="1:1" x14ac:dyDescent="0.2">
      <c r="A18" s="10" t="s">
        <v>298</v>
      </c>
    </row>
    <row r="20" spans="1:1" x14ac:dyDescent="0.2">
      <c r="A20" s="10" t="s">
        <v>301</v>
      </c>
    </row>
    <row r="21" spans="1:1" x14ac:dyDescent="0.2">
      <c r="A21" s="10"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B1" zoomScale="110" zoomScaleNormal="110" workbookViewId="0">
      <selection activeCell="B27" sqref="A27:XFD27"/>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38" customWidth="1" collapsed="1"/>
    <col min="5" max="5" width="42.425781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249"/>
      <c r="C2" s="252" t="s">
        <v>69</v>
      </c>
      <c r="D2" s="253"/>
      <c r="E2" s="253"/>
      <c r="F2" s="144" t="s">
        <v>70</v>
      </c>
      <c r="AZ2" s="143" t="s">
        <v>71</v>
      </c>
    </row>
    <row r="3" spans="2:52" ht="18" customHeight="1" thickBot="1" x14ac:dyDescent="0.3">
      <c r="B3" s="250"/>
      <c r="C3" s="254"/>
      <c r="D3" s="255"/>
      <c r="E3" s="255"/>
      <c r="F3" s="145" t="s">
        <v>72</v>
      </c>
      <c r="AZ3" s="143" t="s">
        <v>73</v>
      </c>
    </row>
    <row r="4" spans="2:52" ht="18" customHeight="1" thickBot="1" x14ac:dyDescent="0.3">
      <c r="B4" s="250"/>
      <c r="C4" s="254"/>
      <c r="D4" s="255"/>
      <c r="E4" s="255"/>
      <c r="F4" s="145" t="s">
        <v>74</v>
      </c>
      <c r="AZ4" s="143" t="s">
        <v>75</v>
      </c>
    </row>
    <row r="5" spans="2:52" ht="18" customHeight="1" thickBot="1" x14ac:dyDescent="0.3">
      <c r="B5" s="251"/>
      <c r="C5" s="256"/>
      <c r="D5" s="257"/>
      <c r="E5" s="257"/>
      <c r="F5" s="145" t="s">
        <v>76</v>
      </c>
      <c r="AZ5" s="146"/>
    </row>
    <row r="6" spans="2:52" ht="18" customHeight="1" thickBot="1" x14ac:dyDescent="0.3">
      <c r="B6" s="147"/>
      <c r="C6" s="148"/>
      <c r="D6" s="148"/>
      <c r="E6" s="148"/>
      <c r="F6" s="149"/>
      <c r="AZ6" s="146"/>
    </row>
    <row r="7" spans="2:52" ht="33.4" customHeight="1" x14ac:dyDescent="0.25">
      <c r="B7" s="150" t="s">
        <v>77</v>
      </c>
      <c r="C7" s="258" t="s">
        <v>78</v>
      </c>
      <c r="D7" s="259"/>
      <c r="E7" s="259"/>
      <c r="F7" s="260"/>
      <c r="AZ7" s="146"/>
    </row>
    <row r="8" spans="2:52" ht="66.75" customHeight="1" thickBot="1" x14ac:dyDescent="0.3">
      <c r="B8" s="151" t="s">
        <v>79</v>
      </c>
      <c r="C8" s="261" t="s">
        <v>80</v>
      </c>
      <c r="D8" s="262"/>
      <c r="E8" s="262"/>
      <c r="F8" s="263"/>
      <c r="AZ8" s="146"/>
    </row>
    <row r="9" spans="2:52" ht="16.5" thickBot="1" x14ac:dyDescent="0.3">
      <c r="B9" s="264"/>
      <c r="C9" s="264"/>
      <c r="D9" s="264"/>
      <c r="E9" s="264"/>
      <c r="F9" s="264"/>
    </row>
    <row r="10" spans="2:52" ht="15.6" customHeight="1" thickBot="1" x14ac:dyDescent="0.3">
      <c r="B10" s="234" t="s">
        <v>69</v>
      </c>
      <c r="C10" s="235"/>
      <c r="D10" s="235"/>
      <c r="E10" s="235"/>
      <c r="F10" s="236"/>
    </row>
    <row r="11" spans="2:52" ht="32.25" thickBot="1" x14ac:dyDescent="0.3">
      <c r="B11" s="237" t="s">
        <v>81</v>
      </c>
      <c r="C11" s="238"/>
      <c r="D11" s="152" t="s">
        <v>82</v>
      </c>
      <c r="E11" s="152" t="s">
        <v>83</v>
      </c>
      <c r="F11" s="153" t="s">
        <v>84</v>
      </c>
    </row>
    <row r="12" spans="2:52" ht="188.25" customHeight="1" thickBot="1" x14ac:dyDescent="0.3">
      <c r="B12" s="239" t="s">
        <v>85</v>
      </c>
      <c r="C12" s="240"/>
      <c r="D12" s="245" t="s">
        <v>86</v>
      </c>
      <c r="E12" s="247" t="s">
        <v>87</v>
      </c>
      <c r="F12" s="245" t="s">
        <v>88</v>
      </c>
    </row>
    <row r="13" spans="2:52" ht="123.75" customHeight="1" thickBot="1" x14ac:dyDescent="0.3">
      <c r="B13" s="239" t="s">
        <v>71</v>
      </c>
      <c r="C13" s="240"/>
      <c r="D13" s="246"/>
      <c r="E13" s="248"/>
      <c r="F13" s="246"/>
    </row>
    <row r="15" spans="2:52" ht="18" x14ac:dyDescent="0.25">
      <c r="B15" s="241" t="s">
        <v>89</v>
      </c>
      <c r="C15" s="241"/>
      <c r="D15" s="241"/>
      <c r="E15" s="241"/>
      <c r="F15" s="241"/>
    </row>
    <row r="16" spans="2:52" ht="15.75" x14ac:dyDescent="0.25">
      <c r="B16" s="154"/>
    </row>
    <row r="17" spans="2:6" ht="15.75" thickBot="1" x14ac:dyDescent="0.3">
      <c r="B17" s="155"/>
    </row>
    <row r="18" spans="2:6" ht="16.5" thickBot="1" x14ac:dyDescent="0.3">
      <c r="B18" s="242" t="s">
        <v>90</v>
      </c>
      <c r="C18" s="243"/>
      <c r="D18" s="244"/>
      <c r="E18" s="242" t="s">
        <v>91</v>
      </c>
      <c r="F18" s="244"/>
    </row>
    <row r="19" spans="2:6" ht="15" customHeight="1" x14ac:dyDescent="0.25">
      <c r="B19" s="273" t="s">
        <v>92</v>
      </c>
      <c r="C19" s="274"/>
      <c r="D19" s="275"/>
      <c r="E19" s="276" t="s">
        <v>93</v>
      </c>
      <c r="F19" s="277"/>
    </row>
    <row r="20" spans="2:6" ht="15" customHeight="1" x14ac:dyDescent="0.25">
      <c r="B20" s="265" t="s">
        <v>94</v>
      </c>
      <c r="C20" s="266"/>
      <c r="D20" s="267"/>
      <c r="E20" s="268" t="s">
        <v>95</v>
      </c>
      <c r="F20" s="269"/>
    </row>
    <row r="21" spans="2:6" ht="15" customHeight="1" x14ac:dyDescent="0.25">
      <c r="B21" s="270" t="s">
        <v>96</v>
      </c>
      <c r="C21" s="271"/>
      <c r="D21" s="272"/>
      <c r="E21" s="268" t="s">
        <v>97</v>
      </c>
      <c r="F21" s="269"/>
    </row>
    <row r="22" spans="2:6" ht="15" customHeight="1" x14ac:dyDescent="0.25">
      <c r="B22" s="270" t="s">
        <v>98</v>
      </c>
      <c r="C22" s="271"/>
      <c r="D22" s="272"/>
      <c r="E22" s="285" t="s">
        <v>99</v>
      </c>
      <c r="F22" s="286"/>
    </row>
    <row r="23" spans="2:6" ht="15" customHeight="1" x14ac:dyDescent="0.3">
      <c r="B23" s="287" t="s">
        <v>100</v>
      </c>
      <c r="C23" s="288"/>
      <c r="D23" s="289"/>
      <c r="E23" s="284" t="s">
        <v>101</v>
      </c>
      <c r="F23" s="283"/>
    </row>
    <row r="24" spans="2:6" ht="15" customHeight="1" x14ac:dyDescent="0.3">
      <c r="B24" s="287"/>
      <c r="C24" s="288"/>
      <c r="D24" s="289"/>
      <c r="E24" s="284" t="s">
        <v>102</v>
      </c>
      <c r="F24" s="283"/>
    </row>
    <row r="25" spans="2:6" ht="15" customHeight="1" x14ac:dyDescent="0.25">
      <c r="B25" s="278"/>
      <c r="C25" s="279"/>
      <c r="D25" s="280"/>
      <c r="E25" s="268" t="s">
        <v>103</v>
      </c>
      <c r="F25" s="269"/>
    </row>
    <row r="26" spans="2:6" ht="15.75" customHeight="1" x14ac:dyDescent="0.25">
      <c r="B26" s="281"/>
      <c r="C26" s="282"/>
      <c r="D26" s="283"/>
      <c r="E26" s="284" t="s">
        <v>104</v>
      </c>
      <c r="F26" s="283"/>
    </row>
    <row r="27" spans="2:6" ht="15" customHeight="1" x14ac:dyDescent="0.25">
      <c r="B27" s="270"/>
      <c r="C27" s="271"/>
      <c r="D27" s="272"/>
      <c r="E27" s="290" t="s">
        <v>105</v>
      </c>
      <c r="F27" s="291"/>
    </row>
    <row r="28" spans="2:6" ht="15" customHeight="1" x14ac:dyDescent="0.25">
      <c r="B28" s="278"/>
      <c r="C28" s="279"/>
      <c r="D28" s="280"/>
      <c r="E28" s="290"/>
      <c r="F28" s="291"/>
    </row>
    <row r="29" spans="2:6" ht="15" customHeight="1" x14ac:dyDescent="0.25">
      <c r="B29" s="278"/>
      <c r="C29" s="279"/>
      <c r="D29" s="280"/>
      <c r="E29" s="290"/>
      <c r="F29" s="291"/>
    </row>
    <row r="30" spans="2:6" ht="15" customHeight="1" x14ac:dyDescent="0.25">
      <c r="B30" s="278"/>
      <c r="C30" s="279"/>
      <c r="D30" s="280"/>
      <c r="E30" s="292"/>
      <c r="F30" s="293"/>
    </row>
    <row r="31" spans="2:6" ht="15" customHeight="1" thickBot="1" x14ac:dyDescent="0.35">
      <c r="B31" s="294"/>
      <c r="C31" s="295"/>
      <c r="D31" s="296"/>
      <c r="E31" s="297"/>
      <c r="F31" s="298"/>
    </row>
    <row r="32" spans="2:6" ht="15" customHeight="1" thickBot="1" x14ac:dyDescent="0.3">
      <c r="B32" s="299" t="s">
        <v>106</v>
      </c>
      <c r="C32" s="300"/>
      <c r="D32" s="300"/>
      <c r="E32" s="301" t="s">
        <v>107</v>
      </c>
      <c r="F32" s="302"/>
    </row>
    <row r="33" spans="2:6" ht="15.75" customHeight="1" x14ac:dyDescent="0.3">
      <c r="B33" s="303" t="s">
        <v>108</v>
      </c>
      <c r="C33" s="304"/>
      <c r="D33" s="305"/>
      <c r="E33" s="306" t="s">
        <v>109</v>
      </c>
      <c r="F33" s="307"/>
    </row>
    <row r="34" spans="2:6" ht="16.5" x14ac:dyDescent="0.3">
      <c r="B34" s="308" t="s">
        <v>110</v>
      </c>
      <c r="C34" s="309"/>
      <c r="D34" s="310"/>
      <c r="E34" s="281" t="s">
        <v>111</v>
      </c>
      <c r="F34" s="283"/>
    </row>
    <row r="35" spans="2:6" ht="16.5" x14ac:dyDescent="0.25">
      <c r="B35" s="281" t="s">
        <v>112</v>
      </c>
      <c r="C35" s="282"/>
      <c r="D35" s="283"/>
      <c r="E35" s="311" t="s">
        <v>113</v>
      </c>
      <c r="F35" s="269"/>
    </row>
    <row r="36" spans="2:6" ht="16.5" x14ac:dyDescent="0.3">
      <c r="B36" s="311" t="s">
        <v>114</v>
      </c>
      <c r="C36" s="312"/>
      <c r="D36" s="269"/>
      <c r="E36" s="313" t="s">
        <v>115</v>
      </c>
      <c r="F36" s="314"/>
    </row>
    <row r="37" spans="2:6" ht="16.5" x14ac:dyDescent="0.3">
      <c r="B37" s="311" t="s">
        <v>116</v>
      </c>
      <c r="C37" s="312"/>
      <c r="D37" s="269"/>
      <c r="E37" s="308" t="s">
        <v>117</v>
      </c>
      <c r="F37" s="310"/>
    </row>
    <row r="38" spans="2:6" ht="16.5" x14ac:dyDescent="0.25">
      <c r="B38" s="311" t="s">
        <v>118</v>
      </c>
      <c r="C38" s="312"/>
      <c r="D38" s="269"/>
      <c r="E38" s="311" t="s">
        <v>119</v>
      </c>
      <c r="F38" s="269"/>
    </row>
    <row r="39" spans="2:6" ht="16.5" x14ac:dyDescent="0.25">
      <c r="B39" s="311" t="s">
        <v>120</v>
      </c>
      <c r="C39" s="312"/>
      <c r="D39" s="269"/>
      <c r="E39" s="281" t="s">
        <v>121</v>
      </c>
      <c r="F39" s="283"/>
    </row>
    <row r="40" spans="2:6" ht="16.5" x14ac:dyDescent="0.25">
      <c r="B40" s="311" t="s">
        <v>122</v>
      </c>
      <c r="C40" s="312"/>
      <c r="D40" s="269"/>
      <c r="E40" s="281" t="s">
        <v>123</v>
      </c>
      <c r="F40" s="283"/>
    </row>
    <row r="41" spans="2:6" ht="31.5" customHeight="1" x14ac:dyDescent="0.25">
      <c r="B41" s="281" t="s">
        <v>124</v>
      </c>
      <c r="C41" s="282"/>
      <c r="D41" s="283"/>
      <c r="E41" s="320" t="s">
        <v>125</v>
      </c>
      <c r="F41" s="321"/>
    </row>
    <row r="42" spans="2:6" ht="16.5" x14ac:dyDescent="0.3">
      <c r="B42" s="322"/>
      <c r="C42" s="323"/>
      <c r="D42" s="324"/>
      <c r="E42" s="322"/>
      <c r="F42" s="324"/>
    </row>
    <row r="43" spans="2:6" ht="17.25" thickBot="1" x14ac:dyDescent="0.35">
      <c r="B43" s="315"/>
      <c r="C43" s="316"/>
      <c r="D43" s="317"/>
      <c r="E43" s="318"/>
      <c r="F43" s="319"/>
    </row>
  </sheetData>
  <mergeCells count="65">
    <mergeCell ref="B39:D39"/>
    <mergeCell ref="E39:F39"/>
    <mergeCell ref="B43:D43"/>
    <mergeCell ref="E43:F43"/>
    <mergeCell ref="B40:D40"/>
    <mergeCell ref="E40:F40"/>
    <mergeCell ref="B41:D41"/>
    <mergeCell ref="E41:F41"/>
    <mergeCell ref="B42:D42"/>
    <mergeCell ref="E42:F42"/>
    <mergeCell ref="B36:D36"/>
    <mergeCell ref="E36:F36"/>
    <mergeCell ref="B37:D37"/>
    <mergeCell ref="E37:F37"/>
    <mergeCell ref="B38:D38"/>
    <mergeCell ref="E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5:D25"/>
    <mergeCell ref="E25:F25"/>
    <mergeCell ref="B26:D26"/>
    <mergeCell ref="E26:F26"/>
    <mergeCell ref="B22:D22"/>
    <mergeCell ref="E22:F22"/>
    <mergeCell ref="B23:D23"/>
    <mergeCell ref="E23:F23"/>
    <mergeCell ref="B24:D24"/>
    <mergeCell ref="E24:F24"/>
    <mergeCell ref="B20:D20"/>
    <mergeCell ref="E20:F20"/>
    <mergeCell ref="B21:D21"/>
    <mergeCell ref="E21:F21"/>
    <mergeCell ref="F12:F13"/>
    <mergeCell ref="B19:D19"/>
    <mergeCell ref="E19:F19"/>
    <mergeCell ref="B2:B5"/>
    <mergeCell ref="C2:E5"/>
    <mergeCell ref="C7:F7"/>
    <mergeCell ref="C8:F8"/>
    <mergeCell ref="B9:F9"/>
    <mergeCell ref="B10:F10"/>
    <mergeCell ref="B11:C11"/>
    <mergeCell ref="B12:C12"/>
    <mergeCell ref="B15:F15"/>
    <mergeCell ref="B18:D18"/>
    <mergeCell ref="E18:F18"/>
    <mergeCell ref="B13:C13"/>
    <mergeCell ref="D12:D13"/>
    <mergeCell ref="E12:E13"/>
  </mergeCells>
  <dataValidations count="1">
    <dataValidation type="list" allowBlank="1" showInputMessage="1" showErrorMessage="1" sqref="B12:B13 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7"/>
  <sheetViews>
    <sheetView tabSelected="1" zoomScale="90" zoomScaleNormal="90" workbookViewId="0">
      <selection activeCell="E51" sqref="E51:E56"/>
    </sheetView>
  </sheetViews>
  <sheetFormatPr baseColWidth="10" defaultColWidth="11.42578125" defaultRowHeight="16.5" x14ac:dyDescent="0.3"/>
  <cols>
    <col min="1" max="1" width="4" style="2" bestFit="1" customWidth="1"/>
    <col min="2" max="2" width="14.140625" style="2" customWidth="1"/>
    <col min="3" max="3" width="17.28515625" style="2" customWidth="1"/>
    <col min="4" max="4" width="29.140625" style="2" customWidth="1"/>
    <col min="5" max="5" width="39.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3.5703125" style="168"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7.710937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4" style="172" customWidth="1"/>
    <col min="32" max="32" width="18.85546875" style="170" customWidth="1"/>
    <col min="33" max="34" width="14.5703125" style="170"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19"/>
      <c r="B1" s="420"/>
      <c r="C1" s="420"/>
      <c r="D1" s="421"/>
      <c r="E1" s="442" t="s">
        <v>126</v>
      </c>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4"/>
      <c r="AJ1" s="437" t="s">
        <v>127</v>
      </c>
      <c r="AK1" s="438"/>
    </row>
    <row r="2" spans="1:69" ht="15" customHeight="1" x14ac:dyDescent="0.3">
      <c r="A2" s="422"/>
      <c r="B2" s="423"/>
      <c r="C2" s="423"/>
      <c r="D2" s="424"/>
      <c r="E2" s="445"/>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7"/>
      <c r="AJ2" s="439" t="s">
        <v>128</v>
      </c>
      <c r="AK2" s="440"/>
    </row>
    <row r="3" spans="1:69" ht="15" customHeight="1" x14ac:dyDescent="0.3">
      <c r="A3" s="422"/>
      <c r="B3" s="423"/>
      <c r="C3" s="423"/>
      <c r="D3" s="424"/>
      <c r="E3" s="445"/>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7"/>
      <c r="AJ3" s="439" t="s">
        <v>129</v>
      </c>
      <c r="AK3" s="441"/>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25"/>
      <c r="B4" s="426"/>
      <c r="C4" s="426"/>
      <c r="D4" s="427"/>
      <c r="E4" s="448"/>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50"/>
      <c r="AJ4" s="437" t="s">
        <v>130</v>
      </c>
      <c r="AK4" s="43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26"/>
      <c r="P5" s="167"/>
      <c r="Q5" s="8"/>
      <c r="R5" s="8"/>
      <c r="S5" s="8"/>
      <c r="T5" s="8"/>
      <c r="U5" s="8"/>
      <c r="V5" s="8"/>
      <c r="W5" s="8"/>
      <c r="X5" s="8"/>
      <c r="Y5" s="8"/>
      <c r="Z5" s="8"/>
      <c r="AA5" s="8"/>
      <c r="AB5" s="8"/>
      <c r="AC5" s="8"/>
      <c r="AD5" s="8"/>
      <c r="AE5" s="171"/>
      <c r="AF5" s="169"/>
      <c r="AG5" s="169"/>
      <c r="AH5" s="169"/>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82" t="s">
        <v>131</v>
      </c>
      <c r="B6" s="383"/>
      <c r="C6" s="431" t="s">
        <v>78</v>
      </c>
      <c r="D6" s="432"/>
      <c r="E6" s="432"/>
      <c r="F6" s="432"/>
      <c r="G6" s="432"/>
      <c r="H6" s="432"/>
      <c r="I6" s="432"/>
      <c r="J6" s="432"/>
      <c r="K6" s="432"/>
      <c r="L6" s="432"/>
      <c r="M6" s="432"/>
      <c r="N6" s="433"/>
      <c r="O6" s="451"/>
      <c r="P6" s="451"/>
      <c r="Q6" s="451"/>
      <c r="R6" s="8"/>
      <c r="S6" s="8"/>
      <c r="T6" s="8"/>
      <c r="U6" s="8"/>
      <c r="V6" s="8"/>
      <c r="W6" s="8"/>
      <c r="X6" s="8"/>
      <c r="Y6" s="8"/>
      <c r="Z6" s="8"/>
      <c r="AA6" s="8"/>
      <c r="AB6" s="8"/>
      <c r="AC6" s="8"/>
      <c r="AD6" s="8"/>
      <c r="AE6" s="167"/>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0.5" customHeight="1" x14ac:dyDescent="0.3">
      <c r="A7" s="382" t="s">
        <v>132</v>
      </c>
      <c r="B7" s="383"/>
      <c r="C7" s="389" t="s">
        <v>86</v>
      </c>
      <c r="D7" s="390"/>
      <c r="E7" s="390"/>
      <c r="F7" s="390"/>
      <c r="G7" s="390"/>
      <c r="H7" s="390"/>
      <c r="I7" s="390"/>
      <c r="J7" s="390"/>
      <c r="K7" s="390"/>
      <c r="L7" s="390"/>
      <c r="M7" s="390"/>
      <c r="N7" s="391"/>
      <c r="O7" s="26"/>
      <c r="P7" s="167"/>
      <c r="Q7" s="8"/>
      <c r="R7" s="8"/>
      <c r="S7" s="8"/>
      <c r="T7" s="8"/>
      <c r="U7" s="8"/>
      <c r="V7" s="8"/>
      <c r="W7" s="8"/>
      <c r="X7" s="8"/>
      <c r="Y7" s="8"/>
      <c r="Z7" s="8"/>
      <c r="AA7" s="8"/>
      <c r="AB7" s="8"/>
      <c r="AC7" s="8"/>
      <c r="AD7" s="8"/>
      <c r="AE7" s="167"/>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7.25" customHeight="1" x14ac:dyDescent="0.3">
      <c r="A8" s="382" t="s">
        <v>133</v>
      </c>
      <c r="B8" s="383"/>
      <c r="C8" s="392" t="s">
        <v>134</v>
      </c>
      <c r="D8" s="393"/>
      <c r="E8" s="393"/>
      <c r="F8" s="393"/>
      <c r="G8" s="393"/>
      <c r="H8" s="393"/>
      <c r="I8" s="393"/>
      <c r="J8" s="393"/>
      <c r="K8" s="393"/>
      <c r="L8" s="393"/>
      <c r="M8" s="393"/>
      <c r="N8" s="394"/>
      <c r="O8" s="26"/>
      <c r="P8" s="167"/>
      <c r="Q8" s="8"/>
      <c r="R8" s="8"/>
      <c r="S8" s="8"/>
      <c r="T8" s="8"/>
      <c r="U8" s="8"/>
      <c r="V8" s="8"/>
      <c r="W8" s="8"/>
      <c r="X8" s="8"/>
      <c r="Y8" s="8"/>
      <c r="Z8" s="8"/>
      <c r="AA8" s="8"/>
      <c r="AB8" s="8"/>
      <c r="AC8" s="8"/>
      <c r="AD8" s="8"/>
      <c r="AE8" s="167"/>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34" t="s">
        <v>135</v>
      </c>
      <c r="B9" s="435"/>
      <c r="C9" s="435"/>
      <c r="D9" s="435"/>
      <c r="E9" s="435"/>
      <c r="F9" s="435"/>
      <c r="G9" s="436"/>
      <c r="H9" s="434" t="s">
        <v>136</v>
      </c>
      <c r="I9" s="435"/>
      <c r="J9" s="435"/>
      <c r="K9" s="435"/>
      <c r="L9" s="435"/>
      <c r="M9" s="435"/>
      <c r="N9" s="436"/>
      <c r="O9" s="434" t="s">
        <v>137</v>
      </c>
      <c r="P9" s="435"/>
      <c r="Q9" s="435"/>
      <c r="R9" s="435"/>
      <c r="S9" s="435"/>
      <c r="T9" s="435"/>
      <c r="U9" s="435"/>
      <c r="V9" s="435"/>
      <c r="W9" s="436"/>
      <c r="X9" s="434" t="s">
        <v>138</v>
      </c>
      <c r="Y9" s="435"/>
      <c r="Z9" s="435"/>
      <c r="AA9" s="435"/>
      <c r="AB9" s="435"/>
      <c r="AC9" s="435"/>
      <c r="AD9" s="436"/>
      <c r="AE9" s="434" t="s">
        <v>139</v>
      </c>
      <c r="AF9" s="435"/>
      <c r="AG9" s="435"/>
      <c r="AH9" s="435"/>
      <c r="AI9" s="435"/>
      <c r="AJ9" s="435"/>
      <c r="AK9" s="436"/>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84" t="s">
        <v>140</v>
      </c>
      <c r="B10" s="380" t="s">
        <v>23</v>
      </c>
      <c r="C10" s="374" t="s">
        <v>25</v>
      </c>
      <c r="D10" s="374" t="s">
        <v>27</v>
      </c>
      <c r="E10" s="386" t="s">
        <v>29</v>
      </c>
      <c r="F10" s="381" t="s">
        <v>31</v>
      </c>
      <c r="G10" s="374" t="s">
        <v>141</v>
      </c>
      <c r="H10" s="376" t="s">
        <v>142</v>
      </c>
      <c r="I10" s="377" t="s">
        <v>143</v>
      </c>
      <c r="J10" s="381" t="s">
        <v>144</v>
      </c>
      <c r="K10" s="381" t="s">
        <v>145</v>
      </c>
      <c r="L10" s="379" t="s">
        <v>146</v>
      </c>
      <c r="M10" s="377" t="s">
        <v>143</v>
      </c>
      <c r="N10" s="374" t="s">
        <v>37</v>
      </c>
      <c r="O10" s="387" t="s">
        <v>147</v>
      </c>
      <c r="P10" s="375" t="s">
        <v>39</v>
      </c>
      <c r="Q10" s="381" t="s">
        <v>41</v>
      </c>
      <c r="R10" s="375" t="s">
        <v>148</v>
      </c>
      <c r="S10" s="375"/>
      <c r="T10" s="375"/>
      <c r="U10" s="375"/>
      <c r="V10" s="375"/>
      <c r="W10" s="375"/>
      <c r="X10" s="373" t="s">
        <v>149</v>
      </c>
      <c r="Y10" s="373" t="s">
        <v>150</v>
      </c>
      <c r="Z10" s="373" t="s">
        <v>143</v>
      </c>
      <c r="AA10" s="373" t="s">
        <v>151</v>
      </c>
      <c r="AB10" s="373" t="s">
        <v>143</v>
      </c>
      <c r="AC10" s="373" t="s">
        <v>152</v>
      </c>
      <c r="AD10" s="387" t="s">
        <v>57</v>
      </c>
      <c r="AE10" s="375" t="s">
        <v>139</v>
      </c>
      <c r="AF10" s="375" t="s">
        <v>153</v>
      </c>
      <c r="AG10" s="375" t="s">
        <v>154</v>
      </c>
      <c r="AH10" s="381" t="s">
        <v>155</v>
      </c>
      <c r="AI10" s="375" t="s">
        <v>156</v>
      </c>
      <c r="AJ10" s="375" t="s">
        <v>157</v>
      </c>
      <c r="AK10" s="375"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85"/>
      <c r="B11" s="380"/>
      <c r="C11" s="375"/>
      <c r="D11" s="375"/>
      <c r="E11" s="380"/>
      <c r="F11" s="374"/>
      <c r="G11" s="375"/>
      <c r="H11" s="374"/>
      <c r="I11" s="378"/>
      <c r="J11" s="374"/>
      <c r="K11" s="374"/>
      <c r="L11" s="378"/>
      <c r="M11" s="378"/>
      <c r="N11" s="375"/>
      <c r="O11" s="388"/>
      <c r="P11" s="375"/>
      <c r="Q11" s="374"/>
      <c r="R11" s="7" t="s">
        <v>158</v>
      </c>
      <c r="S11" s="7" t="s">
        <v>159</v>
      </c>
      <c r="T11" s="7" t="s">
        <v>160</v>
      </c>
      <c r="U11" s="7" t="s">
        <v>161</v>
      </c>
      <c r="V11" s="7" t="s">
        <v>162</v>
      </c>
      <c r="W11" s="7" t="s">
        <v>163</v>
      </c>
      <c r="X11" s="373"/>
      <c r="Y11" s="373"/>
      <c r="Z11" s="373"/>
      <c r="AA11" s="373"/>
      <c r="AB11" s="373"/>
      <c r="AC11" s="373"/>
      <c r="AD11" s="388"/>
      <c r="AE11" s="375"/>
      <c r="AF11" s="375"/>
      <c r="AG11" s="375"/>
      <c r="AH11" s="374"/>
      <c r="AI11" s="375"/>
      <c r="AJ11" s="375"/>
      <c r="AK11" s="37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132" x14ac:dyDescent="0.25">
      <c r="A12" s="346">
        <v>1</v>
      </c>
      <c r="B12" s="370" t="s">
        <v>164</v>
      </c>
      <c r="C12" s="370" t="s">
        <v>165</v>
      </c>
      <c r="D12" s="370" t="s">
        <v>166</v>
      </c>
      <c r="E12" s="370" t="s">
        <v>167</v>
      </c>
      <c r="F12" s="352" t="s">
        <v>168</v>
      </c>
      <c r="G12" s="355">
        <v>40</v>
      </c>
      <c r="H12" s="358" t="str">
        <f>IF(G12&lt;=0,"",IF(G12&lt;=2,"Muy Baja",IF(G12&lt;=24,"Baja",IF(G12&lt;=500,"Media",IF(G12&lt;=5000,"Alta","Muy Alta")))))</f>
        <v>Media</v>
      </c>
      <c r="I12" s="364">
        <f>IF(H12="","",IF(H12="Muy Baja",0.2,IF(H12="Baja",0.4,IF(H12="Media",0.6,IF(H12="Alta",0.8,IF(H12="Muy Alta",1,))))))</f>
        <v>0.6</v>
      </c>
      <c r="J12" s="367" t="s">
        <v>169</v>
      </c>
      <c r="K12" s="364"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58" t="str">
        <f>IF(OR(K12='Tabla Impacto'!$C$11,K12='Tabla Impacto'!$D$11),"Leve",IF(OR(K12='Tabla Impacto'!$C$12,K12='Tabla Impacto'!$D$12),"Menor",IF(OR(K12='Tabla Impacto'!$C$13,K12='Tabla Impacto'!$D$13),"Moderado",IF(OR(K12='Tabla Impacto'!$C$14,K12='Tabla Impacto'!$D$14),"Mayor",IF(OR(K12='Tabla Impacto'!$C$15,K12='Tabla Impacto'!$D$15),"Catastrófico","")))))</f>
        <v>Moderado</v>
      </c>
      <c r="M12" s="364">
        <f>IF(L12="","",IF(L12="Leve",0.2,IF(L12="Menor",0.4,IF(L12="Moderado",0.6,IF(L12="Mayor",0.8,IF(L12="Catastrófico",1,))))))</f>
        <v>0.6</v>
      </c>
      <c r="N12" s="36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346">
        <v>1</v>
      </c>
      <c r="P12" s="343" t="s">
        <v>170</v>
      </c>
      <c r="Q12" s="349" t="str">
        <f>IF(OR(R12="Preventivo",R12="Detectivo"),"Probabilidad",IF(R12="Correctivo","Impacto",""))</f>
        <v>Probabilidad</v>
      </c>
      <c r="R12" s="340" t="s">
        <v>171</v>
      </c>
      <c r="S12" s="340" t="s">
        <v>172</v>
      </c>
      <c r="T12" s="331" t="str">
        <f>IF(AND(R12="Preventivo",S12="Automático"),"50%",IF(AND(R12="Preventivo",S12="Manual"),"40%",IF(AND(R12="Detectivo",S12="Automático"),"40%",IF(AND(R12="Detectivo",S12="Manual"),"30%",IF(AND(R12="Correctivo",S12="Automático"),"35%",IF(AND(R12="Correctivo",S12="Manual"),"25%",""))))))</f>
        <v>40%</v>
      </c>
      <c r="U12" s="340" t="s">
        <v>173</v>
      </c>
      <c r="V12" s="340" t="s">
        <v>174</v>
      </c>
      <c r="W12" s="340" t="s">
        <v>175</v>
      </c>
      <c r="X12" s="334">
        <f>IFERROR(IF(Q12="Probabilidad",(I12-(+I12*T12)),IF(Q12="Impacto",I12,"")),"")</f>
        <v>0.36</v>
      </c>
      <c r="Y12" s="328" t="str">
        <f>IFERROR(IF(X12="","",IF(X12&lt;=0.2,"Muy Baja",IF(X12&lt;=0.4,"Baja",IF(X12&lt;=0.6,"Media",IF(X12&lt;=0.8,"Alta","Muy Alta"))))),"")</f>
        <v>Baja</v>
      </c>
      <c r="Z12" s="331">
        <f>+X12</f>
        <v>0.36</v>
      </c>
      <c r="AA12" s="328" t="str">
        <f>IFERROR(IF(AB12="","",IF(AB12&lt;=0.2,"Leve",IF(AB12&lt;=0.4,"Menor",IF(AB12&lt;=0.6,"Moderado",IF(AB12&lt;=0.8,"Mayor","Catastrófico"))))),"")</f>
        <v>Moderado</v>
      </c>
      <c r="AB12" s="331">
        <f>IFERROR(IF(Q12="Impacto",(M12-(+M12*T12)),IF(Q12="Probabilidad",M12,"")),"")</f>
        <v>0.6</v>
      </c>
      <c r="AC12" s="33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340" t="s">
        <v>176</v>
      </c>
      <c r="AE12" s="173" t="s">
        <v>312</v>
      </c>
      <c r="AF12" s="174" t="s">
        <v>177</v>
      </c>
      <c r="AG12" s="175">
        <v>45373</v>
      </c>
      <c r="AH12" s="175">
        <v>45443</v>
      </c>
      <c r="AI12" s="159"/>
      <c r="AJ12" s="114"/>
      <c r="AK12" s="158"/>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s="3" customFormat="1" ht="99" x14ac:dyDescent="0.25">
      <c r="A13" s="347"/>
      <c r="B13" s="371"/>
      <c r="C13" s="371"/>
      <c r="D13" s="371"/>
      <c r="E13" s="371"/>
      <c r="F13" s="353"/>
      <c r="G13" s="356"/>
      <c r="H13" s="359"/>
      <c r="I13" s="365"/>
      <c r="J13" s="368"/>
      <c r="K13" s="365"/>
      <c r="L13" s="359"/>
      <c r="M13" s="365"/>
      <c r="N13" s="362"/>
      <c r="O13" s="347"/>
      <c r="P13" s="344"/>
      <c r="Q13" s="350"/>
      <c r="R13" s="341"/>
      <c r="S13" s="341"/>
      <c r="T13" s="332"/>
      <c r="U13" s="341"/>
      <c r="V13" s="341"/>
      <c r="W13" s="341"/>
      <c r="X13" s="335"/>
      <c r="Y13" s="329"/>
      <c r="Z13" s="332"/>
      <c r="AA13" s="329"/>
      <c r="AB13" s="332"/>
      <c r="AC13" s="338"/>
      <c r="AD13" s="341"/>
      <c r="AE13" s="173" t="s">
        <v>326</v>
      </c>
      <c r="AF13" s="174" t="s">
        <v>177</v>
      </c>
      <c r="AG13" s="175">
        <v>45373</v>
      </c>
      <c r="AH13" s="175">
        <v>45443</v>
      </c>
      <c r="AI13" s="159"/>
      <c r="AJ13" s="114"/>
      <c r="AK13" s="158"/>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row>
    <row r="14" spans="1:69" s="3" customFormat="1" ht="82.5" x14ac:dyDescent="0.25">
      <c r="A14" s="347"/>
      <c r="B14" s="371"/>
      <c r="C14" s="371"/>
      <c r="D14" s="371"/>
      <c r="E14" s="371"/>
      <c r="F14" s="353"/>
      <c r="G14" s="356"/>
      <c r="H14" s="359"/>
      <c r="I14" s="365"/>
      <c r="J14" s="368"/>
      <c r="K14" s="365"/>
      <c r="L14" s="359"/>
      <c r="M14" s="365"/>
      <c r="N14" s="362"/>
      <c r="O14" s="347"/>
      <c r="P14" s="344"/>
      <c r="Q14" s="350"/>
      <c r="R14" s="341"/>
      <c r="S14" s="341"/>
      <c r="T14" s="332"/>
      <c r="U14" s="341"/>
      <c r="V14" s="341"/>
      <c r="W14" s="341"/>
      <c r="X14" s="335"/>
      <c r="Y14" s="329"/>
      <c r="Z14" s="332"/>
      <c r="AA14" s="329"/>
      <c r="AB14" s="332"/>
      <c r="AC14" s="338"/>
      <c r="AD14" s="341"/>
      <c r="AE14" s="173" t="s">
        <v>178</v>
      </c>
      <c r="AF14" s="174" t="s">
        <v>179</v>
      </c>
      <c r="AG14" s="175">
        <v>45373</v>
      </c>
      <c r="AH14" s="175">
        <v>45443</v>
      </c>
      <c r="AI14" s="159"/>
      <c r="AJ14" s="114"/>
      <c r="AK14" s="158"/>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s="3" customFormat="1" ht="49.5" x14ac:dyDescent="0.25">
      <c r="A15" s="347"/>
      <c r="B15" s="371"/>
      <c r="C15" s="371"/>
      <c r="D15" s="371"/>
      <c r="E15" s="371"/>
      <c r="F15" s="353"/>
      <c r="G15" s="356"/>
      <c r="H15" s="359"/>
      <c r="I15" s="365"/>
      <c r="J15" s="368"/>
      <c r="K15" s="365"/>
      <c r="L15" s="359"/>
      <c r="M15" s="365"/>
      <c r="N15" s="362"/>
      <c r="O15" s="348"/>
      <c r="P15" s="345"/>
      <c r="Q15" s="351"/>
      <c r="R15" s="342"/>
      <c r="S15" s="342"/>
      <c r="T15" s="333"/>
      <c r="U15" s="342"/>
      <c r="V15" s="342"/>
      <c r="W15" s="342"/>
      <c r="X15" s="336"/>
      <c r="Y15" s="330"/>
      <c r="Z15" s="333"/>
      <c r="AA15" s="330"/>
      <c r="AB15" s="333"/>
      <c r="AC15" s="339"/>
      <c r="AD15" s="342"/>
      <c r="AE15" s="176" t="s">
        <v>313</v>
      </c>
      <c r="AF15" s="158" t="s">
        <v>179</v>
      </c>
      <c r="AG15" s="175">
        <v>45373</v>
      </c>
      <c r="AH15" s="175">
        <v>45642</v>
      </c>
      <c r="AI15" s="159"/>
      <c r="AJ15" s="114"/>
      <c r="AK15" s="158"/>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row>
    <row r="16" spans="1:69" x14ac:dyDescent="0.3">
      <c r="A16" s="347"/>
      <c r="B16" s="371"/>
      <c r="C16" s="371"/>
      <c r="D16" s="371"/>
      <c r="E16" s="371"/>
      <c r="F16" s="353"/>
      <c r="G16" s="356"/>
      <c r="H16" s="359"/>
      <c r="I16" s="365"/>
      <c r="J16" s="368"/>
      <c r="K16" s="365">
        <f>IF(NOT(ISERROR(MATCH(J16,_xlfn.ANCHORARRAY(E27),0))),I29&amp;"Por favor no seleccionar los criterios de impacto",J16)</f>
        <v>0</v>
      </c>
      <c r="L16" s="359"/>
      <c r="M16" s="365"/>
      <c r="N16" s="362"/>
      <c r="O16" s="6">
        <v>2</v>
      </c>
      <c r="P16" s="176"/>
      <c r="Q16" s="157" t="str">
        <f>IF(OR(R16="Preventivo",R16="Detectivo"),"Probabilidad",IF(R16="Correctivo","Impacto",""))</f>
        <v/>
      </c>
      <c r="R16" s="160"/>
      <c r="S16" s="160"/>
      <c r="T16" s="161" t="str">
        <f t="shared" ref="T16:T20" si="0">IF(AND(R16="Preventivo",S16="Automático"),"50%",IF(AND(R16="Preventivo",S16="Manual"),"40%",IF(AND(R16="Detectivo",S16="Automático"),"40%",IF(AND(R16="Detectivo",S16="Manual"),"30%",IF(AND(R16="Correctivo",S16="Automático"),"35%",IF(AND(R16="Correctivo",S16="Manual"),"25%",""))))))</f>
        <v/>
      </c>
      <c r="U16" s="160"/>
      <c r="V16" s="160"/>
      <c r="W16" s="160"/>
      <c r="X16" s="156" t="str">
        <f>IFERROR(IF(AND(Q12="Probabilidad",Q16="Probabilidad"),(Z12-(+Z12*T16)),IF(Q16="Probabilidad",(I12-(+I12*T16)),IF(Q16="Impacto",Z12,""))),"")</f>
        <v/>
      </c>
      <c r="Y16" s="162" t="str">
        <f t="shared" ref="Y16:Y74" si="1">IFERROR(IF(X16="","",IF(X16&lt;=0.2,"Muy Baja",IF(X16&lt;=0.4,"Baja",IF(X16&lt;=0.6,"Media",IF(X16&lt;=0.8,"Alta","Muy Alta"))))),"")</f>
        <v/>
      </c>
      <c r="Z16" s="163" t="str">
        <f t="shared" ref="Z16:Z20" si="2">+X16</f>
        <v/>
      </c>
      <c r="AA16" s="162" t="str">
        <f t="shared" ref="AA16:AA74" si="3">IFERROR(IF(AB16="","",IF(AB16&lt;=0.2,"Leve",IF(AB16&lt;=0.4,"Menor",IF(AB16&lt;=0.6,"Moderado",IF(AB16&lt;=0.8,"Mayor","Catastrófico"))))),"")</f>
        <v/>
      </c>
      <c r="AB16" s="163" t="str">
        <f>IFERROR(IF(AND(Q12="Impacto",Q16="Impacto"),(AB12-(+AB12*T16)),IF(Q16="Impacto",(M12-(+M12*T16)),IF(Q16="Probabilidad",AB12,""))),"")</f>
        <v/>
      </c>
      <c r="AC16" s="164" t="str">
        <f t="shared" ref="AC16:AC20" si="4">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65"/>
      <c r="AE16" s="176"/>
      <c r="AF16" s="177"/>
      <c r="AG16" s="159"/>
      <c r="AH16" s="159"/>
      <c r="AI16" s="159"/>
      <c r="AJ16" s="114"/>
      <c r="AK16" s="15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x14ac:dyDescent="0.3">
      <c r="A17" s="347"/>
      <c r="B17" s="371"/>
      <c r="C17" s="371"/>
      <c r="D17" s="371"/>
      <c r="E17" s="371"/>
      <c r="F17" s="353"/>
      <c r="G17" s="356"/>
      <c r="H17" s="359"/>
      <c r="I17" s="365"/>
      <c r="J17" s="368"/>
      <c r="K17" s="365">
        <f>IF(NOT(ISERROR(MATCH(J17,_xlfn.ANCHORARRAY(E28),0))),I30&amp;"Por favor no seleccionar los criterios de impacto",J17)</f>
        <v>0</v>
      </c>
      <c r="L17" s="359"/>
      <c r="M17" s="365"/>
      <c r="N17" s="362"/>
      <c r="O17" s="6">
        <v>3</v>
      </c>
      <c r="P17" s="166"/>
      <c r="Q17" s="106"/>
      <c r="R17" s="107"/>
      <c r="S17" s="107"/>
      <c r="T17" s="108"/>
      <c r="U17" s="107"/>
      <c r="V17" s="107"/>
      <c r="W17" s="107"/>
      <c r="X17" s="109"/>
      <c r="Y17" s="110"/>
      <c r="Z17" s="111"/>
      <c r="AA17" s="110"/>
      <c r="AB17" s="111"/>
      <c r="AC17" s="112"/>
      <c r="AD17" s="113"/>
      <c r="AE17" s="176"/>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x14ac:dyDescent="0.3">
      <c r="A18" s="347"/>
      <c r="B18" s="371"/>
      <c r="C18" s="371"/>
      <c r="D18" s="371"/>
      <c r="E18" s="371"/>
      <c r="F18" s="353"/>
      <c r="G18" s="356"/>
      <c r="H18" s="359"/>
      <c r="I18" s="365"/>
      <c r="J18" s="368"/>
      <c r="K18" s="365">
        <f>IF(NOT(ISERROR(MATCH(J18,_xlfn.ANCHORARRAY(E29),0))),I31&amp;"Por favor no seleccionar los criterios de impacto",J18)</f>
        <v>0</v>
      </c>
      <c r="L18" s="359"/>
      <c r="M18" s="365"/>
      <c r="N18" s="362"/>
      <c r="O18" s="6">
        <v>4</v>
      </c>
      <c r="P18" s="176"/>
      <c r="Q18" s="106"/>
      <c r="R18" s="107"/>
      <c r="S18" s="107"/>
      <c r="T18" s="108"/>
      <c r="U18" s="107"/>
      <c r="V18" s="107"/>
      <c r="W18" s="107"/>
      <c r="X18" s="109"/>
      <c r="Y18" s="110"/>
      <c r="Z18" s="111"/>
      <c r="AA18" s="110"/>
      <c r="AB18" s="111"/>
      <c r="AC18" s="112"/>
      <c r="AD18" s="113"/>
      <c r="AE18" s="176"/>
      <c r="AF18" s="115"/>
      <c r="AG18" s="116"/>
      <c r="AH18" s="116"/>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x14ac:dyDescent="0.3">
      <c r="A19" s="347"/>
      <c r="B19" s="371"/>
      <c r="C19" s="371"/>
      <c r="D19" s="371"/>
      <c r="E19" s="371"/>
      <c r="F19" s="353"/>
      <c r="G19" s="356"/>
      <c r="H19" s="359"/>
      <c r="I19" s="365"/>
      <c r="J19" s="368"/>
      <c r="K19" s="365">
        <f>IF(NOT(ISERROR(MATCH(J19,_xlfn.ANCHORARRAY(E30),0))),I32&amp;"Por favor no seleccionar los criterios de impacto",J19)</f>
        <v>0</v>
      </c>
      <c r="L19" s="359"/>
      <c r="M19" s="365"/>
      <c r="N19" s="362"/>
      <c r="O19" s="6">
        <v>5</v>
      </c>
      <c r="P19" s="176"/>
      <c r="Q19" s="106" t="str">
        <f t="shared" ref="Q19:Q20" si="5">IF(OR(R19="Preventivo",R19="Detectivo"),"Probabilidad",IF(R19="Correctivo","Impacto",""))</f>
        <v/>
      </c>
      <c r="R19" s="107"/>
      <c r="S19" s="107"/>
      <c r="T19" s="108" t="str">
        <f t="shared" si="0"/>
        <v/>
      </c>
      <c r="U19" s="107"/>
      <c r="V19" s="107"/>
      <c r="W19" s="107"/>
      <c r="X19" s="109" t="str">
        <f t="shared" ref="X19:X20" si="6">IFERROR(IF(AND(Q18="Probabilidad",Q19="Probabilidad"),(Z18-(+Z18*T19)),IF(AND(Q18="Impacto",Q19="Probabilidad"),(Z17-(+Z17*T19)),IF(Q19="Impacto",Z18,""))),"")</f>
        <v/>
      </c>
      <c r="Y19" s="110" t="str">
        <f t="shared" si="1"/>
        <v/>
      </c>
      <c r="Z19" s="111" t="str">
        <f t="shared" si="2"/>
        <v/>
      </c>
      <c r="AA19" s="110" t="str">
        <f t="shared" si="3"/>
        <v/>
      </c>
      <c r="AB19" s="111" t="str">
        <f t="shared" ref="AB19:AB20" si="7">IFERROR(IF(AND(Q18="Impacto",Q19="Impacto"),(AB18-(+AB18*T19)),IF(AND(Q18="Probabilidad",Q19="Impacto"),(AB17-(+AB17*T19)),IF(Q19="Probabilidad",AB18,""))),"")</f>
        <v/>
      </c>
      <c r="AC19" s="112" t="str">
        <f t="shared" si="4"/>
        <v/>
      </c>
      <c r="AD19" s="113"/>
      <c r="AE19" s="176"/>
      <c r="AF19" s="115"/>
      <c r="AG19" s="116"/>
      <c r="AH19" s="116"/>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x14ac:dyDescent="0.3">
      <c r="A20" s="348"/>
      <c r="B20" s="372"/>
      <c r="C20" s="372"/>
      <c r="D20" s="372"/>
      <c r="E20" s="372"/>
      <c r="F20" s="354"/>
      <c r="G20" s="357"/>
      <c r="H20" s="360"/>
      <c r="I20" s="366"/>
      <c r="J20" s="369"/>
      <c r="K20" s="366">
        <f>IF(NOT(ISERROR(MATCH(J20,_xlfn.ANCHORARRAY(E31),0))),I33&amp;"Por favor no seleccionar los criterios de impacto",J20)</f>
        <v>0</v>
      </c>
      <c r="L20" s="360"/>
      <c r="M20" s="366"/>
      <c r="N20" s="363"/>
      <c r="O20" s="6">
        <v>6</v>
      </c>
      <c r="P20" s="176"/>
      <c r="Q20" s="106" t="str">
        <f t="shared" si="5"/>
        <v/>
      </c>
      <c r="R20" s="107"/>
      <c r="S20" s="107"/>
      <c r="T20" s="108" t="str">
        <f t="shared" si="0"/>
        <v/>
      </c>
      <c r="U20" s="107"/>
      <c r="V20" s="107"/>
      <c r="W20" s="107"/>
      <c r="X20" s="109" t="str">
        <f t="shared" si="6"/>
        <v/>
      </c>
      <c r="Y20" s="110" t="str">
        <f t="shared" si="1"/>
        <v/>
      </c>
      <c r="Z20" s="111" t="str">
        <f t="shared" si="2"/>
        <v/>
      </c>
      <c r="AA20" s="110" t="str">
        <f t="shared" si="3"/>
        <v/>
      </c>
      <c r="AB20" s="111" t="str">
        <f t="shared" si="7"/>
        <v/>
      </c>
      <c r="AC20" s="112" t="str">
        <f t="shared" si="4"/>
        <v/>
      </c>
      <c r="AD20" s="113"/>
      <c r="AE20" s="176"/>
      <c r="AF20" s="115"/>
      <c r="AG20" s="116"/>
      <c r="AH20" s="116"/>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99" x14ac:dyDescent="0.3">
      <c r="A21" s="346">
        <v>2</v>
      </c>
      <c r="B21" s="352" t="s">
        <v>180</v>
      </c>
      <c r="C21" s="352" t="s">
        <v>181</v>
      </c>
      <c r="D21" s="352" t="s">
        <v>182</v>
      </c>
      <c r="E21" s="370" t="s">
        <v>183</v>
      </c>
      <c r="F21" s="352" t="s">
        <v>184</v>
      </c>
      <c r="G21" s="355">
        <v>20</v>
      </c>
      <c r="H21" s="358" t="str">
        <f>IF(G21&lt;=0,"",IF(G21&lt;=2,"Muy Baja",IF(G21&lt;=24,"Baja",IF(G21&lt;=500,"Media",IF(G21&lt;=5000,"Alta","Muy Alta")))))</f>
        <v>Baja</v>
      </c>
      <c r="I21" s="364">
        <f>IF(H21="","",IF(H21="Muy Baja",0.2,IF(H21="Baja",0.4,IF(H21="Media",0.6,IF(H21="Alta",0.8,IF(H21="Muy Alta",1,))))))</f>
        <v>0.4</v>
      </c>
      <c r="J21" s="367" t="s">
        <v>185</v>
      </c>
      <c r="K21" s="364" t="str">
        <f>IF(NOT(ISERROR(MATCH(J21,'Tabla Impacto'!$B$221:$B$223,0))),'Tabla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358" t="str">
        <f>IF(OR(K21='Tabla Impacto'!$C$11,K21='Tabla Impacto'!$D$11),"Leve",IF(OR(K21='Tabla Impacto'!$C$12,K21='Tabla Impacto'!$D$12),"Menor",IF(OR(K21='Tabla Impacto'!$C$13,K21='Tabla Impacto'!$D$13),"Moderado",IF(OR(K21='Tabla Impacto'!$C$14,K21='Tabla Impacto'!$D$14),"Mayor",IF(OR(K21='Tabla Impacto'!$C$15,K21='Tabla Impacto'!$D$15),"Catastrófico","")))))</f>
        <v>Mayor</v>
      </c>
      <c r="M21" s="364">
        <f>IF(L21="","",IF(L21="Leve",0.2,IF(L21="Menor",0.4,IF(L21="Moderado",0.6,IF(L21="Mayor",0.8,IF(L21="Catastrófico",1,))))))</f>
        <v>0.8</v>
      </c>
      <c r="N21" s="361"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6">
        <v>1</v>
      </c>
      <c r="P21" s="166" t="s">
        <v>327</v>
      </c>
      <c r="Q21" s="157" t="str">
        <f>IF(OR(R21="Preventivo",R21="Detectivo"),"Probabilidad",IF(R21="Correctivo","Impacto",""))</f>
        <v>Probabilidad</v>
      </c>
      <c r="R21" s="160" t="s">
        <v>186</v>
      </c>
      <c r="S21" s="160" t="s">
        <v>172</v>
      </c>
      <c r="T21" s="161" t="str">
        <f>IF(AND(R21="Preventivo",S21="Automático"),"50%",IF(AND(R21="Preventivo",S21="Manual"),"40%",IF(AND(R21="Detectivo",S21="Automático"),"40%",IF(AND(R21="Detectivo",S21="Manual"),"30%",IF(AND(R21="Correctivo",S21="Automático"),"35%",IF(AND(R21="Correctivo",S21="Manual"),"25%",""))))))</f>
        <v>30%</v>
      </c>
      <c r="U21" s="160" t="s">
        <v>173</v>
      </c>
      <c r="V21" s="160" t="s">
        <v>174</v>
      </c>
      <c r="W21" s="160" t="s">
        <v>175</v>
      </c>
      <c r="X21" s="156">
        <f>IFERROR(IF(Q21="Probabilidad",(I21-(+I21*T21)),IF(Q21="Impacto",I21,"")),"")</f>
        <v>0.28000000000000003</v>
      </c>
      <c r="Y21" s="162" t="str">
        <f>IFERROR(IF(X21="","",IF(X21&lt;=0.2,"Muy Baja",IF(X21&lt;=0.4,"Baja",IF(X21&lt;=0.6,"Media",IF(X21&lt;=0.8,"Alta","Muy Alta"))))),"")</f>
        <v>Baja</v>
      </c>
      <c r="Z21" s="163">
        <f>+X21</f>
        <v>0.28000000000000003</v>
      </c>
      <c r="AA21" s="162" t="str">
        <f>IFERROR(IF(AB21="","",IF(AB21&lt;=0.2,"Leve",IF(AB21&lt;=0.4,"Menor",IF(AB21&lt;=0.6,"Moderado",IF(AB21&lt;=0.8,"Mayor","Catastrófico"))))),"")</f>
        <v>Mayor</v>
      </c>
      <c r="AB21" s="163">
        <f>IFERROR(IF(Q21="Impacto",(M21-(+M21*T21)),IF(Q21="Probabilidad",M21,"")),"")</f>
        <v>0.8</v>
      </c>
      <c r="AC21" s="164"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165" t="s">
        <v>176</v>
      </c>
      <c r="AE21" s="176" t="s">
        <v>314</v>
      </c>
      <c r="AF21" s="158" t="s">
        <v>179</v>
      </c>
      <c r="AG21" s="175">
        <v>45474</v>
      </c>
      <c r="AH21" s="175">
        <v>45642</v>
      </c>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82.5" x14ac:dyDescent="0.3">
      <c r="A22" s="347"/>
      <c r="B22" s="353"/>
      <c r="C22" s="353"/>
      <c r="D22" s="353"/>
      <c r="E22" s="371"/>
      <c r="F22" s="353"/>
      <c r="G22" s="356"/>
      <c r="H22" s="359"/>
      <c r="I22" s="365"/>
      <c r="J22" s="368"/>
      <c r="K22" s="365">
        <f>IF(NOT(ISERROR(MATCH(J22,_xlfn.ANCHORARRAY(E33),0))),I35&amp;"Por favor no seleccionar los criterios de impacto",J22)</f>
        <v>0</v>
      </c>
      <c r="L22" s="359"/>
      <c r="M22" s="365"/>
      <c r="N22" s="362"/>
      <c r="O22" s="6">
        <v>2</v>
      </c>
      <c r="P22" s="176" t="s">
        <v>187</v>
      </c>
      <c r="Q22" s="157" t="str">
        <f>IF(OR(R22="Preventivo",R22="Detectivo"),"Probabilidad",IF(R22="Correctivo","Impacto",""))</f>
        <v>Probabilidad</v>
      </c>
      <c r="R22" s="160" t="s">
        <v>171</v>
      </c>
      <c r="S22" s="160" t="s">
        <v>172</v>
      </c>
      <c r="T22" s="161" t="str">
        <f t="shared" ref="T22:T26" si="8">IF(AND(R22="Preventivo",S22="Automático"),"50%",IF(AND(R22="Preventivo",S22="Manual"),"40%",IF(AND(R22="Detectivo",S22="Automático"),"40%",IF(AND(R22="Detectivo",S22="Manual"),"30%",IF(AND(R22="Correctivo",S22="Automático"),"35%",IF(AND(R22="Correctivo",S22="Manual"),"25%",""))))))</f>
        <v>40%</v>
      </c>
      <c r="U22" s="160" t="s">
        <v>173</v>
      </c>
      <c r="V22" s="160" t="s">
        <v>174</v>
      </c>
      <c r="W22" s="160" t="s">
        <v>175</v>
      </c>
      <c r="X22" s="156">
        <f>IFERROR(IF(AND(Q21="Probabilidad",Q22="Probabilidad"),(Z21-(+Z21*T22)),IF(Q22="Probabilidad",(I21-(+I21*T22)),IF(Q22="Impacto",Z21,""))),"")</f>
        <v>0.16800000000000001</v>
      </c>
      <c r="Y22" s="162" t="str">
        <f t="shared" si="1"/>
        <v>Muy Baja</v>
      </c>
      <c r="Z22" s="163">
        <f t="shared" ref="Z22:Z26" si="9">+X22</f>
        <v>0.16800000000000001</v>
      </c>
      <c r="AA22" s="162" t="str">
        <f t="shared" si="3"/>
        <v>Mayor</v>
      </c>
      <c r="AB22" s="163">
        <f>IFERROR(IF(AND(Q21="Impacto",Q22="Impacto"),(AB21-(+AB21*T22)),IF(Q22="Impacto",(M21-(+M21*T22)),IF(Q22="Probabilidad",AB21,""))),"")</f>
        <v>0.8</v>
      </c>
      <c r="AC22" s="164" t="str">
        <f t="shared" ref="AC22:AC23" si="10">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Alto</v>
      </c>
      <c r="AD22" s="165" t="s">
        <v>176</v>
      </c>
      <c r="AE22" s="176" t="s">
        <v>188</v>
      </c>
      <c r="AF22" s="158" t="s">
        <v>179</v>
      </c>
      <c r="AG22" s="175">
        <v>45373</v>
      </c>
      <c r="AH22" s="175">
        <v>45642</v>
      </c>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82.5" x14ac:dyDescent="0.3">
      <c r="A23" s="347"/>
      <c r="B23" s="353"/>
      <c r="C23" s="353"/>
      <c r="D23" s="353"/>
      <c r="E23" s="371"/>
      <c r="F23" s="353"/>
      <c r="G23" s="356"/>
      <c r="H23" s="359"/>
      <c r="I23" s="365"/>
      <c r="J23" s="368"/>
      <c r="K23" s="365">
        <f>IF(NOT(ISERROR(MATCH(J23,_xlfn.ANCHORARRAY(E34),0))),I36&amp;"Por favor no seleccionar los criterios de impacto",J23)</f>
        <v>0</v>
      </c>
      <c r="L23" s="359"/>
      <c r="M23" s="365"/>
      <c r="N23" s="362"/>
      <c r="O23" s="6">
        <v>3</v>
      </c>
      <c r="P23" s="176" t="s">
        <v>189</v>
      </c>
      <c r="Q23" s="157" t="str">
        <f>IF(OR(R23="Preventivo",R23="Detectivo"),"Probabilidad",IF(R23="Correctivo","Impacto",""))</f>
        <v>Probabilidad</v>
      </c>
      <c r="R23" s="160" t="s">
        <v>171</v>
      </c>
      <c r="S23" s="160" t="s">
        <v>172</v>
      </c>
      <c r="T23" s="161" t="str">
        <f t="shared" si="8"/>
        <v>40%</v>
      </c>
      <c r="U23" s="160" t="s">
        <v>173</v>
      </c>
      <c r="V23" s="160" t="s">
        <v>174</v>
      </c>
      <c r="W23" s="160" t="s">
        <v>175</v>
      </c>
      <c r="X23" s="156">
        <f>IFERROR(IF(AND(Q22="Probabilidad",Q23="Probabilidad"),(Z22-(+Z22*T23)),IF(AND(Q22="Impacto",Q23="Probabilidad"),(Z21-(+Z21*T23)),IF(Q23="Impacto",Z22,""))),"")</f>
        <v>0.1008</v>
      </c>
      <c r="Y23" s="162" t="str">
        <f t="shared" si="1"/>
        <v>Muy Baja</v>
      </c>
      <c r="Z23" s="163">
        <f t="shared" si="9"/>
        <v>0.1008</v>
      </c>
      <c r="AA23" s="162" t="str">
        <f t="shared" si="3"/>
        <v>Mayor</v>
      </c>
      <c r="AB23" s="163">
        <f>IFERROR(IF(AND(Q22="Impacto",Q23="Impacto"),(AB22-(+AB22*T23)),IF(AND(Q22="Probabilidad",Q23="Impacto"),(AB21-(+AB21*T23)),IF(Q23="Probabilidad",AB22,""))),"")</f>
        <v>0.8</v>
      </c>
      <c r="AC23" s="164" t="str">
        <f t="shared" si="10"/>
        <v>Alto</v>
      </c>
      <c r="AD23" s="165" t="s">
        <v>176</v>
      </c>
      <c r="AE23" s="176" t="s">
        <v>315</v>
      </c>
      <c r="AF23" s="158" t="s">
        <v>179</v>
      </c>
      <c r="AG23" s="175">
        <v>45373</v>
      </c>
      <c r="AH23" s="175">
        <v>45642</v>
      </c>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x14ac:dyDescent="0.3">
      <c r="A24" s="347"/>
      <c r="B24" s="353"/>
      <c r="C24" s="353"/>
      <c r="D24" s="353"/>
      <c r="E24" s="371"/>
      <c r="F24" s="353"/>
      <c r="G24" s="356"/>
      <c r="H24" s="359"/>
      <c r="I24" s="365"/>
      <c r="J24" s="368"/>
      <c r="K24" s="365">
        <f>IF(NOT(ISERROR(MATCH(J24,_xlfn.ANCHORARRAY(E35),0))),I37&amp;"Por favor no seleccionar los criterios de impacto",J24)</f>
        <v>0</v>
      </c>
      <c r="L24" s="359"/>
      <c r="M24" s="365"/>
      <c r="N24" s="362"/>
      <c r="O24" s="6">
        <v>4</v>
      </c>
      <c r="P24" s="176"/>
      <c r="Q24" s="106" t="str">
        <f t="shared" ref="Q24:Q26" si="11">IF(OR(R24="Preventivo",R24="Detectivo"),"Probabilidad",IF(R24="Correctivo","Impacto",""))</f>
        <v/>
      </c>
      <c r="R24" s="107"/>
      <c r="S24" s="107"/>
      <c r="T24" s="108" t="str">
        <f t="shared" si="8"/>
        <v/>
      </c>
      <c r="U24" s="107"/>
      <c r="V24" s="107"/>
      <c r="W24" s="107"/>
      <c r="X24" s="109" t="str">
        <f t="shared" ref="X24:X26" si="12">IFERROR(IF(AND(Q23="Probabilidad",Q24="Probabilidad"),(Z23-(+Z23*T24)),IF(AND(Q23="Impacto",Q24="Probabilidad"),(Z22-(+Z22*T24)),IF(Q24="Impacto",Z23,""))),"")</f>
        <v/>
      </c>
      <c r="Y24" s="110" t="str">
        <f t="shared" si="1"/>
        <v/>
      </c>
      <c r="Z24" s="111" t="str">
        <f t="shared" si="9"/>
        <v/>
      </c>
      <c r="AA24" s="110" t="str">
        <f t="shared" si="3"/>
        <v/>
      </c>
      <c r="AB24" s="111" t="str">
        <f t="shared" ref="AB24:AB26" si="13">IFERROR(IF(AND(Q23="Impacto",Q24="Impacto"),(AB23-(+AB23*T24)),IF(AND(Q23="Probabilidad",Q24="Impacto"),(AB22-(+AB22*T24)),IF(Q24="Probabilidad",AB23,""))),"")</f>
        <v/>
      </c>
      <c r="AC24" s="11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3"/>
      <c r="AE24" s="176"/>
      <c r="AF24" s="115"/>
      <c r="AG24" s="116"/>
      <c r="AH24" s="116"/>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x14ac:dyDescent="0.3">
      <c r="A25" s="347"/>
      <c r="B25" s="353"/>
      <c r="C25" s="353"/>
      <c r="D25" s="353"/>
      <c r="E25" s="371"/>
      <c r="F25" s="353"/>
      <c r="G25" s="356"/>
      <c r="H25" s="359"/>
      <c r="I25" s="365"/>
      <c r="J25" s="368"/>
      <c r="K25" s="365">
        <f>IF(NOT(ISERROR(MATCH(J25,_xlfn.ANCHORARRAY(E36),0))),I38&amp;"Por favor no seleccionar los criterios de impacto",J25)</f>
        <v>0</v>
      </c>
      <c r="L25" s="359"/>
      <c r="M25" s="365"/>
      <c r="N25" s="362"/>
      <c r="O25" s="6">
        <v>5</v>
      </c>
      <c r="P25" s="176"/>
      <c r="Q25" s="106" t="str">
        <f t="shared" si="11"/>
        <v/>
      </c>
      <c r="R25" s="107"/>
      <c r="S25" s="107"/>
      <c r="T25" s="108" t="str">
        <f t="shared" si="8"/>
        <v/>
      </c>
      <c r="U25" s="107"/>
      <c r="V25" s="107"/>
      <c r="W25" s="107"/>
      <c r="X25" s="109" t="str">
        <f t="shared" si="12"/>
        <v/>
      </c>
      <c r="Y25" s="110" t="str">
        <f t="shared" si="1"/>
        <v/>
      </c>
      <c r="Z25" s="111" t="str">
        <f t="shared" si="9"/>
        <v/>
      </c>
      <c r="AA25" s="110" t="str">
        <f t="shared" si="3"/>
        <v/>
      </c>
      <c r="AB25" s="111" t="str">
        <f t="shared" si="13"/>
        <v/>
      </c>
      <c r="AC25" s="112" t="str">
        <f t="shared" ref="AC25:AC26" si="14">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13"/>
      <c r="AE25" s="176"/>
      <c r="AF25" s="115"/>
      <c r="AG25" s="116"/>
      <c r="AH25" s="116"/>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x14ac:dyDescent="0.3">
      <c r="A26" s="348"/>
      <c r="B26" s="354"/>
      <c r="C26" s="354"/>
      <c r="D26" s="354"/>
      <c r="E26" s="372"/>
      <c r="F26" s="354"/>
      <c r="G26" s="357"/>
      <c r="H26" s="360"/>
      <c r="I26" s="366"/>
      <c r="J26" s="369"/>
      <c r="K26" s="366">
        <f>IF(NOT(ISERROR(MATCH(J26,_xlfn.ANCHORARRAY(E37),0))),I39&amp;"Por favor no seleccionar los criterios de impacto",J26)</f>
        <v>0</v>
      </c>
      <c r="L26" s="360"/>
      <c r="M26" s="366"/>
      <c r="N26" s="363"/>
      <c r="O26" s="6">
        <v>6</v>
      </c>
      <c r="P26" s="176"/>
      <c r="Q26" s="106" t="str">
        <f t="shared" si="11"/>
        <v/>
      </c>
      <c r="R26" s="107"/>
      <c r="S26" s="107"/>
      <c r="T26" s="108" t="str">
        <f t="shared" si="8"/>
        <v/>
      </c>
      <c r="U26" s="107"/>
      <c r="V26" s="107"/>
      <c r="W26" s="107"/>
      <c r="X26" s="109" t="str">
        <f t="shared" si="12"/>
        <v/>
      </c>
      <c r="Y26" s="110" t="str">
        <f t="shared" si="1"/>
        <v/>
      </c>
      <c r="Z26" s="111" t="str">
        <f t="shared" si="9"/>
        <v/>
      </c>
      <c r="AA26" s="110" t="str">
        <f t="shared" si="3"/>
        <v/>
      </c>
      <c r="AB26" s="111" t="str">
        <f t="shared" si="13"/>
        <v/>
      </c>
      <c r="AC26" s="112" t="str">
        <f t="shared" si="14"/>
        <v/>
      </c>
      <c r="AD26" s="113"/>
      <c r="AE26" s="176"/>
      <c r="AF26" s="115"/>
      <c r="AG26" s="116"/>
      <c r="AH26" s="116"/>
      <c r="AI26" s="116"/>
      <c r="AJ26" s="114"/>
      <c r="AK26" s="115"/>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24.5" customHeight="1" x14ac:dyDescent="0.3">
      <c r="A27" s="346">
        <v>3</v>
      </c>
      <c r="B27" s="352" t="s">
        <v>180</v>
      </c>
      <c r="C27" s="352" t="s">
        <v>190</v>
      </c>
      <c r="D27" s="352" t="s">
        <v>316</v>
      </c>
      <c r="E27" s="370" t="s">
        <v>317</v>
      </c>
      <c r="F27" s="352" t="s">
        <v>168</v>
      </c>
      <c r="G27" s="355">
        <v>15</v>
      </c>
      <c r="H27" s="358" t="str">
        <f>IF(G27&lt;=0,"",IF(G27&lt;=2,"Muy Baja",IF(G27&lt;=24,"Baja",IF(G27&lt;=500,"Media",IF(G27&lt;=5000,"Alta","Muy Alta")))))</f>
        <v>Baja</v>
      </c>
      <c r="I27" s="364">
        <f>IF(H27="","",IF(H27="Muy Baja",0.2,IF(H27="Baja",0.4,IF(H27="Media",0.6,IF(H27="Alta",0.8,IF(H27="Muy Alta",1,))))))</f>
        <v>0.4</v>
      </c>
      <c r="J27" s="367" t="s">
        <v>185</v>
      </c>
      <c r="K27" s="364" t="str">
        <f>IF(NOT(ISERROR(MATCH(J27,'Tabla Impacto'!$B$221:$B$223,0))),'Tabla Impacto'!$F$223&amp;"Por favor no seleccionar los criterios de impacto(Afectación Económica o presupuestal y Pérdida Reputacional)",J27)</f>
        <v xml:space="preserve">     El riesgo afecta la imagen de de la entidad con efecto publicitario sostenido a nivel de sector administrativo, nivel departamental o municipal</v>
      </c>
      <c r="L27" s="358" t="str">
        <f>IF(OR(K27='Tabla Impacto'!$C$11,K27='Tabla Impacto'!$D$11),"Leve",IF(OR(K27='Tabla Impacto'!$C$12,K27='Tabla Impacto'!$D$12),"Menor",IF(OR(K27='Tabla Impacto'!$C$13,K27='Tabla Impacto'!$D$13),"Moderado",IF(OR(K27='Tabla Impacto'!$C$14,K27='Tabla Impacto'!$D$14),"Mayor",IF(OR(K27='Tabla Impacto'!$C$15,K27='Tabla Impacto'!$D$15),"Catastrófico","")))))</f>
        <v>Mayor</v>
      </c>
      <c r="M27" s="364">
        <f>IF(L27="","",IF(L27="Leve",0.2,IF(L27="Menor",0.4,IF(L27="Moderado",0.6,IF(L27="Mayor",0.8,IF(L27="Catastrófico",1,))))))</f>
        <v>0.8</v>
      </c>
      <c r="N27" s="361"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6">
        <v>1</v>
      </c>
      <c r="P27" s="178" t="s">
        <v>318</v>
      </c>
      <c r="Q27" s="157" t="str">
        <f>IF(OR(R27="Preventivo",R27="Detectivo"),"Probabilidad",IF(R27="Correctivo","Impacto",""))</f>
        <v>Probabilidad</v>
      </c>
      <c r="R27" s="160" t="s">
        <v>171</v>
      </c>
      <c r="S27" s="160" t="s">
        <v>172</v>
      </c>
      <c r="T27" s="161" t="str">
        <f>IF(AND(R27="Preventivo",S27="Automático"),"50%",IF(AND(R27="Preventivo",S27="Manual"),"40%",IF(AND(R27="Detectivo",S27="Automático"),"40%",IF(AND(R27="Detectivo",S27="Manual"),"30%",IF(AND(R27="Correctivo",S27="Automático"),"35%",IF(AND(R27="Correctivo",S27="Manual"),"25%",""))))))</f>
        <v>40%</v>
      </c>
      <c r="U27" s="160" t="s">
        <v>173</v>
      </c>
      <c r="V27" s="160" t="s">
        <v>174</v>
      </c>
      <c r="W27" s="160" t="s">
        <v>175</v>
      </c>
      <c r="X27" s="156">
        <f>IFERROR(IF(Q27="Probabilidad",(I27-(+I27*T27)),IF(Q27="Impacto",I27,"")),"")</f>
        <v>0.24</v>
      </c>
      <c r="Y27" s="162" t="str">
        <f>IFERROR(IF(X27="","",IF(X27&lt;=0.2,"Muy Baja",IF(X27&lt;=0.4,"Baja",IF(X27&lt;=0.6,"Media",IF(X27&lt;=0.8,"Alta","Muy Alta"))))),"")</f>
        <v>Baja</v>
      </c>
      <c r="Z27" s="163">
        <f>+X27</f>
        <v>0.24</v>
      </c>
      <c r="AA27" s="162" t="str">
        <f>IFERROR(IF(AB27="","",IF(AB27&lt;=0.2,"Leve",IF(AB27&lt;=0.4,"Menor",IF(AB27&lt;=0.6,"Moderado",IF(AB27&lt;=0.8,"Mayor","Catastrófico"))))),"")</f>
        <v>Mayor</v>
      </c>
      <c r="AB27" s="163">
        <f>IFERROR(IF(Q27="Impacto",(M27-(+M27*T27)),IF(Q27="Probabilidad",M27,"")),"")</f>
        <v>0.8</v>
      </c>
      <c r="AC27" s="164"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Alto</v>
      </c>
      <c r="AD27" s="165" t="s">
        <v>176</v>
      </c>
      <c r="AE27" s="176" t="s">
        <v>328</v>
      </c>
      <c r="AF27" s="177" t="s">
        <v>179</v>
      </c>
      <c r="AG27" s="175">
        <v>45373</v>
      </c>
      <c r="AH27" s="175">
        <v>45642</v>
      </c>
      <c r="AI27" s="116"/>
      <c r="AJ27" s="114"/>
      <c r="AK27" s="115"/>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x14ac:dyDescent="0.3">
      <c r="A28" s="347"/>
      <c r="B28" s="353"/>
      <c r="C28" s="353"/>
      <c r="D28" s="353"/>
      <c r="E28" s="371"/>
      <c r="F28" s="353"/>
      <c r="G28" s="356"/>
      <c r="H28" s="359"/>
      <c r="I28" s="365"/>
      <c r="J28" s="368"/>
      <c r="K28" s="365">
        <f>IF(NOT(ISERROR(MATCH(J28,_xlfn.ANCHORARRAY(E39),0))),I41&amp;"Por favor no seleccionar los criterios de impacto",J28)</f>
        <v>0</v>
      </c>
      <c r="L28" s="359"/>
      <c r="M28" s="365"/>
      <c r="N28" s="362"/>
      <c r="O28" s="6">
        <v>2</v>
      </c>
      <c r="P28" s="176"/>
      <c r="Q28" s="106" t="str">
        <f>IF(OR(R28="Preventivo",R28="Detectivo"),"Probabilidad",IF(R28="Correctivo","Impacto",""))</f>
        <v/>
      </c>
      <c r="R28" s="160"/>
      <c r="S28" s="160"/>
      <c r="T28" s="161" t="str">
        <f t="shared" ref="T28:T51" si="15">IF(AND(R28="Preventivo",S28="Automático"),"50%",IF(AND(R28="Preventivo",S28="Manual"),"40%",IF(AND(R28="Detectivo",S28="Automático"),"40%",IF(AND(R28="Detectivo",S28="Manual"),"30%",IF(AND(R28="Correctivo",S28="Automático"),"35%",IF(AND(R28="Correctivo",S28="Manual"),"25%",""))))))</f>
        <v/>
      </c>
      <c r="U28" s="160"/>
      <c r="V28" s="160"/>
      <c r="W28" s="160"/>
      <c r="X28" s="156" t="str">
        <f>IFERROR(IF(AND(Q27="Probabilidad",Q28="Probabilidad"),(Z27-(+Z27*T28)),IF(Q28="Probabilidad",(I27-(+I27*T28)),IF(Q28="Impacto",Z27,""))),"")</f>
        <v/>
      </c>
      <c r="Y28" s="162" t="str">
        <f t="shared" si="1"/>
        <v/>
      </c>
      <c r="Z28" s="163" t="str">
        <f t="shared" ref="Z28:Z32" si="16">+X28</f>
        <v/>
      </c>
      <c r="AA28" s="162" t="str">
        <f t="shared" si="3"/>
        <v/>
      </c>
      <c r="AB28" s="163" t="str">
        <f>IFERROR(IF(AND(Q27="Impacto",Q28="Impacto"),(AB27-(+AB27*T28)),IF(Q28="Impacto",(M27-(+M27*T28)),IF(Q28="Probabilidad",AB27,""))),"")</f>
        <v/>
      </c>
      <c r="AC28" s="164" t="str">
        <f t="shared" ref="AC28:AC29" si="17">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65"/>
      <c r="AE28" s="176"/>
      <c r="AF28" s="114"/>
      <c r="AG28" s="116"/>
      <c r="AH28" s="116"/>
      <c r="AI28" s="116"/>
      <c r="AJ28" s="114"/>
      <c r="AK28" s="115"/>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x14ac:dyDescent="0.3">
      <c r="A29" s="347"/>
      <c r="B29" s="353"/>
      <c r="C29" s="353"/>
      <c r="D29" s="353"/>
      <c r="E29" s="371"/>
      <c r="F29" s="353"/>
      <c r="G29" s="356"/>
      <c r="H29" s="359"/>
      <c r="I29" s="365"/>
      <c r="J29" s="368"/>
      <c r="K29" s="365">
        <f>IF(NOT(ISERROR(MATCH(J29,_xlfn.ANCHORARRAY(E40),0))),I42&amp;"Por favor no seleccionar los criterios de impacto",J29)</f>
        <v>0</v>
      </c>
      <c r="L29" s="359"/>
      <c r="M29" s="365"/>
      <c r="N29" s="362"/>
      <c r="O29" s="6">
        <v>3</v>
      </c>
      <c r="P29" s="166"/>
      <c r="Q29" s="106" t="str">
        <f>IF(OR(R29="Preventivo",R29="Detectivo"),"Probabilidad",IF(R29="Correctivo","Impacto",""))</f>
        <v/>
      </c>
      <c r="R29" s="107"/>
      <c r="S29" s="107"/>
      <c r="T29" s="161" t="str">
        <f t="shared" si="15"/>
        <v/>
      </c>
      <c r="U29" s="107"/>
      <c r="V29" s="107"/>
      <c r="W29" s="107"/>
      <c r="X29" s="109" t="str">
        <f>IFERROR(IF(AND(Q28="Probabilidad",Q29="Probabilidad"),(Z28-(+Z28*T29)),IF(AND(Q28="Impacto",Q29="Probabilidad"),(Z27-(+Z27*T29)),IF(Q29="Impacto",Z28,""))),"")</f>
        <v/>
      </c>
      <c r="Y29" s="110" t="str">
        <f t="shared" si="1"/>
        <v/>
      </c>
      <c r="Z29" s="111" t="str">
        <f t="shared" si="16"/>
        <v/>
      </c>
      <c r="AA29" s="110" t="str">
        <f t="shared" si="3"/>
        <v/>
      </c>
      <c r="AB29" s="111" t="str">
        <f>IFERROR(IF(AND(Q28="Impacto",Q29="Impacto"),(AB28-(+AB28*T29)),IF(AND(Q28="Probabilidad",Q29="Impacto"),(AB27-(+AB27*T29)),IF(Q29="Probabilidad",AB28,""))),"")</f>
        <v/>
      </c>
      <c r="AC29" s="112" t="str">
        <f t="shared" si="17"/>
        <v/>
      </c>
      <c r="AD29" s="113"/>
      <c r="AE29" s="176"/>
      <c r="AF29" s="115"/>
      <c r="AG29" s="116"/>
      <c r="AH29" s="116"/>
      <c r="AI29" s="116"/>
      <c r="AJ29" s="114"/>
      <c r="AK29" s="115"/>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x14ac:dyDescent="0.3">
      <c r="A30" s="347"/>
      <c r="B30" s="353"/>
      <c r="C30" s="353"/>
      <c r="D30" s="353"/>
      <c r="E30" s="371"/>
      <c r="F30" s="353"/>
      <c r="G30" s="356"/>
      <c r="H30" s="359"/>
      <c r="I30" s="365"/>
      <c r="J30" s="368"/>
      <c r="K30" s="365">
        <f>IF(NOT(ISERROR(MATCH(J30,_xlfn.ANCHORARRAY(E41),0))),I43&amp;"Por favor no seleccionar los criterios de impacto",J30)</f>
        <v>0</v>
      </c>
      <c r="L30" s="359"/>
      <c r="M30" s="365"/>
      <c r="N30" s="362"/>
      <c r="O30" s="6">
        <v>4</v>
      </c>
      <c r="P30" s="176"/>
      <c r="Q30" s="106" t="str">
        <f t="shared" ref="Q30:Q32" si="18">IF(OR(R30="Preventivo",R30="Detectivo"),"Probabilidad",IF(R30="Correctivo","Impacto",""))</f>
        <v/>
      </c>
      <c r="R30" s="107"/>
      <c r="S30" s="107"/>
      <c r="T30" s="161" t="str">
        <f t="shared" si="15"/>
        <v/>
      </c>
      <c r="U30" s="107"/>
      <c r="V30" s="107"/>
      <c r="W30" s="107"/>
      <c r="X30" s="109" t="str">
        <f t="shared" ref="X30:X32" si="19">IFERROR(IF(AND(Q29="Probabilidad",Q30="Probabilidad"),(Z29-(+Z29*T30)),IF(AND(Q29="Impacto",Q30="Probabilidad"),(Z28-(+Z28*T30)),IF(Q30="Impacto",Z29,""))),"")</f>
        <v/>
      </c>
      <c r="Y30" s="110" t="str">
        <f t="shared" si="1"/>
        <v/>
      </c>
      <c r="Z30" s="111" t="str">
        <f t="shared" si="16"/>
        <v/>
      </c>
      <c r="AA30" s="110" t="str">
        <f t="shared" si="3"/>
        <v/>
      </c>
      <c r="AB30" s="111" t="str">
        <f t="shared" ref="AB30:AB32" si="20">IFERROR(IF(AND(Q29="Impacto",Q30="Impacto"),(AB29-(+AB29*T30)),IF(AND(Q29="Probabilidad",Q30="Impacto"),(AB28-(+AB28*T30)),IF(Q30="Probabilidad",AB29,""))),"")</f>
        <v/>
      </c>
      <c r="AC30" s="11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3"/>
      <c r="AE30" s="176"/>
      <c r="AF30" s="115"/>
      <c r="AG30" s="116"/>
      <c r="AH30" s="116"/>
      <c r="AI30" s="116"/>
      <c r="AJ30" s="114"/>
      <c r="AK30" s="115"/>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x14ac:dyDescent="0.3">
      <c r="A31" s="347"/>
      <c r="B31" s="353"/>
      <c r="C31" s="353"/>
      <c r="D31" s="353"/>
      <c r="E31" s="371"/>
      <c r="F31" s="353"/>
      <c r="G31" s="356"/>
      <c r="H31" s="359"/>
      <c r="I31" s="365"/>
      <c r="J31" s="368"/>
      <c r="K31" s="365">
        <f>IF(NOT(ISERROR(MATCH(J31,_xlfn.ANCHORARRAY(E42),0))),I44&amp;"Por favor no seleccionar los criterios de impacto",J31)</f>
        <v>0</v>
      </c>
      <c r="L31" s="359"/>
      <c r="M31" s="365"/>
      <c r="N31" s="362"/>
      <c r="O31" s="6">
        <v>5</v>
      </c>
      <c r="P31" s="176"/>
      <c r="Q31" s="106" t="str">
        <f t="shared" si="18"/>
        <v/>
      </c>
      <c r="R31" s="107"/>
      <c r="S31" s="107"/>
      <c r="T31" s="161" t="str">
        <f t="shared" si="15"/>
        <v/>
      </c>
      <c r="U31" s="107"/>
      <c r="V31" s="107"/>
      <c r="W31" s="107"/>
      <c r="X31" s="109" t="str">
        <f t="shared" si="19"/>
        <v/>
      </c>
      <c r="Y31" s="110" t="str">
        <f t="shared" si="1"/>
        <v/>
      </c>
      <c r="Z31" s="111" t="str">
        <f t="shared" si="16"/>
        <v/>
      </c>
      <c r="AA31" s="110" t="str">
        <f t="shared" si="3"/>
        <v/>
      </c>
      <c r="AB31" s="111" t="str">
        <f t="shared" si="20"/>
        <v/>
      </c>
      <c r="AC31" s="112" t="str">
        <f t="shared" ref="AC31:AC32" si="21">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3"/>
      <c r="AE31" s="176"/>
      <c r="AF31" s="115"/>
      <c r="AG31" s="116"/>
      <c r="AH31" s="116"/>
      <c r="AI31" s="116"/>
      <c r="AJ31" s="114"/>
      <c r="AK31" s="115"/>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x14ac:dyDescent="0.3">
      <c r="A32" s="348"/>
      <c r="B32" s="354"/>
      <c r="C32" s="354"/>
      <c r="D32" s="354"/>
      <c r="E32" s="372"/>
      <c r="F32" s="354"/>
      <c r="G32" s="357"/>
      <c r="H32" s="360"/>
      <c r="I32" s="366"/>
      <c r="J32" s="369"/>
      <c r="K32" s="366">
        <f>IF(NOT(ISERROR(MATCH(J32,_xlfn.ANCHORARRAY(E43),0))),I45&amp;"Por favor no seleccionar los criterios de impacto",J32)</f>
        <v>0</v>
      </c>
      <c r="L32" s="360"/>
      <c r="M32" s="366"/>
      <c r="N32" s="363"/>
      <c r="O32" s="6">
        <v>6</v>
      </c>
      <c r="P32" s="176"/>
      <c r="Q32" s="106" t="str">
        <f t="shared" si="18"/>
        <v/>
      </c>
      <c r="R32" s="107"/>
      <c r="S32" s="107"/>
      <c r="T32" s="161" t="str">
        <f t="shared" si="15"/>
        <v/>
      </c>
      <c r="U32" s="107"/>
      <c r="V32" s="107"/>
      <c r="W32" s="107"/>
      <c r="X32" s="109" t="str">
        <f t="shared" si="19"/>
        <v/>
      </c>
      <c r="Y32" s="110" t="str">
        <f t="shared" si="1"/>
        <v/>
      </c>
      <c r="Z32" s="111" t="str">
        <f t="shared" si="16"/>
        <v/>
      </c>
      <c r="AA32" s="110" t="str">
        <f t="shared" si="3"/>
        <v/>
      </c>
      <c r="AB32" s="111" t="str">
        <f t="shared" si="20"/>
        <v/>
      </c>
      <c r="AC32" s="112" t="str">
        <f t="shared" si="21"/>
        <v/>
      </c>
      <c r="AD32" s="113"/>
      <c r="AE32" s="176"/>
      <c r="AF32" s="115"/>
      <c r="AG32" s="116"/>
      <c r="AH32" s="116"/>
      <c r="AI32" s="116"/>
      <c r="AJ32" s="114"/>
      <c r="AK32" s="115"/>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82.5" x14ac:dyDescent="0.3">
      <c r="A33" s="346">
        <v>4</v>
      </c>
      <c r="B33" s="352" t="s">
        <v>180</v>
      </c>
      <c r="C33" s="352" t="s">
        <v>190</v>
      </c>
      <c r="D33" s="352" t="s">
        <v>191</v>
      </c>
      <c r="E33" s="370" t="s">
        <v>192</v>
      </c>
      <c r="F33" s="352" t="s">
        <v>168</v>
      </c>
      <c r="G33" s="355">
        <v>25</v>
      </c>
      <c r="H33" s="358" t="str">
        <f>IF(G33&lt;=0,"",IF(G33&lt;=2,"Muy Baja",IF(G33&lt;=24,"Baja",IF(G33&lt;=500,"Media",IF(G33&lt;=5000,"Alta","Muy Alta")))))</f>
        <v>Media</v>
      </c>
      <c r="I33" s="364">
        <f>IF(H33="","",IF(H33="Muy Baja",0.2,IF(H33="Baja",0.4,IF(H33="Media",0.6,IF(H33="Alta",0.8,IF(H33="Muy Alta",1,))))))</f>
        <v>0.6</v>
      </c>
      <c r="J33" s="367" t="s">
        <v>185</v>
      </c>
      <c r="K33" s="364" t="str">
        <f>IF(NOT(ISERROR(MATCH(J33,'Tabla Impacto'!$B$221:$B$223,0))),'Tabla Impacto'!$F$223&amp;"Por favor no seleccionar los criterios de impacto(Afectación Económica o presupuestal y Pérdida Reputacional)",J33)</f>
        <v xml:space="preserve">     El riesgo afecta la imagen de de la entidad con efecto publicitario sostenido a nivel de sector administrativo, nivel departamental o municipal</v>
      </c>
      <c r="L33" s="358" t="str">
        <f>IF(OR(K33='Tabla Impacto'!$C$11,K33='Tabla Impacto'!$D$11),"Leve",IF(OR(K33='Tabla Impacto'!$C$12,K33='Tabla Impacto'!$D$12),"Menor",IF(OR(K33='Tabla Impacto'!$C$13,K33='Tabla Impacto'!$D$13),"Moderado",IF(OR(K33='Tabla Impacto'!$C$14,K33='Tabla Impacto'!$D$14),"Mayor",IF(OR(K33='Tabla Impacto'!$C$15,K33='Tabla Impacto'!$D$15),"Catastrófico","")))))</f>
        <v>Mayor</v>
      </c>
      <c r="M33" s="364">
        <f>IF(L33="","",IF(L33="Leve",0.2,IF(L33="Menor",0.4,IF(L33="Moderado",0.6,IF(L33="Mayor",0.8,IF(L33="Catastrófico",1,))))))</f>
        <v>0.8</v>
      </c>
      <c r="N33" s="361"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6">
        <v>1</v>
      </c>
      <c r="P33" s="176" t="s">
        <v>329</v>
      </c>
      <c r="Q33" s="157" t="str">
        <f>IF(OR(R33="Preventivo",R33="Detectivo"),"Probabilidad",IF(R33="Correctivo","Impacto",""))</f>
        <v>Probabilidad</v>
      </c>
      <c r="R33" s="160" t="s">
        <v>186</v>
      </c>
      <c r="S33" s="160" t="s">
        <v>172</v>
      </c>
      <c r="T33" s="161" t="str">
        <f t="shared" si="15"/>
        <v>30%</v>
      </c>
      <c r="U33" s="160" t="s">
        <v>173</v>
      </c>
      <c r="V33" s="160" t="s">
        <v>174</v>
      </c>
      <c r="W33" s="160" t="s">
        <v>175</v>
      </c>
      <c r="X33" s="156">
        <f>IFERROR(IF(Q33="Probabilidad",(I33-(+I33*T33)),IF(Q33="Impacto",I33,"")),"")</f>
        <v>0.42</v>
      </c>
      <c r="Y33" s="162" t="str">
        <f>IFERROR(IF(X33="","",IF(X33&lt;=0.2,"Muy Baja",IF(X33&lt;=0.4,"Baja",IF(X33&lt;=0.6,"Media",IF(X33&lt;=0.8,"Alta","Muy Alta"))))),"")</f>
        <v>Media</v>
      </c>
      <c r="Z33" s="163">
        <f>+X33</f>
        <v>0.42</v>
      </c>
      <c r="AA33" s="162" t="str">
        <f>IFERROR(IF(AB33="","",IF(AB33&lt;=0.2,"Leve",IF(AB33&lt;=0.4,"Menor",IF(AB33&lt;=0.6,"Moderado",IF(AB33&lt;=0.8,"Mayor","Catastrófico"))))),"")</f>
        <v>Mayor</v>
      </c>
      <c r="AB33" s="163">
        <f>IFERROR(IF(Q33="Impacto",(M33-(+M33*T33)),IF(Q33="Probabilidad",M33,"")),"")</f>
        <v>0.8</v>
      </c>
      <c r="AC33" s="164"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Alto</v>
      </c>
      <c r="AD33" s="165" t="s">
        <v>176</v>
      </c>
      <c r="AE33" s="176" t="s">
        <v>319</v>
      </c>
      <c r="AF33" s="177" t="s">
        <v>179</v>
      </c>
      <c r="AG33" s="175">
        <v>45373</v>
      </c>
      <c r="AH33" s="175">
        <v>45642</v>
      </c>
      <c r="AI33" s="116"/>
      <c r="AJ33" s="114"/>
      <c r="AK33" s="115"/>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x14ac:dyDescent="0.3">
      <c r="A34" s="347"/>
      <c r="B34" s="353"/>
      <c r="C34" s="353"/>
      <c r="D34" s="353"/>
      <c r="E34" s="371"/>
      <c r="F34" s="353"/>
      <c r="G34" s="356"/>
      <c r="H34" s="359"/>
      <c r="I34" s="365"/>
      <c r="J34" s="368"/>
      <c r="K34" s="365">
        <f>IF(NOT(ISERROR(MATCH(J34,_xlfn.ANCHORARRAY(E45),0))),I47&amp;"Por favor no seleccionar los criterios de impacto",J34)</f>
        <v>0</v>
      </c>
      <c r="L34" s="359"/>
      <c r="M34" s="365"/>
      <c r="N34" s="362"/>
      <c r="O34" s="6">
        <v>2</v>
      </c>
      <c r="P34" s="176"/>
      <c r="Q34" s="157" t="str">
        <f t="shared" ref="Q34:Q51" si="22">IF(OR(R34="Preventivo",R34="Detectivo"),"Probabilidad",IF(R34="Correctivo","Impacto",""))</f>
        <v/>
      </c>
      <c r="R34" s="107"/>
      <c r="S34" s="107"/>
      <c r="T34" s="161" t="str">
        <f t="shared" si="15"/>
        <v/>
      </c>
      <c r="U34" s="107"/>
      <c r="V34" s="107"/>
      <c r="W34" s="107"/>
      <c r="X34" s="109" t="str">
        <f>IFERROR(IF(AND(Q33="Probabilidad",Q34="Probabilidad"),(Z33-(+Z33*T34)),IF(Q34="Probabilidad",(I33-(+I33*T34)),IF(Q34="Impacto",Z33,""))),"")</f>
        <v/>
      </c>
      <c r="Y34" s="110" t="str">
        <f t="shared" si="1"/>
        <v/>
      </c>
      <c r="Z34" s="111" t="str">
        <f t="shared" ref="Z34:Z38" si="23">+X34</f>
        <v/>
      </c>
      <c r="AA34" s="110" t="str">
        <f t="shared" si="3"/>
        <v/>
      </c>
      <c r="AB34" s="111" t="str">
        <f>IFERROR(IF(AND(Q33="Impacto",Q34="Impacto"),(AB33-(+AB33*T34)),IF(Q34="Impacto",(M33-(+M33*T34)),IF(Q34="Probabilidad",AB33,""))),"")</f>
        <v/>
      </c>
      <c r="AC34" s="112" t="str">
        <f t="shared" ref="AC34:AC35" si="24">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3"/>
      <c r="AE34" s="176"/>
      <c r="AF34" s="115"/>
      <c r="AG34" s="116"/>
      <c r="AH34" s="116"/>
      <c r="AI34" s="116"/>
      <c r="AJ34" s="114"/>
      <c r="AK34" s="115"/>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x14ac:dyDescent="0.3">
      <c r="A35" s="347"/>
      <c r="B35" s="353"/>
      <c r="C35" s="353"/>
      <c r="D35" s="353"/>
      <c r="E35" s="371"/>
      <c r="F35" s="353"/>
      <c r="G35" s="356"/>
      <c r="H35" s="359"/>
      <c r="I35" s="365"/>
      <c r="J35" s="368"/>
      <c r="K35" s="365">
        <f>IF(NOT(ISERROR(MATCH(J35,_xlfn.ANCHORARRAY(E46),0))),I48&amp;"Por favor no seleccionar los criterios de impacto",J35)</f>
        <v>0</v>
      </c>
      <c r="L35" s="359"/>
      <c r="M35" s="365"/>
      <c r="N35" s="362"/>
      <c r="O35" s="6">
        <v>3</v>
      </c>
      <c r="P35" s="166"/>
      <c r="Q35" s="157" t="str">
        <f t="shared" si="22"/>
        <v/>
      </c>
      <c r="R35" s="107"/>
      <c r="S35" s="107"/>
      <c r="T35" s="161" t="str">
        <f t="shared" si="15"/>
        <v/>
      </c>
      <c r="U35" s="107"/>
      <c r="V35" s="107"/>
      <c r="W35" s="107"/>
      <c r="X35" s="109" t="str">
        <f>IFERROR(IF(AND(Q34="Probabilidad",Q35="Probabilidad"),(Z34-(+Z34*T35)),IF(AND(Q34="Impacto",Q35="Probabilidad"),(Z33-(+Z33*T35)),IF(Q35="Impacto",Z34,""))),"")</f>
        <v/>
      </c>
      <c r="Y35" s="110" t="str">
        <f t="shared" si="1"/>
        <v/>
      </c>
      <c r="Z35" s="111" t="str">
        <f t="shared" si="23"/>
        <v/>
      </c>
      <c r="AA35" s="110" t="str">
        <f t="shared" si="3"/>
        <v/>
      </c>
      <c r="AB35" s="111" t="str">
        <f>IFERROR(IF(AND(Q34="Impacto",Q35="Impacto"),(AB34-(+AB34*T35)),IF(AND(Q34="Probabilidad",Q35="Impacto"),(AB33-(+AB33*T35)),IF(Q35="Probabilidad",AB34,""))),"")</f>
        <v/>
      </c>
      <c r="AC35" s="112" t="str">
        <f t="shared" si="24"/>
        <v/>
      </c>
      <c r="AD35" s="113"/>
      <c r="AE35" s="176"/>
      <c r="AF35" s="115"/>
      <c r="AG35" s="116"/>
      <c r="AH35" s="116"/>
      <c r="AI35" s="116"/>
      <c r="AJ35" s="114"/>
      <c r="AK35" s="115"/>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x14ac:dyDescent="0.3">
      <c r="A36" s="347"/>
      <c r="B36" s="353"/>
      <c r="C36" s="353"/>
      <c r="D36" s="353"/>
      <c r="E36" s="371"/>
      <c r="F36" s="353"/>
      <c r="G36" s="356"/>
      <c r="H36" s="359"/>
      <c r="I36" s="365"/>
      <c r="J36" s="368"/>
      <c r="K36" s="365">
        <f>IF(NOT(ISERROR(MATCH(J36,_xlfn.ANCHORARRAY(E47),0))),I49&amp;"Por favor no seleccionar los criterios de impacto",J36)</f>
        <v>0</v>
      </c>
      <c r="L36" s="359"/>
      <c r="M36" s="365"/>
      <c r="N36" s="362"/>
      <c r="O36" s="6">
        <v>4</v>
      </c>
      <c r="P36" s="176"/>
      <c r="Q36" s="157" t="str">
        <f t="shared" si="22"/>
        <v/>
      </c>
      <c r="R36" s="107"/>
      <c r="S36" s="107"/>
      <c r="T36" s="161" t="str">
        <f t="shared" si="15"/>
        <v/>
      </c>
      <c r="U36" s="107"/>
      <c r="V36" s="107"/>
      <c r="W36" s="107"/>
      <c r="X36" s="109" t="str">
        <f t="shared" ref="X36:X38" si="25">IFERROR(IF(AND(Q35="Probabilidad",Q36="Probabilidad"),(Z35-(+Z35*T36)),IF(AND(Q35="Impacto",Q36="Probabilidad"),(Z34-(+Z34*T36)),IF(Q36="Impacto",Z35,""))),"")</f>
        <v/>
      </c>
      <c r="Y36" s="110" t="str">
        <f t="shared" si="1"/>
        <v/>
      </c>
      <c r="Z36" s="111" t="str">
        <f t="shared" si="23"/>
        <v/>
      </c>
      <c r="AA36" s="110" t="str">
        <f t="shared" si="3"/>
        <v/>
      </c>
      <c r="AB36" s="111" t="str">
        <f t="shared" ref="AB36:AB38" si="26">IFERROR(IF(AND(Q35="Impacto",Q36="Impacto"),(AB35-(+AB35*T36)),IF(AND(Q35="Probabilidad",Q36="Impacto"),(AB34-(+AB34*T36)),IF(Q36="Probabilidad",AB35,""))),"")</f>
        <v/>
      </c>
      <c r="AC36" s="11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3"/>
      <c r="AE36" s="176"/>
      <c r="AF36" s="115"/>
      <c r="AG36" s="116"/>
      <c r="AH36" s="116"/>
      <c r="AI36" s="116"/>
      <c r="AJ36" s="114"/>
      <c r="AK36" s="115"/>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x14ac:dyDescent="0.3">
      <c r="A37" s="347"/>
      <c r="B37" s="353"/>
      <c r="C37" s="353"/>
      <c r="D37" s="353"/>
      <c r="E37" s="371"/>
      <c r="F37" s="353"/>
      <c r="G37" s="356"/>
      <c r="H37" s="359"/>
      <c r="I37" s="365"/>
      <c r="J37" s="368"/>
      <c r="K37" s="365">
        <f>IF(NOT(ISERROR(MATCH(J37,_xlfn.ANCHORARRAY(E48),0))),I50&amp;"Por favor no seleccionar los criterios de impacto",J37)</f>
        <v>0</v>
      </c>
      <c r="L37" s="359"/>
      <c r="M37" s="365"/>
      <c r="N37" s="362"/>
      <c r="O37" s="6">
        <v>5</v>
      </c>
      <c r="P37" s="176"/>
      <c r="Q37" s="157" t="str">
        <f t="shared" si="22"/>
        <v/>
      </c>
      <c r="R37" s="107"/>
      <c r="S37" s="107"/>
      <c r="T37" s="161" t="str">
        <f t="shared" si="15"/>
        <v/>
      </c>
      <c r="U37" s="107"/>
      <c r="V37" s="107"/>
      <c r="W37" s="107"/>
      <c r="X37" s="109" t="str">
        <f t="shared" si="25"/>
        <v/>
      </c>
      <c r="Y37" s="110" t="str">
        <f>IFERROR(IF(X37="","",IF(X37&lt;=0.2,"Muy Baja",IF(X37&lt;=0.4,"Baja",IF(X37&lt;=0.6,"Media",IF(X37&lt;=0.8,"Alta","Muy Alta"))))),"")</f>
        <v/>
      </c>
      <c r="Z37" s="111" t="str">
        <f t="shared" si="23"/>
        <v/>
      </c>
      <c r="AA37" s="110" t="str">
        <f t="shared" si="3"/>
        <v/>
      </c>
      <c r="AB37" s="111" t="str">
        <f t="shared" si="26"/>
        <v/>
      </c>
      <c r="AC37" s="112" t="str">
        <f t="shared" ref="AC37:AC38" si="27">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3"/>
      <c r="AE37" s="176"/>
      <c r="AF37" s="115"/>
      <c r="AG37" s="116"/>
      <c r="AH37" s="116"/>
      <c r="AI37" s="116"/>
      <c r="AJ37" s="114"/>
      <c r="AK37" s="115"/>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x14ac:dyDescent="0.3">
      <c r="A38" s="348"/>
      <c r="B38" s="354"/>
      <c r="C38" s="354"/>
      <c r="D38" s="354"/>
      <c r="E38" s="372"/>
      <c r="F38" s="354"/>
      <c r="G38" s="357"/>
      <c r="H38" s="360"/>
      <c r="I38" s="366"/>
      <c r="J38" s="369"/>
      <c r="K38" s="366">
        <f>IF(NOT(ISERROR(MATCH(J38,_xlfn.ANCHORARRAY(E49),0))),I51&amp;"Por favor no seleccionar los criterios de impacto",J38)</f>
        <v>0</v>
      </c>
      <c r="L38" s="360"/>
      <c r="M38" s="366"/>
      <c r="N38" s="363"/>
      <c r="O38" s="6">
        <v>6</v>
      </c>
      <c r="P38" s="176"/>
      <c r="Q38" s="157" t="str">
        <f t="shared" si="22"/>
        <v/>
      </c>
      <c r="R38" s="107"/>
      <c r="S38" s="107"/>
      <c r="T38" s="161" t="str">
        <f t="shared" si="15"/>
        <v/>
      </c>
      <c r="U38" s="107"/>
      <c r="V38" s="107"/>
      <c r="W38" s="107"/>
      <c r="X38" s="109" t="str">
        <f t="shared" si="25"/>
        <v/>
      </c>
      <c r="Y38" s="110" t="str">
        <f t="shared" si="1"/>
        <v/>
      </c>
      <c r="Z38" s="111" t="str">
        <f t="shared" si="23"/>
        <v/>
      </c>
      <c r="AA38" s="110" t="str">
        <f t="shared" si="3"/>
        <v/>
      </c>
      <c r="AB38" s="111" t="str">
        <f t="shared" si="26"/>
        <v/>
      </c>
      <c r="AC38" s="112" t="str">
        <f t="shared" si="27"/>
        <v/>
      </c>
      <c r="AD38" s="113"/>
      <c r="AE38" s="176"/>
      <c r="AF38" s="115"/>
      <c r="AG38" s="116"/>
      <c r="AH38" s="116"/>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82.5" x14ac:dyDescent="0.3">
      <c r="A39" s="346">
        <v>5</v>
      </c>
      <c r="B39" s="352" t="s">
        <v>164</v>
      </c>
      <c r="C39" s="352" t="s">
        <v>193</v>
      </c>
      <c r="D39" s="352" t="s">
        <v>194</v>
      </c>
      <c r="E39" s="370" t="s">
        <v>195</v>
      </c>
      <c r="F39" s="352" t="s">
        <v>168</v>
      </c>
      <c r="G39" s="355">
        <v>7152</v>
      </c>
      <c r="H39" s="358" t="str">
        <f>IF(G39&lt;=0,"",IF(G39&lt;=2,"Muy Baja",IF(G39&lt;=24,"Baja",IF(G39&lt;=500,"Media",IF(G39&lt;=5000,"Alta","Muy Alta")))))</f>
        <v>Muy Alta</v>
      </c>
      <c r="I39" s="364">
        <f>IF(H39="","",IF(H39="Muy Baja",0.2,IF(H39="Baja",0.4,IF(H39="Media",0.6,IF(H39="Alta",0.8,IF(H39="Muy Alta",1,))))))</f>
        <v>1</v>
      </c>
      <c r="J39" s="367" t="s">
        <v>196</v>
      </c>
      <c r="K39" s="364" t="str">
        <f>IF(NOT(ISERROR(MATCH(J39,'Tabla Impacto'!$B$221:$B$223,0))),'Tabla Impacto'!$F$223&amp;"Por favor no seleccionar los criterios de impacto(Afectación Económica o presupuestal y Pérdida Reputacional)",J39)</f>
        <v xml:space="preserve">     El riesgo afecta la imagen de la entidad internamente, de conocimiento general, nivel interno, de junta dircetiva y accionistas y/o de provedores</v>
      </c>
      <c r="L39" s="358" t="str">
        <f>IF(OR(K39='Tabla Impacto'!$C$11,K39='Tabla Impacto'!$D$11),"Leve",IF(OR(K39='Tabla Impacto'!$C$12,K39='Tabla Impacto'!$D$12),"Menor",IF(OR(K39='Tabla Impacto'!$C$13,K39='Tabla Impacto'!$D$13),"Moderado",IF(OR(K39='Tabla Impacto'!$C$14,K39='Tabla Impacto'!$D$14),"Mayor",IF(OR(K39='Tabla Impacto'!$C$15,K39='Tabla Impacto'!$D$15),"Catastrófico","")))))</f>
        <v>Menor</v>
      </c>
      <c r="M39" s="364">
        <f>IF(L39="","",IF(L39="Leve",0.2,IF(L39="Menor",0.4,IF(L39="Moderado",0.6,IF(L39="Mayor",0.8,IF(L39="Catastrófico",1,))))))</f>
        <v>0.4</v>
      </c>
      <c r="N39" s="361"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Alto</v>
      </c>
      <c r="O39" s="6">
        <v>1</v>
      </c>
      <c r="P39" s="176" t="s">
        <v>197</v>
      </c>
      <c r="Q39" s="157" t="str">
        <f t="shared" si="22"/>
        <v>Probabilidad</v>
      </c>
      <c r="R39" s="160" t="s">
        <v>171</v>
      </c>
      <c r="S39" s="160" t="s">
        <v>172</v>
      </c>
      <c r="T39" s="161" t="str">
        <f t="shared" si="15"/>
        <v>40%</v>
      </c>
      <c r="U39" s="160" t="s">
        <v>173</v>
      </c>
      <c r="V39" s="160" t="s">
        <v>174</v>
      </c>
      <c r="W39" s="160" t="s">
        <v>175</v>
      </c>
      <c r="X39" s="156">
        <f>IFERROR(IF(Q39="Probabilidad",(I39-(+I39*T39)),IF(Q39="Impacto",I39,"")),"")</f>
        <v>0.6</v>
      </c>
      <c r="Y39" s="162" t="str">
        <f>IFERROR(IF(X39="","",IF(X39&lt;=0.2,"Muy Baja",IF(X39&lt;=0.4,"Baja",IF(X39&lt;=0.6,"Media",IF(X39&lt;=0.8,"Alta","Muy Alta"))))),"")</f>
        <v>Media</v>
      </c>
      <c r="Z39" s="163">
        <f>+X39</f>
        <v>0.6</v>
      </c>
      <c r="AA39" s="162" t="str">
        <f>IFERROR(IF(AB39="","",IF(AB39&lt;=0.2,"Leve",IF(AB39&lt;=0.4,"Menor",IF(AB39&lt;=0.6,"Moderado",IF(AB39&lt;=0.8,"Mayor","Catastrófico"))))),"")</f>
        <v>Menor</v>
      </c>
      <c r="AB39" s="163">
        <f>IFERROR(IF(Q39="Impacto",(M39-(+M39*T39)),IF(Q39="Probabilidad",M39,"")),"")</f>
        <v>0.4</v>
      </c>
      <c r="AC39" s="164"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165" t="s">
        <v>176</v>
      </c>
      <c r="AE39" s="176" t="s">
        <v>330</v>
      </c>
      <c r="AF39" s="177" t="s">
        <v>179</v>
      </c>
      <c r="AG39" s="175">
        <v>45373</v>
      </c>
      <c r="AH39" s="175">
        <v>45642</v>
      </c>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x14ac:dyDescent="0.3">
      <c r="A40" s="347"/>
      <c r="B40" s="353"/>
      <c r="C40" s="353"/>
      <c r="D40" s="353"/>
      <c r="E40" s="371"/>
      <c r="F40" s="353"/>
      <c r="G40" s="356"/>
      <c r="H40" s="359"/>
      <c r="I40" s="365"/>
      <c r="J40" s="368"/>
      <c r="K40" s="365">
        <f>IF(NOT(ISERROR(MATCH(J40,_xlfn.ANCHORARRAY(E51),0))),I53&amp;"Por favor no seleccionar los criterios de impacto",J40)</f>
        <v>0</v>
      </c>
      <c r="L40" s="359"/>
      <c r="M40" s="365"/>
      <c r="N40" s="362"/>
      <c r="O40" s="6">
        <v>2</v>
      </c>
      <c r="P40" s="176"/>
      <c r="Q40" s="157" t="str">
        <f t="shared" si="22"/>
        <v/>
      </c>
      <c r="R40" s="107"/>
      <c r="S40" s="107"/>
      <c r="T40" s="161" t="str">
        <f t="shared" si="15"/>
        <v/>
      </c>
      <c r="U40" s="107"/>
      <c r="V40" s="107"/>
      <c r="W40" s="107"/>
      <c r="X40" s="109" t="str">
        <f>IFERROR(IF(AND(Q39="Probabilidad",Q40="Probabilidad"),(Z39-(+Z39*T40)),IF(Q40="Probabilidad",(I39-(+I39*T40)),IF(Q40="Impacto",Z39,""))),"")</f>
        <v/>
      </c>
      <c r="Y40" s="110" t="str">
        <f t="shared" si="1"/>
        <v/>
      </c>
      <c r="Z40" s="111" t="str">
        <f t="shared" ref="Z40:Z44" si="28">+X40</f>
        <v/>
      </c>
      <c r="AA40" s="110" t="str">
        <f t="shared" si="3"/>
        <v/>
      </c>
      <c r="AB40" s="111" t="str">
        <f>IFERROR(IF(AND(Q39="Impacto",Q40="Impacto"),(AB39-(+AB39*T40)),IF(Q40="Impacto",(M39-(+M39*T40)),IF(Q40="Probabilidad",AB39,""))),"")</f>
        <v/>
      </c>
      <c r="AC40" s="112"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3"/>
      <c r="AE40" s="176"/>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x14ac:dyDescent="0.3">
      <c r="A41" s="347"/>
      <c r="B41" s="353"/>
      <c r="C41" s="353"/>
      <c r="D41" s="353"/>
      <c r="E41" s="371"/>
      <c r="F41" s="353"/>
      <c r="G41" s="356"/>
      <c r="H41" s="359"/>
      <c r="I41" s="365"/>
      <c r="J41" s="368"/>
      <c r="K41" s="365">
        <f>IF(NOT(ISERROR(MATCH(J41,_xlfn.ANCHORARRAY(E52),0))),I54&amp;"Por favor no seleccionar los criterios de impacto",J41)</f>
        <v>0</v>
      </c>
      <c r="L41" s="359"/>
      <c r="M41" s="365"/>
      <c r="N41" s="362"/>
      <c r="O41" s="6">
        <v>3</v>
      </c>
      <c r="P41" s="166"/>
      <c r="Q41" s="157" t="str">
        <f t="shared" si="22"/>
        <v/>
      </c>
      <c r="R41" s="107"/>
      <c r="S41" s="107"/>
      <c r="T41" s="161" t="str">
        <f t="shared" si="15"/>
        <v/>
      </c>
      <c r="U41" s="107"/>
      <c r="V41" s="107"/>
      <c r="W41" s="107"/>
      <c r="X41" s="109" t="str">
        <f>IFERROR(IF(AND(Q40="Probabilidad",Q41="Probabilidad"),(Z40-(+Z40*T41)),IF(AND(Q40="Impacto",Q41="Probabilidad"),(Z39-(+Z39*T41)),IF(Q41="Impacto",Z40,""))),"")</f>
        <v/>
      </c>
      <c r="Y41" s="110" t="str">
        <f t="shared" si="1"/>
        <v/>
      </c>
      <c r="Z41" s="111" t="str">
        <f t="shared" si="28"/>
        <v/>
      </c>
      <c r="AA41" s="110" t="str">
        <f t="shared" si="3"/>
        <v/>
      </c>
      <c r="AB41" s="111" t="str">
        <f>IFERROR(IF(AND(Q40="Impacto",Q41="Impacto"),(AB40-(+AB40*T41)),IF(AND(Q40="Probabilidad",Q41="Impacto"),(AB39-(+AB39*T41)),IF(Q41="Probabilidad",AB40,""))),"")</f>
        <v/>
      </c>
      <c r="AC41" s="112" t="str">
        <f t="shared" si="29"/>
        <v/>
      </c>
      <c r="AD41" s="113"/>
      <c r="AE41" s="176"/>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x14ac:dyDescent="0.3">
      <c r="A42" s="347"/>
      <c r="B42" s="353"/>
      <c r="C42" s="353"/>
      <c r="D42" s="353"/>
      <c r="E42" s="371"/>
      <c r="F42" s="353"/>
      <c r="G42" s="356"/>
      <c r="H42" s="359"/>
      <c r="I42" s="365"/>
      <c r="J42" s="368"/>
      <c r="K42" s="365">
        <f>IF(NOT(ISERROR(MATCH(J42,_xlfn.ANCHORARRAY(E53),0))),I55&amp;"Por favor no seleccionar los criterios de impacto",J42)</f>
        <v>0</v>
      </c>
      <c r="L42" s="359"/>
      <c r="M42" s="365"/>
      <c r="N42" s="362"/>
      <c r="O42" s="6">
        <v>4</v>
      </c>
      <c r="P42" s="176"/>
      <c r="Q42" s="157" t="str">
        <f t="shared" si="22"/>
        <v/>
      </c>
      <c r="R42" s="107"/>
      <c r="S42" s="107"/>
      <c r="T42" s="161" t="str">
        <f t="shared" si="15"/>
        <v/>
      </c>
      <c r="U42" s="107"/>
      <c r="V42" s="107"/>
      <c r="W42" s="107"/>
      <c r="X42" s="109" t="str">
        <f t="shared" ref="X42:X44" si="30">IFERROR(IF(AND(Q41="Probabilidad",Q42="Probabilidad"),(Z41-(+Z41*T42)),IF(AND(Q41="Impacto",Q42="Probabilidad"),(Z40-(+Z40*T42)),IF(Q42="Impacto",Z41,""))),"")</f>
        <v/>
      </c>
      <c r="Y42" s="110" t="str">
        <f t="shared" si="1"/>
        <v/>
      </c>
      <c r="Z42" s="111" t="str">
        <f t="shared" si="28"/>
        <v/>
      </c>
      <c r="AA42" s="110" t="str">
        <f t="shared" si="3"/>
        <v/>
      </c>
      <c r="AB42" s="111" t="str">
        <f t="shared" ref="AB42:AB44" si="31">IFERROR(IF(AND(Q41="Impacto",Q42="Impacto"),(AB41-(+AB41*T42)),IF(AND(Q41="Probabilidad",Q42="Impacto"),(AB40-(+AB40*T42)),IF(Q42="Probabilidad",AB41,""))),"")</f>
        <v/>
      </c>
      <c r="AC42" s="11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76"/>
      <c r="AF42" s="115"/>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x14ac:dyDescent="0.3">
      <c r="A43" s="347"/>
      <c r="B43" s="353"/>
      <c r="C43" s="353"/>
      <c r="D43" s="353"/>
      <c r="E43" s="371"/>
      <c r="F43" s="353"/>
      <c r="G43" s="356"/>
      <c r="H43" s="359"/>
      <c r="I43" s="365"/>
      <c r="J43" s="368"/>
      <c r="K43" s="365">
        <f>IF(NOT(ISERROR(MATCH(J43,_xlfn.ANCHORARRAY(E54),0))),I56&amp;"Por favor no seleccionar los criterios de impacto",J43)</f>
        <v>0</v>
      </c>
      <c r="L43" s="359"/>
      <c r="M43" s="365"/>
      <c r="N43" s="362"/>
      <c r="O43" s="6">
        <v>5</v>
      </c>
      <c r="P43" s="176"/>
      <c r="Q43" s="157" t="str">
        <f t="shared" si="22"/>
        <v/>
      </c>
      <c r="R43" s="107"/>
      <c r="S43" s="107"/>
      <c r="T43" s="161" t="str">
        <f t="shared" si="15"/>
        <v/>
      </c>
      <c r="U43" s="107"/>
      <c r="V43" s="107"/>
      <c r="W43" s="107"/>
      <c r="X43" s="109" t="str">
        <f t="shared" si="30"/>
        <v/>
      </c>
      <c r="Y43" s="110" t="str">
        <f t="shared" si="1"/>
        <v/>
      </c>
      <c r="Z43" s="111" t="str">
        <f t="shared" si="28"/>
        <v/>
      </c>
      <c r="AA43" s="110" t="str">
        <f t="shared" si="3"/>
        <v/>
      </c>
      <c r="AB43" s="111" t="str">
        <f t="shared" si="31"/>
        <v/>
      </c>
      <c r="AC43" s="112"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3"/>
      <c r="AE43" s="176"/>
      <c r="AF43" s="115"/>
      <c r="AG43" s="116"/>
      <c r="AH43" s="116"/>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x14ac:dyDescent="0.3">
      <c r="A44" s="348"/>
      <c r="B44" s="354"/>
      <c r="C44" s="354"/>
      <c r="D44" s="354"/>
      <c r="E44" s="372"/>
      <c r="F44" s="354"/>
      <c r="G44" s="357"/>
      <c r="H44" s="360"/>
      <c r="I44" s="366"/>
      <c r="J44" s="369"/>
      <c r="K44" s="366">
        <f>IF(NOT(ISERROR(MATCH(J44,_xlfn.ANCHORARRAY(E55),0))),I57&amp;"Por favor no seleccionar los criterios de impacto",J44)</f>
        <v>0</v>
      </c>
      <c r="L44" s="360"/>
      <c r="M44" s="366"/>
      <c r="N44" s="363"/>
      <c r="O44" s="6">
        <v>6</v>
      </c>
      <c r="P44" s="176"/>
      <c r="Q44" s="157" t="str">
        <f t="shared" si="22"/>
        <v/>
      </c>
      <c r="R44" s="107"/>
      <c r="S44" s="107"/>
      <c r="T44" s="161" t="str">
        <f t="shared" si="15"/>
        <v/>
      </c>
      <c r="U44" s="107"/>
      <c r="V44" s="107"/>
      <c r="W44" s="107"/>
      <c r="X44" s="109" t="str">
        <f t="shared" si="30"/>
        <v/>
      </c>
      <c r="Y44" s="110" t="str">
        <f t="shared" si="1"/>
        <v/>
      </c>
      <c r="Z44" s="111" t="str">
        <f t="shared" si="28"/>
        <v/>
      </c>
      <c r="AA44" s="110" t="str">
        <f t="shared" si="3"/>
        <v/>
      </c>
      <c r="AB44" s="111" t="str">
        <f t="shared" si="31"/>
        <v/>
      </c>
      <c r="AC44" s="112" t="str">
        <f t="shared" si="32"/>
        <v/>
      </c>
      <c r="AD44" s="113"/>
      <c r="AE44" s="176"/>
      <c r="AF44" s="115"/>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1.5" x14ac:dyDescent="0.3">
      <c r="A45" s="346">
        <v>6</v>
      </c>
      <c r="B45" s="352" t="s">
        <v>164</v>
      </c>
      <c r="C45" s="352" t="s">
        <v>198</v>
      </c>
      <c r="D45" s="352" t="s">
        <v>199</v>
      </c>
      <c r="E45" s="395" t="s">
        <v>200</v>
      </c>
      <c r="F45" s="352" t="s">
        <v>168</v>
      </c>
      <c r="G45" s="355">
        <v>360</v>
      </c>
      <c r="H45" s="358" t="str">
        <f>IF(G45&lt;=0,"",IF(G45&lt;=2,"Muy Baja",IF(G45&lt;=24,"Baja",IF(G45&lt;=500,"Media",IF(G45&lt;=5000,"Alta","Muy Alta")))))</f>
        <v>Media</v>
      </c>
      <c r="I45" s="364">
        <f>IF(H45="","",IF(H45="Muy Baja",0.2,IF(H45="Baja",0.4,IF(H45="Media",0.6,IF(H45="Alta",0.8,IF(H45="Muy Alta",1,))))))</f>
        <v>0.6</v>
      </c>
      <c r="J45" s="367" t="s">
        <v>169</v>
      </c>
      <c r="K45" s="364" t="str">
        <f>IF(NOT(ISERROR(MATCH(J45,'Tabla Impacto'!$B$221:$B$223,0))),'Tabla Impacto'!$F$223&amp;"Por favor no seleccionar los criterios de impacto(Afectación Económica o presupuestal y Pérdida Reputacional)",J45)</f>
        <v xml:space="preserve">     El riesgo afecta la imagen de la entidad con algunos usuarios de relevancia frente al logro de los objetivos</v>
      </c>
      <c r="L45" s="358" t="str">
        <f>IF(OR(K45='Tabla Impacto'!$C$11,K45='Tabla Impacto'!$D$11),"Leve",IF(OR(K45='Tabla Impacto'!$C$12,K45='Tabla Impacto'!$D$12),"Menor",IF(OR(K45='Tabla Impacto'!$C$13,K45='Tabla Impacto'!$D$13),"Moderado",IF(OR(K45='Tabla Impacto'!$C$14,K45='Tabla Impacto'!$D$14),"Mayor",IF(OR(K45='Tabla Impacto'!$C$15,K45='Tabla Impacto'!$D$15),"Catastrófico","")))))</f>
        <v>Moderado</v>
      </c>
      <c r="M45" s="364">
        <f>IF(L45="","",IF(L45="Leve",0.2,IF(L45="Menor",0.4,IF(L45="Moderado",0.6,IF(L45="Mayor",0.8,IF(L45="Catastrófico",1,))))))</f>
        <v>0.6</v>
      </c>
      <c r="N45" s="361"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6">
        <v>1</v>
      </c>
      <c r="P45" s="176" t="s">
        <v>201</v>
      </c>
      <c r="Q45" s="157" t="str">
        <f t="shared" si="22"/>
        <v>Probabilidad</v>
      </c>
      <c r="R45" s="160" t="s">
        <v>171</v>
      </c>
      <c r="S45" s="160" t="s">
        <v>172</v>
      </c>
      <c r="T45" s="161" t="str">
        <f t="shared" si="15"/>
        <v>40%</v>
      </c>
      <c r="U45" s="160" t="s">
        <v>173</v>
      </c>
      <c r="V45" s="160" t="s">
        <v>174</v>
      </c>
      <c r="W45" s="160" t="s">
        <v>175</v>
      </c>
      <c r="X45" s="156">
        <f>IFERROR(IF(Q45="Probabilidad",(I45-(+I45*T45)),IF(Q45="Impacto",I45,"")),"")</f>
        <v>0.36</v>
      </c>
      <c r="Y45" s="162" t="str">
        <f>IFERROR(IF(X45="","",IF(X45&lt;=0.2,"Muy Baja",IF(X45&lt;=0.4,"Baja",IF(X45&lt;=0.6,"Media",IF(X45&lt;=0.8,"Alta","Muy Alta"))))),"")</f>
        <v>Baja</v>
      </c>
      <c r="Z45" s="163">
        <f>+X45</f>
        <v>0.36</v>
      </c>
      <c r="AA45" s="162" t="str">
        <f>IFERROR(IF(AB45="","",IF(AB45&lt;=0.2,"Leve",IF(AB45&lt;=0.4,"Menor",IF(AB45&lt;=0.6,"Moderado",IF(AB45&lt;=0.8,"Mayor","Catastrófico"))))),"")</f>
        <v>Moderado</v>
      </c>
      <c r="AB45" s="163">
        <f>IFERROR(IF(Q45="Impacto",(M45-(+M45*T45)),IF(Q45="Probabilidad",M45,"")),"")</f>
        <v>0.6</v>
      </c>
      <c r="AC45" s="164"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65" t="s">
        <v>176</v>
      </c>
      <c r="AE45" s="179" t="s">
        <v>202</v>
      </c>
      <c r="AF45" s="180" t="s">
        <v>203</v>
      </c>
      <c r="AG45" s="180">
        <v>45373</v>
      </c>
      <c r="AH45" s="181">
        <v>45504</v>
      </c>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x14ac:dyDescent="0.3">
      <c r="A46" s="347"/>
      <c r="B46" s="353"/>
      <c r="C46" s="353"/>
      <c r="D46" s="353"/>
      <c r="E46" s="396"/>
      <c r="F46" s="353"/>
      <c r="G46" s="356"/>
      <c r="H46" s="359"/>
      <c r="I46" s="365"/>
      <c r="J46" s="368"/>
      <c r="K46" s="365">
        <f>IF(NOT(ISERROR(MATCH(J46,_xlfn.ANCHORARRAY(E57),0))),I59&amp;"Por favor no seleccionar los criterios de impacto",J46)</f>
        <v>0</v>
      </c>
      <c r="L46" s="359"/>
      <c r="M46" s="365"/>
      <c r="N46" s="362"/>
      <c r="O46" s="6">
        <v>2</v>
      </c>
      <c r="P46" s="176"/>
      <c r="Q46" s="157" t="str">
        <f t="shared" si="22"/>
        <v/>
      </c>
      <c r="R46" s="160"/>
      <c r="S46" s="160"/>
      <c r="T46" s="161" t="str">
        <f t="shared" si="15"/>
        <v/>
      </c>
      <c r="U46" s="160"/>
      <c r="V46" s="160"/>
      <c r="W46" s="160"/>
      <c r="X46" s="156" t="str">
        <f>IFERROR(IF(AND(Q45="Probabilidad",Q46="Probabilidad"),(Z45-(+Z45*T46)),IF(Q46="Probabilidad",(I45-(+I45*T46)),IF(Q46="Impacto",Z45,""))),"")</f>
        <v/>
      </c>
      <c r="Y46" s="162" t="str">
        <f t="shared" si="1"/>
        <v/>
      </c>
      <c r="Z46" s="163" t="str">
        <f t="shared" ref="Z46:Z51" si="33">+X46</f>
        <v/>
      </c>
      <c r="AA46" s="162" t="str">
        <f t="shared" si="3"/>
        <v/>
      </c>
      <c r="AB46" s="163" t="str">
        <f>IFERROR(IF(AND(Q45="Impacto",Q46="Impacto"),(AB45-(+AB45*T46)),IF(Q46="Impacto",(M45-(+M45*T46)),IF(Q46="Probabilidad",AB45,""))),"")</f>
        <v/>
      </c>
      <c r="AC46" s="164" t="str">
        <f t="shared" ref="AC46"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65"/>
      <c r="AE46" s="179"/>
      <c r="AF46" s="180"/>
      <c r="AG46" s="181"/>
      <c r="AH46" s="181"/>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x14ac:dyDescent="0.3">
      <c r="A47" s="347"/>
      <c r="B47" s="353"/>
      <c r="C47" s="353"/>
      <c r="D47" s="353"/>
      <c r="E47" s="396"/>
      <c r="F47" s="353"/>
      <c r="G47" s="356"/>
      <c r="H47" s="359"/>
      <c r="I47" s="365"/>
      <c r="J47" s="368"/>
      <c r="K47" s="365">
        <f>IF(NOT(ISERROR(MATCH(J47,_xlfn.ANCHORARRAY(E58),0))),I60&amp;"Por favor no seleccionar los criterios de impacto",J47)</f>
        <v>0</v>
      </c>
      <c r="L47" s="359"/>
      <c r="M47" s="365"/>
      <c r="N47" s="362"/>
      <c r="O47" s="6">
        <v>3</v>
      </c>
      <c r="P47" s="166"/>
      <c r="Q47" s="157" t="str">
        <f t="shared" si="22"/>
        <v/>
      </c>
      <c r="R47" s="107"/>
      <c r="S47" s="107"/>
      <c r="T47" s="161" t="str">
        <f t="shared" si="15"/>
        <v/>
      </c>
      <c r="U47" s="107"/>
      <c r="V47" s="107"/>
      <c r="W47" s="107"/>
      <c r="X47" s="109" t="str">
        <f>IFERROR(IF(AND(Q46="Probabilidad",Q47="Probabilidad"),(Z46-(+Z46*T47)),IF(AND(Q46="Impacto",Q47="Probabilidad"),(Z45-(+Z45*T47)),IF(Q47="Impacto",Z46,""))),"")</f>
        <v/>
      </c>
      <c r="Y47" s="162" t="str">
        <f t="shared" si="1"/>
        <v/>
      </c>
      <c r="Z47" s="163" t="str">
        <f t="shared" si="33"/>
        <v/>
      </c>
      <c r="AA47" s="162" t="str">
        <f t="shared" ref="AA47:AA50" si="35">IFERROR(IF(AB47="","",IF(AB47&lt;=0.2,"Leve",IF(AB47&lt;=0.4,"Menor",IF(AB47&lt;=0.6,"Moderado",IF(AB47&lt;=0.8,"Mayor","Catastrófico"))))),"")</f>
        <v/>
      </c>
      <c r="AB47" s="163" t="str">
        <f t="shared" ref="AB47:AB50" si="36">IFERROR(IF(AND(Q46="Impacto",Q47="Impacto"),(AB46-(+AB46*T47)),IF(Q47="Impacto",(M46-(+M46*T47)),IF(Q47="Probabilidad",AB46,""))),"")</f>
        <v/>
      </c>
      <c r="AC47" s="164" t="str">
        <f t="shared" ref="AC47:AC51" si="37">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76"/>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x14ac:dyDescent="0.3">
      <c r="A48" s="347"/>
      <c r="B48" s="353"/>
      <c r="C48" s="353"/>
      <c r="D48" s="353"/>
      <c r="E48" s="396"/>
      <c r="F48" s="353"/>
      <c r="G48" s="356"/>
      <c r="H48" s="359"/>
      <c r="I48" s="365"/>
      <c r="J48" s="368"/>
      <c r="K48" s="365">
        <f>IF(NOT(ISERROR(MATCH(J48,_xlfn.ANCHORARRAY(E59),0))),I61&amp;"Por favor no seleccionar los criterios de impacto",J48)</f>
        <v>0</v>
      </c>
      <c r="L48" s="359"/>
      <c r="M48" s="365"/>
      <c r="N48" s="362"/>
      <c r="O48" s="6">
        <v>4</v>
      </c>
      <c r="P48" s="176"/>
      <c r="Q48" s="157" t="str">
        <f t="shared" si="22"/>
        <v/>
      </c>
      <c r="R48" s="107"/>
      <c r="S48" s="107"/>
      <c r="T48" s="161" t="str">
        <f t="shared" si="15"/>
        <v/>
      </c>
      <c r="U48" s="107"/>
      <c r="V48" s="107"/>
      <c r="W48" s="107"/>
      <c r="X48" s="109" t="str">
        <f t="shared" ref="X48:X50" si="38">IFERROR(IF(AND(Q47="Probabilidad",Q48="Probabilidad"),(Z47-(+Z47*T48)),IF(AND(Q47="Impacto",Q48="Probabilidad"),(Z46-(+Z46*T48)),IF(Q48="Impacto",Z47,""))),"")</f>
        <v/>
      </c>
      <c r="Y48" s="162" t="str">
        <f t="shared" si="1"/>
        <v/>
      </c>
      <c r="Z48" s="163" t="str">
        <f t="shared" si="33"/>
        <v/>
      </c>
      <c r="AA48" s="162" t="str">
        <f t="shared" si="35"/>
        <v/>
      </c>
      <c r="AB48" s="163" t="str">
        <f t="shared" si="36"/>
        <v/>
      </c>
      <c r="AC48" s="164" t="str">
        <f t="shared" si="37"/>
        <v/>
      </c>
      <c r="AD48" s="113"/>
      <c r="AE48" s="176"/>
      <c r="AF48" s="115"/>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x14ac:dyDescent="0.3">
      <c r="A49" s="347"/>
      <c r="B49" s="353"/>
      <c r="C49" s="353"/>
      <c r="D49" s="353"/>
      <c r="E49" s="396"/>
      <c r="F49" s="353"/>
      <c r="G49" s="356"/>
      <c r="H49" s="359"/>
      <c r="I49" s="365"/>
      <c r="J49" s="368"/>
      <c r="K49" s="365">
        <f>IF(NOT(ISERROR(MATCH(J49,_xlfn.ANCHORARRAY(E60),0))),I62&amp;"Por favor no seleccionar los criterios de impacto",J49)</f>
        <v>0</v>
      </c>
      <c r="L49" s="359"/>
      <c r="M49" s="365"/>
      <c r="N49" s="362"/>
      <c r="O49" s="6">
        <v>5</v>
      </c>
      <c r="P49" s="176"/>
      <c r="Q49" s="157" t="str">
        <f t="shared" si="22"/>
        <v/>
      </c>
      <c r="R49" s="107"/>
      <c r="S49" s="107"/>
      <c r="T49" s="161" t="str">
        <f t="shared" si="15"/>
        <v/>
      </c>
      <c r="U49" s="107"/>
      <c r="V49" s="107"/>
      <c r="W49" s="107"/>
      <c r="X49" s="109" t="str">
        <f t="shared" si="38"/>
        <v/>
      </c>
      <c r="Y49" s="162" t="str">
        <f t="shared" si="1"/>
        <v/>
      </c>
      <c r="Z49" s="163" t="str">
        <f t="shared" si="33"/>
        <v/>
      </c>
      <c r="AA49" s="162" t="str">
        <f t="shared" si="35"/>
        <v/>
      </c>
      <c r="AB49" s="163" t="str">
        <f t="shared" si="36"/>
        <v/>
      </c>
      <c r="AC49" s="164" t="str">
        <f t="shared" si="37"/>
        <v/>
      </c>
      <c r="AD49" s="113"/>
      <c r="AE49" s="176"/>
      <c r="AF49" s="115"/>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x14ac:dyDescent="0.3">
      <c r="A50" s="348"/>
      <c r="B50" s="354"/>
      <c r="C50" s="354"/>
      <c r="D50" s="354"/>
      <c r="E50" s="397"/>
      <c r="F50" s="354"/>
      <c r="G50" s="357"/>
      <c r="H50" s="360"/>
      <c r="I50" s="366"/>
      <c r="J50" s="369"/>
      <c r="K50" s="366">
        <f>IF(NOT(ISERROR(MATCH(J50,_xlfn.ANCHORARRAY(E61),0))),I63&amp;"Por favor no seleccionar los criterios de impacto",J50)</f>
        <v>0</v>
      </c>
      <c r="L50" s="360"/>
      <c r="M50" s="366"/>
      <c r="N50" s="363"/>
      <c r="O50" s="6">
        <v>6</v>
      </c>
      <c r="P50" s="176"/>
      <c r="Q50" s="157" t="str">
        <f t="shared" si="22"/>
        <v/>
      </c>
      <c r="R50" s="107"/>
      <c r="S50" s="107"/>
      <c r="T50" s="161" t="str">
        <f t="shared" si="15"/>
        <v/>
      </c>
      <c r="U50" s="107"/>
      <c r="V50" s="107"/>
      <c r="W50" s="107"/>
      <c r="X50" s="109" t="str">
        <f t="shared" si="38"/>
        <v/>
      </c>
      <c r="Y50" s="162" t="str">
        <f t="shared" si="1"/>
        <v/>
      </c>
      <c r="Z50" s="163" t="str">
        <f t="shared" si="33"/>
        <v/>
      </c>
      <c r="AA50" s="162" t="str">
        <f t="shared" si="35"/>
        <v/>
      </c>
      <c r="AB50" s="163" t="str">
        <f t="shared" si="36"/>
        <v/>
      </c>
      <c r="AC50" s="164" t="str">
        <f t="shared" si="37"/>
        <v/>
      </c>
      <c r="AD50" s="113"/>
      <c r="AE50" s="176"/>
      <c r="AF50" s="115"/>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02.75" customHeight="1" x14ac:dyDescent="0.3">
      <c r="A51" s="346">
        <v>7</v>
      </c>
      <c r="B51" s="352" t="s">
        <v>180</v>
      </c>
      <c r="C51" s="352" t="s">
        <v>320</v>
      </c>
      <c r="D51" s="352" t="s">
        <v>321</v>
      </c>
      <c r="E51" s="370" t="s">
        <v>322</v>
      </c>
      <c r="F51" s="352" t="s">
        <v>168</v>
      </c>
      <c r="G51" s="416">
        <v>150</v>
      </c>
      <c r="H51" s="358" t="str">
        <f>IF(G51&lt;=0,"",IF(G51&lt;=2,"Muy Baja",IF(G51&lt;=24,"Baja",IF(G51&lt;=500,"Media",IF(G51&lt;=5000,"Alta","Muy Alta")))))</f>
        <v>Media</v>
      </c>
      <c r="I51" s="364">
        <f>IF(H51="","",IF(H51="Muy Baja",0.2,IF(H51="Baja",0.4,IF(H51="Media",0.6,IF(H51="Alta",0.8,IF(H51="Muy Alta",1,))))))</f>
        <v>0.6</v>
      </c>
      <c r="J51" s="367" t="s">
        <v>169</v>
      </c>
      <c r="K51" s="364" t="str">
        <f>IF(NOT(ISERROR(MATCH(J51,'[1]Tabla Impacto'!$B$221:$B$223,0))),'[1]Tabla Impacto'!$F$223&amp;"Por favor no seleccionar los criterios de impacto(Afectación Económica o presupuestal y Pérdida Reputacional)",J51)</f>
        <v xml:space="preserve">     El riesgo afecta la imagen de la entidad con algunos usuarios de relevancia frente al logro de los objetivos</v>
      </c>
      <c r="L51" s="358" t="s">
        <v>214</v>
      </c>
      <c r="M51" s="364">
        <f>IF(L51="","",IF(L51="Leve",0.2,IF(L51="Menor",0.4,IF(L51="Moderado",0.6,IF(L51="Mayor",0.8,IF(L51="Catastrófico",1,))))))</f>
        <v>0.6</v>
      </c>
      <c r="N51" s="361" t="str">
        <f>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6">
        <v>1</v>
      </c>
      <c r="P51" s="176" t="s">
        <v>325</v>
      </c>
      <c r="Q51" s="157" t="str">
        <f t="shared" si="22"/>
        <v>Probabilidad</v>
      </c>
      <c r="R51" s="160" t="s">
        <v>171</v>
      </c>
      <c r="S51" s="160" t="s">
        <v>172</v>
      </c>
      <c r="T51" s="161" t="str">
        <f t="shared" si="15"/>
        <v>40%</v>
      </c>
      <c r="U51" s="160" t="s">
        <v>173</v>
      </c>
      <c r="V51" s="160" t="s">
        <v>174</v>
      </c>
      <c r="W51" s="160" t="s">
        <v>175</v>
      </c>
      <c r="X51" s="156">
        <f t="shared" ref="X51" si="39">IFERROR(IF(Q51="Probabilidad",(I51-(+I51*T51)),IF(Q51="Impacto",I51,"")),"")</f>
        <v>0.36</v>
      </c>
      <c r="Y51" s="162" t="str">
        <f t="shared" si="1"/>
        <v>Baja</v>
      </c>
      <c r="Z51" s="163">
        <f t="shared" si="33"/>
        <v>0.36</v>
      </c>
      <c r="AA51" s="162" t="str">
        <f>IFERROR(IF(AB51="","",IF(AB51&lt;=0.2,"Leve",IF(AB51&lt;=0.4,"Menor",IF(AB51&lt;=0.6,"Moderado",IF(AB51&lt;=0.8,"Mayor","Catastrófico"))))),"")</f>
        <v>Moderado</v>
      </c>
      <c r="AB51" s="163">
        <f>IFERROR(IF(Q51="Impacto",(M51-(+M51*T51)),IF(Q51="Probabilidad",M51,"")),"")</f>
        <v>0.6</v>
      </c>
      <c r="AC51" s="164" t="str">
        <f t="shared" si="37"/>
        <v>Moderado</v>
      </c>
      <c r="AD51" s="165" t="s">
        <v>176</v>
      </c>
      <c r="AE51" s="178" t="s">
        <v>323</v>
      </c>
      <c r="AF51" s="177" t="s">
        <v>324</v>
      </c>
      <c r="AG51" s="159">
        <v>45373</v>
      </c>
      <c r="AH51" s="159">
        <v>45642</v>
      </c>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x14ac:dyDescent="0.3">
      <c r="A52" s="347"/>
      <c r="B52" s="353"/>
      <c r="C52" s="353"/>
      <c r="D52" s="353"/>
      <c r="E52" s="371"/>
      <c r="F52" s="353"/>
      <c r="G52" s="417"/>
      <c r="H52" s="359"/>
      <c r="I52" s="365"/>
      <c r="J52" s="368"/>
      <c r="K52" s="365">
        <f>IF(NOT(ISERROR(MATCH(J52,_xlfn.ANCHORARRAY(E63),0))),I65&amp;"Por favor no seleccionar los criterios de impacto",J52)</f>
        <v>0</v>
      </c>
      <c r="L52" s="359"/>
      <c r="M52" s="365"/>
      <c r="N52" s="362"/>
      <c r="O52" s="6">
        <v>2</v>
      </c>
      <c r="P52" s="179"/>
      <c r="Q52" s="157"/>
      <c r="R52" s="160"/>
      <c r="S52" s="160"/>
      <c r="T52" s="161"/>
      <c r="U52" s="160"/>
      <c r="V52" s="160"/>
      <c r="W52" s="160"/>
      <c r="X52" s="156"/>
      <c r="Y52" s="162"/>
      <c r="Z52" s="163"/>
      <c r="AA52" s="162"/>
      <c r="AB52" s="163"/>
      <c r="AC52" s="164"/>
      <c r="AD52" s="165"/>
      <c r="AE52" s="179"/>
      <c r="AF52" s="180"/>
      <c r="AG52" s="181"/>
      <c r="AH52" s="181"/>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x14ac:dyDescent="0.3">
      <c r="A53" s="347"/>
      <c r="B53" s="353"/>
      <c r="C53" s="353"/>
      <c r="D53" s="353"/>
      <c r="E53" s="371"/>
      <c r="F53" s="353"/>
      <c r="G53" s="417"/>
      <c r="H53" s="359"/>
      <c r="I53" s="365"/>
      <c r="J53" s="368"/>
      <c r="K53" s="365">
        <f>IF(NOT(ISERROR(MATCH(J53,_xlfn.ANCHORARRAY(E64),0))),I66&amp;"Por favor no seleccionar los criterios de impacto",J53)</f>
        <v>0</v>
      </c>
      <c r="L53" s="359"/>
      <c r="M53" s="365"/>
      <c r="N53" s="362"/>
      <c r="O53" s="6">
        <v>3</v>
      </c>
      <c r="P53" s="166"/>
      <c r="Q53" s="106"/>
      <c r="R53" s="107"/>
      <c r="S53" s="107"/>
      <c r="T53" s="108"/>
      <c r="U53" s="107"/>
      <c r="V53" s="107"/>
      <c r="W53" s="107"/>
      <c r="X53" s="109"/>
      <c r="Y53" s="110"/>
      <c r="Z53" s="111"/>
      <c r="AA53" s="110"/>
      <c r="AB53" s="111"/>
      <c r="AC53" s="112"/>
      <c r="AD53" s="113"/>
      <c r="AE53" s="176"/>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x14ac:dyDescent="0.3">
      <c r="A54" s="347"/>
      <c r="B54" s="353"/>
      <c r="C54" s="353"/>
      <c r="D54" s="353"/>
      <c r="E54" s="371"/>
      <c r="F54" s="353"/>
      <c r="G54" s="417"/>
      <c r="H54" s="359"/>
      <c r="I54" s="365"/>
      <c r="J54" s="368"/>
      <c r="K54" s="365">
        <f>IF(NOT(ISERROR(MATCH(J54,_xlfn.ANCHORARRAY(E65),0))),I67&amp;"Por favor no seleccionar los criterios de impacto",J54)</f>
        <v>0</v>
      </c>
      <c r="L54" s="359"/>
      <c r="M54" s="365"/>
      <c r="N54" s="362"/>
      <c r="O54" s="6">
        <v>4</v>
      </c>
      <c r="P54" s="176"/>
      <c r="Q54" s="106"/>
      <c r="R54" s="107"/>
      <c r="S54" s="107"/>
      <c r="T54" s="108"/>
      <c r="U54" s="107"/>
      <c r="V54" s="107"/>
      <c r="W54" s="107"/>
      <c r="X54" s="109"/>
      <c r="Y54" s="110"/>
      <c r="Z54" s="111"/>
      <c r="AA54" s="110"/>
      <c r="AB54" s="111"/>
      <c r="AC54" s="112"/>
      <c r="AD54" s="113"/>
      <c r="AE54" s="176"/>
      <c r="AF54" s="115"/>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x14ac:dyDescent="0.3">
      <c r="A55" s="347"/>
      <c r="B55" s="353"/>
      <c r="C55" s="353"/>
      <c r="D55" s="353"/>
      <c r="E55" s="371"/>
      <c r="F55" s="353"/>
      <c r="G55" s="417"/>
      <c r="H55" s="359"/>
      <c r="I55" s="365"/>
      <c r="J55" s="368"/>
      <c r="K55" s="365">
        <f>IF(NOT(ISERROR(MATCH(J55,_xlfn.ANCHORARRAY(E66),0))),I68&amp;"Por favor no seleccionar los criterios de impacto",J55)</f>
        <v>0</v>
      </c>
      <c r="L55" s="359"/>
      <c r="M55" s="365"/>
      <c r="N55" s="362"/>
      <c r="O55" s="6">
        <v>5</v>
      </c>
      <c r="P55" s="176"/>
      <c r="Q55" s="106"/>
      <c r="R55" s="107"/>
      <c r="S55" s="107"/>
      <c r="T55" s="108"/>
      <c r="U55" s="107"/>
      <c r="V55" s="107"/>
      <c r="W55" s="107"/>
      <c r="X55" s="109"/>
      <c r="Y55" s="110"/>
      <c r="Z55" s="111"/>
      <c r="AA55" s="110"/>
      <c r="AB55" s="111"/>
      <c r="AC55" s="112"/>
      <c r="AD55" s="113"/>
      <c r="AE55" s="176"/>
      <c r="AF55" s="115"/>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x14ac:dyDescent="0.3">
      <c r="A56" s="348"/>
      <c r="B56" s="354"/>
      <c r="C56" s="354"/>
      <c r="D56" s="354"/>
      <c r="E56" s="372"/>
      <c r="F56" s="354"/>
      <c r="G56" s="418"/>
      <c r="H56" s="360"/>
      <c r="I56" s="366"/>
      <c r="J56" s="369"/>
      <c r="K56" s="366">
        <f>IF(NOT(ISERROR(MATCH(J56,_xlfn.ANCHORARRAY(E67),0))),I69&amp;"Por favor no seleccionar los criterios de impacto",J56)</f>
        <v>0</v>
      </c>
      <c r="L56" s="360"/>
      <c r="M56" s="366"/>
      <c r="N56" s="363"/>
      <c r="O56" s="6">
        <v>6</v>
      </c>
      <c r="P56" s="176"/>
      <c r="Q56" s="106"/>
      <c r="R56" s="107"/>
      <c r="S56" s="107"/>
      <c r="T56" s="108"/>
      <c r="U56" s="107"/>
      <c r="V56" s="107"/>
      <c r="W56" s="107"/>
      <c r="X56" s="109"/>
      <c r="Y56" s="110"/>
      <c r="Z56" s="111"/>
      <c r="AA56" s="110"/>
      <c r="AB56" s="111"/>
      <c r="AC56" s="112"/>
      <c r="AD56" s="113"/>
      <c r="AE56" s="176"/>
      <c r="AF56" s="115"/>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46">
        <v>8</v>
      </c>
      <c r="B57" s="410"/>
      <c r="C57" s="410"/>
      <c r="D57" s="410"/>
      <c r="E57" s="428"/>
      <c r="F57" s="410"/>
      <c r="G57" s="413"/>
      <c r="H57" s="407" t="str">
        <f>IF(G57&lt;=0,"",IF(G57&lt;=2,"Muy Baja",IF(G57&lt;=24,"Baja",IF(G57&lt;=500,"Media",IF(G57&lt;=5000,"Alta","Muy Alta")))))</f>
        <v/>
      </c>
      <c r="I57" s="398" t="str">
        <f>IF(H57="","",IF(H57="Muy Baja",0.2,IF(H57="Baja",0.4,IF(H57="Media",0.6,IF(H57="Alta",0.8,IF(H57="Muy Alta",1,))))))</f>
        <v/>
      </c>
      <c r="J57" s="404"/>
      <c r="K57" s="398">
        <f>IF(NOT(ISERROR(MATCH(J57,'Tabla Impacto'!$B$221:$B$223,0))),'Tabla Impacto'!$F$223&amp;"Por favor no seleccionar los criterios de impacto(Afectación Económica o presupuestal y Pérdida Reputacional)",J57)</f>
        <v>0</v>
      </c>
      <c r="L57" s="407" t="str">
        <f>IF(OR(K57='Tabla Impacto'!$C$11,K57='Tabla Impacto'!$D$11),"Leve",IF(OR(K57='Tabla Impacto'!$C$12,K57='Tabla Impacto'!$D$12),"Menor",IF(OR(K57='Tabla Impacto'!$C$13,K57='Tabla Impacto'!$D$13),"Moderado",IF(OR(K57='Tabla Impacto'!$C$14,K57='Tabla Impacto'!$D$14),"Mayor",IF(OR(K57='Tabla Impacto'!$C$15,K57='Tabla Impacto'!$D$15),"Catastrófico","")))))</f>
        <v/>
      </c>
      <c r="M57" s="398" t="str">
        <f>IF(L57="","",IF(L57="Leve",0.2,IF(L57="Menor",0.4,IF(L57="Moderado",0.6,IF(L57="Mayor",0.8,IF(L57="Catastrófico",1,))))))</f>
        <v/>
      </c>
      <c r="N57" s="401" t="str">
        <f>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
      </c>
      <c r="O57" s="6">
        <v>1</v>
      </c>
      <c r="P57" s="176"/>
      <c r="Q57" s="157"/>
      <c r="R57" s="160"/>
      <c r="S57" s="160"/>
      <c r="T57" s="161" t="str">
        <f>IF(AND(R57="Preventivo",S57="Automático"),"50%",IF(AND(R57="Preventivo",S57="Manual"),"40%",IF(AND(R57="Detectivo",S57="Automático"),"40%",IF(AND(R57="Detectivo",S57="Manual"),"30%",IF(AND(R57="Correctivo",S57="Automático"),"35%",IF(AND(R57="Correctivo",S57="Manual"),"25%",""))))))</f>
        <v/>
      </c>
      <c r="U57" s="160"/>
      <c r="V57" s="160"/>
      <c r="W57" s="160"/>
      <c r="X57" s="156" t="str">
        <f>IFERROR(IF(Q57="Probabilidad",(I57-(+I57*T57)),IF(Q57="Impacto",I57,"")),"")</f>
        <v/>
      </c>
      <c r="Y57" s="162" t="str">
        <f>IFERROR(IF(X57="","",IF(X57&lt;=0.2,"Muy Baja",IF(X57&lt;=0.4,"Baja",IF(X57&lt;=0.6,"Media",IF(X57&lt;=0.8,"Alta","Muy Alta"))))),"")</f>
        <v/>
      </c>
      <c r="Z57" s="163" t="str">
        <f>+X57</f>
        <v/>
      </c>
      <c r="AA57" s="162" t="str">
        <f>IFERROR(IF(AB57="","",IF(AB57&lt;=0.2,"Leve",IF(AB57&lt;=0.4,"Menor",IF(AB57&lt;=0.6,"Moderado",IF(AB57&lt;=0.8,"Mayor","Catastrófico"))))),"")</f>
        <v/>
      </c>
      <c r="AB57" s="163" t="str">
        <f>IFERROR(IF(Q57="Impacto",(M57-(+M57*T57)),IF(Q57="Probabilidad",M57,"")),"")</f>
        <v/>
      </c>
      <c r="AC57" s="164"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65"/>
      <c r="AE57" s="176"/>
      <c r="AF57" s="114"/>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47"/>
      <c r="B58" s="411"/>
      <c r="C58" s="411"/>
      <c r="D58" s="411"/>
      <c r="E58" s="429"/>
      <c r="F58" s="411"/>
      <c r="G58" s="414"/>
      <c r="H58" s="408"/>
      <c r="I58" s="399"/>
      <c r="J58" s="405"/>
      <c r="K58" s="399">
        <f>IF(NOT(ISERROR(MATCH(J58,_xlfn.ANCHORARRAY(E69),0))),I71&amp;"Por favor no seleccionar los criterios de impacto",J58)</f>
        <v>0</v>
      </c>
      <c r="L58" s="408"/>
      <c r="M58" s="399"/>
      <c r="N58" s="402"/>
      <c r="O58" s="6">
        <v>2</v>
      </c>
      <c r="P58" s="176"/>
      <c r="Q58" s="106" t="str">
        <f>IF(OR(R58="Preventivo",R58="Detectivo"),"Probabilidad",IF(R58="Correctivo","Impacto",""))</f>
        <v/>
      </c>
      <c r="R58" s="107"/>
      <c r="S58" s="107"/>
      <c r="T58" s="108" t="str">
        <f t="shared" ref="T58:T62" si="40">IF(AND(R58="Preventivo",S58="Automático"),"50%",IF(AND(R58="Preventivo",S58="Manual"),"40%",IF(AND(R58="Detectivo",S58="Automático"),"40%",IF(AND(R58="Detectivo",S58="Manual"),"30%",IF(AND(R58="Correctivo",S58="Automático"),"35%",IF(AND(R58="Correctivo",S58="Manual"),"25%",""))))))</f>
        <v/>
      </c>
      <c r="U58" s="107"/>
      <c r="V58" s="107"/>
      <c r="W58" s="107"/>
      <c r="X58" s="109" t="str">
        <f>IFERROR(IF(AND(Q57="Probabilidad",Q58="Probabilidad"),(Z57-(+Z57*T58)),IF(Q58="Probabilidad",(I57-(+I57*T58)),IF(Q58="Impacto",Z57,""))),"")</f>
        <v/>
      </c>
      <c r="Y58" s="110" t="str">
        <f t="shared" si="1"/>
        <v/>
      </c>
      <c r="Z58" s="111" t="str">
        <f t="shared" ref="Z58:Z62" si="41">+X58</f>
        <v/>
      </c>
      <c r="AA58" s="110" t="str">
        <f t="shared" si="3"/>
        <v/>
      </c>
      <c r="AB58" s="111" t="str">
        <f>IFERROR(IF(AND(Q57="Impacto",Q58="Impacto"),(AB57-(+AB57*T58)),IF(Q58="Impacto",(M57-(+M57*T58)),IF(Q58="Probabilidad",AB57,""))),"")</f>
        <v/>
      </c>
      <c r="AC58" s="112" t="str">
        <f t="shared" ref="AC58:AC59" si="42">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76"/>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47"/>
      <c r="B59" s="411"/>
      <c r="C59" s="411"/>
      <c r="D59" s="411"/>
      <c r="E59" s="429"/>
      <c r="F59" s="411"/>
      <c r="G59" s="414"/>
      <c r="H59" s="408"/>
      <c r="I59" s="399"/>
      <c r="J59" s="405"/>
      <c r="K59" s="399">
        <f>IF(NOT(ISERROR(MATCH(J59,_xlfn.ANCHORARRAY(E70),0))),I72&amp;"Por favor no seleccionar los criterios de impacto",J59)</f>
        <v>0</v>
      </c>
      <c r="L59" s="408"/>
      <c r="M59" s="399"/>
      <c r="N59" s="402"/>
      <c r="O59" s="6">
        <v>3</v>
      </c>
      <c r="P59" s="166"/>
      <c r="Q59" s="106" t="str">
        <f>IF(OR(R59="Preventivo",R59="Detectivo"),"Probabilidad",IF(R59="Correctivo","Impacto",""))</f>
        <v/>
      </c>
      <c r="R59" s="107"/>
      <c r="S59" s="107"/>
      <c r="T59" s="108" t="str">
        <f t="shared" si="40"/>
        <v/>
      </c>
      <c r="U59" s="107"/>
      <c r="V59" s="107"/>
      <c r="W59" s="107"/>
      <c r="X59" s="109" t="str">
        <f>IFERROR(IF(AND(Q58="Probabilidad",Q59="Probabilidad"),(Z58-(+Z58*T59)),IF(AND(Q58="Impacto",Q59="Probabilidad"),(Z57-(+Z57*T59)),IF(Q59="Impacto",Z58,""))),"")</f>
        <v/>
      </c>
      <c r="Y59" s="110" t="str">
        <f t="shared" si="1"/>
        <v/>
      </c>
      <c r="Z59" s="111" t="str">
        <f t="shared" si="41"/>
        <v/>
      </c>
      <c r="AA59" s="110" t="str">
        <f t="shared" si="3"/>
        <v/>
      </c>
      <c r="AB59" s="111" t="str">
        <f>IFERROR(IF(AND(Q58="Impacto",Q59="Impacto"),(AB58-(+AB58*T59)),IF(AND(Q58="Probabilidad",Q59="Impacto"),(AB57-(+AB57*T59)),IF(Q59="Probabilidad",AB58,""))),"")</f>
        <v/>
      </c>
      <c r="AC59" s="112" t="str">
        <f t="shared" si="42"/>
        <v/>
      </c>
      <c r="AD59" s="113"/>
      <c r="AE59" s="176"/>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47"/>
      <c r="B60" s="411"/>
      <c r="C60" s="411"/>
      <c r="D60" s="411"/>
      <c r="E60" s="429"/>
      <c r="F60" s="411"/>
      <c r="G60" s="414"/>
      <c r="H60" s="408"/>
      <c r="I60" s="399"/>
      <c r="J60" s="405"/>
      <c r="K60" s="399">
        <f>IF(NOT(ISERROR(MATCH(J60,_xlfn.ANCHORARRAY(E71),0))),I73&amp;"Por favor no seleccionar los criterios de impacto",J60)</f>
        <v>0</v>
      </c>
      <c r="L60" s="408"/>
      <c r="M60" s="399"/>
      <c r="N60" s="402"/>
      <c r="O60" s="6">
        <v>4</v>
      </c>
      <c r="P60" s="176"/>
      <c r="Q60" s="106" t="str">
        <f t="shared" ref="Q60:Q62" si="43">IF(OR(R60="Preventivo",R60="Detectivo"),"Probabilidad",IF(R60="Correctivo","Impacto",""))</f>
        <v/>
      </c>
      <c r="R60" s="107"/>
      <c r="S60" s="107"/>
      <c r="T60" s="108" t="str">
        <f t="shared" si="40"/>
        <v/>
      </c>
      <c r="U60" s="107"/>
      <c r="V60" s="107"/>
      <c r="W60" s="107"/>
      <c r="X60" s="109" t="str">
        <f t="shared" ref="X60:X62" si="44">IFERROR(IF(AND(Q59="Probabilidad",Q60="Probabilidad"),(Z59-(+Z59*T60)),IF(AND(Q59="Impacto",Q60="Probabilidad"),(Z58-(+Z58*T60)),IF(Q60="Impacto",Z59,""))),"")</f>
        <v/>
      </c>
      <c r="Y60" s="110" t="str">
        <f t="shared" si="1"/>
        <v/>
      </c>
      <c r="Z60" s="111" t="str">
        <f t="shared" si="41"/>
        <v/>
      </c>
      <c r="AA60" s="110" t="str">
        <f t="shared" si="3"/>
        <v/>
      </c>
      <c r="AB60" s="111" t="str">
        <f t="shared" ref="AB60:AB62" si="45">IFERROR(IF(AND(Q59="Impacto",Q60="Impacto"),(AB59-(+AB59*T60)),IF(AND(Q59="Probabilidad",Q60="Impacto"),(AB58-(+AB58*T60)),IF(Q60="Probabilidad",AB59,""))),"")</f>
        <v/>
      </c>
      <c r="AC60" s="11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3"/>
      <c r="AE60" s="176"/>
      <c r="AF60" s="115"/>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47"/>
      <c r="B61" s="411"/>
      <c r="C61" s="411"/>
      <c r="D61" s="411"/>
      <c r="E61" s="429"/>
      <c r="F61" s="411"/>
      <c r="G61" s="414"/>
      <c r="H61" s="408"/>
      <c r="I61" s="399"/>
      <c r="J61" s="405"/>
      <c r="K61" s="399">
        <f>IF(NOT(ISERROR(MATCH(J61,_xlfn.ANCHORARRAY(E72),0))),I74&amp;"Por favor no seleccionar los criterios de impacto",J61)</f>
        <v>0</v>
      </c>
      <c r="L61" s="408"/>
      <c r="M61" s="399"/>
      <c r="N61" s="402"/>
      <c r="O61" s="6">
        <v>5</v>
      </c>
      <c r="P61" s="176"/>
      <c r="Q61" s="106" t="str">
        <f t="shared" si="43"/>
        <v/>
      </c>
      <c r="R61" s="107"/>
      <c r="S61" s="107"/>
      <c r="T61" s="108" t="str">
        <f t="shared" si="40"/>
        <v/>
      </c>
      <c r="U61" s="107"/>
      <c r="V61" s="107"/>
      <c r="W61" s="107"/>
      <c r="X61" s="109" t="str">
        <f t="shared" si="44"/>
        <v/>
      </c>
      <c r="Y61" s="110" t="str">
        <f t="shared" si="1"/>
        <v/>
      </c>
      <c r="Z61" s="111" t="str">
        <f t="shared" si="41"/>
        <v/>
      </c>
      <c r="AA61" s="110" t="str">
        <f t="shared" si="3"/>
        <v/>
      </c>
      <c r="AB61" s="111" t="str">
        <f t="shared" si="45"/>
        <v/>
      </c>
      <c r="AC61" s="112" t="str">
        <f t="shared" ref="AC61:AC62" si="46">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3"/>
      <c r="AE61" s="176"/>
      <c r="AF61" s="115"/>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48"/>
      <c r="B62" s="412"/>
      <c r="C62" s="412"/>
      <c r="D62" s="412"/>
      <c r="E62" s="430"/>
      <c r="F62" s="412"/>
      <c r="G62" s="415"/>
      <c r="H62" s="409"/>
      <c r="I62" s="400"/>
      <c r="J62" s="406"/>
      <c r="K62" s="400">
        <f>IF(NOT(ISERROR(MATCH(J62,_xlfn.ANCHORARRAY(E73),0))),I75&amp;"Por favor no seleccionar los criterios de impacto",J62)</f>
        <v>0</v>
      </c>
      <c r="L62" s="409"/>
      <c r="M62" s="400"/>
      <c r="N62" s="403"/>
      <c r="O62" s="6">
        <v>6</v>
      </c>
      <c r="P62" s="176"/>
      <c r="Q62" s="106" t="str">
        <f t="shared" si="43"/>
        <v/>
      </c>
      <c r="R62" s="107"/>
      <c r="S62" s="107"/>
      <c r="T62" s="108" t="str">
        <f t="shared" si="40"/>
        <v/>
      </c>
      <c r="U62" s="107"/>
      <c r="V62" s="107"/>
      <c r="W62" s="107"/>
      <c r="X62" s="109" t="str">
        <f t="shared" si="44"/>
        <v/>
      </c>
      <c r="Y62" s="110" t="str">
        <f t="shared" si="1"/>
        <v/>
      </c>
      <c r="Z62" s="111" t="str">
        <f t="shared" si="41"/>
        <v/>
      </c>
      <c r="AA62" s="110" t="str">
        <f t="shared" si="3"/>
        <v/>
      </c>
      <c r="AB62" s="111" t="str">
        <f t="shared" si="45"/>
        <v/>
      </c>
      <c r="AC62" s="112" t="str">
        <f t="shared" si="46"/>
        <v/>
      </c>
      <c r="AD62" s="113"/>
      <c r="AE62" s="176"/>
      <c r="AF62" s="115"/>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46">
        <v>9</v>
      </c>
      <c r="B63" s="410"/>
      <c r="C63" s="410"/>
      <c r="D63" s="410"/>
      <c r="E63" s="428"/>
      <c r="F63" s="410"/>
      <c r="G63" s="413"/>
      <c r="H63" s="407" t="str">
        <f>IF(G63&lt;=0,"",IF(G63&lt;=2,"Muy Baja",IF(G63&lt;=24,"Baja",IF(G63&lt;=500,"Media",IF(G63&lt;=5000,"Alta","Muy Alta")))))</f>
        <v/>
      </c>
      <c r="I63" s="398" t="str">
        <f>IF(H63="","",IF(H63="Muy Baja",0.2,IF(H63="Baja",0.4,IF(H63="Media",0.6,IF(H63="Alta",0.8,IF(H63="Muy Alta",1,))))))</f>
        <v/>
      </c>
      <c r="J63" s="404"/>
      <c r="K63" s="398">
        <f>IF(NOT(ISERROR(MATCH(J63,'Tabla Impacto'!$B$221:$B$223,0))),'Tabla Impacto'!$F$223&amp;"Por favor no seleccionar los criterios de impacto(Afectación Económica o presupuestal y Pérdida Reputacional)",J63)</f>
        <v>0</v>
      </c>
      <c r="L63" s="407" t="str">
        <f>IF(OR(K63='Tabla Impacto'!$C$11,K63='Tabla Impacto'!$D$11),"Leve",IF(OR(K63='Tabla Impacto'!$C$12,K63='Tabla Impacto'!$D$12),"Menor",IF(OR(K63='Tabla Impacto'!$C$13,K63='Tabla Impacto'!$D$13),"Moderado",IF(OR(K63='Tabla Impacto'!$C$14,K63='Tabla Impacto'!$D$14),"Mayor",IF(OR(K63='Tabla Impacto'!$C$15,K63='Tabla Impacto'!$D$15),"Catastrófico","")))))</f>
        <v/>
      </c>
      <c r="M63" s="398" t="str">
        <f>IF(L63="","",IF(L63="Leve",0.2,IF(L63="Menor",0.4,IF(L63="Moderado",0.6,IF(L63="Mayor",0.8,IF(L63="Catastrófico",1,))))))</f>
        <v/>
      </c>
      <c r="N63" s="401"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
      </c>
      <c r="O63" s="6">
        <v>1</v>
      </c>
      <c r="P63" s="176"/>
      <c r="Q63" s="157"/>
      <c r="R63" s="160"/>
      <c r="S63" s="160"/>
      <c r="T63" s="161" t="str">
        <f>IF(AND(R63="Preventivo",S63="Automático"),"50%",IF(AND(R63="Preventivo",S63="Manual"),"40%",IF(AND(R63="Detectivo",S63="Automático"),"40%",IF(AND(R63="Detectivo",S63="Manual"),"30%",IF(AND(R63="Correctivo",S63="Automático"),"35%",IF(AND(R63="Correctivo",S63="Manual"),"25%",""))))))</f>
        <v/>
      </c>
      <c r="U63" s="160"/>
      <c r="V63" s="160"/>
      <c r="W63" s="160"/>
      <c r="X63" s="156" t="str">
        <f>IFERROR(IF(Q63="Probabilidad",(I63-(+I63*T63)),IF(Q63="Impacto",I63,"")),"")</f>
        <v/>
      </c>
      <c r="Y63" s="162" t="str">
        <f>IFERROR(IF(X63="","",IF(X63&lt;=0.2,"Muy Baja",IF(X63&lt;=0.4,"Baja",IF(X63&lt;=0.6,"Media",IF(X63&lt;=0.8,"Alta","Muy Alta"))))),"")</f>
        <v/>
      </c>
      <c r="Z63" s="163" t="str">
        <f>+X63</f>
        <v/>
      </c>
      <c r="AA63" s="162" t="str">
        <f>IFERROR(IF(AB63="","",IF(AB63&lt;=0.2,"Leve",IF(AB63&lt;=0.4,"Menor",IF(AB63&lt;=0.6,"Moderado",IF(AB63&lt;=0.8,"Mayor","Catastrófico"))))),"")</f>
        <v/>
      </c>
      <c r="AB63" s="163" t="str">
        <f>IFERROR(IF(Q63="Impacto",(M63-(+M63*T63)),IF(Q63="Probabilidad",M63,"")),"")</f>
        <v/>
      </c>
      <c r="AC63" s="164"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65"/>
      <c r="AE63" s="176"/>
      <c r="AF63" s="114"/>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47"/>
      <c r="B64" s="411"/>
      <c r="C64" s="411"/>
      <c r="D64" s="411"/>
      <c r="E64" s="429"/>
      <c r="F64" s="411"/>
      <c r="G64" s="414"/>
      <c r="H64" s="408"/>
      <c r="I64" s="399"/>
      <c r="J64" s="405"/>
      <c r="K64" s="399">
        <f>IF(NOT(ISERROR(MATCH(J64,_xlfn.ANCHORARRAY(E75),0))),I77&amp;"Por favor no seleccionar los criterios de impacto",J64)</f>
        <v>0</v>
      </c>
      <c r="L64" s="408"/>
      <c r="M64" s="399"/>
      <c r="N64" s="402"/>
      <c r="O64" s="6">
        <v>2</v>
      </c>
      <c r="P64" s="176"/>
      <c r="Q64" s="106" t="str">
        <f>IF(OR(R64="Preventivo",R64="Detectivo"),"Probabilidad",IF(R64="Correctivo","Impacto",""))</f>
        <v/>
      </c>
      <c r="R64" s="107"/>
      <c r="S64" s="107"/>
      <c r="T64" s="108" t="str">
        <f t="shared" ref="T64:T68" si="47">IF(AND(R64="Preventivo",S64="Automático"),"50%",IF(AND(R64="Preventivo",S64="Manual"),"40%",IF(AND(R64="Detectivo",S64="Automático"),"40%",IF(AND(R64="Detectivo",S64="Manual"),"30%",IF(AND(R64="Correctivo",S64="Automático"),"35%",IF(AND(R64="Correctivo",S64="Manual"),"25%",""))))))</f>
        <v/>
      </c>
      <c r="U64" s="107"/>
      <c r="V64" s="107"/>
      <c r="W64" s="107"/>
      <c r="X64" s="109" t="str">
        <f>IFERROR(IF(AND(Q63="Probabilidad",Q64="Probabilidad"),(Z63-(+Z63*T64)),IF(Q64="Probabilidad",(I63-(+I63*T64)),IF(Q64="Impacto",Z63,""))),"")</f>
        <v/>
      </c>
      <c r="Y64" s="110" t="str">
        <f t="shared" si="1"/>
        <v/>
      </c>
      <c r="Z64" s="111" t="str">
        <f t="shared" ref="Z64:Z68" si="48">+X64</f>
        <v/>
      </c>
      <c r="AA64" s="110" t="str">
        <f t="shared" si="3"/>
        <v/>
      </c>
      <c r="AB64" s="111" t="str">
        <f>IFERROR(IF(AND(Q63="Impacto",Q64="Impacto"),(AB63-(+AB63*T64)),IF(Q64="Impacto",(M63-(+M63*T64)),IF(Q64="Probabilidad",AB63,""))),"")</f>
        <v/>
      </c>
      <c r="AC64" s="112" t="str">
        <f t="shared" ref="AC64:AC65" si="49">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76"/>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47"/>
      <c r="B65" s="411"/>
      <c r="C65" s="411"/>
      <c r="D65" s="411"/>
      <c r="E65" s="429"/>
      <c r="F65" s="411"/>
      <c r="G65" s="414"/>
      <c r="H65" s="408"/>
      <c r="I65" s="399"/>
      <c r="J65" s="405"/>
      <c r="K65" s="399">
        <f>IF(NOT(ISERROR(MATCH(J65,_xlfn.ANCHORARRAY(E76),0))),I78&amp;"Por favor no seleccionar los criterios de impacto",J65)</f>
        <v>0</v>
      </c>
      <c r="L65" s="408"/>
      <c r="M65" s="399"/>
      <c r="N65" s="402"/>
      <c r="O65" s="6">
        <v>3</v>
      </c>
      <c r="P65" s="166"/>
      <c r="Q65" s="106" t="str">
        <f>IF(OR(R65="Preventivo",R65="Detectivo"),"Probabilidad",IF(R65="Correctivo","Impacto",""))</f>
        <v/>
      </c>
      <c r="R65" s="107"/>
      <c r="S65" s="107"/>
      <c r="T65" s="108" t="str">
        <f t="shared" si="47"/>
        <v/>
      </c>
      <c r="U65" s="107"/>
      <c r="V65" s="107"/>
      <c r="W65" s="107"/>
      <c r="X65" s="109" t="str">
        <f>IFERROR(IF(AND(Q64="Probabilidad",Q65="Probabilidad"),(Z64-(+Z64*T65)),IF(AND(Q64="Impacto",Q65="Probabilidad"),(Z63-(+Z63*T65)),IF(Q65="Impacto",Z64,""))),"")</f>
        <v/>
      </c>
      <c r="Y65" s="110" t="str">
        <f t="shared" si="1"/>
        <v/>
      </c>
      <c r="Z65" s="111" t="str">
        <f t="shared" si="48"/>
        <v/>
      </c>
      <c r="AA65" s="110" t="str">
        <f t="shared" si="3"/>
        <v/>
      </c>
      <c r="AB65" s="111" t="str">
        <f>IFERROR(IF(AND(Q64="Impacto",Q65="Impacto"),(AB64-(+AB64*T65)),IF(AND(Q64="Probabilidad",Q65="Impacto"),(AB63-(+AB63*T65)),IF(Q65="Probabilidad",AB64,""))),"")</f>
        <v/>
      </c>
      <c r="AC65" s="112" t="str">
        <f t="shared" si="49"/>
        <v/>
      </c>
      <c r="AD65" s="113"/>
      <c r="AE65" s="176"/>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47"/>
      <c r="B66" s="411"/>
      <c r="C66" s="411"/>
      <c r="D66" s="411"/>
      <c r="E66" s="429"/>
      <c r="F66" s="411"/>
      <c r="G66" s="414"/>
      <c r="H66" s="408"/>
      <c r="I66" s="399"/>
      <c r="J66" s="405"/>
      <c r="K66" s="399">
        <f>IF(NOT(ISERROR(MATCH(J66,_xlfn.ANCHORARRAY(E77),0))),I79&amp;"Por favor no seleccionar los criterios de impacto",J66)</f>
        <v>0</v>
      </c>
      <c r="L66" s="408"/>
      <c r="M66" s="399"/>
      <c r="N66" s="402"/>
      <c r="O66" s="6">
        <v>4</v>
      </c>
      <c r="P66" s="176"/>
      <c r="Q66" s="106" t="str">
        <f t="shared" ref="Q66:Q68" si="50">IF(OR(R66="Preventivo",R66="Detectivo"),"Probabilidad",IF(R66="Correctivo","Impacto",""))</f>
        <v/>
      </c>
      <c r="R66" s="107"/>
      <c r="S66" s="107"/>
      <c r="T66" s="108" t="str">
        <f t="shared" si="47"/>
        <v/>
      </c>
      <c r="U66" s="107"/>
      <c r="V66" s="107"/>
      <c r="W66" s="107"/>
      <c r="X66" s="109" t="str">
        <f t="shared" ref="X66:X67" si="51">IFERROR(IF(AND(Q65="Probabilidad",Q66="Probabilidad"),(Z65-(+Z65*T66)),IF(AND(Q65="Impacto",Q66="Probabilidad"),(Z64-(+Z64*T66)),IF(Q66="Impacto",Z65,""))),"")</f>
        <v/>
      </c>
      <c r="Y66" s="110" t="str">
        <f t="shared" si="1"/>
        <v/>
      </c>
      <c r="Z66" s="111" t="str">
        <f t="shared" si="48"/>
        <v/>
      </c>
      <c r="AA66" s="110" t="str">
        <f t="shared" si="3"/>
        <v/>
      </c>
      <c r="AB66" s="111" t="str">
        <f t="shared" ref="AB66:AB67" si="52">IFERROR(IF(AND(Q65="Impacto",Q66="Impacto"),(AB65-(+AB65*T66)),IF(AND(Q65="Probabilidad",Q66="Impacto"),(AB64-(+AB64*T66)),IF(Q66="Probabilidad",AB65,""))),"")</f>
        <v/>
      </c>
      <c r="AC66" s="112"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3"/>
      <c r="AE66" s="176"/>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47"/>
      <c r="B67" s="411"/>
      <c r="C67" s="411"/>
      <c r="D67" s="411"/>
      <c r="E67" s="429"/>
      <c r="F67" s="411"/>
      <c r="G67" s="414"/>
      <c r="H67" s="408"/>
      <c r="I67" s="399"/>
      <c r="J67" s="405"/>
      <c r="K67" s="399">
        <f>IF(NOT(ISERROR(MATCH(J67,_xlfn.ANCHORARRAY(E78),0))),I80&amp;"Por favor no seleccionar los criterios de impacto",J67)</f>
        <v>0</v>
      </c>
      <c r="L67" s="408"/>
      <c r="M67" s="399"/>
      <c r="N67" s="402"/>
      <c r="O67" s="6">
        <v>5</v>
      </c>
      <c r="P67" s="176"/>
      <c r="Q67" s="106" t="str">
        <f t="shared" si="50"/>
        <v/>
      </c>
      <c r="R67" s="107"/>
      <c r="S67" s="107"/>
      <c r="T67" s="108" t="str">
        <f t="shared" si="47"/>
        <v/>
      </c>
      <c r="U67" s="107"/>
      <c r="V67" s="107"/>
      <c r="W67" s="107"/>
      <c r="X67" s="109" t="str">
        <f t="shared" si="51"/>
        <v/>
      </c>
      <c r="Y67" s="110" t="str">
        <f t="shared" si="1"/>
        <v/>
      </c>
      <c r="Z67" s="111" t="str">
        <f t="shared" si="48"/>
        <v/>
      </c>
      <c r="AA67" s="110" t="str">
        <f t="shared" si="3"/>
        <v/>
      </c>
      <c r="AB67" s="111" t="str">
        <f t="shared" si="52"/>
        <v/>
      </c>
      <c r="AC67" s="112" t="str">
        <f t="shared" ref="AC67:AC68" si="53">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3"/>
      <c r="AE67" s="176"/>
      <c r="AF67" s="115"/>
      <c r="AG67" s="116"/>
      <c r="AH67" s="116"/>
      <c r="AI67" s="116"/>
      <c r="AJ67" s="114"/>
      <c r="AK67" s="115"/>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48"/>
      <c r="B68" s="412"/>
      <c r="C68" s="412"/>
      <c r="D68" s="412"/>
      <c r="E68" s="430"/>
      <c r="F68" s="412"/>
      <c r="G68" s="415"/>
      <c r="H68" s="409"/>
      <c r="I68" s="400"/>
      <c r="J68" s="406"/>
      <c r="K68" s="400">
        <f>IF(NOT(ISERROR(MATCH(J68,_xlfn.ANCHORARRAY(E79),0))),I81&amp;"Por favor no seleccionar los criterios de impacto",J68)</f>
        <v>0</v>
      </c>
      <c r="L68" s="409"/>
      <c r="M68" s="400"/>
      <c r="N68" s="403"/>
      <c r="O68" s="6">
        <v>6</v>
      </c>
      <c r="P68" s="176"/>
      <c r="Q68" s="106" t="str">
        <f t="shared" si="50"/>
        <v/>
      </c>
      <c r="R68" s="107"/>
      <c r="S68" s="107"/>
      <c r="T68" s="108" t="str">
        <f t="shared" si="47"/>
        <v/>
      </c>
      <c r="U68" s="107"/>
      <c r="V68" s="107"/>
      <c r="W68" s="107"/>
      <c r="X68" s="109" t="str">
        <f>IFERROR(IF(AND(Q67="Probabilidad",Q68="Probabilidad"),(Z67-(+Z67*T68)),IF(AND(Q67="Impacto",Q68="Probabilidad"),(Z66-(+Z66*T68)),IF(Q68="Impacto",Z67,""))),"")</f>
        <v/>
      </c>
      <c r="Y68" s="110" t="str">
        <f t="shared" si="1"/>
        <v/>
      </c>
      <c r="Z68" s="111" t="str">
        <f t="shared" si="48"/>
        <v/>
      </c>
      <c r="AA68" s="110" t="str">
        <f t="shared" si="3"/>
        <v/>
      </c>
      <c r="AB68" s="111" t="str">
        <f>IFERROR(IF(AND(Q67="Impacto",Q68="Impacto"),(AB67-(+AB67*T68)),IF(AND(Q67="Probabilidad",Q68="Impacto"),(AB66-(+AB66*T68)),IF(Q68="Probabilidad",AB67,""))),"")</f>
        <v/>
      </c>
      <c r="AC68" s="112" t="str">
        <f t="shared" si="53"/>
        <v/>
      </c>
      <c r="AD68" s="113"/>
      <c r="AE68" s="176"/>
      <c r="AF68" s="115"/>
      <c r="AG68" s="116"/>
      <c r="AH68" s="116"/>
      <c r="AI68" s="116"/>
      <c r="AJ68" s="114"/>
      <c r="AK68" s="115"/>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46">
        <v>10</v>
      </c>
      <c r="B69" s="410"/>
      <c r="C69" s="410"/>
      <c r="D69" s="410"/>
      <c r="E69" s="428"/>
      <c r="F69" s="410"/>
      <c r="G69" s="413"/>
      <c r="H69" s="407" t="str">
        <f>IF(G69&lt;=0,"",IF(G69&lt;=2,"Muy Baja",IF(G69&lt;=24,"Baja",IF(G69&lt;=500,"Media",IF(G69&lt;=5000,"Alta","Muy Alta")))))</f>
        <v/>
      </c>
      <c r="I69" s="398" t="str">
        <f>IF(H69="","",IF(H69="Muy Baja",0.2,IF(H69="Baja",0.4,IF(H69="Media",0.6,IF(H69="Alta",0.8,IF(H69="Muy Alta",1,))))))</f>
        <v/>
      </c>
      <c r="J69" s="404"/>
      <c r="K69" s="398">
        <f>IF(NOT(ISERROR(MATCH(J69,'Tabla Impacto'!$B$221:$B$223,0))),'Tabla Impacto'!$F$223&amp;"Por favor no seleccionar los criterios de impacto(Afectación Económica o presupuestal y Pérdida Reputacional)",J69)</f>
        <v>0</v>
      </c>
      <c r="L69" s="407" t="str">
        <f>IF(OR(K69='Tabla Impacto'!$C$11,K69='Tabla Impacto'!$D$11),"Leve",IF(OR(K69='Tabla Impacto'!$C$12,K69='Tabla Impacto'!$D$12),"Menor",IF(OR(K69='Tabla Impacto'!$C$13,K69='Tabla Impacto'!$D$13),"Moderado",IF(OR(K69='Tabla Impacto'!$C$14,K69='Tabla Impacto'!$D$14),"Mayor",IF(OR(K69='Tabla Impacto'!$C$15,K69='Tabla Impacto'!$D$15),"Catastrófico","")))))</f>
        <v/>
      </c>
      <c r="M69" s="398" t="str">
        <f>IF(L69="","",IF(L69="Leve",0.2,IF(L69="Menor",0.4,IF(L69="Moderado",0.6,IF(L69="Mayor",0.8,IF(L69="Catastrófico",1,))))))</f>
        <v/>
      </c>
      <c r="N69" s="401" t="str">
        <f>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
      </c>
      <c r="O69" s="6">
        <v>1</v>
      </c>
      <c r="P69" s="176"/>
      <c r="Q69" s="157"/>
      <c r="R69" s="160"/>
      <c r="S69" s="160"/>
      <c r="T69" s="161" t="str">
        <f>IF(AND(R69="Preventivo",S69="Automático"),"50%",IF(AND(R69="Preventivo",S69="Manual"),"40%",IF(AND(R69="Detectivo",S69="Automático"),"40%",IF(AND(R69="Detectivo",S69="Manual"),"30%",IF(AND(R69="Correctivo",S69="Automático"),"35%",IF(AND(R69="Correctivo",S69="Manual"),"25%",""))))))</f>
        <v/>
      </c>
      <c r="U69" s="160"/>
      <c r="V69" s="160"/>
      <c r="W69" s="160"/>
      <c r="X69" s="156" t="str">
        <f>IFERROR(IF(Q69="Probabilidad",(I69-(+I69*T69)),IF(Q69="Impacto",I69,"")),"")</f>
        <v/>
      </c>
      <c r="Y69" s="162" t="str">
        <f>IFERROR(IF(X69="","",IF(X69&lt;=0.2,"Muy Baja",IF(X69&lt;=0.4,"Baja",IF(X69&lt;=0.6,"Media",IF(X69&lt;=0.8,"Alta","Muy Alta"))))),"")</f>
        <v/>
      </c>
      <c r="Z69" s="163" t="str">
        <f>+X69</f>
        <v/>
      </c>
      <c r="AA69" s="162" t="str">
        <f>IFERROR(IF(AB69="","",IF(AB69&lt;=0.2,"Leve",IF(AB69&lt;=0.4,"Menor",IF(AB69&lt;=0.6,"Moderado",IF(AB69&lt;=0.8,"Mayor","Catastrófico"))))),"")</f>
        <v/>
      </c>
      <c r="AB69" s="163" t="str">
        <f>IFERROR(IF(Q69="Impacto",(M69-(+M69*T69)),IF(Q69="Probabilidad",M69,"")),"")</f>
        <v/>
      </c>
      <c r="AC69" s="164"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65"/>
      <c r="AE69" s="176"/>
      <c r="AF69" s="115"/>
      <c r="AG69" s="116"/>
      <c r="AH69" s="116"/>
      <c r="AI69" s="116"/>
      <c r="AJ69" s="114"/>
      <c r="AK69" s="115"/>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47"/>
      <c r="B70" s="411"/>
      <c r="C70" s="411"/>
      <c r="D70" s="411"/>
      <c r="E70" s="429"/>
      <c r="F70" s="411"/>
      <c r="G70" s="414"/>
      <c r="H70" s="408"/>
      <c r="I70" s="399"/>
      <c r="J70" s="405"/>
      <c r="K70" s="399">
        <f>IF(NOT(ISERROR(MATCH(J70,_xlfn.ANCHORARRAY(E81),0))),I83&amp;"Por favor no seleccionar los criterios de impacto",J70)</f>
        <v>0</v>
      </c>
      <c r="L70" s="408"/>
      <c r="M70" s="399"/>
      <c r="N70" s="402"/>
      <c r="O70" s="6">
        <v>2</v>
      </c>
      <c r="P70" s="176"/>
      <c r="Q70" s="106" t="str">
        <f>IF(OR(R70="Preventivo",R70="Detectivo"),"Probabilidad",IF(R70="Correctivo","Impacto",""))</f>
        <v/>
      </c>
      <c r="R70" s="107"/>
      <c r="S70" s="107"/>
      <c r="T70" s="108" t="str">
        <f t="shared" ref="T70:T74" si="54">IF(AND(R70="Preventivo",S70="Automático"),"50%",IF(AND(R70="Preventivo",S70="Manual"),"40%",IF(AND(R70="Detectivo",S70="Automático"),"40%",IF(AND(R70="Detectivo",S70="Manual"),"30%",IF(AND(R70="Correctivo",S70="Automático"),"35%",IF(AND(R70="Correctivo",S70="Manual"),"25%",""))))))</f>
        <v/>
      </c>
      <c r="U70" s="107"/>
      <c r="V70" s="107"/>
      <c r="W70" s="107"/>
      <c r="X70" s="109" t="str">
        <f>IFERROR(IF(AND(Q69="Probabilidad",Q70="Probabilidad"),(Z69-(+Z69*T70)),IF(Q70="Probabilidad",(I69-(+I69*T70)),IF(Q70="Impacto",Z69,""))),"")</f>
        <v/>
      </c>
      <c r="Y70" s="110" t="str">
        <f t="shared" si="1"/>
        <v/>
      </c>
      <c r="Z70" s="111" t="str">
        <f t="shared" ref="Z70:Z74" si="55">+X70</f>
        <v/>
      </c>
      <c r="AA70" s="110" t="str">
        <f t="shared" si="3"/>
        <v/>
      </c>
      <c r="AB70" s="111" t="str">
        <f>IFERROR(IF(AND(Q69="Impacto",Q70="Impacto"),(AB69-(+AB69*T70)),IF(Q70="Impacto",(M69-(+M69*T70)),IF(Q70="Probabilidad",AB69,""))),"")</f>
        <v/>
      </c>
      <c r="AC70" s="112" t="str">
        <f t="shared" ref="AC70:AC71" si="56">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76"/>
      <c r="AF70" s="115"/>
      <c r="AG70" s="116"/>
      <c r="AH70" s="116"/>
      <c r="AI70" s="116"/>
      <c r="AJ70" s="114"/>
      <c r="AK70" s="115"/>
    </row>
    <row r="71" spans="1:69" ht="18" hidden="1" customHeight="1" x14ac:dyDescent="0.3">
      <c r="A71" s="347"/>
      <c r="B71" s="411"/>
      <c r="C71" s="411"/>
      <c r="D71" s="411"/>
      <c r="E71" s="429"/>
      <c r="F71" s="411"/>
      <c r="G71" s="414"/>
      <c r="H71" s="408"/>
      <c r="I71" s="399"/>
      <c r="J71" s="405"/>
      <c r="K71" s="399">
        <f>IF(NOT(ISERROR(MATCH(J71,_xlfn.ANCHORARRAY(E82),0))),I84&amp;"Por favor no seleccionar los criterios de impacto",J71)</f>
        <v>0</v>
      </c>
      <c r="L71" s="408"/>
      <c r="M71" s="399"/>
      <c r="N71" s="402"/>
      <c r="O71" s="6">
        <v>3</v>
      </c>
      <c r="P71" s="166"/>
      <c r="Q71" s="106" t="str">
        <f>IF(OR(R71="Preventivo",R71="Detectivo"),"Probabilidad",IF(R71="Correctivo","Impacto",""))</f>
        <v/>
      </c>
      <c r="R71" s="107"/>
      <c r="S71" s="107"/>
      <c r="T71" s="108" t="str">
        <f t="shared" si="54"/>
        <v/>
      </c>
      <c r="U71" s="107"/>
      <c r="V71" s="107"/>
      <c r="W71" s="107"/>
      <c r="X71" s="109" t="str">
        <f>IFERROR(IF(AND(Q70="Probabilidad",Q71="Probabilidad"),(Z70-(+Z70*T71)),IF(AND(Q70="Impacto",Q71="Probabilidad"),(Z69-(+Z69*T71)),IF(Q71="Impacto",Z70,""))),"")</f>
        <v/>
      </c>
      <c r="Y71" s="110" t="str">
        <f t="shared" si="1"/>
        <v/>
      </c>
      <c r="Z71" s="111" t="str">
        <f t="shared" si="55"/>
        <v/>
      </c>
      <c r="AA71" s="110" t="str">
        <f t="shared" si="3"/>
        <v/>
      </c>
      <c r="AB71" s="111" t="str">
        <f>IFERROR(IF(AND(Q70="Impacto",Q71="Impacto"),(AB70-(+AB70*T71)),IF(AND(Q70="Probabilidad",Q71="Impacto"),(AB69-(+AB69*T71)),IF(Q71="Probabilidad",AB70,""))),"")</f>
        <v/>
      </c>
      <c r="AC71" s="112" t="str">
        <f t="shared" si="56"/>
        <v/>
      </c>
      <c r="AD71" s="113"/>
      <c r="AE71" s="176"/>
      <c r="AF71" s="115"/>
      <c r="AG71" s="116"/>
      <c r="AH71" s="116"/>
      <c r="AI71" s="116"/>
      <c r="AJ71" s="114"/>
      <c r="AK71" s="115"/>
    </row>
    <row r="72" spans="1:69" ht="18" hidden="1" customHeight="1" x14ac:dyDescent="0.3">
      <c r="A72" s="347"/>
      <c r="B72" s="411"/>
      <c r="C72" s="411"/>
      <c r="D72" s="411"/>
      <c r="E72" s="429"/>
      <c r="F72" s="411"/>
      <c r="G72" s="414"/>
      <c r="H72" s="408"/>
      <c r="I72" s="399"/>
      <c r="J72" s="405"/>
      <c r="K72" s="399">
        <f>IF(NOT(ISERROR(MATCH(J72,_xlfn.ANCHORARRAY(E83),0))),I85&amp;"Por favor no seleccionar los criterios de impacto",J72)</f>
        <v>0</v>
      </c>
      <c r="L72" s="408"/>
      <c r="M72" s="399"/>
      <c r="N72" s="402"/>
      <c r="O72" s="6">
        <v>4</v>
      </c>
      <c r="P72" s="176"/>
      <c r="Q72" s="106" t="str">
        <f t="shared" ref="Q72:Q74" si="57">IF(OR(R72="Preventivo",R72="Detectivo"),"Probabilidad",IF(R72="Correctivo","Impacto",""))</f>
        <v/>
      </c>
      <c r="R72" s="107"/>
      <c r="S72" s="107"/>
      <c r="T72" s="108" t="str">
        <f t="shared" si="54"/>
        <v/>
      </c>
      <c r="U72" s="107"/>
      <c r="V72" s="107"/>
      <c r="W72" s="107"/>
      <c r="X72" s="109" t="str">
        <f t="shared" ref="X72:X73" si="58">IFERROR(IF(AND(Q71="Probabilidad",Q72="Probabilidad"),(Z71-(+Z71*T72)),IF(AND(Q71="Impacto",Q72="Probabilidad"),(Z70-(+Z70*T72)),IF(Q72="Impacto",Z71,""))),"")</f>
        <v/>
      </c>
      <c r="Y72" s="110" t="str">
        <f t="shared" si="1"/>
        <v/>
      </c>
      <c r="Z72" s="111" t="str">
        <f t="shared" si="55"/>
        <v/>
      </c>
      <c r="AA72" s="110" t="str">
        <f t="shared" si="3"/>
        <v/>
      </c>
      <c r="AB72" s="111" t="str">
        <f t="shared" ref="AB72:AB73" si="59">IFERROR(IF(AND(Q71="Impacto",Q72="Impacto"),(AB71-(+AB71*T72)),IF(AND(Q71="Probabilidad",Q72="Impacto"),(AB70-(+AB70*T72)),IF(Q72="Probabilidad",AB71,""))),"")</f>
        <v/>
      </c>
      <c r="AC72" s="112"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3"/>
      <c r="AE72" s="176"/>
      <c r="AF72" s="115"/>
      <c r="AG72" s="116"/>
      <c r="AH72" s="116"/>
      <c r="AI72" s="116"/>
      <c r="AJ72" s="114"/>
      <c r="AK72" s="115"/>
    </row>
    <row r="73" spans="1:69" ht="18" hidden="1" customHeight="1" x14ac:dyDescent="0.3">
      <c r="A73" s="347"/>
      <c r="B73" s="411"/>
      <c r="C73" s="411"/>
      <c r="D73" s="411"/>
      <c r="E73" s="429"/>
      <c r="F73" s="411"/>
      <c r="G73" s="414"/>
      <c r="H73" s="408"/>
      <c r="I73" s="399"/>
      <c r="J73" s="405"/>
      <c r="K73" s="399">
        <f>IF(NOT(ISERROR(MATCH(J73,_xlfn.ANCHORARRAY(E84),0))),I86&amp;"Por favor no seleccionar los criterios de impacto",J73)</f>
        <v>0</v>
      </c>
      <c r="L73" s="408"/>
      <c r="M73" s="399"/>
      <c r="N73" s="402"/>
      <c r="O73" s="6">
        <v>5</v>
      </c>
      <c r="P73" s="176"/>
      <c r="Q73" s="106" t="str">
        <f t="shared" si="57"/>
        <v/>
      </c>
      <c r="R73" s="107"/>
      <c r="S73" s="107"/>
      <c r="T73" s="108" t="str">
        <f t="shared" si="54"/>
        <v/>
      </c>
      <c r="U73" s="107"/>
      <c r="V73" s="107"/>
      <c r="W73" s="107"/>
      <c r="X73" s="109" t="str">
        <f t="shared" si="58"/>
        <v/>
      </c>
      <c r="Y73" s="110" t="str">
        <f t="shared" si="1"/>
        <v/>
      </c>
      <c r="Z73" s="111" t="str">
        <f t="shared" si="55"/>
        <v/>
      </c>
      <c r="AA73" s="110" t="str">
        <f t="shared" si="3"/>
        <v/>
      </c>
      <c r="AB73" s="111" t="str">
        <f t="shared" si="59"/>
        <v/>
      </c>
      <c r="AC73" s="112" t="str">
        <f t="shared" ref="AC73:AC74" si="60">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3"/>
      <c r="AE73" s="176"/>
      <c r="AF73" s="115"/>
      <c r="AG73" s="116"/>
      <c r="AH73" s="116"/>
      <c r="AI73" s="116"/>
      <c r="AJ73" s="114"/>
      <c r="AK73" s="115"/>
    </row>
    <row r="74" spans="1:69" ht="18" hidden="1" customHeight="1" x14ac:dyDescent="0.3">
      <c r="A74" s="348"/>
      <c r="B74" s="412"/>
      <c r="C74" s="412"/>
      <c r="D74" s="412"/>
      <c r="E74" s="430"/>
      <c r="F74" s="412"/>
      <c r="G74" s="415"/>
      <c r="H74" s="409"/>
      <c r="I74" s="400"/>
      <c r="J74" s="406"/>
      <c r="K74" s="400">
        <f>IF(NOT(ISERROR(MATCH(J74,_xlfn.ANCHORARRAY(E85),0))),I87&amp;"Por favor no seleccionar los criterios de impacto",J74)</f>
        <v>0</v>
      </c>
      <c r="L74" s="409"/>
      <c r="M74" s="400"/>
      <c r="N74" s="403"/>
      <c r="O74" s="6">
        <v>6</v>
      </c>
      <c r="P74" s="176"/>
      <c r="Q74" s="106" t="str">
        <f t="shared" si="57"/>
        <v/>
      </c>
      <c r="R74" s="107"/>
      <c r="S74" s="107"/>
      <c r="T74" s="108" t="str">
        <f t="shared" si="54"/>
        <v/>
      </c>
      <c r="U74" s="107"/>
      <c r="V74" s="107"/>
      <c r="W74" s="107"/>
      <c r="X74" s="109" t="str">
        <f>IFERROR(IF(AND(Q73="Probabilidad",Q74="Probabilidad"),(Z73-(+Z73*T74)),IF(AND(Q73="Impacto",Q74="Probabilidad"),(Z72-(+Z72*T74)),IF(Q74="Impacto",Z73,""))),"")</f>
        <v/>
      </c>
      <c r="Y74" s="110" t="str">
        <f t="shared" si="1"/>
        <v/>
      </c>
      <c r="Z74" s="111" t="str">
        <f t="shared" si="55"/>
        <v/>
      </c>
      <c r="AA74" s="110" t="str">
        <f t="shared" si="3"/>
        <v/>
      </c>
      <c r="AB74" s="111" t="str">
        <f>IFERROR(IF(AND(Q73="Impacto",Q74="Impacto"),(AB73-(+AB73*T74)),IF(AND(Q73="Probabilidad",Q74="Impacto"),(AB72-(+AB72*T74)),IF(Q74="Probabilidad",AB73,""))),"")</f>
        <v/>
      </c>
      <c r="AC74" s="112" t="str">
        <f t="shared" si="60"/>
        <v/>
      </c>
      <c r="AD74" s="113"/>
      <c r="AE74" s="176"/>
      <c r="AF74" s="115"/>
      <c r="AG74" s="116"/>
      <c r="AH74" s="116"/>
      <c r="AI74" s="116"/>
      <c r="AJ74" s="114"/>
      <c r="AK74" s="115"/>
    </row>
    <row r="75" spans="1:69" ht="34.5" customHeight="1" x14ac:dyDescent="0.3">
      <c r="A75" s="325" t="s">
        <v>205</v>
      </c>
      <c r="B75" s="326"/>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7"/>
    </row>
    <row r="77" spans="1:69" x14ac:dyDescent="0.3">
      <c r="A77" s="1"/>
      <c r="B77" s="24" t="s">
        <v>206</v>
      </c>
      <c r="C77" s="1"/>
      <c r="D77" s="1"/>
      <c r="F77" s="1"/>
    </row>
  </sheetData>
  <dataConsolidate/>
  <mergeCells count="207">
    <mergeCell ref="AJ1:AK1"/>
    <mergeCell ref="AJ2:AK2"/>
    <mergeCell ref="AJ3:AK3"/>
    <mergeCell ref="AJ4:AK4"/>
    <mergeCell ref="E1:AI4"/>
    <mergeCell ref="J69:J74"/>
    <mergeCell ref="K69:K74"/>
    <mergeCell ref="L69:L74"/>
    <mergeCell ref="M69:M74"/>
    <mergeCell ref="N69:N74"/>
    <mergeCell ref="I69:I74"/>
    <mergeCell ref="AH10:AH11"/>
    <mergeCell ref="O6:Q6"/>
    <mergeCell ref="O9:W9"/>
    <mergeCell ref="X9:AD9"/>
    <mergeCell ref="AE9:AK9"/>
    <mergeCell ref="M27:M32"/>
    <mergeCell ref="N27:N32"/>
    <mergeCell ref="J33:J38"/>
    <mergeCell ref="K33:K38"/>
    <mergeCell ref="L33:L38"/>
    <mergeCell ref="M33:M38"/>
    <mergeCell ref="N33:N38"/>
    <mergeCell ref="K21:K26"/>
    <mergeCell ref="F69:F74"/>
    <mergeCell ref="G69:G74"/>
    <mergeCell ref="H69:H74"/>
    <mergeCell ref="C6:N6"/>
    <mergeCell ref="A9:G9"/>
    <mergeCell ref="H9:N9"/>
    <mergeCell ref="I39:I44"/>
    <mergeCell ref="J39:J44"/>
    <mergeCell ref="G45:G50"/>
    <mergeCell ref="H45:H50"/>
    <mergeCell ref="I45:I50"/>
    <mergeCell ref="K39:K44"/>
    <mergeCell ref="L39:L44"/>
    <mergeCell ref="A57:A62"/>
    <mergeCell ref="E57:E62"/>
    <mergeCell ref="A51:A56"/>
    <mergeCell ref="B51:B56"/>
    <mergeCell ref="C51:C56"/>
    <mergeCell ref="A63:A68"/>
    <mergeCell ref="B63:B68"/>
    <mergeCell ref="C63:C68"/>
    <mergeCell ref="D63:D68"/>
    <mergeCell ref="E63:E68"/>
    <mergeCell ref="F63:F68"/>
    <mergeCell ref="B57:B62"/>
    <mergeCell ref="C57:C62"/>
    <mergeCell ref="D57:D62"/>
    <mergeCell ref="A1:D4"/>
    <mergeCell ref="A69:A74"/>
    <mergeCell ref="B69:B74"/>
    <mergeCell ref="C69:C74"/>
    <mergeCell ref="D69:D74"/>
    <mergeCell ref="E69:E74"/>
    <mergeCell ref="M63:M68"/>
    <mergeCell ref="N63:N68"/>
    <mergeCell ref="J63:J68"/>
    <mergeCell ref="K63:K68"/>
    <mergeCell ref="L63:L68"/>
    <mergeCell ref="M51:M56"/>
    <mergeCell ref="N51:N56"/>
    <mergeCell ref="F57:F62"/>
    <mergeCell ref="G57:G62"/>
    <mergeCell ref="H57:H62"/>
    <mergeCell ref="I57:I62"/>
    <mergeCell ref="J57:J62"/>
    <mergeCell ref="F51:F56"/>
    <mergeCell ref="G51:G56"/>
    <mergeCell ref="H51:H56"/>
    <mergeCell ref="I51:I56"/>
    <mergeCell ref="K57:K62"/>
    <mergeCell ref="L57:L62"/>
    <mergeCell ref="M57:M62"/>
    <mergeCell ref="N57:N62"/>
    <mergeCell ref="G63:G68"/>
    <mergeCell ref="H63:H68"/>
    <mergeCell ref="I63:I68"/>
    <mergeCell ref="D51:D56"/>
    <mergeCell ref="E51:E56"/>
    <mergeCell ref="M39:M44"/>
    <mergeCell ref="N39:N44"/>
    <mergeCell ref="M45:M50"/>
    <mergeCell ref="N45:N50"/>
    <mergeCell ref="J51:J56"/>
    <mergeCell ref="K51:K56"/>
    <mergeCell ref="L51:L56"/>
    <mergeCell ref="J45:J50"/>
    <mergeCell ref="K45:K50"/>
    <mergeCell ref="L45:L50"/>
    <mergeCell ref="G39:G44"/>
    <mergeCell ref="H39:H44"/>
    <mergeCell ref="A39:A44"/>
    <mergeCell ref="B39:B44"/>
    <mergeCell ref="C39:C44"/>
    <mergeCell ref="A45:A50"/>
    <mergeCell ref="B45:B50"/>
    <mergeCell ref="C45:C50"/>
    <mergeCell ref="D45:D50"/>
    <mergeCell ref="E45:E50"/>
    <mergeCell ref="F45:F50"/>
    <mergeCell ref="D39:D44"/>
    <mergeCell ref="E39:E44"/>
    <mergeCell ref="F39:F44"/>
    <mergeCell ref="A33:A38"/>
    <mergeCell ref="B33:B38"/>
    <mergeCell ref="C33:C38"/>
    <mergeCell ref="D33:D38"/>
    <mergeCell ref="E33:E38"/>
    <mergeCell ref="F33:F38"/>
    <mergeCell ref="G33:G38"/>
    <mergeCell ref="H33:H38"/>
    <mergeCell ref="I33:I38"/>
    <mergeCell ref="L21:L26"/>
    <mergeCell ref="M21:M26"/>
    <mergeCell ref="N21:N26"/>
    <mergeCell ref="A27:A32"/>
    <mergeCell ref="B27:B32"/>
    <mergeCell ref="C27:C32"/>
    <mergeCell ref="D27:D32"/>
    <mergeCell ref="E27:E32"/>
    <mergeCell ref="F27:F32"/>
    <mergeCell ref="G27:G32"/>
    <mergeCell ref="H27:H32"/>
    <mergeCell ref="I27:I32"/>
    <mergeCell ref="J27:J32"/>
    <mergeCell ref="K27:K32"/>
    <mergeCell ref="L27:L32"/>
    <mergeCell ref="F21:F26"/>
    <mergeCell ref="G21:G26"/>
    <mergeCell ref="H21:H26"/>
    <mergeCell ref="I21:I26"/>
    <mergeCell ref="J21:J26"/>
    <mergeCell ref="A21:A26"/>
    <mergeCell ref="B21:B26"/>
    <mergeCell ref="C21:C26"/>
    <mergeCell ref="D21:D26"/>
    <mergeCell ref="E21:E26"/>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K12:K20"/>
    <mergeCell ref="L12:L20"/>
    <mergeCell ref="M12:M20"/>
    <mergeCell ref="B12:B20"/>
    <mergeCell ref="C12:C20"/>
    <mergeCell ref="D12:D20"/>
    <mergeCell ref="E12:E20"/>
    <mergeCell ref="Y10:Y11"/>
    <mergeCell ref="Z10:Z11"/>
    <mergeCell ref="G10:G11"/>
    <mergeCell ref="H10:H11"/>
    <mergeCell ref="I10:I11"/>
    <mergeCell ref="L10:L11"/>
    <mergeCell ref="M10:M11"/>
    <mergeCell ref="B10:B11"/>
    <mergeCell ref="N10:N11"/>
    <mergeCell ref="J10:J11"/>
    <mergeCell ref="K10:K11"/>
    <mergeCell ref="Q10:Q11"/>
    <mergeCell ref="R10:W10"/>
    <mergeCell ref="A75:AK75"/>
    <mergeCell ref="Y12:Y15"/>
    <mergeCell ref="Z12:Z15"/>
    <mergeCell ref="X12:X15"/>
    <mergeCell ref="AA12:AA15"/>
    <mergeCell ref="AB12:AB15"/>
    <mergeCell ref="AC12:AC15"/>
    <mergeCell ref="AD12:AD15"/>
    <mergeCell ref="P12:P15"/>
    <mergeCell ref="O12:O15"/>
    <mergeCell ref="Q12:Q15"/>
    <mergeCell ref="R12:R15"/>
    <mergeCell ref="S12:S15"/>
    <mergeCell ref="T12:T15"/>
    <mergeCell ref="U12:U15"/>
    <mergeCell ref="V12:V15"/>
    <mergeCell ref="W12:W15"/>
    <mergeCell ref="F12:F20"/>
    <mergeCell ref="G12:G20"/>
    <mergeCell ref="H12:H20"/>
    <mergeCell ref="A12:A20"/>
    <mergeCell ref="N12:N20"/>
    <mergeCell ref="I12:I20"/>
    <mergeCell ref="J12:J20"/>
  </mergeCells>
  <conditionalFormatting sqref="H12:H15">
    <cfRule type="cellIs" dxfId="132" priority="54" operator="equal">
      <formula>"Muy Alta"</formula>
    </cfRule>
    <cfRule type="cellIs" dxfId="131" priority="55" operator="equal">
      <formula>"Alta"</formula>
    </cfRule>
    <cfRule type="cellIs" dxfId="130" priority="56" operator="equal">
      <formula>"Media"</formula>
    </cfRule>
    <cfRule type="cellIs" dxfId="129" priority="57" operator="equal">
      <formula>"Baja"</formula>
    </cfRule>
    <cfRule type="cellIs" dxfId="128" priority="58" operator="equal">
      <formula>"Muy Baja"</formula>
    </cfRule>
  </conditionalFormatting>
  <conditionalFormatting sqref="H21">
    <cfRule type="cellIs" dxfId="127" priority="580" operator="equal">
      <formula>"Muy Alta"</formula>
    </cfRule>
    <cfRule type="cellIs" dxfId="126" priority="581" operator="equal">
      <formula>"Alta"</formula>
    </cfRule>
    <cfRule type="cellIs" dxfId="125" priority="582" operator="equal">
      <formula>"Media"</formula>
    </cfRule>
    <cfRule type="cellIs" dxfId="124" priority="583" operator="equal">
      <formula>"Baja"</formula>
    </cfRule>
    <cfRule type="cellIs" dxfId="123" priority="584" operator="equal">
      <formula>"Muy Baja"</formula>
    </cfRule>
  </conditionalFormatting>
  <conditionalFormatting sqref="H27">
    <cfRule type="cellIs" dxfId="122" priority="482" operator="equal">
      <formula>"Muy Alta"</formula>
    </cfRule>
    <cfRule type="cellIs" dxfId="121" priority="483" operator="equal">
      <formula>"Alta"</formula>
    </cfRule>
    <cfRule type="cellIs" dxfId="120" priority="484" operator="equal">
      <formula>"Media"</formula>
    </cfRule>
    <cfRule type="cellIs" dxfId="119" priority="485" operator="equal">
      <formula>"Baja"</formula>
    </cfRule>
    <cfRule type="cellIs" dxfId="118" priority="486" operator="equal">
      <formula>"Muy Baja"</formula>
    </cfRule>
  </conditionalFormatting>
  <conditionalFormatting sqref="H33 H39">
    <cfRule type="cellIs" dxfId="117" priority="454" operator="equal">
      <formula>"Muy Alta"</formula>
    </cfRule>
    <cfRule type="cellIs" dxfId="116" priority="455" operator="equal">
      <formula>"Alta"</formula>
    </cfRule>
    <cfRule type="cellIs" dxfId="115" priority="456" operator="equal">
      <formula>"Media"</formula>
    </cfRule>
    <cfRule type="cellIs" dxfId="114" priority="457" operator="equal">
      <formula>"Baja"</formula>
    </cfRule>
    <cfRule type="cellIs" dxfId="113" priority="458" operator="equal">
      <formula>"Muy Baja"</formula>
    </cfRule>
  </conditionalFormatting>
  <conditionalFormatting sqref="H45">
    <cfRule type="cellIs" dxfId="112" priority="398" operator="equal">
      <formula>"Muy Alta"</formula>
    </cfRule>
    <cfRule type="cellIs" dxfId="111" priority="399" operator="equal">
      <formula>"Alta"</formula>
    </cfRule>
    <cfRule type="cellIs" dxfId="110" priority="400" operator="equal">
      <formula>"Media"</formula>
    </cfRule>
    <cfRule type="cellIs" dxfId="109" priority="401" operator="equal">
      <formula>"Baja"</formula>
    </cfRule>
    <cfRule type="cellIs" dxfId="108" priority="402" operator="equal">
      <formula>"Muy Baja"</formula>
    </cfRule>
  </conditionalFormatting>
  <conditionalFormatting sqref="H51">
    <cfRule type="cellIs" dxfId="107" priority="19" operator="equal">
      <formula>"Muy Alta"</formula>
    </cfRule>
    <cfRule type="cellIs" dxfId="106" priority="20" operator="equal">
      <formula>"Alta"</formula>
    </cfRule>
    <cfRule type="cellIs" dxfId="105" priority="21" operator="equal">
      <formula>"Media"</formula>
    </cfRule>
    <cfRule type="cellIs" dxfId="104" priority="22" operator="equal">
      <formula>"Baja"</formula>
    </cfRule>
    <cfRule type="cellIs" dxfId="103" priority="23" operator="equal">
      <formula>"Muy Baja"</formula>
    </cfRule>
  </conditionalFormatting>
  <conditionalFormatting sqref="H57">
    <cfRule type="cellIs" dxfId="102" priority="342" operator="equal">
      <formula>"Muy Alta"</formula>
    </cfRule>
    <cfRule type="cellIs" dxfId="101" priority="343" operator="equal">
      <formula>"Alta"</formula>
    </cfRule>
    <cfRule type="cellIs" dxfId="100" priority="344" operator="equal">
      <formula>"Media"</formula>
    </cfRule>
    <cfRule type="cellIs" dxfId="99" priority="345" operator="equal">
      <formula>"Baja"</formula>
    </cfRule>
    <cfRule type="cellIs" dxfId="98" priority="346" operator="equal">
      <formula>"Muy Baja"</formula>
    </cfRule>
  </conditionalFormatting>
  <conditionalFormatting sqref="H63">
    <cfRule type="cellIs" dxfId="97" priority="314" operator="equal">
      <formula>"Muy Alta"</formula>
    </cfRule>
    <cfRule type="cellIs" dxfId="96" priority="315" operator="equal">
      <formula>"Alta"</formula>
    </cfRule>
    <cfRule type="cellIs" dxfId="95" priority="316" operator="equal">
      <formula>"Media"</formula>
    </cfRule>
    <cfRule type="cellIs" dxfId="94" priority="317" operator="equal">
      <formula>"Baja"</formula>
    </cfRule>
    <cfRule type="cellIs" dxfId="93" priority="318" operator="equal">
      <formula>"Muy Baja"</formula>
    </cfRule>
  </conditionalFormatting>
  <conditionalFormatting sqref="H69">
    <cfRule type="cellIs" dxfId="92" priority="286" operator="equal">
      <formula>"Muy Alta"</formula>
    </cfRule>
    <cfRule type="cellIs" dxfId="91" priority="287" operator="equal">
      <formula>"Alta"</formula>
    </cfRule>
    <cfRule type="cellIs" dxfId="90" priority="288" operator="equal">
      <formula>"Media"</formula>
    </cfRule>
    <cfRule type="cellIs" dxfId="89" priority="289" operator="equal">
      <formula>"Baja"</formula>
    </cfRule>
    <cfRule type="cellIs" dxfId="88" priority="290" operator="equal">
      <formula>"Muy Baja"</formula>
    </cfRule>
  </conditionalFormatting>
  <conditionalFormatting sqref="K12:K74">
    <cfRule type="containsText" dxfId="87" priority="29" operator="containsText" text="❌">
      <formula>NOT(ISERROR(SEARCH("❌",K12)))</formula>
    </cfRule>
  </conditionalFormatting>
  <conditionalFormatting sqref="L12:L15">
    <cfRule type="cellIs" dxfId="86" priority="49" operator="equal">
      <formula>"Catastrófico"</formula>
    </cfRule>
    <cfRule type="cellIs" dxfId="85" priority="50" operator="equal">
      <formula>"Mayor"</formula>
    </cfRule>
    <cfRule type="cellIs" dxfId="84" priority="51" operator="equal">
      <formula>"Moderado"</formula>
    </cfRule>
    <cfRule type="cellIs" dxfId="83" priority="52" operator="equal">
      <formula>"Menor"</formula>
    </cfRule>
    <cfRule type="cellIs" dxfId="82" priority="53" operator="equal">
      <formula>"Leve"</formula>
    </cfRule>
  </conditionalFormatting>
  <conditionalFormatting sqref="L21 L27 L33 L39 L45 L57 L63 L69">
    <cfRule type="cellIs" dxfId="81" priority="575" operator="equal">
      <formula>"Catastrófico"</formula>
    </cfRule>
    <cfRule type="cellIs" dxfId="80" priority="576" operator="equal">
      <formula>"Mayor"</formula>
    </cfRule>
    <cfRule type="cellIs" dxfId="79" priority="577" operator="equal">
      <formula>"Moderado"</formula>
    </cfRule>
    <cfRule type="cellIs" dxfId="78" priority="578" operator="equal">
      <formula>"Menor"</formula>
    </cfRule>
    <cfRule type="cellIs" dxfId="77" priority="579" operator="equal">
      <formula>"Leve"</formula>
    </cfRule>
  </conditionalFormatting>
  <conditionalFormatting sqref="L51">
    <cfRule type="cellIs" dxfId="76" priority="24" operator="equal">
      <formula>"Catastrófico"</formula>
    </cfRule>
    <cfRule type="cellIs" dxfId="75" priority="25" operator="equal">
      <formula>"Mayor"</formula>
    </cfRule>
    <cfRule type="cellIs" dxfId="74" priority="26" operator="equal">
      <formula>"Moderado"</formula>
    </cfRule>
    <cfRule type="cellIs" dxfId="73" priority="27" operator="equal">
      <formula>"Menor"</formula>
    </cfRule>
    <cfRule type="cellIs" dxfId="72" priority="28" operator="equal">
      <formula>"Leve"</formula>
    </cfRule>
  </conditionalFormatting>
  <conditionalFormatting sqref="N12:N15">
    <cfRule type="cellIs" dxfId="71" priority="45" operator="equal">
      <formula>"Extremo"</formula>
    </cfRule>
    <cfRule type="cellIs" dxfId="70" priority="46" operator="equal">
      <formula>"Alto"</formula>
    </cfRule>
    <cfRule type="cellIs" dxfId="69" priority="47" operator="equal">
      <formula>"Moderado"</formula>
    </cfRule>
    <cfRule type="cellIs" dxfId="68" priority="48" operator="equal">
      <formula>"Bajo"</formula>
    </cfRule>
  </conditionalFormatting>
  <conditionalFormatting sqref="N21">
    <cfRule type="cellIs" dxfId="67" priority="501" operator="equal">
      <formula>"Extremo"</formula>
    </cfRule>
    <cfRule type="cellIs" dxfId="66" priority="502" operator="equal">
      <formula>"Alto"</formula>
    </cfRule>
    <cfRule type="cellIs" dxfId="65" priority="503" operator="equal">
      <formula>"Moderado"</formula>
    </cfRule>
    <cfRule type="cellIs" dxfId="64" priority="504" operator="equal">
      <formula>"Bajo"</formula>
    </cfRule>
  </conditionalFormatting>
  <conditionalFormatting sqref="N27">
    <cfRule type="cellIs" dxfId="63" priority="473" operator="equal">
      <formula>"Extremo"</formula>
    </cfRule>
    <cfRule type="cellIs" dxfId="62" priority="474" operator="equal">
      <formula>"Alto"</formula>
    </cfRule>
    <cfRule type="cellIs" dxfId="61" priority="475" operator="equal">
      <formula>"Moderado"</formula>
    </cfRule>
    <cfRule type="cellIs" dxfId="60" priority="476" operator="equal">
      <formula>"Bajo"</formula>
    </cfRule>
  </conditionalFormatting>
  <conditionalFormatting sqref="N33">
    <cfRule type="cellIs" dxfId="59" priority="445" operator="equal">
      <formula>"Extremo"</formula>
    </cfRule>
    <cfRule type="cellIs" dxfId="58" priority="446" operator="equal">
      <formula>"Alto"</formula>
    </cfRule>
    <cfRule type="cellIs" dxfId="57" priority="447" operator="equal">
      <formula>"Moderado"</formula>
    </cfRule>
    <cfRule type="cellIs" dxfId="56" priority="448" operator="equal">
      <formula>"Bajo"</formula>
    </cfRule>
  </conditionalFormatting>
  <conditionalFormatting sqref="N39">
    <cfRule type="cellIs" dxfId="55" priority="417" operator="equal">
      <formula>"Extremo"</formula>
    </cfRule>
    <cfRule type="cellIs" dxfId="54" priority="418" operator="equal">
      <formula>"Alto"</formula>
    </cfRule>
    <cfRule type="cellIs" dxfId="53" priority="419" operator="equal">
      <formula>"Moderado"</formula>
    </cfRule>
    <cfRule type="cellIs" dxfId="52" priority="420" operator="equal">
      <formula>"Bajo"</formula>
    </cfRule>
  </conditionalFormatting>
  <conditionalFormatting sqref="N45">
    <cfRule type="cellIs" dxfId="51" priority="389" operator="equal">
      <formula>"Extremo"</formula>
    </cfRule>
    <cfRule type="cellIs" dxfId="50" priority="390" operator="equal">
      <formula>"Alto"</formula>
    </cfRule>
    <cfRule type="cellIs" dxfId="49" priority="391" operator="equal">
      <formula>"Moderado"</formula>
    </cfRule>
    <cfRule type="cellIs" dxfId="48" priority="392" operator="equal">
      <formula>"Bajo"</formula>
    </cfRule>
  </conditionalFormatting>
  <conditionalFormatting sqref="N51">
    <cfRule type="cellIs" dxfId="47" priority="15" operator="equal">
      <formula>"Extremo"</formula>
    </cfRule>
    <cfRule type="cellIs" dxfId="46" priority="16" operator="equal">
      <formula>"Alto"</formula>
    </cfRule>
    <cfRule type="cellIs" dxfId="45" priority="17" operator="equal">
      <formula>"Moderado"</formula>
    </cfRule>
    <cfRule type="cellIs" dxfId="44" priority="18" operator="equal">
      <formula>"Bajo"</formula>
    </cfRule>
  </conditionalFormatting>
  <conditionalFormatting sqref="N57">
    <cfRule type="cellIs" dxfId="43" priority="333" operator="equal">
      <formula>"Extremo"</formula>
    </cfRule>
    <cfRule type="cellIs" dxfId="42" priority="334" operator="equal">
      <formula>"Alto"</formula>
    </cfRule>
    <cfRule type="cellIs" dxfId="41" priority="335" operator="equal">
      <formula>"Moderado"</formula>
    </cfRule>
    <cfRule type="cellIs" dxfId="40" priority="336" operator="equal">
      <formula>"Bajo"</formula>
    </cfRule>
  </conditionalFormatting>
  <conditionalFormatting sqref="N63">
    <cfRule type="cellIs" dxfId="39" priority="305" operator="equal">
      <formula>"Extremo"</formula>
    </cfRule>
    <cfRule type="cellIs" dxfId="38" priority="306" operator="equal">
      <formula>"Alto"</formula>
    </cfRule>
    <cfRule type="cellIs" dxfId="37" priority="307" operator="equal">
      <formula>"Moderado"</formula>
    </cfRule>
    <cfRule type="cellIs" dxfId="36" priority="308" operator="equal">
      <formula>"Bajo"</formula>
    </cfRule>
  </conditionalFormatting>
  <conditionalFormatting sqref="N69">
    <cfRule type="cellIs" dxfId="35" priority="277" operator="equal">
      <formula>"Extremo"</formula>
    </cfRule>
    <cfRule type="cellIs" dxfId="34" priority="278" operator="equal">
      <formula>"Alto"</formula>
    </cfRule>
    <cfRule type="cellIs" dxfId="33" priority="279" operator="equal">
      <formula>"Moderado"</formula>
    </cfRule>
    <cfRule type="cellIs" dxfId="32" priority="280" operator="equal">
      <formula>"Bajo"</formula>
    </cfRule>
  </conditionalFormatting>
  <conditionalFormatting sqref="Y12:Y13">
    <cfRule type="cellIs" dxfId="31" priority="566" operator="equal">
      <formula>"Muy Alta"</formula>
    </cfRule>
    <cfRule type="cellIs" dxfId="30" priority="567" operator="equal">
      <formula>"Alta"</formula>
    </cfRule>
    <cfRule type="cellIs" dxfId="29" priority="568" operator="equal">
      <formula>"Media"</formula>
    </cfRule>
    <cfRule type="cellIs" dxfId="28" priority="569" operator="equal">
      <formula>"Baja"</formula>
    </cfRule>
    <cfRule type="cellIs" dxfId="27" priority="570" operator="equal">
      <formula>"Muy Baja"</formula>
    </cfRule>
  </conditionalFormatting>
  <conditionalFormatting sqref="Y16:Y74">
    <cfRule type="cellIs" dxfId="26" priority="10" operator="equal">
      <formula>"Muy Alta"</formula>
    </cfRule>
    <cfRule type="cellIs" dxfId="25" priority="11" operator="equal">
      <formula>"Alta"</formula>
    </cfRule>
    <cfRule type="cellIs" dxfId="24" priority="12" operator="equal">
      <formula>"Media"</formula>
    </cfRule>
    <cfRule type="cellIs" dxfId="23" priority="13" operator="equal">
      <formula>"Baja"</formula>
    </cfRule>
    <cfRule type="cellIs" dxfId="22" priority="14" operator="equal">
      <formula>"Muy Baja"</formula>
    </cfRule>
  </conditionalFormatting>
  <conditionalFormatting sqref="AA12:AA13">
    <cfRule type="cellIs" dxfId="21" priority="561" operator="equal">
      <formula>"Catastrófico"</formula>
    </cfRule>
    <cfRule type="cellIs" dxfId="20" priority="562" operator="equal">
      <formula>"Mayor"</formula>
    </cfRule>
    <cfRule type="cellIs" dxfId="19" priority="563" operator="equal">
      <formula>"Moderado"</formula>
    </cfRule>
    <cfRule type="cellIs" dxfId="18" priority="564" operator="equal">
      <formula>"Menor"</formula>
    </cfRule>
    <cfRule type="cellIs" dxfId="17" priority="565" operator="equal">
      <formula>"Leve"</formula>
    </cfRule>
  </conditionalFormatting>
  <conditionalFormatting sqref="AA16:AA74">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C12:AC13">
    <cfRule type="cellIs" dxfId="11" priority="557" operator="equal">
      <formula>"Extremo"</formula>
    </cfRule>
    <cfRule type="cellIs" dxfId="10" priority="558" operator="equal">
      <formula>"Alto"</formula>
    </cfRule>
    <cfRule type="cellIs" dxfId="9" priority="559" operator="equal">
      <formula>"Moderado"</formula>
    </cfRule>
    <cfRule type="cellIs" dxfId="8" priority="560" operator="equal">
      <formula>"Bajo"</formula>
    </cfRule>
  </conditionalFormatting>
  <conditionalFormatting sqref="AC16:AC74">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AK72:AK73 AK18:AK19 AK21:AK22 AK24:AK25 AK27:AK28 AK30:AK31 AK33:AK34 AK36:AK37 AK39:AK40 AK42:AK43 AK45:AK46 AK48:AK49 AK51:AK52 AK54:AK55 AK57:AK58 AK60:AK61 AK63:AK64 AK66:AK67 AK69:AK70 AK12:AK16</xm:sqref>
        </x14:dataValidation>
        <x14:dataValidation type="list" allowBlank="1" showInputMessage="1" showErrorMessage="1" xr:uid="{00000000-0002-0000-0100-000000000000}">
          <x14:formula1>
            <xm:f>'Tabla Valoración controles'!$D$4:$D$6</xm:f>
          </x14:formula1>
          <xm:sqref>R12:R13 R16:R74</xm:sqref>
        </x14:dataValidation>
        <x14:dataValidation type="list" allowBlank="1" showInputMessage="1" showErrorMessage="1" xr:uid="{00000000-0002-0000-0100-000001000000}">
          <x14:formula1>
            <xm:f>'Tabla Valoración controles'!$D$7:$D$8</xm:f>
          </x14:formula1>
          <xm:sqref>S12:S13 S16:S74</xm:sqref>
        </x14:dataValidation>
        <x14:dataValidation type="list" allowBlank="1" showInputMessage="1" showErrorMessage="1" xr:uid="{00000000-0002-0000-0100-000002000000}">
          <x14:formula1>
            <xm:f>'Tabla Valoración controles'!$D$9:$D$10</xm:f>
          </x14:formula1>
          <xm:sqref>U12:U13 U16:U74</xm:sqref>
        </x14:dataValidation>
        <x14:dataValidation type="list" allowBlank="1" showInputMessage="1" showErrorMessage="1" xr:uid="{00000000-0002-0000-0100-000003000000}">
          <x14:formula1>
            <xm:f>'Tabla Valoración controles'!$D$11:$D$12</xm:f>
          </x14:formula1>
          <xm:sqref>V12:V13 V16:V74</xm:sqref>
        </x14:dataValidation>
        <x14:dataValidation type="list" allowBlank="1" showInputMessage="1" showErrorMessage="1" xr:uid="{00000000-0002-0000-0100-000005000000}">
          <x14:formula1>
            <xm:f>'Tabla Valoración controles'!$D$13:$D$14</xm:f>
          </x14:formula1>
          <xm:sqref>W12:W13 W16:W74</xm:sqref>
        </x14:dataValidation>
        <x14:dataValidation type="list" allowBlank="1" showInputMessage="1" showErrorMessage="1" xr:uid="{00000000-0002-0000-0100-000006000000}">
          <x14:formula1>
            <xm:f>'Opciones Tratamiento'!$B$13:$B$19</xm:f>
          </x14:formula1>
          <xm:sqref>F12:F74</xm:sqref>
        </x14:dataValidation>
        <x14:dataValidation type="list" allowBlank="1" showInputMessage="1" showErrorMessage="1" xr:uid="{00000000-0002-0000-0100-000007000000}">
          <x14:formula1>
            <xm:f>'Opciones Tratamiento'!$E$2:$E$4</xm:f>
          </x14:formula1>
          <xm:sqref>B12:B13 B21:B74</xm:sqref>
        </x14:dataValidation>
        <x14:dataValidation type="list" allowBlank="1" showInputMessage="1" showErrorMessage="1" xr:uid="{00000000-0002-0000-0100-000008000000}">
          <x14:formula1>
            <xm:f>'Opciones Tratamiento'!$B$2:$B$5</xm:f>
          </x14:formula1>
          <xm:sqref>AD12:AD13 AD16:AD74</xm:sqref>
        </x14:dataValidation>
        <x14:dataValidation type="list" allowBlank="1" showInputMessage="1" showErrorMessage="1" xr:uid="{00000000-0002-0000-0100-000009000000}">
          <x14:formula1>
            <xm:f>'Tabla Impacto'!$F$210:$F$221</xm:f>
          </x14:formula1>
          <xm:sqref>J12:J74</xm:sqref>
        </x14:dataValidation>
        <x14:dataValidation type="custom" allowBlank="1" showInputMessage="1" showErrorMessage="1" error="Recuerde que las acciones se generan bajo la medida de mitigar el riesgo" xr:uid="{00000000-0002-0000-0100-00000A000000}">
          <x14:formula1>
            <xm:f>IF(OR(AD16='Opciones Tratamiento'!$B$2,AD16='Opciones Tratamiento'!$B$3,AD16='Opciones Tratamiento'!$B$4),ISBLANK(AD16),ISTEXT(AD16))</xm:f>
          </x14:formula1>
          <xm:sqref>AE16:AE20 AE24:AE26 AE28:AE32 AE34:AE38 AE40:AE44 AE53:AE74 AE47:AE50</xm:sqref>
        </x14:dataValidation>
        <x14:dataValidation type="custom" allowBlank="1" showInputMessage="1" showErrorMessage="1" error="Recuerde que las acciones se generan bajo la medida de mitigar el riesgo" xr:uid="{00000000-0002-0000-0100-00000B000000}">
          <x14:formula1>
            <xm:f>IF(OR(AD16='Opciones Tratamiento'!$B$2,AD16='Opciones Tratamiento'!$B$3,AD16='Opciones Tratamiento'!$B$4),ISBLANK(AD16),ISTEXT(AD16))</xm:f>
          </x14:formula1>
          <xm:sqref>AF16:AF20 AF24:AF26 AF28:AF32 AF34:AF38 AF40:AF44 AF53:AF74 AF47:AF50</xm:sqref>
        </x14:dataValidation>
        <x14:dataValidation type="custom" allowBlank="1" showInputMessage="1" showErrorMessage="1" error="Recuerde que las acciones se generan bajo la medida de mitigar el riesgo" xr:uid="{00000000-0002-0000-0100-00000C000000}">
          <x14:formula1>
            <xm:f>IF(OR(AD16='Opciones Tratamiento'!$B$2,AD16='Opciones Tratamiento'!$B$3,AD16='Opciones Tratamiento'!$B$4),ISBLANK(AD16),ISTEXT(AD16))</xm:f>
          </x14:formula1>
          <xm:sqref>AG16:AH20 AG24:AH26 AG28:AH32 AG34:AH38 AG40:AH44 AG53:AH74 AG47:AH50</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AI12:AI74</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52" t="s">
        <v>207</v>
      </c>
      <c r="C2" s="452"/>
      <c r="D2" s="452"/>
      <c r="E2" s="452"/>
      <c r="F2" s="452"/>
      <c r="G2" s="452"/>
      <c r="H2" s="452"/>
      <c r="I2" s="452"/>
      <c r="J2" s="489" t="s">
        <v>23</v>
      </c>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52"/>
      <c r="C3" s="452"/>
      <c r="D3" s="452"/>
      <c r="E3" s="452"/>
      <c r="F3" s="452"/>
      <c r="G3" s="452"/>
      <c r="H3" s="452"/>
      <c r="I3" s="452"/>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52"/>
      <c r="C4" s="452"/>
      <c r="D4" s="452"/>
      <c r="E4" s="452"/>
      <c r="F4" s="452"/>
      <c r="G4" s="452"/>
      <c r="H4" s="452"/>
      <c r="I4" s="452"/>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500" t="s">
        <v>208</v>
      </c>
      <c r="C6" s="500"/>
      <c r="D6" s="501"/>
      <c r="E6" s="490" t="s">
        <v>209</v>
      </c>
      <c r="F6" s="491"/>
      <c r="G6" s="491"/>
      <c r="H6" s="491"/>
      <c r="I6" s="492"/>
      <c r="J6" s="486" t="str">
        <f>IF(AND('Mapa de Riesgos'!$H$12="Muy Alta",'Mapa de Riesgos'!$L$12="Leve"),CONCATENATE("R",'Mapa de Riesgos'!$A$12),"")</f>
        <v/>
      </c>
      <c r="K6" s="487"/>
      <c r="L6" s="487" t="str">
        <f>IF(AND('Mapa de Riesgos'!$H$21="Muy Alta",'Mapa de Riesgos'!$L$21="Leve"),CONCATENATE("R",'Mapa de Riesgos'!$A$21),"")</f>
        <v/>
      </c>
      <c r="M6" s="487"/>
      <c r="N6" s="487" t="str">
        <f>IF(AND('Mapa de Riesgos'!$H$27="Muy Alta",'Mapa de Riesgos'!$L$27="Leve"),CONCATENATE("R",'Mapa de Riesgos'!$A$27),"")</f>
        <v/>
      </c>
      <c r="O6" s="488"/>
      <c r="P6" s="486" t="str">
        <f>IF(AND('Mapa de Riesgos'!$H$12="Muy Alta",'Mapa de Riesgos'!$L$12="Menor"),CONCATENATE("R",'Mapa de Riesgos'!$A$12),"")</f>
        <v/>
      </c>
      <c r="Q6" s="487"/>
      <c r="R6" s="487" t="str">
        <f>IF(AND('Mapa de Riesgos'!$H$21="Muy Alta",'Mapa de Riesgos'!$L$21="Menor"),CONCATENATE("R",'Mapa de Riesgos'!$A$21),"")</f>
        <v/>
      </c>
      <c r="S6" s="487"/>
      <c r="T6" s="487" t="str">
        <f>IF(AND('Mapa de Riesgos'!$H$27="Muy Alta",'Mapa de Riesgos'!$L$27="Menor"),CONCATENATE("R",'Mapa de Riesgos'!$A$27),"")</f>
        <v/>
      </c>
      <c r="U6" s="488"/>
      <c r="V6" s="486" t="str">
        <f>IF(AND('Mapa de Riesgos'!$H$12="Muy Alta",'Mapa de Riesgos'!$L$12="Moderado"),CONCATENATE("R",'Mapa de Riesgos'!$A$12),"")</f>
        <v/>
      </c>
      <c r="W6" s="487"/>
      <c r="X6" s="487" t="str">
        <f>IF(AND('Mapa de Riesgos'!$H$21="Muy Alta",'Mapa de Riesgos'!$L$21="Moderado"),CONCATENATE("R",'Mapa de Riesgos'!$A$21),"")</f>
        <v/>
      </c>
      <c r="Y6" s="487"/>
      <c r="Z6" s="487" t="str">
        <f>IF(AND('Mapa de Riesgos'!$H$27="Muy Alta",'Mapa de Riesgos'!$L$27="Moderado"),CONCATENATE("R",'Mapa de Riesgos'!$A$27),"")</f>
        <v/>
      </c>
      <c r="AA6" s="488"/>
      <c r="AB6" s="486" t="str">
        <f>IF(AND('Mapa de Riesgos'!$H$12="Muy Alta",'Mapa de Riesgos'!$L$12="Mayor"),CONCATENATE("R",'Mapa de Riesgos'!$A$12),"")</f>
        <v/>
      </c>
      <c r="AC6" s="487"/>
      <c r="AD6" s="487" t="str">
        <f>IF(AND('Mapa de Riesgos'!$H$21="Muy Alta",'Mapa de Riesgos'!$L$21="Mayor"),CONCATENATE("R",'Mapa de Riesgos'!$A$21),"")</f>
        <v/>
      </c>
      <c r="AE6" s="487"/>
      <c r="AF6" s="487" t="str">
        <f>IF(AND('Mapa de Riesgos'!$H$27="Muy Alta",'Mapa de Riesgos'!$L$27="Mayor"),CONCATENATE("R",'Mapa de Riesgos'!$A$27),"")</f>
        <v/>
      </c>
      <c r="AG6" s="488"/>
      <c r="AH6" s="477" t="str">
        <f>IF(AND('Mapa de Riesgos'!$H$12="Muy Alta",'Mapa de Riesgos'!$L$12="Catastrófico"),CONCATENATE("R",'Mapa de Riesgos'!$A$12),"")</f>
        <v/>
      </c>
      <c r="AI6" s="478"/>
      <c r="AJ6" s="478" t="str">
        <f>IF(AND('Mapa de Riesgos'!$H$21="Muy Alta",'Mapa de Riesgos'!$L$21="Catastrófico"),CONCATENATE("R",'Mapa de Riesgos'!$A$21),"")</f>
        <v/>
      </c>
      <c r="AK6" s="478"/>
      <c r="AL6" s="478" t="str">
        <f>IF(AND('Mapa de Riesgos'!$H$27="Muy Alta",'Mapa de Riesgos'!$L$27="Catastrófico"),CONCATENATE("R",'Mapa de Riesgos'!$A$27),"")</f>
        <v/>
      </c>
      <c r="AM6" s="479"/>
      <c r="AO6" s="502" t="s">
        <v>210</v>
      </c>
      <c r="AP6" s="503"/>
      <c r="AQ6" s="503"/>
      <c r="AR6" s="503"/>
      <c r="AS6" s="503"/>
      <c r="AT6" s="50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500"/>
      <c r="C7" s="500"/>
      <c r="D7" s="501"/>
      <c r="E7" s="493"/>
      <c r="F7" s="494"/>
      <c r="G7" s="494"/>
      <c r="H7" s="494"/>
      <c r="I7" s="495"/>
      <c r="J7" s="480"/>
      <c r="K7" s="481"/>
      <c r="L7" s="481"/>
      <c r="M7" s="481"/>
      <c r="N7" s="481"/>
      <c r="O7" s="482"/>
      <c r="P7" s="480"/>
      <c r="Q7" s="481"/>
      <c r="R7" s="481"/>
      <c r="S7" s="481"/>
      <c r="T7" s="481"/>
      <c r="U7" s="482"/>
      <c r="V7" s="480"/>
      <c r="W7" s="481"/>
      <c r="X7" s="481"/>
      <c r="Y7" s="481"/>
      <c r="Z7" s="481"/>
      <c r="AA7" s="482"/>
      <c r="AB7" s="480"/>
      <c r="AC7" s="481"/>
      <c r="AD7" s="481"/>
      <c r="AE7" s="481"/>
      <c r="AF7" s="481"/>
      <c r="AG7" s="482"/>
      <c r="AH7" s="471"/>
      <c r="AI7" s="472"/>
      <c r="AJ7" s="472"/>
      <c r="AK7" s="472"/>
      <c r="AL7" s="472"/>
      <c r="AM7" s="473"/>
      <c r="AN7" s="83"/>
      <c r="AO7" s="505"/>
      <c r="AP7" s="506"/>
      <c r="AQ7" s="506"/>
      <c r="AR7" s="506"/>
      <c r="AS7" s="506"/>
      <c r="AT7" s="50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500"/>
      <c r="C8" s="500"/>
      <c r="D8" s="501"/>
      <c r="E8" s="493"/>
      <c r="F8" s="494"/>
      <c r="G8" s="494"/>
      <c r="H8" s="494"/>
      <c r="I8" s="495"/>
      <c r="J8" s="480" t="str">
        <f>IF(AND('Mapa de Riesgos'!$H$33="Muy Alta",'Mapa de Riesgos'!$L$33="Leve"),CONCATENATE("R",'Mapa de Riesgos'!$A$33),"")</f>
        <v/>
      </c>
      <c r="K8" s="481"/>
      <c r="L8" s="481" t="str">
        <f>IF(AND('Mapa de Riesgos'!$H$39="Muy Alta",'Mapa de Riesgos'!$L$39="Leve"),CONCATENATE("R",'Mapa de Riesgos'!$A$39),"")</f>
        <v/>
      </c>
      <c r="M8" s="481"/>
      <c r="N8" s="481" t="str">
        <f>IF(AND('Mapa de Riesgos'!$H$45="Muy Alta",'Mapa de Riesgos'!$L$45="Leve"),CONCATENATE("R",'Mapa de Riesgos'!$A$45),"")</f>
        <v/>
      </c>
      <c r="O8" s="482"/>
      <c r="P8" s="480" t="str">
        <f>IF(AND('Mapa de Riesgos'!$H$33="Muy Alta",'Mapa de Riesgos'!$L$33="Menor"),CONCATENATE("R",'Mapa de Riesgos'!$A$33),"")</f>
        <v/>
      </c>
      <c r="Q8" s="481"/>
      <c r="R8" s="481" t="str">
        <f>IF(AND('Mapa de Riesgos'!$H$39="Muy Alta",'Mapa de Riesgos'!$L$39="Menor"),CONCATENATE("R",'Mapa de Riesgos'!$A$39),"")</f>
        <v>R5</v>
      </c>
      <c r="S8" s="481"/>
      <c r="T8" s="481" t="str">
        <f>IF(AND('Mapa de Riesgos'!$H$45="Muy Alta",'Mapa de Riesgos'!$L$45="Menor"),CONCATENATE("R",'Mapa de Riesgos'!$A$45),"")</f>
        <v/>
      </c>
      <c r="U8" s="482"/>
      <c r="V8" s="480" t="str">
        <f>IF(AND('Mapa de Riesgos'!$H$33="Muy Alta",'Mapa de Riesgos'!$L$33="Moderado"),CONCATENATE("R",'Mapa de Riesgos'!$A$33),"")</f>
        <v/>
      </c>
      <c r="W8" s="481"/>
      <c r="X8" s="481" t="str">
        <f>IF(AND('Mapa de Riesgos'!$H$39="Muy Alta",'Mapa de Riesgos'!$L$39="Moderado"),CONCATENATE("R",'Mapa de Riesgos'!$A$39),"")</f>
        <v/>
      </c>
      <c r="Y8" s="481"/>
      <c r="Z8" s="481" t="str">
        <f>IF(AND('Mapa de Riesgos'!$H$45="Muy Alta",'Mapa de Riesgos'!$L$45="Moderado"),CONCATENATE("R",'Mapa de Riesgos'!$A$45),"")</f>
        <v/>
      </c>
      <c r="AA8" s="482"/>
      <c r="AB8" s="480" t="str">
        <f>IF(AND('Mapa de Riesgos'!$H$33="Muy Alta",'Mapa de Riesgos'!$L$33="Mayor"),CONCATENATE("R",'Mapa de Riesgos'!$A$33),"")</f>
        <v/>
      </c>
      <c r="AC8" s="481"/>
      <c r="AD8" s="481" t="str">
        <f>IF(AND('Mapa de Riesgos'!$H$39="Muy Alta",'Mapa de Riesgos'!$L$39="Mayor"),CONCATENATE("R",'Mapa de Riesgos'!$A$39),"")</f>
        <v/>
      </c>
      <c r="AE8" s="481"/>
      <c r="AF8" s="481" t="str">
        <f>IF(AND('Mapa de Riesgos'!$H$45="Muy Alta",'Mapa de Riesgos'!$L$45="Mayor"),CONCATENATE("R",'Mapa de Riesgos'!$A$45),"")</f>
        <v/>
      </c>
      <c r="AG8" s="482"/>
      <c r="AH8" s="471" t="str">
        <f>IF(AND('Mapa de Riesgos'!$H$33="Muy Alta",'Mapa de Riesgos'!$L$33="Catastrófico"),CONCATENATE("R",'Mapa de Riesgos'!$A$33),"")</f>
        <v/>
      </c>
      <c r="AI8" s="472"/>
      <c r="AJ8" s="472" t="str">
        <f>IF(AND('Mapa de Riesgos'!$H$39="Muy Alta",'Mapa de Riesgos'!$L$39="Catastrófico"),CONCATENATE("R",'Mapa de Riesgos'!$A$39),"")</f>
        <v/>
      </c>
      <c r="AK8" s="472"/>
      <c r="AL8" s="472" t="str">
        <f>IF(AND('Mapa de Riesgos'!$H$45="Muy Alta",'Mapa de Riesgos'!$L$45="Catastrófico"),CONCATENATE("R",'Mapa de Riesgos'!$A$45),"")</f>
        <v/>
      </c>
      <c r="AM8" s="473"/>
      <c r="AN8" s="83"/>
      <c r="AO8" s="505"/>
      <c r="AP8" s="506"/>
      <c r="AQ8" s="506"/>
      <c r="AR8" s="506"/>
      <c r="AS8" s="506"/>
      <c r="AT8" s="50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500"/>
      <c r="C9" s="500"/>
      <c r="D9" s="501"/>
      <c r="E9" s="493"/>
      <c r="F9" s="494"/>
      <c r="G9" s="494"/>
      <c r="H9" s="494"/>
      <c r="I9" s="495"/>
      <c r="J9" s="480"/>
      <c r="K9" s="481"/>
      <c r="L9" s="481"/>
      <c r="M9" s="481"/>
      <c r="N9" s="481"/>
      <c r="O9" s="482"/>
      <c r="P9" s="480"/>
      <c r="Q9" s="481"/>
      <c r="R9" s="481"/>
      <c r="S9" s="481"/>
      <c r="T9" s="481"/>
      <c r="U9" s="482"/>
      <c r="V9" s="480"/>
      <c r="W9" s="481"/>
      <c r="X9" s="481"/>
      <c r="Y9" s="481"/>
      <c r="Z9" s="481"/>
      <c r="AA9" s="482"/>
      <c r="AB9" s="480"/>
      <c r="AC9" s="481"/>
      <c r="AD9" s="481"/>
      <c r="AE9" s="481"/>
      <c r="AF9" s="481"/>
      <c r="AG9" s="482"/>
      <c r="AH9" s="471"/>
      <c r="AI9" s="472"/>
      <c r="AJ9" s="472"/>
      <c r="AK9" s="472"/>
      <c r="AL9" s="472"/>
      <c r="AM9" s="473"/>
      <c r="AN9" s="83"/>
      <c r="AO9" s="505"/>
      <c r="AP9" s="506"/>
      <c r="AQ9" s="506"/>
      <c r="AR9" s="506"/>
      <c r="AS9" s="506"/>
      <c r="AT9" s="50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500"/>
      <c r="C10" s="500"/>
      <c r="D10" s="501"/>
      <c r="E10" s="493"/>
      <c r="F10" s="494"/>
      <c r="G10" s="494"/>
      <c r="H10" s="494"/>
      <c r="I10" s="495"/>
      <c r="J10" s="480" t="str">
        <f>IF(AND('Mapa de Riesgos'!$H$51="Muy Alta",'Mapa de Riesgos'!$L$51="Leve"),CONCATENATE("R",'Mapa de Riesgos'!$A$51),"")</f>
        <v/>
      </c>
      <c r="K10" s="481"/>
      <c r="L10" s="481" t="str">
        <f>IF(AND('Mapa de Riesgos'!$H$57="Muy Alta",'Mapa de Riesgos'!$L$57="Leve"),CONCATENATE("R",'Mapa de Riesgos'!$A$57),"")</f>
        <v/>
      </c>
      <c r="M10" s="481"/>
      <c r="N10" s="481" t="str">
        <f>IF(AND('Mapa de Riesgos'!$H$63="Muy Alta",'Mapa de Riesgos'!$L$63="Leve"),CONCATENATE("R",'Mapa de Riesgos'!$A$63),"")</f>
        <v/>
      </c>
      <c r="O10" s="482"/>
      <c r="P10" s="480" t="str">
        <f>IF(AND('Mapa de Riesgos'!$H$51="Muy Alta",'Mapa de Riesgos'!$L$51="Menor"),CONCATENATE("R",'Mapa de Riesgos'!$A$51),"")</f>
        <v/>
      </c>
      <c r="Q10" s="481"/>
      <c r="R10" s="481" t="str">
        <f>IF(AND('Mapa de Riesgos'!$H$57="Muy Alta",'Mapa de Riesgos'!$L$57="Menor"),CONCATENATE("R",'Mapa de Riesgos'!$A$57),"")</f>
        <v/>
      </c>
      <c r="S10" s="481"/>
      <c r="T10" s="481" t="str">
        <f>IF(AND('Mapa de Riesgos'!$H$63="Muy Alta",'Mapa de Riesgos'!$L$63="Menor"),CONCATENATE("R",'Mapa de Riesgos'!$A$63),"")</f>
        <v/>
      </c>
      <c r="U10" s="482"/>
      <c r="V10" s="480" t="str">
        <f>IF(AND('Mapa de Riesgos'!$H$51="Muy Alta",'Mapa de Riesgos'!$L$51="Moderado"),CONCATENATE("R",'Mapa de Riesgos'!$A$51),"")</f>
        <v/>
      </c>
      <c r="W10" s="481"/>
      <c r="X10" s="481" t="str">
        <f>IF(AND('Mapa de Riesgos'!$H$57="Muy Alta",'Mapa de Riesgos'!$L$57="Moderado"),CONCATENATE("R",'Mapa de Riesgos'!$A$57),"")</f>
        <v/>
      </c>
      <c r="Y10" s="481"/>
      <c r="Z10" s="481" t="str">
        <f>IF(AND('Mapa de Riesgos'!$H$63="Muy Alta",'Mapa de Riesgos'!$L$63="Moderado"),CONCATENATE("R",'Mapa de Riesgos'!$A$63),"")</f>
        <v/>
      </c>
      <c r="AA10" s="482"/>
      <c r="AB10" s="480" t="str">
        <f>IF(AND('Mapa de Riesgos'!$H$51="Muy Alta",'Mapa de Riesgos'!$L$51="Mayor"),CONCATENATE("R",'Mapa de Riesgos'!$A$51),"")</f>
        <v/>
      </c>
      <c r="AC10" s="481"/>
      <c r="AD10" s="481" t="str">
        <f>IF(AND('Mapa de Riesgos'!$H$57="Muy Alta",'Mapa de Riesgos'!$L$57="Mayor"),CONCATENATE("R",'Mapa de Riesgos'!$A$57),"")</f>
        <v/>
      </c>
      <c r="AE10" s="481"/>
      <c r="AF10" s="481" t="str">
        <f>IF(AND('Mapa de Riesgos'!$H$63="Muy Alta",'Mapa de Riesgos'!$L$63="Mayor"),CONCATENATE("R",'Mapa de Riesgos'!$A$63),"")</f>
        <v/>
      </c>
      <c r="AG10" s="482"/>
      <c r="AH10" s="471" t="str">
        <f>IF(AND('Mapa de Riesgos'!$H$51="Muy Alta",'Mapa de Riesgos'!$L$51="Catastrófico"),CONCATENATE("R",'Mapa de Riesgos'!$A$51),"")</f>
        <v/>
      </c>
      <c r="AI10" s="472"/>
      <c r="AJ10" s="472" t="str">
        <f>IF(AND('Mapa de Riesgos'!$H$57="Muy Alta",'Mapa de Riesgos'!$L$57="Catastrófico"),CONCATENATE("R",'Mapa de Riesgos'!$A$57),"")</f>
        <v/>
      </c>
      <c r="AK10" s="472"/>
      <c r="AL10" s="472" t="str">
        <f>IF(AND('Mapa de Riesgos'!$H$63="Muy Alta",'Mapa de Riesgos'!$L$63="Catastrófico"),CONCATENATE("R",'Mapa de Riesgos'!$A$63),"")</f>
        <v/>
      </c>
      <c r="AM10" s="473"/>
      <c r="AN10" s="83"/>
      <c r="AO10" s="505"/>
      <c r="AP10" s="506"/>
      <c r="AQ10" s="506"/>
      <c r="AR10" s="506"/>
      <c r="AS10" s="506"/>
      <c r="AT10" s="50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500"/>
      <c r="C11" s="500"/>
      <c r="D11" s="501"/>
      <c r="E11" s="493"/>
      <c r="F11" s="494"/>
      <c r="G11" s="494"/>
      <c r="H11" s="494"/>
      <c r="I11" s="495"/>
      <c r="J11" s="480"/>
      <c r="K11" s="481"/>
      <c r="L11" s="481"/>
      <c r="M11" s="481"/>
      <c r="N11" s="481"/>
      <c r="O11" s="482"/>
      <c r="P11" s="480"/>
      <c r="Q11" s="481"/>
      <c r="R11" s="481"/>
      <c r="S11" s="481"/>
      <c r="T11" s="481"/>
      <c r="U11" s="482"/>
      <c r="V11" s="480"/>
      <c r="W11" s="481"/>
      <c r="X11" s="481"/>
      <c r="Y11" s="481"/>
      <c r="Z11" s="481"/>
      <c r="AA11" s="482"/>
      <c r="AB11" s="480"/>
      <c r="AC11" s="481"/>
      <c r="AD11" s="481"/>
      <c r="AE11" s="481"/>
      <c r="AF11" s="481"/>
      <c r="AG11" s="482"/>
      <c r="AH11" s="471"/>
      <c r="AI11" s="472"/>
      <c r="AJ11" s="472"/>
      <c r="AK11" s="472"/>
      <c r="AL11" s="472"/>
      <c r="AM11" s="473"/>
      <c r="AN11" s="83"/>
      <c r="AO11" s="505"/>
      <c r="AP11" s="506"/>
      <c r="AQ11" s="506"/>
      <c r="AR11" s="506"/>
      <c r="AS11" s="506"/>
      <c r="AT11" s="50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500"/>
      <c r="C12" s="500"/>
      <c r="D12" s="501"/>
      <c r="E12" s="493"/>
      <c r="F12" s="494"/>
      <c r="G12" s="494"/>
      <c r="H12" s="494"/>
      <c r="I12" s="495"/>
      <c r="J12" s="480" t="str">
        <f>IF(AND('Mapa de Riesgos'!$H$69="Muy Alta",'Mapa de Riesgos'!$L$69="Leve"),CONCATENATE("R",'Mapa de Riesgos'!$A$69),"")</f>
        <v/>
      </c>
      <c r="K12" s="481"/>
      <c r="L12" s="481" t="str">
        <f>IF(AND('Mapa de Riesgos'!$H$75="Muy Alta",'Mapa de Riesgos'!$L$75="Leve"),CONCATENATE("R",'Mapa de Riesgos'!#REF!),"")</f>
        <v/>
      </c>
      <c r="M12" s="481"/>
      <c r="N12" s="481" t="str">
        <f>IF(AND('Mapa de Riesgos'!$H$81="Muy Alta",'Mapa de Riesgos'!$L$81="Leve"),CONCATENATE("R",'Mapa de Riesgos'!$A$81),"")</f>
        <v/>
      </c>
      <c r="O12" s="482"/>
      <c r="P12" s="480" t="str">
        <f>IF(AND('Mapa de Riesgos'!$H$69="Muy Alta",'Mapa de Riesgos'!$L$69="Menor"),CONCATENATE("R",'Mapa de Riesgos'!$A$69),"")</f>
        <v/>
      </c>
      <c r="Q12" s="481"/>
      <c r="R12" s="481" t="str">
        <f>IF(AND('Mapa de Riesgos'!$H$75="Muy Alta",'Mapa de Riesgos'!$L$75="Menor"),CONCATENATE("R",'Mapa de Riesgos'!#REF!),"")</f>
        <v/>
      </c>
      <c r="S12" s="481"/>
      <c r="T12" s="481" t="str">
        <f>IF(AND('Mapa de Riesgos'!$H$81="Muy Alta",'Mapa de Riesgos'!$L$81="Menor"),CONCATENATE("R",'Mapa de Riesgos'!$A$81),"")</f>
        <v/>
      </c>
      <c r="U12" s="482"/>
      <c r="V12" s="480" t="str">
        <f>IF(AND('Mapa de Riesgos'!$H$69="Muy Alta",'Mapa de Riesgos'!$L$69="Moderado"),CONCATENATE("R",'Mapa de Riesgos'!$A$69),"")</f>
        <v/>
      </c>
      <c r="W12" s="481"/>
      <c r="X12" s="481" t="str">
        <f>IF(AND('Mapa de Riesgos'!$H$75="Muy Alta",'Mapa de Riesgos'!$L$75="Moderado"),CONCATENATE("R",'Mapa de Riesgos'!#REF!),"")</f>
        <v/>
      </c>
      <c r="Y12" s="481"/>
      <c r="Z12" s="481" t="str">
        <f>IF(AND('Mapa de Riesgos'!$H$81="Muy Alta",'Mapa de Riesgos'!$L$81="Moderado"),CONCATENATE("R",'Mapa de Riesgos'!$A$81),"")</f>
        <v/>
      </c>
      <c r="AA12" s="482"/>
      <c r="AB12" s="480" t="str">
        <f>IF(AND('Mapa de Riesgos'!$H$69="Muy Alta",'Mapa de Riesgos'!$L$69="Mayor"),CONCATENATE("R",'Mapa de Riesgos'!$A$69),"")</f>
        <v/>
      </c>
      <c r="AC12" s="481"/>
      <c r="AD12" s="481" t="str">
        <f>IF(AND('Mapa de Riesgos'!$H$75="Muy Alta",'Mapa de Riesgos'!$L$75="Mayor"),CONCATENATE("R",'Mapa de Riesgos'!#REF!),"")</f>
        <v/>
      </c>
      <c r="AE12" s="481"/>
      <c r="AF12" s="481" t="str">
        <f>IF(AND('Mapa de Riesgos'!$H$81="Muy Alta",'Mapa de Riesgos'!$L$81="Mayor"),CONCATENATE("R",'Mapa de Riesgos'!$A$81),"")</f>
        <v/>
      </c>
      <c r="AG12" s="482"/>
      <c r="AH12" s="471" t="str">
        <f>IF(AND('Mapa de Riesgos'!$H$69="Muy Alta",'Mapa de Riesgos'!$L$69="Catastrófico"),CONCATENATE("R",'Mapa de Riesgos'!$A$69),"")</f>
        <v/>
      </c>
      <c r="AI12" s="472"/>
      <c r="AJ12" s="472" t="str">
        <f>IF(AND('Mapa de Riesgos'!$H$75="Muy Alta",'Mapa de Riesgos'!$L$75="Catastrófico"),CONCATENATE("R",'Mapa de Riesgos'!#REF!),"")</f>
        <v/>
      </c>
      <c r="AK12" s="472"/>
      <c r="AL12" s="472" t="str">
        <f>IF(AND('Mapa de Riesgos'!$H$81="Muy Alta",'Mapa de Riesgos'!$L$81="Catastrófico"),CONCATENATE("R",'Mapa de Riesgos'!$A$81),"")</f>
        <v/>
      </c>
      <c r="AM12" s="473"/>
      <c r="AN12" s="83"/>
      <c r="AO12" s="505"/>
      <c r="AP12" s="506"/>
      <c r="AQ12" s="506"/>
      <c r="AR12" s="506"/>
      <c r="AS12" s="506"/>
      <c r="AT12" s="50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500"/>
      <c r="C13" s="500"/>
      <c r="D13" s="501"/>
      <c r="E13" s="496"/>
      <c r="F13" s="497"/>
      <c r="G13" s="497"/>
      <c r="H13" s="497"/>
      <c r="I13" s="498"/>
      <c r="J13" s="480"/>
      <c r="K13" s="481"/>
      <c r="L13" s="481"/>
      <c r="M13" s="481"/>
      <c r="N13" s="481"/>
      <c r="O13" s="482"/>
      <c r="P13" s="480"/>
      <c r="Q13" s="481"/>
      <c r="R13" s="481"/>
      <c r="S13" s="481"/>
      <c r="T13" s="481"/>
      <c r="U13" s="482"/>
      <c r="V13" s="480"/>
      <c r="W13" s="481"/>
      <c r="X13" s="481"/>
      <c r="Y13" s="481"/>
      <c r="Z13" s="481"/>
      <c r="AA13" s="482"/>
      <c r="AB13" s="480"/>
      <c r="AC13" s="481"/>
      <c r="AD13" s="481"/>
      <c r="AE13" s="481"/>
      <c r="AF13" s="481"/>
      <c r="AG13" s="482"/>
      <c r="AH13" s="474"/>
      <c r="AI13" s="475"/>
      <c r="AJ13" s="475"/>
      <c r="AK13" s="475"/>
      <c r="AL13" s="475"/>
      <c r="AM13" s="476"/>
      <c r="AN13" s="83"/>
      <c r="AO13" s="508"/>
      <c r="AP13" s="509"/>
      <c r="AQ13" s="509"/>
      <c r="AR13" s="509"/>
      <c r="AS13" s="509"/>
      <c r="AT13" s="51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500"/>
      <c r="C14" s="500"/>
      <c r="D14" s="501"/>
      <c r="E14" s="490" t="s">
        <v>211</v>
      </c>
      <c r="F14" s="491"/>
      <c r="G14" s="491"/>
      <c r="H14" s="491"/>
      <c r="I14" s="491"/>
      <c r="J14" s="468" t="str">
        <f>IF(AND('Mapa de Riesgos'!$H$12="Alta",'Mapa de Riesgos'!$L$12="Leve"),CONCATENATE("R",'Mapa de Riesgos'!$A$12),"")</f>
        <v/>
      </c>
      <c r="K14" s="469"/>
      <c r="L14" s="469" t="str">
        <f>IF(AND('Mapa de Riesgos'!$H$21="Alta",'Mapa de Riesgos'!$L$21="Leve"),CONCATENATE("R",'Mapa de Riesgos'!$A$21),"")</f>
        <v/>
      </c>
      <c r="M14" s="469"/>
      <c r="N14" s="469" t="str">
        <f>IF(AND('Mapa de Riesgos'!$H$27="Alta",'Mapa de Riesgos'!$L$27="Leve"),CONCATENATE("R",'Mapa de Riesgos'!$A$27),"")</f>
        <v/>
      </c>
      <c r="O14" s="470"/>
      <c r="P14" s="468" t="str">
        <f>IF(AND('Mapa de Riesgos'!$H$12="Alta",'Mapa de Riesgos'!$L$12="Menor"),CONCATENATE("R",'Mapa de Riesgos'!$A$12),"")</f>
        <v/>
      </c>
      <c r="Q14" s="469"/>
      <c r="R14" s="469" t="str">
        <f>IF(AND('Mapa de Riesgos'!$H$21="Alta",'Mapa de Riesgos'!$L$21="Menor"),CONCATENATE("R",'Mapa de Riesgos'!$A$21),"")</f>
        <v/>
      </c>
      <c r="S14" s="469"/>
      <c r="T14" s="469" t="str">
        <f>IF(AND('Mapa de Riesgos'!$H$27="Alta",'Mapa de Riesgos'!$L$27="Menor"),CONCATENATE("R",'Mapa de Riesgos'!$A$27),"")</f>
        <v/>
      </c>
      <c r="U14" s="470"/>
      <c r="V14" s="486" t="str">
        <f>IF(AND('Mapa de Riesgos'!$H$12="Alta",'Mapa de Riesgos'!$L$12="Moderado"),CONCATENATE("R",'Mapa de Riesgos'!$A$12),"")</f>
        <v/>
      </c>
      <c r="W14" s="487"/>
      <c r="X14" s="487" t="str">
        <f>IF(AND('Mapa de Riesgos'!$H$21="Alta",'Mapa de Riesgos'!$L$21="Moderado"),CONCATENATE("R",'Mapa de Riesgos'!$A$21),"")</f>
        <v/>
      </c>
      <c r="Y14" s="487"/>
      <c r="Z14" s="487" t="str">
        <f>IF(AND('Mapa de Riesgos'!$H$27="Alta",'Mapa de Riesgos'!$L$27="Moderado"),CONCATENATE("R",'Mapa de Riesgos'!$A$27),"")</f>
        <v/>
      </c>
      <c r="AA14" s="488"/>
      <c r="AB14" s="486" t="str">
        <f>IF(AND('Mapa de Riesgos'!$H$12="Alta",'Mapa de Riesgos'!$L$12="Mayor"),CONCATENATE("R",'Mapa de Riesgos'!$A$12),"")</f>
        <v/>
      </c>
      <c r="AC14" s="487"/>
      <c r="AD14" s="487" t="str">
        <f>IF(AND('Mapa de Riesgos'!$H$21="Alta",'Mapa de Riesgos'!$L$21="Mayor"),CONCATENATE("R",'Mapa de Riesgos'!$A$21),"")</f>
        <v/>
      </c>
      <c r="AE14" s="487"/>
      <c r="AF14" s="487" t="str">
        <f>IF(AND('Mapa de Riesgos'!$H$27="Alta",'Mapa de Riesgos'!$L$27="Mayor"),CONCATENATE("R",'Mapa de Riesgos'!$A$27),"")</f>
        <v/>
      </c>
      <c r="AG14" s="488"/>
      <c r="AH14" s="477" t="str">
        <f>IF(AND('Mapa de Riesgos'!$H$12="Alta",'Mapa de Riesgos'!$L$12="Catastrófico"),CONCATENATE("R",'Mapa de Riesgos'!$A$12),"")</f>
        <v/>
      </c>
      <c r="AI14" s="478"/>
      <c r="AJ14" s="478" t="str">
        <f>IF(AND('Mapa de Riesgos'!$H$21="Alta",'Mapa de Riesgos'!$L$21="Catastrófico"),CONCATENATE("R",'Mapa de Riesgos'!$A$21),"")</f>
        <v/>
      </c>
      <c r="AK14" s="478"/>
      <c r="AL14" s="478" t="str">
        <f>IF(AND('Mapa de Riesgos'!$H$27="Alta",'Mapa de Riesgos'!$L$27="Catastrófico"),CONCATENATE("R",'Mapa de Riesgos'!$A$27),"")</f>
        <v/>
      </c>
      <c r="AM14" s="479"/>
      <c r="AN14" s="83"/>
      <c r="AO14" s="511" t="s">
        <v>212</v>
      </c>
      <c r="AP14" s="512"/>
      <c r="AQ14" s="512"/>
      <c r="AR14" s="512"/>
      <c r="AS14" s="512"/>
      <c r="AT14" s="51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500"/>
      <c r="C15" s="500"/>
      <c r="D15" s="501"/>
      <c r="E15" s="493"/>
      <c r="F15" s="494"/>
      <c r="G15" s="494"/>
      <c r="H15" s="494"/>
      <c r="I15" s="494"/>
      <c r="J15" s="462"/>
      <c r="K15" s="463"/>
      <c r="L15" s="463"/>
      <c r="M15" s="463"/>
      <c r="N15" s="463"/>
      <c r="O15" s="464"/>
      <c r="P15" s="462"/>
      <c r="Q15" s="463"/>
      <c r="R15" s="463"/>
      <c r="S15" s="463"/>
      <c r="T15" s="463"/>
      <c r="U15" s="464"/>
      <c r="V15" s="480"/>
      <c r="W15" s="481"/>
      <c r="X15" s="481"/>
      <c r="Y15" s="481"/>
      <c r="Z15" s="481"/>
      <c r="AA15" s="482"/>
      <c r="AB15" s="480"/>
      <c r="AC15" s="481"/>
      <c r="AD15" s="481"/>
      <c r="AE15" s="481"/>
      <c r="AF15" s="481"/>
      <c r="AG15" s="482"/>
      <c r="AH15" s="471"/>
      <c r="AI15" s="472"/>
      <c r="AJ15" s="472"/>
      <c r="AK15" s="472"/>
      <c r="AL15" s="472"/>
      <c r="AM15" s="473"/>
      <c r="AN15" s="83"/>
      <c r="AO15" s="514"/>
      <c r="AP15" s="515"/>
      <c r="AQ15" s="515"/>
      <c r="AR15" s="515"/>
      <c r="AS15" s="515"/>
      <c r="AT15" s="51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500"/>
      <c r="C16" s="500"/>
      <c r="D16" s="501"/>
      <c r="E16" s="493"/>
      <c r="F16" s="494"/>
      <c r="G16" s="494"/>
      <c r="H16" s="494"/>
      <c r="I16" s="494"/>
      <c r="J16" s="462" t="str">
        <f>IF(AND('Mapa de Riesgos'!$H$33="Alta",'Mapa de Riesgos'!$L$33="Leve"),CONCATENATE("R",'Mapa de Riesgos'!$A$33),"")</f>
        <v/>
      </c>
      <c r="K16" s="463"/>
      <c r="L16" s="463" t="str">
        <f>IF(AND('Mapa de Riesgos'!$H$39="Alta",'Mapa de Riesgos'!$L$39="Leve"),CONCATENATE("R",'Mapa de Riesgos'!$A$39),"")</f>
        <v/>
      </c>
      <c r="M16" s="463"/>
      <c r="N16" s="463" t="str">
        <f>IF(AND('Mapa de Riesgos'!$H$45="Alta",'Mapa de Riesgos'!$L$45="Leve"),CONCATENATE("R",'Mapa de Riesgos'!$A$45),"")</f>
        <v/>
      </c>
      <c r="O16" s="464"/>
      <c r="P16" s="462" t="str">
        <f>IF(AND('Mapa de Riesgos'!$H$33="Alta",'Mapa de Riesgos'!$L$33="Menor"),CONCATENATE("R",'Mapa de Riesgos'!$A$33),"")</f>
        <v/>
      </c>
      <c r="Q16" s="463"/>
      <c r="R16" s="463" t="str">
        <f>IF(AND('Mapa de Riesgos'!$H$39="Alta",'Mapa de Riesgos'!$L$39="Menor"),CONCATENATE("R",'Mapa de Riesgos'!$A$39),"")</f>
        <v/>
      </c>
      <c r="S16" s="463"/>
      <c r="T16" s="463" t="str">
        <f>IF(AND('Mapa de Riesgos'!$H$45="Alta",'Mapa de Riesgos'!$L$45="Menor"),CONCATENATE("R",'Mapa de Riesgos'!$A$45),"")</f>
        <v/>
      </c>
      <c r="U16" s="464"/>
      <c r="V16" s="480" t="str">
        <f>IF(AND('Mapa de Riesgos'!$H$33="Alta",'Mapa de Riesgos'!$L$33="Moderado"),CONCATENATE("R",'Mapa de Riesgos'!$A$33),"")</f>
        <v/>
      </c>
      <c r="W16" s="481"/>
      <c r="X16" s="481" t="str">
        <f>IF(AND('Mapa de Riesgos'!$H$39="Alta",'Mapa de Riesgos'!$L$39="Moderado"),CONCATENATE("R",'Mapa de Riesgos'!$A$39),"")</f>
        <v/>
      </c>
      <c r="Y16" s="481"/>
      <c r="Z16" s="481" t="str">
        <f>IF(AND('Mapa de Riesgos'!$H$45="Alta",'Mapa de Riesgos'!$L$45="Moderado"),CONCATENATE("R",'Mapa de Riesgos'!$A$45),"")</f>
        <v/>
      </c>
      <c r="AA16" s="482"/>
      <c r="AB16" s="480" t="str">
        <f>IF(AND('Mapa de Riesgos'!$H$33="Alta",'Mapa de Riesgos'!$L$33="Mayor"),CONCATENATE("R",'Mapa de Riesgos'!$A$33),"")</f>
        <v/>
      </c>
      <c r="AC16" s="481"/>
      <c r="AD16" s="481" t="str">
        <f>IF(AND('Mapa de Riesgos'!$H$39="Alta",'Mapa de Riesgos'!$L$39="Mayor"),CONCATENATE("R",'Mapa de Riesgos'!$A$39),"")</f>
        <v/>
      </c>
      <c r="AE16" s="481"/>
      <c r="AF16" s="481" t="str">
        <f>IF(AND('Mapa de Riesgos'!$H$45="Alta",'Mapa de Riesgos'!$L$45="Mayor"),CONCATENATE("R",'Mapa de Riesgos'!$A$45),"")</f>
        <v/>
      </c>
      <c r="AG16" s="482"/>
      <c r="AH16" s="471" t="str">
        <f>IF(AND('Mapa de Riesgos'!$H$33="Alta",'Mapa de Riesgos'!$L$33="Catastrófico"),CONCATENATE("R",'Mapa de Riesgos'!$A$33),"")</f>
        <v/>
      </c>
      <c r="AI16" s="472"/>
      <c r="AJ16" s="472" t="str">
        <f>IF(AND('Mapa de Riesgos'!$H$39="Alta",'Mapa de Riesgos'!$L$39="Catastrófico"),CONCATENATE("R",'Mapa de Riesgos'!$A$39),"")</f>
        <v/>
      </c>
      <c r="AK16" s="472"/>
      <c r="AL16" s="472" t="str">
        <f>IF(AND('Mapa de Riesgos'!$H$45="Alta",'Mapa de Riesgos'!$L$45="Catastrófico"),CONCATENATE("R",'Mapa de Riesgos'!$A$45),"")</f>
        <v/>
      </c>
      <c r="AM16" s="473"/>
      <c r="AN16" s="83"/>
      <c r="AO16" s="514"/>
      <c r="AP16" s="515"/>
      <c r="AQ16" s="515"/>
      <c r="AR16" s="515"/>
      <c r="AS16" s="515"/>
      <c r="AT16" s="51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500"/>
      <c r="C17" s="500"/>
      <c r="D17" s="501"/>
      <c r="E17" s="493"/>
      <c r="F17" s="494"/>
      <c r="G17" s="494"/>
      <c r="H17" s="494"/>
      <c r="I17" s="494"/>
      <c r="J17" s="462"/>
      <c r="K17" s="463"/>
      <c r="L17" s="463"/>
      <c r="M17" s="463"/>
      <c r="N17" s="463"/>
      <c r="O17" s="464"/>
      <c r="P17" s="462"/>
      <c r="Q17" s="463"/>
      <c r="R17" s="463"/>
      <c r="S17" s="463"/>
      <c r="T17" s="463"/>
      <c r="U17" s="464"/>
      <c r="V17" s="480"/>
      <c r="W17" s="481"/>
      <c r="X17" s="481"/>
      <c r="Y17" s="481"/>
      <c r="Z17" s="481"/>
      <c r="AA17" s="482"/>
      <c r="AB17" s="480"/>
      <c r="AC17" s="481"/>
      <c r="AD17" s="481"/>
      <c r="AE17" s="481"/>
      <c r="AF17" s="481"/>
      <c r="AG17" s="482"/>
      <c r="AH17" s="471"/>
      <c r="AI17" s="472"/>
      <c r="AJ17" s="472"/>
      <c r="AK17" s="472"/>
      <c r="AL17" s="472"/>
      <c r="AM17" s="473"/>
      <c r="AN17" s="83"/>
      <c r="AO17" s="514"/>
      <c r="AP17" s="515"/>
      <c r="AQ17" s="515"/>
      <c r="AR17" s="515"/>
      <c r="AS17" s="515"/>
      <c r="AT17" s="51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500"/>
      <c r="C18" s="500"/>
      <c r="D18" s="501"/>
      <c r="E18" s="493"/>
      <c r="F18" s="494"/>
      <c r="G18" s="494"/>
      <c r="H18" s="494"/>
      <c r="I18" s="494"/>
      <c r="J18" s="462" t="str">
        <f>IF(AND('Mapa de Riesgos'!$H$51="Alta",'Mapa de Riesgos'!$L$51="Leve"),CONCATENATE("R",'Mapa de Riesgos'!$A$51),"")</f>
        <v/>
      </c>
      <c r="K18" s="463"/>
      <c r="L18" s="463" t="str">
        <f>IF(AND('Mapa de Riesgos'!$H$57="Alta",'Mapa de Riesgos'!$L$57="Leve"),CONCATENATE("R",'Mapa de Riesgos'!$A$57),"")</f>
        <v/>
      </c>
      <c r="M18" s="463"/>
      <c r="N18" s="463" t="str">
        <f>IF(AND('Mapa de Riesgos'!$H$63="Alta",'Mapa de Riesgos'!$L$63="Leve"),CONCATENATE("R",'Mapa de Riesgos'!$A$63),"")</f>
        <v/>
      </c>
      <c r="O18" s="464"/>
      <c r="P18" s="462" t="str">
        <f>IF(AND('Mapa de Riesgos'!$H$51="Alta",'Mapa de Riesgos'!$L$51="Menor"),CONCATENATE("R",'Mapa de Riesgos'!$A$51),"")</f>
        <v/>
      </c>
      <c r="Q18" s="463"/>
      <c r="R18" s="463" t="str">
        <f>IF(AND('Mapa de Riesgos'!$H$57="Alta",'Mapa de Riesgos'!$L$57="Menor"),CONCATENATE("R",'Mapa de Riesgos'!$A$57),"")</f>
        <v/>
      </c>
      <c r="S18" s="463"/>
      <c r="T18" s="463" t="str">
        <f>IF(AND('Mapa de Riesgos'!$H$63="Alta",'Mapa de Riesgos'!$L$63="Menor"),CONCATENATE("R",'Mapa de Riesgos'!$A$63),"")</f>
        <v/>
      </c>
      <c r="U18" s="464"/>
      <c r="V18" s="480" t="str">
        <f>IF(AND('Mapa de Riesgos'!$H$51="Alta",'Mapa de Riesgos'!$L$51="Moderado"),CONCATENATE("R",'Mapa de Riesgos'!$A$51),"")</f>
        <v/>
      </c>
      <c r="W18" s="481"/>
      <c r="X18" s="481" t="str">
        <f>IF(AND('Mapa de Riesgos'!$H$57="Alta",'Mapa de Riesgos'!$L$57="Moderado"),CONCATENATE("R",'Mapa de Riesgos'!$A$57),"")</f>
        <v/>
      </c>
      <c r="Y18" s="481"/>
      <c r="Z18" s="481" t="str">
        <f>IF(AND('Mapa de Riesgos'!$H$63="Alta",'Mapa de Riesgos'!$L$63="Moderado"),CONCATENATE("R",'Mapa de Riesgos'!$A$63),"")</f>
        <v/>
      </c>
      <c r="AA18" s="482"/>
      <c r="AB18" s="480" t="str">
        <f>IF(AND('Mapa de Riesgos'!$H$51="Alta",'Mapa de Riesgos'!$L$51="Mayor"),CONCATENATE("R",'Mapa de Riesgos'!$A$51),"")</f>
        <v/>
      </c>
      <c r="AC18" s="481"/>
      <c r="AD18" s="481" t="str">
        <f>IF(AND('Mapa de Riesgos'!$H$57="Alta",'Mapa de Riesgos'!$L$57="Mayor"),CONCATENATE("R",'Mapa de Riesgos'!$A$57),"")</f>
        <v/>
      </c>
      <c r="AE18" s="481"/>
      <c r="AF18" s="481" t="str">
        <f>IF(AND('Mapa de Riesgos'!$H$63="Alta",'Mapa de Riesgos'!$L$63="Mayor"),CONCATENATE("R",'Mapa de Riesgos'!$A$63),"")</f>
        <v/>
      </c>
      <c r="AG18" s="482"/>
      <c r="AH18" s="471" t="str">
        <f>IF(AND('Mapa de Riesgos'!$H$51="Alta",'Mapa de Riesgos'!$L$51="Catastrófico"),CONCATENATE("R",'Mapa de Riesgos'!$A$51),"")</f>
        <v/>
      </c>
      <c r="AI18" s="472"/>
      <c r="AJ18" s="472" t="str">
        <f>IF(AND('Mapa de Riesgos'!$H$57="Alta",'Mapa de Riesgos'!$L$57="Catastrófico"),CONCATENATE("R",'Mapa de Riesgos'!$A$57),"")</f>
        <v/>
      </c>
      <c r="AK18" s="472"/>
      <c r="AL18" s="472" t="str">
        <f>IF(AND('Mapa de Riesgos'!$H$63="Alta",'Mapa de Riesgos'!$L$63="Catastrófico"),CONCATENATE("R",'Mapa de Riesgos'!$A$63),"")</f>
        <v/>
      </c>
      <c r="AM18" s="473"/>
      <c r="AN18" s="83"/>
      <c r="AO18" s="514"/>
      <c r="AP18" s="515"/>
      <c r="AQ18" s="515"/>
      <c r="AR18" s="515"/>
      <c r="AS18" s="515"/>
      <c r="AT18" s="51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500"/>
      <c r="C19" s="500"/>
      <c r="D19" s="501"/>
      <c r="E19" s="493"/>
      <c r="F19" s="494"/>
      <c r="G19" s="494"/>
      <c r="H19" s="494"/>
      <c r="I19" s="494"/>
      <c r="J19" s="462"/>
      <c r="K19" s="463"/>
      <c r="L19" s="463"/>
      <c r="M19" s="463"/>
      <c r="N19" s="463"/>
      <c r="O19" s="464"/>
      <c r="P19" s="462"/>
      <c r="Q19" s="463"/>
      <c r="R19" s="463"/>
      <c r="S19" s="463"/>
      <c r="T19" s="463"/>
      <c r="U19" s="464"/>
      <c r="V19" s="480"/>
      <c r="W19" s="481"/>
      <c r="X19" s="481"/>
      <c r="Y19" s="481"/>
      <c r="Z19" s="481"/>
      <c r="AA19" s="482"/>
      <c r="AB19" s="480"/>
      <c r="AC19" s="481"/>
      <c r="AD19" s="481"/>
      <c r="AE19" s="481"/>
      <c r="AF19" s="481"/>
      <c r="AG19" s="482"/>
      <c r="AH19" s="471"/>
      <c r="AI19" s="472"/>
      <c r="AJ19" s="472"/>
      <c r="AK19" s="472"/>
      <c r="AL19" s="472"/>
      <c r="AM19" s="473"/>
      <c r="AN19" s="83"/>
      <c r="AO19" s="514"/>
      <c r="AP19" s="515"/>
      <c r="AQ19" s="515"/>
      <c r="AR19" s="515"/>
      <c r="AS19" s="515"/>
      <c r="AT19" s="51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500"/>
      <c r="C20" s="500"/>
      <c r="D20" s="501"/>
      <c r="E20" s="493"/>
      <c r="F20" s="494"/>
      <c r="G20" s="494"/>
      <c r="H20" s="494"/>
      <c r="I20" s="494"/>
      <c r="J20" s="462" t="str">
        <f>IF(AND('Mapa de Riesgos'!$H$69="Alta",'Mapa de Riesgos'!$L$69="Leve"),CONCATENATE("R",'Mapa de Riesgos'!$A$69),"")</f>
        <v/>
      </c>
      <c r="K20" s="463"/>
      <c r="L20" s="463" t="str">
        <f>IF(AND('Mapa de Riesgos'!$H$75="Alta",'Mapa de Riesgos'!$L$75="Leve"),CONCATENATE("R",'Mapa de Riesgos'!#REF!),"")</f>
        <v/>
      </c>
      <c r="M20" s="463"/>
      <c r="N20" s="463" t="str">
        <f>IF(AND('Mapa de Riesgos'!$H$81="Alta",'Mapa de Riesgos'!$L$81="Leve"),CONCATENATE("R",'Mapa de Riesgos'!$A$81),"")</f>
        <v/>
      </c>
      <c r="O20" s="464"/>
      <c r="P20" s="462" t="str">
        <f>IF(AND('Mapa de Riesgos'!$H$69="Alta",'Mapa de Riesgos'!$L$69="Menor"),CONCATENATE("R",'Mapa de Riesgos'!$A$69),"")</f>
        <v/>
      </c>
      <c r="Q20" s="463"/>
      <c r="R20" s="463" t="str">
        <f>IF(AND('Mapa de Riesgos'!$H$75="Alta",'Mapa de Riesgos'!$L$75="Menor"),CONCATENATE("R",'Mapa de Riesgos'!#REF!),"")</f>
        <v/>
      </c>
      <c r="S20" s="463"/>
      <c r="T20" s="463" t="str">
        <f>IF(AND('Mapa de Riesgos'!$H$81="Alta",'Mapa de Riesgos'!$L$81="Menor"),CONCATENATE("R",'Mapa de Riesgos'!$A$81),"")</f>
        <v/>
      </c>
      <c r="U20" s="464"/>
      <c r="V20" s="480" t="str">
        <f>IF(AND('Mapa de Riesgos'!$H$69="Alta",'Mapa de Riesgos'!$L$69="Moderado"),CONCATENATE("R",'Mapa de Riesgos'!$A$69),"")</f>
        <v/>
      </c>
      <c r="W20" s="481"/>
      <c r="X20" s="481" t="str">
        <f>IF(AND('Mapa de Riesgos'!$H$75="Alta",'Mapa de Riesgos'!$L$75="Moderado"),CONCATENATE("R",'Mapa de Riesgos'!#REF!),"")</f>
        <v/>
      </c>
      <c r="Y20" s="481"/>
      <c r="Z20" s="481" t="str">
        <f>IF(AND('Mapa de Riesgos'!$H$81="Alta",'Mapa de Riesgos'!$L$81="Moderado"),CONCATENATE("R",'Mapa de Riesgos'!$A$81),"")</f>
        <v/>
      </c>
      <c r="AA20" s="482"/>
      <c r="AB20" s="480" t="str">
        <f>IF(AND('Mapa de Riesgos'!$H$69="Alta",'Mapa de Riesgos'!$L$69="Mayor"),CONCATENATE("R",'Mapa de Riesgos'!$A$69),"")</f>
        <v/>
      </c>
      <c r="AC20" s="481"/>
      <c r="AD20" s="481" t="str">
        <f>IF(AND('Mapa de Riesgos'!$H$75="Alta",'Mapa de Riesgos'!$L$75="Mayor"),CONCATENATE("R",'Mapa de Riesgos'!#REF!),"")</f>
        <v/>
      </c>
      <c r="AE20" s="481"/>
      <c r="AF20" s="481" t="str">
        <f>IF(AND('Mapa de Riesgos'!$H$81="Alta",'Mapa de Riesgos'!$L$81="Mayor"),CONCATENATE("R",'Mapa de Riesgos'!$A$81),"")</f>
        <v/>
      </c>
      <c r="AG20" s="482"/>
      <c r="AH20" s="471" t="str">
        <f>IF(AND('Mapa de Riesgos'!$H$69="Alta",'Mapa de Riesgos'!$L$69="Catastrófico"),CONCATENATE("R",'Mapa de Riesgos'!$A$69),"")</f>
        <v/>
      </c>
      <c r="AI20" s="472"/>
      <c r="AJ20" s="472" t="str">
        <f>IF(AND('Mapa de Riesgos'!$H$75="Alta",'Mapa de Riesgos'!$L$75="Catastrófico"),CONCATENATE("R",'Mapa de Riesgos'!#REF!),"")</f>
        <v/>
      </c>
      <c r="AK20" s="472"/>
      <c r="AL20" s="472" t="str">
        <f>IF(AND('Mapa de Riesgos'!$H$81="Alta",'Mapa de Riesgos'!$L$81="Catastrófico"),CONCATENATE("R",'Mapa de Riesgos'!$A$81),"")</f>
        <v/>
      </c>
      <c r="AM20" s="473"/>
      <c r="AN20" s="83"/>
      <c r="AO20" s="514"/>
      <c r="AP20" s="515"/>
      <c r="AQ20" s="515"/>
      <c r="AR20" s="515"/>
      <c r="AS20" s="515"/>
      <c r="AT20" s="51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500"/>
      <c r="C21" s="500"/>
      <c r="D21" s="501"/>
      <c r="E21" s="496"/>
      <c r="F21" s="497"/>
      <c r="G21" s="497"/>
      <c r="H21" s="497"/>
      <c r="I21" s="497"/>
      <c r="J21" s="465"/>
      <c r="K21" s="466"/>
      <c r="L21" s="466"/>
      <c r="M21" s="466"/>
      <c r="N21" s="466"/>
      <c r="O21" s="467"/>
      <c r="P21" s="465"/>
      <c r="Q21" s="466"/>
      <c r="R21" s="466"/>
      <c r="S21" s="466"/>
      <c r="T21" s="466"/>
      <c r="U21" s="467"/>
      <c r="V21" s="483"/>
      <c r="W21" s="484"/>
      <c r="X21" s="484"/>
      <c r="Y21" s="484"/>
      <c r="Z21" s="484"/>
      <c r="AA21" s="485"/>
      <c r="AB21" s="483"/>
      <c r="AC21" s="484"/>
      <c r="AD21" s="484"/>
      <c r="AE21" s="484"/>
      <c r="AF21" s="484"/>
      <c r="AG21" s="485"/>
      <c r="AH21" s="474"/>
      <c r="AI21" s="475"/>
      <c r="AJ21" s="475"/>
      <c r="AK21" s="475"/>
      <c r="AL21" s="475"/>
      <c r="AM21" s="476"/>
      <c r="AN21" s="83"/>
      <c r="AO21" s="517"/>
      <c r="AP21" s="518"/>
      <c r="AQ21" s="518"/>
      <c r="AR21" s="518"/>
      <c r="AS21" s="518"/>
      <c r="AT21" s="51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500"/>
      <c r="C22" s="500"/>
      <c r="D22" s="501"/>
      <c r="E22" s="490" t="s">
        <v>213</v>
      </c>
      <c r="F22" s="491"/>
      <c r="G22" s="491"/>
      <c r="H22" s="491"/>
      <c r="I22" s="492"/>
      <c r="J22" s="468" t="str">
        <f>IF(AND('Mapa de Riesgos'!$H$12="Media",'Mapa de Riesgos'!$L$12="Leve"),CONCATENATE("R",'Mapa de Riesgos'!$A$12),"")</f>
        <v/>
      </c>
      <c r="K22" s="469"/>
      <c r="L22" s="469" t="str">
        <f>IF(AND('Mapa de Riesgos'!$H$21="Media",'Mapa de Riesgos'!$L$21="Leve"),CONCATENATE("R",'Mapa de Riesgos'!$A$21),"")</f>
        <v/>
      </c>
      <c r="M22" s="469"/>
      <c r="N22" s="469" t="str">
        <f>IF(AND('Mapa de Riesgos'!$H$27="Media",'Mapa de Riesgos'!$L$27="Leve"),CONCATENATE("R",'Mapa de Riesgos'!$A$27),"")</f>
        <v/>
      </c>
      <c r="O22" s="470"/>
      <c r="P22" s="468" t="str">
        <f>IF(AND('Mapa de Riesgos'!$H$12="Media",'Mapa de Riesgos'!$L$12="Menor"),CONCATENATE("R",'Mapa de Riesgos'!$A$12),"")</f>
        <v/>
      </c>
      <c r="Q22" s="469"/>
      <c r="R22" s="469" t="str">
        <f>IF(AND('Mapa de Riesgos'!$H$21="Media",'Mapa de Riesgos'!$L$21="Menor"),CONCATENATE("R",'Mapa de Riesgos'!$A$21),"")</f>
        <v/>
      </c>
      <c r="S22" s="469"/>
      <c r="T22" s="469" t="str">
        <f>IF(AND('Mapa de Riesgos'!$H$27="Media",'Mapa de Riesgos'!$L$27="Menor"),CONCATENATE("R",'Mapa de Riesgos'!$A$27),"")</f>
        <v/>
      </c>
      <c r="U22" s="470"/>
      <c r="V22" s="468" t="str">
        <f>IF(AND('Mapa de Riesgos'!$H$12="Media",'Mapa de Riesgos'!$L$12="Moderado"),CONCATENATE("R",'Mapa de Riesgos'!$A$12),"")</f>
        <v>R1</v>
      </c>
      <c r="W22" s="469"/>
      <c r="X22" s="469" t="str">
        <f>IF(AND('Mapa de Riesgos'!$H$21="Media",'Mapa de Riesgos'!$L$21="Moderado"),CONCATENATE("R",'Mapa de Riesgos'!$A$21),"")</f>
        <v/>
      </c>
      <c r="Y22" s="469"/>
      <c r="Z22" s="469" t="str">
        <f>IF(AND('Mapa de Riesgos'!$H$27="Media",'Mapa de Riesgos'!$L$27="Moderado"),CONCATENATE("R",'Mapa de Riesgos'!$A$27),"")</f>
        <v/>
      </c>
      <c r="AA22" s="470"/>
      <c r="AB22" s="486" t="str">
        <f>IF(AND('Mapa de Riesgos'!$H$12="Media",'Mapa de Riesgos'!$L$12="Mayor"),CONCATENATE("R",'Mapa de Riesgos'!$A$12),"")</f>
        <v/>
      </c>
      <c r="AC22" s="487"/>
      <c r="AD22" s="487" t="str">
        <f>IF(AND('Mapa de Riesgos'!$H$21="Media",'Mapa de Riesgos'!$L$21="Mayor"),CONCATENATE("R",'Mapa de Riesgos'!$A$21),"")</f>
        <v/>
      </c>
      <c r="AE22" s="487"/>
      <c r="AF22" s="487" t="str">
        <f>IF(AND('Mapa de Riesgos'!$H$27="Media",'Mapa de Riesgos'!$L$27="Mayor"),CONCATENATE("R",'Mapa de Riesgos'!$A$27),"")</f>
        <v/>
      </c>
      <c r="AG22" s="488"/>
      <c r="AH22" s="477" t="str">
        <f>IF(AND('Mapa de Riesgos'!$H$12="Media",'Mapa de Riesgos'!$L$12="Catastrófico"),CONCATENATE("R",'Mapa de Riesgos'!$A$12),"")</f>
        <v/>
      </c>
      <c r="AI22" s="478"/>
      <c r="AJ22" s="478" t="str">
        <f>IF(AND('Mapa de Riesgos'!$H$21="Media",'Mapa de Riesgos'!$L$21="Catastrófico"),CONCATENATE("R",'Mapa de Riesgos'!$A$21),"")</f>
        <v/>
      </c>
      <c r="AK22" s="478"/>
      <c r="AL22" s="478" t="str">
        <f>IF(AND('Mapa de Riesgos'!$H$27="Media",'Mapa de Riesgos'!$L$27="Catastrófico"),CONCATENATE("R",'Mapa de Riesgos'!$A$27),"")</f>
        <v/>
      </c>
      <c r="AM22" s="479"/>
      <c r="AN22" s="83"/>
      <c r="AO22" s="520" t="s">
        <v>214</v>
      </c>
      <c r="AP22" s="521"/>
      <c r="AQ22" s="521"/>
      <c r="AR22" s="521"/>
      <c r="AS22" s="521"/>
      <c r="AT22" s="52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500"/>
      <c r="C23" s="500"/>
      <c r="D23" s="501"/>
      <c r="E23" s="493"/>
      <c r="F23" s="494"/>
      <c r="G23" s="494"/>
      <c r="H23" s="494"/>
      <c r="I23" s="495"/>
      <c r="J23" s="462"/>
      <c r="K23" s="463"/>
      <c r="L23" s="463"/>
      <c r="M23" s="463"/>
      <c r="N23" s="463"/>
      <c r="O23" s="464"/>
      <c r="P23" s="462"/>
      <c r="Q23" s="463"/>
      <c r="R23" s="463"/>
      <c r="S23" s="463"/>
      <c r="T23" s="463"/>
      <c r="U23" s="464"/>
      <c r="V23" s="462"/>
      <c r="W23" s="463"/>
      <c r="X23" s="463"/>
      <c r="Y23" s="463"/>
      <c r="Z23" s="463"/>
      <c r="AA23" s="464"/>
      <c r="AB23" s="480"/>
      <c r="AC23" s="481"/>
      <c r="AD23" s="481"/>
      <c r="AE23" s="481"/>
      <c r="AF23" s="481"/>
      <c r="AG23" s="482"/>
      <c r="AH23" s="471"/>
      <c r="AI23" s="472"/>
      <c r="AJ23" s="472"/>
      <c r="AK23" s="472"/>
      <c r="AL23" s="472"/>
      <c r="AM23" s="473"/>
      <c r="AN23" s="83"/>
      <c r="AO23" s="523"/>
      <c r="AP23" s="524"/>
      <c r="AQ23" s="524"/>
      <c r="AR23" s="524"/>
      <c r="AS23" s="524"/>
      <c r="AT23" s="52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500"/>
      <c r="C24" s="500"/>
      <c r="D24" s="501"/>
      <c r="E24" s="493"/>
      <c r="F24" s="494"/>
      <c r="G24" s="494"/>
      <c r="H24" s="494"/>
      <c r="I24" s="495"/>
      <c r="J24" s="462" t="str">
        <f>IF(AND('Mapa de Riesgos'!$H$33="Media",'Mapa de Riesgos'!$L$33="Leve"),CONCATENATE("R",'Mapa de Riesgos'!$A$33),"")</f>
        <v/>
      </c>
      <c r="K24" s="463"/>
      <c r="L24" s="463" t="str">
        <f>IF(AND('Mapa de Riesgos'!$H$39="Media",'Mapa de Riesgos'!$L$39="Leve"),CONCATENATE("R",'Mapa de Riesgos'!$A$39),"")</f>
        <v/>
      </c>
      <c r="M24" s="463"/>
      <c r="N24" s="463" t="str">
        <f>IF(AND('Mapa de Riesgos'!$H$45="Media",'Mapa de Riesgos'!$L$45="Leve"),CONCATENATE("R",'Mapa de Riesgos'!$A$45),"")</f>
        <v/>
      </c>
      <c r="O24" s="464"/>
      <c r="P24" s="462" t="str">
        <f>IF(AND('Mapa de Riesgos'!$H$33="Media",'Mapa de Riesgos'!$L$33="Menor"),CONCATENATE("R",'Mapa de Riesgos'!$A$33),"")</f>
        <v/>
      </c>
      <c r="Q24" s="463"/>
      <c r="R24" s="463" t="str">
        <f>IF(AND('Mapa de Riesgos'!$H$39="Media",'Mapa de Riesgos'!$L$39="Menor"),CONCATENATE("R",'Mapa de Riesgos'!$A$39),"")</f>
        <v/>
      </c>
      <c r="S24" s="463"/>
      <c r="T24" s="463" t="str">
        <f>IF(AND('Mapa de Riesgos'!$H$45="Media",'Mapa de Riesgos'!$L$45="Menor"),CONCATENATE("R",'Mapa de Riesgos'!$A$45),"")</f>
        <v/>
      </c>
      <c r="U24" s="464"/>
      <c r="V24" s="462" t="str">
        <f>IF(AND('Mapa de Riesgos'!$H$33="Media",'Mapa de Riesgos'!$L$33="Moderado"),CONCATENATE("R",'Mapa de Riesgos'!$A$33),"")</f>
        <v/>
      </c>
      <c r="W24" s="463"/>
      <c r="X24" s="463" t="str">
        <f>IF(AND('Mapa de Riesgos'!$H$39="Media",'Mapa de Riesgos'!$L$39="Moderado"),CONCATENATE("R",'Mapa de Riesgos'!$A$39),"")</f>
        <v/>
      </c>
      <c r="Y24" s="463"/>
      <c r="Z24" s="463" t="str">
        <f>IF(AND('Mapa de Riesgos'!$H$45="Media",'Mapa de Riesgos'!$L$45="Moderado"),CONCATENATE("R",'Mapa de Riesgos'!$A$45),"")</f>
        <v>R6</v>
      </c>
      <c r="AA24" s="464"/>
      <c r="AB24" s="480" t="str">
        <f>IF(AND('Mapa de Riesgos'!$H$33="Media",'Mapa de Riesgos'!$L$33="Mayor"),CONCATENATE("R",'Mapa de Riesgos'!$A$33),"")</f>
        <v>R4</v>
      </c>
      <c r="AC24" s="481"/>
      <c r="AD24" s="481" t="str">
        <f>IF(AND('Mapa de Riesgos'!$H$39="Media",'Mapa de Riesgos'!$L$39="Mayor"),CONCATENATE("R",'Mapa de Riesgos'!$A$39),"")</f>
        <v/>
      </c>
      <c r="AE24" s="481"/>
      <c r="AF24" s="481" t="str">
        <f>IF(AND('Mapa de Riesgos'!$H$45="Media",'Mapa de Riesgos'!$L$45="Mayor"),CONCATENATE("R",'Mapa de Riesgos'!$A$45),"")</f>
        <v/>
      </c>
      <c r="AG24" s="482"/>
      <c r="AH24" s="471" t="str">
        <f>IF(AND('Mapa de Riesgos'!$H$33="Media",'Mapa de Riesgos'!$L$33="Catastrófico"),CONCATENATE("R",'Mapa de Riesgos'!$A$33),"")</f>
        <v/>
      </c>
      <c r="AI24" s="472"/>
      <c r="AJ24" s="472" t="str">
        <f>IF(AND('Mapa de Riesgos'!$H$39="Media",'Mapa de Riesgos'!$L$39="Catastrófico"),CONCATENATE("R",'Mapa de Riesgos'!$A$39),"")</f>
        <v/>
      </c>
      <c r="AK24" s="472"/>
      <c r="AL24" s="472" t="str">
        <f>IF(AND('Mapa de Riesgos'!$H$45="Media",'Mapa de Riesgos'!$L$45="Catastrófico"),CONCATENATE("R",'Mapa de Riesgos'!$A$45),"")</f>
        <v/>
      </c>
      <c r="AM24" s="473"/>
      <c r="AN24" s="83"/>
      <c r="AO24" s="523"/>
      <c r="AP24" s="524"/>
      <c r="AQ24" s="524"/>
      <c r="AR24" s="524"/>
      <c r="AS24" s="524"/>
      <c r="AT24" s="52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500"/>
      <c r="C25" s="500"/>
      <c r="D25" s="501"/>
      <c r="E25" s="493"/>
      <c r="F25" s="494"/>
      <c r="G25" s="494"/>
      <c r="H25" s="494"/>
      <c r="I25" s="495"/>
      <c r="J25" s="462"/>
      <c r="K25" s="463"/>
      <c r="L25" s="463"/>
      <c r="M25" s="463"/>
      <c r="N25" s="463"/>
      <c r="O25" s="464"/>
      <c r="P25" s="462"/>
      <c r="Q25" s="463"/>
      <c r="R25" s="463"/>
      <c r="S25" s="463"/>
      <c r="T25" s="463"/>
      <c r="U25" s="464"/>
      <c r="V25" s="462"/>
      <c r="W25" s="463"/>
      <c r="X25" s="463"/>
      <c r="Y25" s="463"/>
      <c r="Z25" s="463"/>
      <c r="AA25" s="464"/>
      <c r="AB25" s="480"/>
      <c r="AC25" s="481"/>
      <c r="AD25" s="481"/>
      <c r="AE25" s="481"/>
      <c r="AF25" s="481"/>
      <c r="AG25" s="482"/>
      <c r="AH25" s="471"/>
      <c r="AI25" s="472"/>
      <c r="AJ25" s="472"/>
      <c r="AK25" s="472"/>
      <c r="AL25" s="472"/>
      <c r="AM25" s="473"/>
      <c r="AN25" s="83"/>
      <c r="AO25" s="523"/>
      <c r="AP25" s="524"/>
      <c r="AQ25" s="524"/>
      <c r="AR25" s="524"/>
      <c r="AS25" s="524"/>
      <c r="AT25" s="52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500"/>
      <c r="C26" s="500"/>
      <c r="D26" s="501"/>
      <c r="E26" s="493"/>
      <c r="F26" s="494"/>
      <c r="G26" s="494"/>
      <c r="H26" s="494"/>
      <c r="I26" s="495"/>
      <c r="J26" s="462" t="str">
        <f>IF(AND('Mapa de Riesgos'!$H$51="Media",'Mapa de Riesgos'!$L$51="Leve"),CONCATENATE("R",'Mapa de Riesgos'!$A$51),"")</f>
        <v/>
      </c>
      <c r="K26" s="463"/>
      <c r="L26" s="463" t="str">
        <f>IF(AND('Mapa de Riesgos'!$H$57="Media",'Mapa de Riesgos'!$L$57="Leve"),CONCATENATE("R",'Mapa de Riesgos'!$A$57),"")</f>
        <v/>
      </c>
      <c r="M26" s="463"/>
      <c r="N26" s="463" t="str">
        <f>IF(AND('Mapa de Riesgos'!$H$63="Media",'Mapa de Riesgos'!$L$63="Leve"),CONCATENATE("R",'Mapa de Riesgos'!$A$63),"")</f>
        <v/>
      </c>
      <c r="O26" s="464"/>
      <c r="P26" s="462" t="str">
        <f>IF(AND('Mapa de Riesgos'!$H$51="Media",'Mapa de Riesgos'!$L$51="Menor"),CONCATENATE("R",'Mapa de Riesgos'!$A$51),"")</f>
        <v/>
      </c>
      <c r="Q26" s="463"/>
      <c r="R26" s="463" t="str">
        <f>IF(AND('Mapa de Riesgos'!$H$57="Media",'Mapa de Riesgos'!$L$57="Menor"),CONCATENATE("R",'Mapa de Riesgos'!$A$57),"")</f>
        <v/>
      </c>
      <c r="S26" s="463"/>
      <c r="T26" s="463" t="str">
        <f>IF(AND('Mapa de Riesgos'!$H$63="Media",'Mapa de Riesgos'!$L$63="Menor"),CONCATENATE("R",'Mapa de Riesgos'!$A$63),"")</f>
        <v/>
      </c>
      <c r="U26" s="464"/>
      <c r="V26" s="462" t="str">
        <f>IF(AND('Mapa de Riesgos'!$H$51="Media",'Mapa de Riesgos'!$L$51="Moderado"),CONCATENATE("R",'Mapa de Riesgos'!$A$51),"")</f>
        <v>R7</v>
      </c>
      <c r="W26" s="463"/>
      <c r="X26" s="463" t="str">
        <f>IF(AND('Mapa de Riesgos'!$H$57="Media",'Mapa de Riesgos'!$L$57="Moderado"),CONCATENATE("R",'Mapa de Riesgos'!$A$57),"")</f>
        <v/>
      </c>
      <c r="Y26" s="463"/>
      <c r="Z26" s="463" t="str">
        <f>IF(AND('Mapa de Riesgos'!$H$63="Media",'Mapa de Riesgos'!$L$63="Moderado"),CONCATENATE("R",'Mapa de Riesgos'!$A$63),"")</f>
        <v/>
      </c>
      <c r="AA26" s="464"/>
      <c r="AB26" s="480" t="str">
        <f>IF(AND('Mapa de Riesgos'!$H$51="Media",'Mapa de Riesgos'!$L$51="Mayor"),CONCATENATE("R",'Mapa de Riesgos'!$A$51),"")</f>
        <v/>
      </c>
      <c r="AC26" s="481"/>
      <c r="AD26" s="481" t="str">
        <f>IF(AND('Mapa de Riesgos'!$H$57="Media",'Mapa de Riesgos'!$L$57="Mayor"),CONCATENATE("R",'Mapa de Riesgos'!$A$57),"")</f>
        <v/>
      </c>
      <c r="AE26" s="481"/>
      <c r="AF26" s="481" t="str">
        <f>IF(AND('Mapa de Riesgos'!$H$63="Media",'Mapa de Riesgos'!$L$63="Mayor"),CONCATENATE("R",'Mapa de Riesgos'!$A$63),"")</f>
        <v/>
      </c>
      <c r="AG26" s="482"/>
      <c r="AH26" s="471" t="str">
        <f>IF(AND('Mapa de Riesgos'!$H$51="Media",'Mapa de Riesgos'!$L$51="Catastrófico"),CONCATENATE("R",'Mapa de Riesgos'!$A$51),"")</f>
        <v/>
      </c>
      <c r="AI26" s="472"/>
      <c r="AJ26" s="472" t="str">
        <f>IF(AND('Mapa de Riesgos'!$H$57="Media",'Mapa de Riesgos'!$L$57="Catastrófico"),CONCATENATE("R",'Mapa de Riesgos'!$A$57),"")</f>
        <v/>
      </c>
      <c r="AK26" s="472"/>
      <c r="AL26" s="472" t="str">
        <f>IF(AND('Mapa de Riesgos'!$H$63="Media",'Mapa de Riesgos'!$L$63="Catastrófico"),CONCATENATE("R",'Mapa de Riesgos'!$A$63),"")</f>
        <v/>
      </c>
      <c r="AM26" s="473"/>
      <c r="AN26" s="83"/>
      <c r="AO26" s="523"/>
      <c r="AP26" s="524"/>
      <c r="AQ26" s="524"/>
      <c r="AR26" s="524"/>
      <c r="AS26" s="524"/>
      <c r="AT26" s="52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500"/>
      <c r="C27" s="500"/>
      <c r="D27" s="501"/>
      <c r="E27" s="493"/>
      <c r="F27" s="494"/>
      <c r="G27" s="494"/>
      <c r="H27" s="494"/>
      <c r="I27" s="495"/>
      <c r="J27" s="462"/>
      <c r="K27" s="463"/>
      <c r="L27" s="463"/>
      <c r="M27" s="463"/>
      <c r="N27" s="463"/>
      <c r="O27" s="464"/>
      <c r="P27" s="462"/>
      <c r="Q27" s="463"/>
      <c r="R27" s="463"/>
      <c r="S27" s="463"/>
      <c r="T27" s="463"/>
      <c r="U27" s="464"/>
      <c r="V27" s="462"/>
      <c r="W27" s="463"/>
      <c r="X27" s="463"/>
      <c r="Y27" s="463"/>
      <c r="Z27" s="463"/>
      <c r="AA27" s="464"/>
      <c r="AB27" s="480"/>
      <c r="AC27" s="481"/>
      <c r="AD27" s="481"/>
      <c r="AE27" s="481"/>
      <c r="AF27" s="481"/>
      <c r="AG27" s="482"/>
      <c r="AH27" s="471"/>
      <c r="AI27" s="472"/>
      <c r="AJ27" s="472"/>
      <c r="AK27" s="472"/>
      <c r="AL27" s="472"/>
      <c r="AM27" s="473"/>
      <c r="AN27" s="83"/>
      <c r="AO27" s="523"/>
      <c r="AP27" s="524"/>
      <c r="AQ27" s="524"/>
      <c r="AR27" s="524"/>
      <c r="AS27" s="524"/>
      <c r="AT27" s="52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500"/>
      <c r="C28" s="500"/>
      <c r="D28" s="501"/>
      <c r="E28" s="493"/>
      <c r="F28" s="494"/>
      <c r="G28" s="494"/>
      <c r="H28" s="494"/>
      <c r="I28" s="495"/>
      <c r="J28" s="462" t="str">
        <f>IF(AND('Mapa de Riesgos'!$H$69="Media",'Mapa de Riesgos'!$L$69="Leve"),CONCATENATE("R",'Mapa de Riesgos'!$A$69),"")</f>
        <v/>
      </c>
      <c r="K28" s="463"/>
      <c r="L28" s="463" t="str">
        <f>IF(AND('Mapa de Riesgos'!$H$75="Media",'Mapa de Riesgos'!$L$75="Leve"),CONCATENATE("R",'Mapa de Riesgos'!#REF!),"")</f>
        <v/>
      </c>
      <c r="M28" s="463"/>
      <c r="N28" s="463" t="str">
        <f>IF(AND('Mapa de Riesgos'!$H$81="Media",'Mapa de Riesgos'!$L$81="Leve"),CONCATENATE("R",'Mapa de Riesgos'!$A$81),"")</f>
        <v/>
      </c>
      <c r="O28" s="464"/>
      <c r="P28" s="462" t="str">
        <f>IF(AND('Mapa de Riesgos'!$H$69="Media",'Mapa de Riesgos'!$L$69="Menor"),CONCATENATE("R",'Mapa de Riesgos'!$A$69),"")</f>
        <v/>
      </c>
      <c r="Q28" s="463"/>
      <c r="R28" s="463" t="str">
        <f>IF(AND('Mapa de Riesgos'!$H$75="Media",'Mapa de Riesgos'!$L$75="Menor"),CONCATENATE("R",'Mapa de Riesgos'!#REF!),"")</f>
        <v/>
      </c>
      <c r="S28" s="463"/>
      <c r="T28" s="463" t="str">
        <f>IF(AND('Mapa de Riesgos'!$H$81="Media",'Mapa de Riesgos'!$L$81="Menor"),CONCATENATE("R",'Mapa de Riesgos'!$A$81),"")</f>
        <v/>
      </c>
      <c r="U28" s="464"/>
      <c r="V28" s="462" t="str">
        <f>IF(AND('Mapa de Riesgos'!$H$69="Media",'Mapa de Riesgos'!$L$69="Moderado"),CONCATENATE("R",'Mapa de Riesgos'!$A$69),"")</f>
        <v/>
      </c>
      <c r="W28" s="463"/>
      <c r="X28" s="463" t="str">
        <f>IF(AND('Mapa de Riesgos'!$H$75="Media",'Mapa de Riesgos'!$L$75="Moderado"),CONCATENATE("R",'Mapa de Riesgos'!#REF!),"")</f>
        <v/>
      </c>
      <c r="Y28" s="463"/>
      <c r="Z28" s="463" t="str">
        <f>IF(AND('Mapa de Riesgos'!$H$81="Media",'Mapa de Riesgos'!$L$81="Moderado"),CONCATENATE("R",'Mapa de Riesgos'!$A$81),"")</f>
        <v/>
      </c>
      <c r="AA28" s="464"/>
      <c r="AB28" s="480" t="str">
        <f>IF(AND('Mapa de Riesgos'!$H$69="Media",'Mapa de Riesgos'!$L$69="Mayor"),CONCATENATE("R",'Mapa de Riesgos'!$A$69),"")</f>
        <v/>
      </c>
      <c r="AC28" s="481"/>
      <c r="AD28" s="481" t="str">
        <f>IF(AND('Mapa de Riesgos'!$H$75="Media",'Mapa de Riesgos'!$L$75="Mayor"),CONCATENATE("R",'Mapa de Riesgos'!#REF!),"")</f>
        <v/>
      </c>
      <c r="AE28" s="481"/>
      <c r="AF28" s="481" t="str">
        <f>IF(AND('Mapa de Riesgos'!$H$81="Media",'Mapa de Riesgos'!$L$81="Mayor"),CONCATENATE("R",'Mapa de Riesgos'!$A$81),"")</f>
        <v/>
      </c>
      <c r="AG28" s="482"/>
      <c r="AH28" s="471" t="str">
        <f>IF(AND('Mapa de Riesgos'!$H$69="Media",'Mapa de Riesgos'!$L$69="Catastrófico"),CONCATENATE("R",'Mapa de Riesgos'!$A$69),"")</f>
        <v/>
      </c>
      <c r="AI28" s="472"/>
      <c r="AJ28" s="472" t="str">
        <f>IF(AND('Mapa de Riesgos'!$H$75="Media",'Mapa de Riesgos'!$L$75="Catastrófico"),CONCATENATE("R",'Mapa de Riesgos'!#REF!),"")</f>
        <v/>
      </c>
      <c r="AK28" s="472"/>
      <c r="AL28" s="472" t="str">
        <f>IF(AND('Mapa de Riesgos'!$H$81="Media",'Mapa de Riesgos'!$L$81="Catastrófico"),CONCATENATE("R",'Mapa de Riesgos'!$A$81),"")</f>
        <v/>
      </c>
      <c r="AM28" s="473"/>
      <c r="AN28" s="83"/>
      <c r="AO28" s="523"/>
      <c r="AP28" s="524"/>
      <c r="AQ28" s="524"/>
      <c r="AR28" s="524"/>
      <c r="AS28" s="524"/>
      <c r="AT28" s="52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500"/>
      <c r="C29" s="500"/>
      <c r="D29" s="501"/>
      <c r="E29" s="496"/>
      <c r="F29" s="497"/>
      <c r="G29" s="497"/>
      <c r="H29" s="497"/>
      <c r="I29" s="498"/>
      <c r="J29" s="462"/>
      <c r="K29" s="463"/>
      <c r="L29" s="463"/>
      <c r="M29" s="463"/>
      <c r="N29" s="463"/>
      <c r="O29" s="464"/>
      <c r="P29" s="465"/>
      <c r="Q29" s="466"/>
      <c r="R29" s="466"/>
      <c r="S29" s="466"/>
      <c r="T29" s="466"/>
      <c r="U29" s="467"/>
      <c r="V29" s="465"/>
      <c r="W29" s="466"/>
      <c r="X29" s="466"/>
      <c r="Y29" s="466"/>
      <c r="Z29" s="466"/>
      <c r="AA29" s="467"/>
      <c r="AB29" s="483"/>
      <c r="AC29" s="484"/>
      <c r="AD29" s="484"/>
      <c r="AE29" s="484"/>
      <c r="AF29" s="484"/>
      <c r="AG29" s="485"/>
      <c r="AH29" s="474"/>
      <c r="AI29" s="475"/>
      <c r="AJ29" s="475"/>
      <c r="AK29" s="475"/>
      <c r="AL29" s="475"/>
      <c r="AM29" s="476"/>
      <c r="AN29" s="83"/>
      <c r="AO29" s="526"/>
      <c r="AP29" s="527"/>
      <c r="AQ29" s="527"/>
      <c r="AR29" s="527"/>
      <c r="AS29" s="527"/>
      <c r="AT29" s="52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500"/>
      <c r="C30" s="500"/>
      <c r="D30" s="501"/>
      <c r="E30" s="490" t="s">
        <v>215</v>
      </c>
      <c r="F30" s="491"/>
      <c r="G30" s="491"/>
      <c r="H30" s="491"/>
      <c r="I30" s="491"/>
      <c r="J30" s="459" t="str">
        <f>IF(AND('Mapa de Riesgos'!$H$12="Baja",'Mapa de Riesgos'!$L$12="Leve"),CONCATENATE("R",'Mapa de Riesgos'!$A$12),"")</f>
        <v/>
      </c>
      <c r="K30" s="460"/>
      <c r="L30" s="460" t="str">
        <f>IF(AND('Mapa de Riesgos'!$H$21="Baja",'Mapa de Riesgos'!$L$21="Leve"),CONCATENATE("R",'Mapa de Riesgos'!$A$21),"")</f>
        <v/>
      </c>
      <c r="M30" s="460"/>
      <c r="N30" s="460" t="str">
        <f>IF(AND('Mapa de Riesgos'!$H$27="Baja",'Mapa de Riesgos'!$L$27="Leve"),CONCATENATE("R",'Mapa de Riesgos'!$A$27),"")</f>
        <v/>
      </c>
      <c r="O30" s="461"/>
      <c r="P30" s="469" t="str">
        <f>IF(AND('Mapa de Riesgos'!$H$12="Baja",'Mapa de Riesgos'!$L$12="Menor"),CONCATENATE("R",'Mapa de Riesgos'!$A$12),"")</f>
        <v/>
      </c>
      <c r="Q30" s="469"/>
      <c r="R30" s="469" t="str">
        <f>IF(AND('Mapa de Riesgos'!$H$21="Baja",'Mapa de Riesgos'!$L$21="Menor"),CONCATENATE("R",'Mapa de Riesgos'!$A$21),"")</f>
        <v/>
      </c>
      <c r="S30" s="469"/>
      <c r="T30" s="469" t="str">
        <f>IF(AND('Mapa de Riesgos'!$H$27="Baja",'Mapa de Riesgos'!$L$27="Menor"),CONCATENATE("R",'Mapa de Riesgos'!$A$27),"")</f>
        <v/>
      </c>
      <c r="U30" s="470"/>
      <c r="V30" s="468" t="str">
        <f>IF(AND('Mapa de Riesgos'!$H$12="Baja",'Mapa de Riesgos'!$L$12="Moderado"),CONCATENATE("R",'Mapa de Riesgos'!$A$12),"")</f>
        <v/>
      </c>
      <c r="W30" s="469"/>
      <c r="X30" s="469" t="str">
        <f>IF(AND('Mapa de Riesgos'!$H$21="Baja",'Mapa de Riesgos'!$L$21="Moderado"),CONCATENATE("R",'Mapa de Riesgos'!$A$21),"")</f>
        <v/>
      </c>
      <c r="Y30" s="469"/>
      <c r="Z30" s="469" t="str">
        <f>IF(AND('Mapa de Riesgos'!$H$27="Baja",'Mapa de Riesgos'!$L$27="Moderado"),CONCATENATE("R",'Mapa de Riesgos'!$A$27),"")</f>
        <v/>
      </c>
      <c r="AA30" s="470"/>
      <c r="AB30" s="486" t="str">
        <f>IF(AND('Mapa de Riesgos'!$H$12="Baja",'Mapa de Riesgos'!$L$12="Mayor"),CONCATENATE("R",'Mapa de Riesgos'!$A$12),"")</f>
        <v/>
      </c>
      <c r="AC30" s="487"/>
      <c r="AD30" s="487" t="str">
        <f>IF(AND('Mapa de Riesgos'!$H$21="Baja",'Mapa de Riesgos'!$L$21="Mayor"),CONCATENATE("R",'Mapa de Riesgos'!$A$21),"")</f>
        <v>R2</v>
      </c>
      <c r="AE30" s="487"/>
      <c r="AF30" s="487" t="str">
        <f>IF(AND('Mapa de Riesgos'!$H$27="Baja",'Mapa de Riesgos'!$L$27="Mayor"),CONCATENATE("R",'Mapa de Riesgos'!$A$27),"")</f>
        <v>R3</v>
      </c>
      <c r="AG30" s="488"/>
      <c r="AH30" s="477" t="str">
        <f>IF(AND('Mapa de Riesgos'!$H$12="Baja",'Mapa de Riesgos'!$L$12="Catastrófico"),CONCATENATE("R",'Mapa de Riesgos'!$A$12),"")</f>
        <v/>
      </c>
      <c r="AI30" s="478"/>
      <c r="AJ30" s="478" t="str">
        <f>IF(AND('Mapa de Riesgos'!$H$21="Baja",'Mapa de Riesgos'!$L$21="Catastrófico"),CONCATENATE("R",'Mapa de Riesgos'!$A$21),"")</f>
        <v/>
      </c>
      <c r="AK30" s="478"/>
      <c r="AL30" s="478" t="str">
        <f>IF(AND('Mapa de Riesgos'!$H$27="Baja",'Mapa de Riesgos'!$L$27="Catastrófico"),CONCATENATE("R",'Mapa de Riesgos'!$A$27),"")</f>
        <v/>
      </c>
      <c r="AM30" s="479"/>
      <c r="AN30" s="83"/>
      <c r="AO30" s="529" t="s">
        <v>216</v>
      </c>
      <c r="AP30" s="530"/>
      <c r="AQ30" s="530"/>
      <c r="AR30" s="530"/>
      <c r="AS30" s="530"/>
      <c r="AT30" s="53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500"/>
      <c r="C31" s="500"/>
      <c r="D31" s="501"/>
      <c r="E31" s="493"/>
      <c r="F31" s="494"/>
      <c r="G31" s="494"/>
      <c r="H31" s="494"/>
      <c r="I31" s="494"/>
      <c r="J31" s="453"/>
      <c r="K31" s="454"/>
      <c r="L31" s="454"/>
      <c r="M31" s="454"/>
      <c r="N31" s="454"/>
      <c r="O31" s="455"/>
      <c r="P31" s="463"/>
      <c r="Q31" s="463"/>
      <c r="R31" s="463"/>
      <c r="S31" s="463"/>
      <c r="T31" s="463"/>
      <c r="U31" s="464"/>
      <c r="V31" s="462"/>
      <c r="W31" s="463"/>
      <c r="X31" s="463"/>
      <c r="Y31" s="463"/>
      <c r="Z31" s="463"/>
      <c r="AA31" s="464"/>
      <c r="AB31" s="480"/>
      <c r="AC31" s="481"/>
      <c r="AD31" s="481"/>
      <c r="AE31" s="481"/>
      <c r="AF31" s="481"/>
      <c r="AG31" s="482"/>
      <c r="AH31" s="471"/>
      <c r="AI31" s="472"/>
      <c r="AJ31" s="472"/>
      <c r="AK31" s="472"/>
      <c r="AL31" s="472"/>
      <c r="AM31" s="473"/>
      <c r="AN31" s="83"/>
      <c r="AO31" s="532"/>
      <c r="AP31" s="533"/>
      <c r="AQ31" s="533"/>
      <c r="AR31" s="533"/>
      <c r="AS31" s="533"/>
      <c r="AT31" s="53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500"/>
      <c r="C32" s="500"/>
      <c r="D32" s="501"/>
      <c r="E32" s="493"/>
      <c r="F32" s="494"/>
      <c r="G32" s="494"/>
      <c r="H32" s="494"/>
      <c r="I32" s="494"/>
      <c r="J32" s="453" t="str">
        <f>IF(AND('Mapa de Riesgos'!$H$33="Baja",'Mapa de Riesgos'!$L$33="Leve"),CONCATENATE("R",'Mapa de Riesgos'!$A$33),"")</f>
        <v/>
      </c>
      <c r="K32" s="454"/>
      <c r="L32" s="454" t="str">
        <f>IF(AND('Mapa de Riesgos'!$H$39="Baja",'Mapa de Riesgos'!$L$39="Leve"),CONCATENATE("R",'Mapa de Riesgos'!$A$39),"")</f>
        <v/>
      </c>
      <c r="M32" s="454"/>
      <c r="N32" s="454" t="str">
        <f>IF(AND('Mapa de Riesgos'!$H$45="Baja",'Mapa de Riesgos'!$L$45="Leve"),CONCATENATE("R",'Mapa de Riesgos'!$A$45),"")</f>
        <v/>
      </c>
      <c r="O32" s="455"/>
      <c r="P32" s="463" t="str">
        <f>IF(AND('Mapa de Riesgos'!$H$33="Baja",'Mapa de Riesgos'!$L$33="Menor"),CONCATENATE("R",'Mapa de Riesgos'!$A$33),"")</f>
        <v/>
      </c>
      <c r="Q32" s="463"/>
      <c r="R32" s="463" t="str">
        <f>IF(AND('Mapa de Riesgos'!$H$39="Baja",'Mapa de Riesgos'!$L$39="Menor"),CONCATENATE("R",'Mapa de Riesgos'!$A$39),"")</f>
        <v/>
      </c>
      <c r="S32" s="463"/>
      <c r="T32" s="463" t="str">
        <f>IF(AND('Mapa de Riesgos'!$H$45="Baja",'Mapa de Riesgos'!$L$45="Menor"),CONCATENATE("R",'Mapa de Riesgos'!$A$45),"")</f>
        <v/>
      </c>
      <c r="U32" s="464"/>
      <c r="V32" s="462" t="str">
        <f>IF(AND('Mapa de Riesgos'!$H$33="Baja",'Mapa de Riesgos'!$L$33="Moderado"),CONCATENATE("R",'Mapa de Riesgos'!$A$33),"")</f>
        <v/>
      </c>
      <c r="W32" s="463"/>
      <c r="X32" s="463" t="str">
        <f>IF(AND('Mapa de Riesgos'!$H$39="Baja",'Mapa de Riesgos'!$L$39="Moderado"),CONCATENATE("R",'Mapa de Riesgos'!$A$39),"")</f>
        <v/>
      </c>
      <c r="Y32" s="463"/>
      <c r="Z32" s="463" t="str">
        <f>IF(AND('Mapa de Riesgos'!$H$45="Baja",'Mapa de Riesgos'!$L$45="Moderado"),CONCATENATE("R",'Mapa de Riesgos'!$A$45),"")</f>
        <v/>
      </c>
      <c r="AA32" s="464"/>
      <c r="AB32" s="480" t="str">
        <f>IF(AND('Mapa de Riesgos'!$H$33="Baja",'Mapa de Riesgos'!$L$33="Mayor"),CONCATENATE("R",'Mapa de Riesgos'!$A$33),"")</f>
        <v/>
      </c>
      <c r="AC32" s="481"/>
      <c r="AD32" s="481" t="str">
        <f>IF(AND('Mapa de Riesgos'!$H$39="Baja",'Mapa de Riesgos'!$L$39="Mayor"),CONCATENATE("R",'Mapa de Riesgos'!$A$39),"")</f>
        <v/>
      </c>
      <c r="AE32" s="481"/>
      <c r="AF32" s="481" t="str">
        <f>IF(AND('Mapa de Riesgos'!$H$45="Baja",'Mapa de Riesgos'!$L$45="Mayor"),CONCATENATE("R",'Mapa de Riesgos'!$A$45),"")</f>
        <v/>
      </c>
      <c r="AG32" s="482"/>
      <c r="AH32" s="471" t="str">
        <f>IF(AND('Mapa de Riesgos'!$H$33="Baja",'Mapa de Riesgos'!$L$33="Catastrófico"),CONCATENATE("R",'Mapa de Riesgos'!$A$33),"")</f>
        <v/>
      </c>
      <c r="AI32" s="472"/>
      <c r="AJ32" s="472" t="str">
        <f>IF(AND('Mapa de Riesgos'!$H$39="Baja",'Mapa de Riesgos'!$L$39="Catastrófico"),CONCATENATE("R",'Mapa de Riesgos'!$A$39),"")</f>
        <v/>
      </c>
      <c r="AK32" s="472"/>
      <c r="AL32" s="472" t="str">
        <f>IF(AND('Mapa de Riesgos'!$H$45="Baja",'Mapa de Riesgos'!$L$45="Catastrófico"),CONCATENATE("R",'Mapa de Riesgos'!$A$45),"")</f>
        <v/>
      </c>
      <c r="AM32" s="473"/>
      <c r="AN32" s="83"/>
      <c r="AO32" s="532"/>
      <c r="AP32" s="533"/>
      <c r="AQ32" s="533"/>
      <c r="AR32" s="533"/>
      <c r="AS32" s="533"/>
      <c r="AT32" s="53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500"/>
      <c r="C33" s="500"/>
      <c r="D33" s="501"/>
      <c r="E33" s="493"/>
      <c r="F33" s="494"/>
      <c r="G33" s="494"/>
      <c r="H33" s="494"/>
      <c r="I33" s="494"/>
      <c r="J33" s="453"/>
      <c r="K33" s="454"/>
      <c r="L33" s="454"/>
      <c r="M33" s="454"/>
      <c r="N33" s="454"/>
      <c r="O33" s="455"/>
      <c r="P33" s="463"/>
      <c r="Q33" s="463"/>
      <c r="R33" s="463"/>
      <c r="S33" s="463"/>
      <c r="T33" s="463"/>
      <c r="U33" s="464"/>
      <c r="V33" s="462"/>
      <c r="W33" s="463"/>
      <c r="X33" s="463"/>
      <c r="Y33" s="463"/>
      <c r="Z33" s="463"/>
      <c r="AA33" s="464"/>
      <c r="AB33" s="480"/>
      <c r="AC33" s="481"/>
      <c r="AD33" s="481"/>
      <c r="AE33" s="481"/>
      <c r="AF33" s="481"/>
      <c r="AG33" s="482"/>
      <c r="AH33" s="471"/>
      <c r="AI33" s="472"/>
      <c r="AJ33" s="472"/>
      <c r="AK33" s="472"/>
      <c r="AL33" s="472"/>
      <c r="AM33" s="473"/>
      <c r="AN33" s="83"/>
      <c r="AO33" s="532"/>
      <c r="AP33" s="533"/>
      <c r="AQ33" s="533"/>
      <c r="AR33" s="533"/>
      <c r="AS33" s="533"/>
      <c r="AT33" s="53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500"/>
      <c r="C34" s="500"/>
      <c r="D34" s="501"/>
      <c r="E34" s="493"/>
      <c r="F34" s="494"/>
      <c r="G34" s="494"/>
      <c r="H34" s="494"/>
      <c r="I34" s="494"/>
      <c r="J34" s="453" t="str">
        <f>IF(AND('Mapa de Riesgos'!$H$51="Baja",'Mapa de Riesgos'!$L$51="Leve"),CONCATENATE("R",'Mapa de Riesgos'!$A$51),"")</f>
        <v/>
      </c>
      <c r="K34" s="454"/>
      <c r="L34" s="454" t="str">
        <f>IF(AND('Mapa de Riesgos'!$H$57="Baja",'Mapa de Riesgos'!$L$57="Leve"),CONCATENATE("R",'Mapa de Riesgos'!$A$57),"")</f>
        <v/>
      </c>
      <c r="M34" s="454"/>
      <c r="N34" s="454" t="str">
        <f>IF(AND('Mapa de Riesgos'!$H$63="Baja",'Mapa de Riesgos'!$L$63="Leve"),CONCATENATE("R",'Mapa de Riesgos'!$A$63),"")</f>
        <v/>
      </c>
      <c r="O34" s="455"/>
      <c r="P34" s="463" t="str">
        <f>IF(AND('Mapa de Riesgos'!$H$51="Baja",'Mapa de Riesgos'!$L$51="Menor"),CONCATENATE("R",'Mapa de Riesgos'!$A$51),"")</f>
        <v/>
      </c>
      <c r="Q34" s="463"/>
      <c r="R34" s="463" t="str">
        <f>IF(AND('Mapa de Riesgos'!$H$57="Baja",'Mapa de Riesgos'!$L$57="Menor"),CONCATENATE("R",'Mapa de Riesgos'!$A$57),"")</f>
        <v/>
      </c>
      <c r="S34" s="463"/>
      <c r="T34" s="463" t="str">
        <f>IF(AND('Mapa de Riesgos'!$H$63="Baja",'Mapa de Riesgos'!$L$63="Menor"),CONCATENATE("R",'Mapa de Riesgos'!$A$63),"")</f>
        <v/>
      </c>
      <c r="U34" s="464"/>
      <c r="V34" s="462" t="str">
        <f>IF(AND('Mapa de Riesgos'!$H$51="Baja",'Mapa de Riesgos'!$L$51="Moderado"),CONCATENATE("R",'Mapa de Riesgos'!$A$51),"")</f>
        <v/>
      </c>
      <c r="W34" s="463"/>
      <c r="X34" s="463" t="str">
        <f>IF(AND('Mapa de Riesgos'!$H$57="Baja",'Mapa de Riesgos'!$L$57="Moderado"),CONCATENATE("R",'Mapa de Riesgos'!$A$57),"")</f>
        <v/>
      </c>
      <c r="Y34" s="463"/>
      <c r="Z34" s="463" t="str">
        <f>IF(AND('Mapa de Riesgos'!$H$63="Baja",'Mapa de Riesgos'!$L$63="Moderado"),CONCATENATE("R",'Mapa de Riesgos'!$A$63),"")</f>
        <v/>
      </c>
      <c r="AA34" s="464"/>
      <c r="AB34" s="480" t="str">
        <f>IF(AND('Mapa de Riesgos'!$H$51="Baja",'Mapa de Riesgos'!$L$51="Mayor"),CONCATENATE("R",'Mapa de Riesgos'!$A$51),"")</f>
        <v/>
      </c>
      <c r="AC34" s="481"/>
      <c r="AD34" s="481" t="str">
        <f>IF(AND('Mapa de Riesgos'!$H$57="Baja",'Mapa de Riesgos'!$L$57="Mayor"),CONCATENATE("R",'Mapa de Riesgos'!$A$57),"")</f>
        <v/>
      </c>
      <c r="AE34" s="481"/>
      <c r="AF34" s="481" t="str">
        <f>IF(AND('Mapa de Riesgos'!$H$63="Baja",'Mapa de Riesgos'!$L$63="Mayor"),CONCATENATE("R",'Mapa de Riesgos'!$A$63),"")</f>
        <v/>
      </c>
      <c r="AG34" s="482"/>
      <c r="AH34" s="471" t="str">
        <f>IF(AND('Mapa de Riesgos'!$H$51="Baja",'Mapa de Riesgos'!$L$51="Catastrófico"),CONCATENATE("R",'Mapa de Riesgos'!$A$51),"")</f>
        <v/>
      </c>
      <c r="AI34" s="472"/>
      <c r="AJ34" s="472" t="str">
        <f>IF(AND('Mapa de Riesgos'!$H$57="Baja",'Mapa de Riesgos'!$L$57="Catastrófico"),CONCATENATE("R",'Mapa de Riesgos'!$A$57),"")</f>
        <v/>
      </c>
      <c r="AK34" s="472"/>
      <c r="AL34" s="472" t="str">
        <f>IF(AND('Mapa de Riesgos'!$H$63="Baja",'Mapa de Riesgos'!$L$63="Catastrófico"),CONCATENATE("R",'Mapa de Riesgos'!$A$63),"")</f>
        <v/>
      </c>
      <c r="AM34" s="473"/>
      <c r="AN34" s="83"/>
      <c r="AO34" s="532"/>
      <c r="AP34" s="533"/>
      <c r="AQ34" s="533"/>
      <c r="AR34" s="533"/>
      <c r="AS34" s="533"/>
      <c r="AT34" s="53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500"/>
      <c r="C35" s="500"/>
      <c r="D35" s="501"/>
      <c r="E35" s="493"/>
      <c r="F35" s="494"/>
      <c r="G35" s="494"/>
      <c r="H35" s="494"/>
      <c r="I35" s="494"/>
      <c r="J35" s="453"/>
      <c r="K35" s="454"/>
      <c r="L35" s="454"/>
      <c r="M35" s="454"/>
      <c r="N35" s="454"/>
      <c r="O35" s="455"/>
      <c r="P35" s="463"/>
      <c r="Q35" s="463"/>
      <c r="R35" s="463"/>
      <c r="S35" s="463"/>
      <c r="T35" s="463"/>
      <c r="U35" s="464"/>
      <c r="V35" s="462"/>
      <c r="W35" s="463"/>
      <c r="X35" s="463"/>
      <c r="Y35" s="463"/>
      <c r="Z35" s="463"/>
      <c r="AA35" s="464"/>
      <c r="AB35" s="480"/>
      <c r="AC35" s="481"/>
      <c r="AD35" s="481"/>
      <c r="AE35" s="481"/>
      <c r="AF35" s="481"/>
      <c r="AG35" s="482"/>
      <c r="AH35" s="471"/>
      <c r="AI35" s="472"/>
      <c r="AJ35" s="472"/>
      <c r="AK35" s="472"/>
      <c r="AL35" s="472"/>
      <c r="AM35" s="473"/>
      <c r="AN35" s="83"/>
      <c r="AO35" s="532"/>
      <c r="AP35" s="533"/>
      <c r="AQ35" s="533"/>
      <c r="AR35" s="533"/>
      <c r="AS35" s="533"/>
      <c r="AT35" s="53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500"/>
      <c r="C36" s="500"/>
      <c r="D36" s="501"/>
      <c r="E36" s="493"/>
      <c r="F36" s="494"/>
      <c r="G36" s="494"/>
      <c r="H36" s="494"/>
      <c r="I36" s="494"/>
      <c r="J36" s="453" t="str">
        <f>IF(AND('Mapa de Riesgos'!$H$69="Baja",'Mapa de Riesgos'!$L$69="Leve"),CONCATENATE("R",'Mapa de Riesgos'!$A$69),"")</f>
        <v/>
      </c>
      <c r="K36" s="454"/>
      <c r="L36" s="454" t="str">
        <f>IF(AND('Mapa de Riesgos'!$H$75="Baja",'Mapa de Riesgos'!$L$75="Leve"),CONCATENATE("R",'Mapa de Riesgos'!#REF!),"")</f>
        <v/>
      </c>
      <c r="M36" s="454"/>
      <c r="N36" s="454" t="str">
        <f>IF(AND('Mapa de Riesgos'!$H$81="Baja",'Mapa de Riesgos'!$L$81="Leve"),CONCATENATE("R",'Mapa de Riesgos'!$A$81),"")</f>
        <v/>
      </c>
      <c r="O36" s="455"/>
      <c r="P36" s="463" t="str">
        <f>IF(AND('Mapa de Riesgos'!$H$69="Baja",'Mapa de Riesgos'!$L$69="Menor"),CONCATENATE("R",'Mapa de Riesgos'!$A$69),"")</f>
        <v/>
      </c>
      <c r="Q36" s="463"/>
      <c r="R36" s="463" t="str">
        <f>IF(AND('Mapa de Riesgos'!$H$75="Baja",'Mapa de Riesgos'!$L$75="Menor"),CONCATENATE("R",'Mapa de Riesgos'!#REF!),"")</f>
        <v/>
      </c>
      <c r="S36" s="463"/>
      <c r="T36" s="463" t="str">
        <f>IF(AND('Mapa de Riesgos'!$H$81="Baja",'Mapa de Riesgos'!$L$81="Menor"),CONCATENATE("R",'Mapa de Riesgos'!$A$81),"")</f>
        <v/>
      </c>
      <c r="U36" s="464"/>
      <c r="V36" s="462" t="str">
        <f>IF(AND('Mapa de Riesgos'!$H$69="Baja",'Mapa de Riesgos'!$L$69="Moderado"),CONCATENATE("R",'Mapa de Riesgos'!$A$69),"")</f>
        <v/>
      </c>
      <c r="W36" s="463"/>
      <c r="X36" s="463" t="str">
        <f>IF(AND('Mapa de Riesgos'!$H$75="Baja",'Mapa de Riesgos'!$L$75="Moderado"),CONCATENATE("R",'Mapa de Riesgos'!#REF!),"")</f>
        <v/>
      </c>
      <c r="Y36" s="463"/>
      <c r="Z36" s="463" t="str">
        <f>IF(AND('Mapa de Riesgos'!$H$81="Baja",'Mapa de Riesgos'!$L$81="Moderado"),CONCATENATE("R",'Mapa de Riesgos'!$A$81),"")</f>
        <v/>
      </c>
      <c r="AA36" s="464"/>
      <c r="AB36" s="480" t="str">
        <f>IF(AND('Mapa de Riesgos'!$H$69="Baja",'Mapa de Riesgos'!$L$69="Mayor"),CONCATENATE("R",'Mapa de Riesgos'!$A$69),"")</f>
        <v/>
      </c>
      <c r="AC36" s="481"/>
      <c r="AD36" s="481" t="str">
        <f>IF(AND('Mapa de Riesgos'!$H$75="Baja",'Mapa de Riesgos'!$L$75="Mayor"),CONCATENATE("R",'Mapa de Riesgos'!#REF!),"")</f>
        <v/>
      </c>
      <c r="AE36" s="481"/>
      <c r="AF36" s="481" t="str">
        <f>IF(AND('Mapa de Riesgos'!$H$81="Baja",'Mapa de Riesgos'!$L$81="Mayor"),CONCATENATE("R",'Mapa de Riesgos'!$A$81),"")</f>
        <v/>
      </c>
      <c r="AG36" s="482"/>
      <c r="AH36" s="471" t="str">
        <f>IF(AND('Mapa de Riesgos'!$H$69="Baja",'Mapa de Riesgos'!$L$69="Catastrófico"),CONCATENATE("R",'Mapa de Riesgos'!$A$69),"")</f>
        <v/>
      </c>
      <c r="AI36" s="472"/>
      <c r="AJ36" s="472" t="str">
        <f>IF(AND('Mapa de Riesgos'!$H$75="Baja",'Mapa de Riesgos'!$L$75="Catastrófico"),CONCATENATE("R",'Mapa de Riesgos'!#REF!),"")</f>
        <v/>
      </c>
      <c r="AK36" s="472"/>
      <c r="AL36" s="472" t="str">
        <f>IF(AND('Mapa de Riesgos'!$H$81="Baja",'Mapa de Riesgos'!$L$81="Catastrófico"),CONCATENATE("R",'Mapa de Riesgos'!$A$81),"")</f>
        <v/>
      </c>
      <c r="AM36" s="473"/>
      <c r="AN36" s="83"/>
      <c r="AO36" s="532"/>
      <c r="AP36" s="533"/>
      <c r="AQ36" s="533"/>
      <c r="AR36" s="533"/>
      <c r="AS36" s="533"/>
      <c r="AT36" s="53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500"/>
      <c r="C37" s="500"/>
      <c r="D37" s="501"/>
      <c r="E37" s="496"/>
      <c r="F37" s="497"/>
      <c r="G37" s="497"/>
      <c r="H37" s="497"/>
      <c r="I37" s="497"/>
      <c r="J37" s="456"/>
      <c r="K37" s="457"/>
      <c r="L37" s="457"/>
      <c r="M37" s="457"/>
      <c r="N37" s="457"/>
      <c r="O37" s="458"/>
      <c r="P37" s="466"/>
      <c r="Q37" s="466"/>
      <c r="R37" s="466"/>
      <c r="S37" s="466"/>
      <c r="T37" s="466"/>
      <c r="U37" s="467"/>
      <c r="V37" s="465"/>
      <c r="W37" s="466"/>
      <c r="X37" s="466"/>
      <c r="Y37" s="466"/>
      <c r="Z37" s="466"/>
      <c r="AA37" s="467"/>
      <c r="AB37" s="483"/>
      <c r="AC37" s="484"/>
      <c r="AD37" s="484"/>
      <c r="AE37" s="484"/>
      <c r="AF37" s="484"/>
      <c r="AG37" s="485"/>
      <c r="AH37" s="474"/>
      <c r="AI37" s="475"/>
      <c r="AJ37" s="475"/>
      <c r="AK37" s="475"/>
      <c r="AL37" s="475"/>
      <c r="AM37" s="476"/>
      <c r="AN37" s="83"/>
      <c r="AO37" s="535"/>
      <c r="AP37" s="536"/>
      <c r="AQ37" s="536"/>
      <c r="AR37" s="536"/>
      <c r="AS37" s="536"/>
      <c r="AT37" s="53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500"/>
      <c r="C38" s="500"/>
      <c r="D38" s="501"/>
      <c r="E38" s="490" t="s">
        <v>217</v>
      </c>
      <c r="F38" s="491"/>
      <c r="G38" s="491"/>
      <c r="H38" s="491"/>
      <c r="I38" s="492"/>
      <c r="J38" s="459" t="str">
        <f>IF(AND('Mapa de Riesgos'!$H$12="Muy Baja",'Mapa de Riesgos'!$L$12="Leve"),CONCATENATE("R",'Mapa de Riesgos'!$A$12),"")</f>
        <v/>
      </c>
      <c r="K38" s="460"/>
      <c r="L38" s="460" t="str">
        <f>IF(AND('Mapa de Riesgos'!$H$21="Muy Baja",'Mapa de Riesgos'!$L$21="Leve"),CONCATENATE("R",'Mapa de Riesgos'!$A$21),"")</f>
        <v/>
      </c>
      <c r="M38" s="460"/>
      <c r="N38" s="460" t="str">
        <f>IF(AND('Mapa de Riesgos'!$H$27="Muy Baja",'Mapa de Riesgos'!$L$27="Leve"),CONCATENATE("R",'Mapa de Riesgos'!$A$27),"")</f>
        <v/>
      </c>
      <c r="O38" s="461"/>
      <c r="P38" s="459" t="str">
        <f>IF(AND('Mapa de Riesgos'!$H$12="Muy Baja",'Mapa de Riesgos'!$L$12="Menor"),CONCATENATE("R",'Mapa de Riesgos'!$A$12),"")</f>
        <v/>
      </c>
      <c r="Q38" s="460"/>
      <c r="R38" s="460" t="str">
        <f>IF(AND('Mapa de Riesgos'!$H$21="Muy Baja",'Mapa de Riesgos'!$L$21="Menor"),CONCATENATE("R",'Mapa de Riesgos'!$A$21),"")</f>
        <v/>
      </c>
      <c r="S38" s="460"/>
      <c r="T38" s="460" t="str">
        <f>IF(AND('Mapa de Riesgos'!$H$27="Muy Baja",'Mapa de Riesgos'!$L$27="Menor"),CONCATENATE("R",'Mapa de Riesgos'!$A$27),"")</f>
        <v/>
      </c>
      <c r="U38" s="461"/>
      <c r="V38" s="468" t="str">
        <f>IF(AND('Mapa de Riesgos'!$H$12="Muy Baja",'Mapa de Riesgos'!$L$12="Moderado"),CONCATENATE("R",'Mapa de Riesgos'!$A$12),"")</f>
        <v/>
      </c>
      <c r="W38" s="469"/>
      <c r="X38" s="469" t="str">
        <f>IF(AND('Mapa de Riesgos'!$H$21="Muy Baja",'Mapa de Riesgos'!$L$21="Moderado"),CONCATENATE("R",'Mapa de Riesgos'!$A$21),"")</f>
        <v/>
      </c>
      <c r="Y38" s="469"/>
      <c r="Z38" s="469" t="str">
        <f>IF(AND('Mapa de Riesgos'!$H$27="Muy Baja",'Mapa de Riesgos'!$L$27="Moderado"),CONCATENATE("R",'Mapa de Riesgos'!$A$27),"")</f>
        <v/>
      </c>
      <c r="AA38" s="470"/>
      <c r="AB38" s="486" t="str">
        <f>IF(AND('Mapa de Riesgos'!$H$12="Muy Baja",'Mapa de Riesgos'!$L$12="Mayor"),CONCATENATE("R",'Mapa de Riesgos'!$A$12),"")</f>
        <v/>
      </c>
      <c r="AC38" s="487"/>
      <c r="AD38" s="487" t="str">
        <f>IF(AND('Mapa de Riesgos'!$H$21="Muy Baja",'Mapa de Riesgos'!$L$21="Mayor"),CONCATENATE("R",'Mapa de Riesgos'!$A$21),"")</f>
        <v/>
      </c>
      <c r="AE38" s="487"/>
      <c r="AF38" s="487" t="str">
        <f>IF(AND('Mapa de Riesgos'!$H$27="Muy Baja",'Mapa de Riesgos'!$L$27="Mayor"),CONCATENATE("R",'Mapa de Riesgos'!$A$27),"")</f>
        <v/>
      </c>
      <c r="AG38" s="488"/>
      <c r="AH38" s="477" t="str">
        <f>IF(AND('Mapa de Riesgos'!$H$12="Muy Baja",'Mapa de Riesgos'!$L$12="Catastrófico"),CONCATENATE("R",'Mapa de Riesgos'!$A$12),"")</f>
        <v/>
      </c>
      <c r="AI38" s="478"/>
      <c r="AJ38" s="478" t="str">
        <f>IF(AND('Mapa de Riesgos'!$H$21="Muy Baja",'Mapa de Riesgos'!$L$21="Catastrófico"),CONCATENATE("R",'Mapa de Riesgos'!$A$21),"")</f>
        <v/>
      </c>
      <c r="AK38" s="478"/>
      <c r="AL38" s="478" t="str">
        <f>IF(AND('Mapa de Riesgos'!$H$27="Muy Baja",'Mapa de Riesgos'!$L$27="Catastrófico"),CONCATENATE("R",'Mapa de Riesgos'!$A$27),"")</f>
        <v/>
      </c>
      <c r="AM38" s="479"/>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500"/>
      <c r="C39" s="500"/>
      <c r="D39" s="501"/>
      <c r="E39" s="493"/>
      <c r="F39" s="494"/>
      <c r="G39" s="494"/>
      <c r="H39" s="494"/>
      <c r="I39" s="495"/>
      <c r="J39" s="453"/>
      <c r="K39" s="454"/>
      <c r="L39" s="454"/>
      <c r="M39" s="454"/>
      <c r="N39" s="454"/>
      <c r="O39" s="455"/>
      <c r="P39" s="453"/>
      <c r="Q39" s="454"/>
      <c r="R39" s="454"/>
      <c r="S39" s="454"/>
      <c r="T39" s="454"/>
      <c r="U39" s="455"/>
      <c r="V39" s="462"/>
      <c r="W39" s="463"/>
      <c r="X39" s="463"/>
      <c r="Y39" s="463"/>
      <c r="Z39" s="463"/>
      <c r="AA39" s="464"/>
      <c r="AB39" s="480"/>
      <c r="AC39" s="481"/>
      <c r="AD39" s="481"/>
      <c r="AE39" s="481"/>
      <c r="AF39" s="481"/>
      <c r="AG39" s="482"/>
      <c r="AH39" s="471"/>
      <c r="AI39" s="472"/>
      <c r="AJ39" s="472"/>
      <c r="AK39" s="472"/>
      <c r="AL39" s="472"/>
      <c r="AM39" s="47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500"/>
      <c r="C40" s="500"/>
      <c r="D40" s="501"/>
      <c r="E40" s="493"/>
      <c r="F40" s="494"/>
      <c r="G40" s="494"/>
      <c r="H40" s="494"/>
      <c r="I40" s="495"/>
      <c r="J40" s="453" t="str">
        <f>IF(AND('Mapa de Riesgos'!$H$33="Muy Baja",'Mapa de Riesgos'!$L$33="Leve"),CONCATENATE("R",'Mapa de Riesgos'!$A$33),"")</f>
        <v/>
      </c>
      <c r="K40" s="454"/>
      <c r="L40" s="454" t="str">
        <f>IF(AND('Mapa de Riesgos'!$H$39="Muy Baja",'Mapa de Riesgos'!$L$39="Leve"),CONCATENATE("R",'Mapa de Riesgos'!$A$39),"")</f>
        <v/>
      </c>
      <c r="M40" s="454"/>
      <c r="N40" s="454" t="str">
        <f>IF(AND('Mapa de Riesgos'!$H$45="Muy Baja",'Mapa de Riesgos'!$L$45="Leve"),CONCATENATE("R",'Mapa de Riesgos'!$A$45),"")</f>
        <v/>
      </c>
      <c r="O40" s="455"/>
      <c r="P40" s="453" t="str">
        <f>IF(AND('Mapa de Riesgos'!$H$33="Muy Baja",'Mapa de Riesgos'!$L$33="Menor"),CONCATENATE("R",'Mapa de Riesgos'!$A$33),"")</f>
        <v/>
      </c>
      <c r="Q40" s="454"/>
      <c r="R40" s="454" t="str">
        <f>IF(AND('Mapa de Riesgos'!$H$39="Muy Baja",'Mapa de Riesgos'!$L$39="Menor"),CONCATENATE("R",'Mapa de Riesgos'!$A$39),"")</f>
        <v/>
      </c>
      <c r="S40" s="454"/>
      <c r="T40" s="454" t="str">
        <f>IF(AND('Mapa de Riesgos'!$H$45="Muy Baja",'Mapa de Riesgos'!$L$45="Menor"),CONCATENATE("R",'Mapa de Riesgos'!$A$45),"")</f>
        <v/>
      </c>
      <c r="U40" s="455"/>
      <c r="V40" s="462" t="str">
        <f>IF(AND('Mapa de Riesgos'!$H$33="Muy Baja",'Mapa de Riesgos'!$L$33="Moderado"),CONCATENATE("R",'Mapa de Riesgos'!$A$33),"")</f>
        <v/>
      </c>
      <c r="W40" s="463"/>
      <c r="X40" s="463" t="str">
        <f>IF(AND('Mapa de Riesgos'!$H$39="Muy Baja",'Mapa de Riesgos'!$L$39="Moderado"),CONCATENATE("R",'Mapa de Riesgos'!$A$39),"")</f>
        <v/>
      </c>
      <c r="Y40" s="463"/>
      <c r="Z40" s="463" t="str">
        <f>IF(AND('Mapa de Riesgos'!$H$45="Muy Baja",'Mapa de Riesgos'!$L$45="Moderado"),CONCATENATE("R",'Mapa de Riesgos'!$A$45),"")</f>
        <v/>
      </c>
      <c r="AA40" s="464"/>
      <c r="AB40" s="480" t="str">
        <f>IF(AND('Mapa de Riesgos'!$H$33="Muy Baja",'Mapa de Riesgos'!$L$33="Mayor"),CONCATENATE("R",'Mapa de Riesgos'!$A$33),"")</f>
        <v/>
      </c>
      <c r="AC40" s="481"/>
      <c r="AD40" s="481" t="str">
        <f>IF(AND('Mapa de Riesgos'!$H$39="Muy Baja",'Mapa de Riesgos'!$L$39="Mayor"),CONCATENATE("R",'Mapa de Riesgos'!$A$39),"")</f>
        <v/>
      </c>
      <c r="AE40" s="481"/>
      <c r="AF40" s="481" t="str">
        <f>IF(AND('Mapa de Riesgos'!$H$45="Muy Baja",'Mapa de Riesgos'!$L$45="Mayor"),CONCATENATE("R",'Mapa de Riesgos'!$A$45),"")</f>
        <v/>
      </c>
      <c r="AG40" s="482"/>
      <c r="AH40" s="471" t="str">
        <f>IF(AND('Mapa de Riesgos'!$H$33="Muy Baja",'Mapa de Riesgos'!$L$33="Catastrófico"),CONCATENATE("R",'Mapa de Riesgos'!$A$33),"")</f>
        <v/>
      </c>
      <c r="AI40" s="472"/>
      <c r="AJ40" s="472" t="str">
        <f>IF(AND('Mapa de Riesgos'!$H$39="Muy Baja",'Mapa de Riesgos'!$L$39="Catastrófico"),CONCATENATE("R",'Mapa de Riesgos'!$A$39),"")</f>
        <v/>
      </c>
      <c r="AK40" s="472"/>
      <c r="AL40" s="472" t="str">
        <f>IF(AND('Mapa de Riesgos'!$H$45="Muy Baja",'Mapa de Riesgos'!$L$45="Catastrófico"),CONCATENATE("R",'Mapa de Riesgos'!$A$45),"")</f>
        <v/>
      </c>
      <c r="AM40" s="47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500"/>
      <c r="C41" s="500"/>
      <c r="D41" s="501"/>
      <c r="E41" s="493"/>
      <c r="F41" s="494"/>
      <c r="G41" s="494"/>
      <c r="H41" s="494"/>
      <c r="I41" s="495"/>
      <c r="J41" s="453"/>
      <c r="K41" s="454"/>
      <c r="L41" s="454"/>
      <c r="M41" s="454"/>
      <c r="N41" s="454"/>
      <c r="O41" s="455"/>
      <c r="P41" s="453"/>
      <c r="Q41" s="454"/>
      <c r="R41" s="454"/>
      <c r="S41" s="454"/>
      <c r="T41" s="454"/>
      <c r="U41" s="455"/>
      <c r="V41" s="462"/>
      <c r="W41" s="463"/>
      <c r="X41" s="463"/>
      <c r="Y41" s="463"/>
      <c r="Z41" s="463"/>
      <c r="AA41" s="464"/>
      <c r="AB41" s="480"/>
      <c r="AC41" s="481"/>
      <c r="AD41" s="481"/>
      <c r="AE41" s="481"/>
      <c r="AF41" s="481"/>
      <c r="AG41" s="482"/>
      <c r="AH41" s="471"/>
      <c r="AI41" s="472"/>
      <c r="AJ41" s="472"/>
      <c r="AK41" s="472"/>
      <c r="AL41" s="472"/>
      <c r="AM41" s="47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500"/>
      <c r="C42" s="500"/>
      <c r="D42" s="501"/>
      <c r="E42" s="493"/>
      <c r="F42" s="494"/>
      <c r="G42" s="494"/>
      <c r="H42" s="494"/>
      <c r="I42" s="495"/>
      <c r="J42" s="453" t="str">
        <f>IF(AND('Mapa de Riesgos'!$H$51="Muy Baja",'Mapa de Riesgos'!$L$51="Leve"),CONCATENATE("R",'Mapa de Riesgos'!$A$51),"")</f>
        <v/>
      </c>
      <c r="K42" s="454"/>
      <c r="L42" s="454" t="str">
        <f>IF(AND('Mapa de Riesgos'!$H$57="Muy Baja",'Mapa de Riesgos'!$L$57="Leve"),CONCATENATE("R",'Mapa de Riesgos'!$A$57),"")</f>
        <v/>
      </c>
      <c r="M42" s="454"/>
      <c r="N42" s="454" t="str">
        <f>IF(AND('Mapa de Riesgos'!$H$63="Muy Baja",'Mapa de Riesgos'!$L$63="Leve"),CONCATENATE("R",'Mapa de Riesgos'!$A$63),"")</f>
        <v/>
      </c>
      <c r="O42" s="455"/>
      <c r="P42" s="453" t="str">
        <f>IF(AND('Mapa de Riesgos'!$H$51="Muy Baja",'Mapa de Riesgos'!$L$51="Menor"),CONCATENATE("R",'Mapa de Riesgos'!$A$51),"")</f>
        <v/>
      </c>
      <c r="Q42" s="454"/>
      <c r="R42" s="454" t="str">
        <f>IF(AND('Mapa de Riesgos'!$H$57="Muy Baja",'Mapa de Riesgos'!$L$57="Menor"),CONCATENATE("R",'Mapa de Riesgos'!$A$57),"")</f>
        <v/>
      </c>
      <c r="S42" s="454"/>
      <c r="T42" s="454" t="str">
        <f>IF(AND('Mapa de Riesgos'!$H$63="Muy Baja",'Mapa de Riesgos'!$L$63="Menor"),CONCATENATE("R",'Mapa de Riesgos'!$A$63),"")</f>
        <v/>
      </c>
      <c r="U42" s="455"/>
      <c r="V42" s="462" t="str">
        <f>IF(AND('Mapa de Riesgos'!$H$51="Muy Baja",'Mapa de Riesgos'!$L$51="Moderado"),CONCATENATE("R",'Mapa de Riesgos'!$A$51),"")</f>
        <v/>
      </c>
      <c r="W42" s="463"/>
      <c r="X42" s="463" t="str">
        <f>IF(AND('Mapa de Riesgos'!$H$57="Muy Baja",'Mapa de Riesgos'!$L$57="Moderado"),CONCATENATE("R",'Mapa de Riesgos'!$A$57),"")</f>
        <v/>
      </c>
      <c r="Y42" s="463"/>
      <c r="Z42" s="463" t="str">
        <f>IF(AND('Mapa de Riesgos'!$H$63="Muy Baja",'Mapa de Riesgos'!$L$63="Moderado"),CONCATENATE("R",'Mapa de Riesgos'!$A$63),"")</f>
        <v/>
      </c>
      <c r="AA42" s="464"/>
      <c r="AB42" s="480" t="str">
        <f>IF(AND('Mapa de Riesgos'!$H$51="Muy Baja",'Mapa de Riesgos'!$L$51="Mayor"),CONCATENATE("R",'Mapa de Riesgos'!$A$51),"")</f>
        <v/>
      </c>
      <c r="AC42" s="481"/>
      <c r="AD42" s="481" t="str">
        <f>IF(AND('Mapa de Riesgos'!$H$57="Muy Baja",'Mapa de Riesgos'!$L$57="Mayor"),CONCATENATE("R",'Mapa de Riesgos'!$A$57),"")</f>
        <v/>
      </c>
      <c r="AE42" s="481"/>
      <c r="AF42" s="481" t="str">
        <f>IF(AND('Mapa de Riesgos'!$H$63="Muy Baja",'Mapa de Riesgos'!$L$63="Mayor"),CONCATENATE("R",'Mapa de Riesgos'!$A$63),"")</f>
        <v/>
      </c>
      <c r="AG42" s="482"/>
      <c r="AH42" s="471" t="str">
        <f>IF(AND('Mapa de Riesgos'!$H$51="Muy Baja",'Mapa de Riesgos'!$L$51="Catastrófico"),CONCATENATE("R",'Mapa de Riesgos'!$A$51),"")</f>
        <v/>
      </c>
      <c r="AI42" s="472"/>
      <c r="AJ42" s="472" t="str">
        <f>IF(AND('Mapa de Riesgos'!$H$57="Muy Baja",'Mapa de Riesgos'!$L$57="Catastrófico"),CONCATENATE("R",'Mapa de Riesgos'!$A$57),"")</f>
        <v/>
      </c>
      <c r="AK42" s="472"/>
      <c r="AL42" s="472" t="str">
        <f>IF(AND('Mapa de Riesgos'!$H$63="Muy Baja",'Mapa de Riesgos'!$L$63="Catastrófico"),CONCATENATE("R",'Mapa de Riesgos'!$A$63),"")</f>
        <v/>
      </c>
      <c r="AM42" s="47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500"/>
      <c r="C43" s="500"/>
      <c r="D43" s="501"/>
      <c r="E43" s="493"/>
      <c r="F43" s="494"/>
      <c r="G43" s="494"/>
      <c r="H43" s="494"/>
      <c r="I43" s="495"/>
      <c r="J43" s="453"/>
      <c r="K43" s="454"/>
      <c r="L43" s="454"/>
      <c r="M43" s="454"/>
      <c r="N43" s="454"/>
      <c r="O43" s="455"/>
      <c r="P43" s="453"/>
      <c r="Q43" s="454"/>
      <c r="R43" s="454"/>
      <c r="S43" s="454"/>
      <c r="T43" s="454"/>
      <c r="U43" s="455"/>
      <c r="V43" s="462"/>
      <c r="W43" s="463"/>
      <c r="X43" s="463"/>
      <c r="Y43" s="463"/>
      <c r="Z43" s="463"/>
      <c r="AA43" s="464"/>
      <c r="AB43" s="480"/>
      <c r="AC43" s="481"/>
      <c r="AD43" s="481"/>
      <c r="AE43" s="481"/>
      <c r="AF43" s="481"/>
      <c r="AG43" s="482"/>
      <c r="AH43" s="471"/>
      <c r="AI43" s="472"/>
      <c r="AJ43" s="472"/>
      <c r="AK43" s="472"/>
      <c r="AL43" s="472"/>
      <c r="AM43" s="47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500"/>
      <c r="C44" s="500"/>
      <c r="D44" s="501"/>
      <c r="E44" s="493"/>
      <c r="F44" s="494"/>
      <c r="G44" s="494"/>
      <c r="H44" s="494"/>
      <c r="I44" s="495"/>
      <c r="J44" s="453" t="str">
        <f>IF(AND('Mapa de Riesgos'!$H$69="Muy Baja",'Mapa de Riesgos'!$L$69="Leve"),CONCATENATE("R",'Mapa de Riesgos'!$A$69),"")</f>
        <v/>
      </c>
      <c r="K44" s="454"/>
      <c r="L44" s="454" t="str">
        <f>IF(AND('Mapa de Riesgos'!$H$75="Muy Baja",'Mapa de Riesgos'!$L$75="Leve"),CONCATENATE("R",'Mapa de Riesgos'!#REF!),"")</f>
        <v/>
      </c>
      <c r="M44" s="454"/>
      <c r="N44" s="454" t="str">
        <f>IF(AND('Mapa de Riesgos'!$H$81="Muy Baja",'Mapa de Riesgos'!$L$81="Leve"),CONCATENATE("R",'Mapa de Riesgos'!$A$81),"")</f>
        <v/>
      </c>
      <c r="O44" s="455"/>
      <c r="P44" s="453" t="str">
        <f>IF(AND('Mapa de Riesgos'!$H$69="Muy Baja",'Mapa de Riesgos'!$L$69="Menor"),CONCATENATE("R",'Mapa de Riesgos'!$A$69),"")</f>
        <v/>
      </c>
      <c r="Q44" s="454"/>
      <c r="R44" s="454" t="str">
        <f>IF(AND('Mapa de Riesgos'!$H$75="Muy Baja",'Mapa de Riesgos'!$L$75="Menor"),CONCATENATE("R",'Mapa de Riesgos'!#REF!),"")</f>
        <v/>
      </c>
      <c r="S44" s="454"/>
      <c r="T44" s="454" t="str">
        <f>IF(AND('Mapa de Riesgos'!$H$81="Muy Baja",'Mapa de Riesgos'!$L$81="Menor"),CONCATENATE("R",'Mapa de Riesgos'!$A$81),"")</f>
        <v/>
      </c>
      <c r="U44" s="455"/>
      <c r="V44" s="462" t="str">
        <f>IF(AND('Mapa de Riesgos'!$H$69="Muy Baja",'Mapa de Riesgos'!$L$69="Moderado"),CONCATENATE("R",'Mapa de Riesgos'!$A$69),"")</f>
        <v/>
      </c>
      <c r="W44" s="463"/>
      <c r="X44" s="463" t="str">
        <f>IF(AND('Mapa de Riesgos'!$H$75="Muy Baja",'Mapa de Riesgos'!$L$75="Moderado"),CONCATENATE("R",'Mapa de Riesgos'!#REF!),"")</f>
        <v/>
      </c>
      <c r="Y44" s="463"/>
      <c r="Z44" s="463" t="str">
        <f>IF(AND('Mapa de Riesgos'!$H$81="Muy Baja",'Mapa de Riesgos'!$L$81="Moderado"),CONCATENATE("R",'Mapa de Riesgos'!$A$81),"")</f>
        <v/>
      </c>
      <c r="AA44" s="464"/>
      <c r="AB44" s="480" t="str">
        <f>IF(AND('Mapa de Riesgos'!$H$69="Muy Baja",'Mapa de Riesgos'!$L$69="Mayor"),CONCATENATE("R",'Mapa de Riesgos'!$A$69),"")</f>
        <v/>
      </c>
      <c r="AC44" s="481"/>
      <c r="AD44" s="481" t="str">
        <f>IF(AND('Mapa de Riesgos'!$H$75="Muy Baja",'Mapa de Riesgos'!$L$75="Mayor"),CONCATENATE("R",'Mapa de Riesgos'!#REF!),"")</f>
        <v/>
      </c>
      <c r="AE44" s="481"/>
      <c r="AF44" s="481" t="str">
        <f>IF(AND('Mapa de Riesgos'!$H$81="Muy Baja",'Mapa de Riesgos'!$L$81="Mayor"),CONCATENATE("R",'Mapa de Riesgos'!$A$81),"")</f>
        <v/>
      </c>
      <c r="AG44" s="482"/>
      <c r="AH44" s="471" t="str">
        <f>IF(AND('Mapa de Riesgos'!$H$69="Muy Baja",'Mapa de Riesgos'!$L$69="Catastrófico"),CONCATENATE("R",'Mapa de Riesgos'!$A$69),"")</f>
        <v/>
      </c>
      <c r="AI44" s="472"/>
      <c r="AJ44" s="472" t="str">
        <f>IF(AND('Mapa de Riesgos'!$H$75="Muy Baja",'Mapa de Riesgos'!$L$75="Catastrófico"),CONCATENATE("R",'Mapa de Riesgos'!#REF!),"")</f>
        <v/>
      </c>
      <c r="AK44" s="472"/>
      <c r="AL44" s="472" t="str">
        <f>IF(AND('Mapa de Riesgos'!$H$81="Muy Baja",'Mapa de Riesgos'!$L$81="Catastrófico"),CONCATENATE("R",'Mapa de Riesgos'!$A$81),"")</f>
        <v/>
      </c>
      <c r="AM44" s="47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500"/>
      <c r="C45" s="500"/>
      <c r="D45" s="501"/>
      <c r="E45" s="496"/>
      <c r="F45" s="497"/>
      <c r="G45" s="497"/>
      <c r="H45" s="497"/>
      <c r="I45" s="498"/>
      <c r="J45" s="456"/>
      <c r="K45" s="457"/>
      <c r="L45" s="457"/>
      <c r="M45" s="457"/>
      <c r="N45" s="457"/>
      <c r="O45" s="458"/>
      <c r="P45" s="456"/>
      <c r="Q45" s="457"/>
      <c r="R45" s="457"/>
      <c r="S45" s="457"/>
      <c r="T45" s="457"/>
      <c r="U45" s="458"/>
      <c r="V45" s="465"/>
      <c r="W45" s="466"/>
      <c r="X45" s="466"/>
      <c r="Y45" s="466"/>
      <c r="Z45" s="466"/>
      <c r="AA45" s="467"/>
      <c r="AB45" s="483"/>
      <c r="AC45" s="484"/>
      <c r="AD45" s="484"/>
      <c r="AE45" s="484"/>
      <c r="AF45" s="484"/>
      <c r="AG45" s="485"/>
      <c r="AH45" s="474"/>
      <c r="AI45" s="475"/>
      <c r="AJ45" s="475"/>
      <c r="AK45" s="475"/>
      <c r="AL45" s="475"/>
      <c r="AM45" s="476"/>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90" t="s">
        <v>218</v>
      </c>
      <c r="K46" s="491"/>
      <c r="L46" s="491"/>
      <c r="M46" s="491"/>
      <c r="N46" s="491"/>
      <c r="O46" s="492"/>
      <c r="P46" s="490" t="s">
        <v>219</v>
      </c>
      <c r="Q46" s="491"/>
      <c r="R46" s="491"/>
      <c r="S46" s="491"/>
      <c r="T46" s="491"/>
      <c r="U46" s="492"/>
      <c r="V46" s="490" t="s">
        <v>220</v>
      </c>
      <c r="W46" s="491"/>
      <c r="X46" s="491"/>
      <c r="Y46" s="491"/>
      <c r="Z46" s="491"/>
      <c r="AA46" s="492"/>
      <c r="AB46" s="490" t="s">
        <v>221</v>
      </c>
      <c r="AC46" s="499"/>
      <c r="AD46" s="491"/>
      <c r="AE46" s="491"/>
      <c r="AF46" s="491"/>
      <c r="AG46" s="492"/>
      <c r="AH46" s="490" t="s">
        <v>222</v>
      </c>
      <c r="AI46" s="491"/>
      <c r="AJ46" s="491"/>
      <c r="AK46" s="491"/>
      <c r="AL46" s="491"/>
      <c r="AM46" s="492"/>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93"/>
      <c r="K47" s="494"/>
      <c r="L47" s="494"/>
      <c r="M47" s="494"/>
      <c r="N47" s="494"/>
      <c r="O47" s="495"/>
      <c r="P47" s="493"/>
      <c r="Q47" s="494"/>
      <c r="R47" s="494"/>
      <c r="S47" s="494"/>
      <c r="T47" s="494"/>
      <c r="U47" s="495"/>
      <c r="V47" s="493"/>
      <c r="W47" s="494"/>
      <c r="X47" s="494"/>
      <c r="Y47" s="494"/>
      <c r="Z47" s="494"/>
      <c r="AA47" s="495"/>
      <c r="AB47" s="493"/>
      <c r="AC47" s="494"/>
      <c r="AD47" s="494"/>
      <c r="AE47" s="494"/>
      <c r="AF47" s="494"/>
      <c r="AG47" s="495"/>
      <c r="AH47" s="493"/>
      <c r="AI47" s="494"/>
      <c r="AJ47" s="494"/>
      <c r="AK47" s="494"/>
      <c r="AL47" s="494"/>
      <c r="AM47" s="495"/>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93"/>
      <c r="K48" s="494"/>
      <c r="L48" s="494"/>
      <c r="M48" s="494"/>
      <c r="N48" s="494"/>
      <c r="O48" s="495"/>
      <c r="P48" s="493"/>
      <c r="Q48" s="494"/>
      <c r="R48" s="494"/>
      <c r="S48" s="494"/>
      <c r="T48" s="494"/>
      <c r="U48" s="495"/>
      <c r="V48" s="493"/>
      <c r="W48" s="494"/>
      <c r="X48" s="494"/>
      <c r="Y48" s="494"/>
      <c r="Z48" s="494"/>
      <c r="AA48" s="495"/>
      <c r="AB48" s="493"/>
      <c r="AC48" s="494"/>
      <c r="AD48" s="494"/>
      <c r="AE48" s="494"/>
      <c r="AF48" s="494"/>
      <c r="AG48" s="495"/>
      <c r="AH48" s="493"/>
      <c r="AI48" s="494"/>
      <c r="AJ48" s="494"/>
      <c r="AK48" s="494"/>
      <c r="AL48" s="494"/>
      <c r="AM48" s="495"/>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93"/>
      <c r="K49" s="494"/>
      <c r="L49" s="494"/>
      <c r="M49" s="494"/>
      <c r="N49" s="494"/>
      <c r="O49" s="495"/>
      <c r="P49" s="493"/>
      <c r="Q49" s="494"/>
      <c r="R49" s="494"/>
      <c r="S49" s="494"/>
      <c r="T49" s="494"/>
      <c r="U49" s="495"/>
      <c r="V49" s="493"/>
      <c r="W49" s="494"/>
      <c r="X49" s="494"/>
      <c r="Y49" s="494"/>
      <c r="Z49" s="494"/>
      <c r="AA49" s="495"/>
      <c r="AB49" s="493"/>
      <c r="AC49" s="494"/>
      <c r="AD49" s="494"/>
      <c r="AE49" s="494"/>
      <c r="AF49" s="494"/>
      <c r="AG49" s="495"/>
      <c r="AH49" s="493"/>
      <c r="AI49" s="494"/>
      <c r="AJ49" s="494"/>
      <c r="AK49" s="494"/>
      <c r="AL49" s="494"/>
      <c r="AM49" s="495"/>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93"/>
      <c r="K50" s="494"/>
      <c r="L50" s="494"/>
      <c r="M50" s="494"/>
      <c r="N50" s="494"/>
      <c r="O50" s="495"/>
      <c r="P50" s="493"/>
      <c r="Q50" s="494"/>
      <c r="R50" s="494"/>
      <c r="S50" s="494"/>
      <c r="T50" s="494"/>
      <c r="U50" s="495"/>
      <c r="V50" s="493"/>
      <c r="W50" s="494"/>
      <c r="X50" s="494"/>
      <c r="Y50" s="494"/>
      <c r="Z50" s="494"/>
      <c r="AA50" s="495"/>
      <c r="AB50" s="493"/>
      <c r="AC50" s="494"/>
      <c r="AD50" s="494"/>
      <c r="AE50" s="494"/>
      <c r="AF50" s="494"/>
      <c r="AG50" s="495"/>
      <c r="AH50" s="493"/>
      <c r="AI50" s="494"/>
      <c r="AJ50" s="494"/>
      <c r="AK50" s="494"/>
      <c r="AL50" s="494"/>
      <c r="AM50" s="495"/>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6"/>
      <c r="K51" s="497"/>
      <c r="L51" s="497"/>
      <c r="M51" s="497"/>
      <c r="N51" s="497"/>
      <c r="O51" s="498"/>
      <c r="P51" s="496"/>
      <c r="Q51" s="497"/>
      <c r="R51" s="497"/>
      <c r="S51" s="497"/>
      <c r="T51" s="497"/>
      <c r="U51" s="498"/>
      <c r="V51" s="496"/>
      <c r="W51" s="497"/>
      <c r="X51" s="497"/>
      <c r="Y51" s="497"/>
      <c r="Z51" s="497"/>
      <c r="AA51" s="498"/>
      <c r="AB51" s="496"/>
      <c r="AC51" s="497"/>
      <c r="AD51" s="497"/>
      <c r="AE51" s="497"/>
      <c r="AF51" s="497"/>
      <c r="AG51" s="498"/>
      <c r="AH51" s="496"/>
      <c r="AI51" s="497"/>
      <c r="AJ51" s="497"/>
      <c r="AK51" s="497"/>
      <c r="AL51" s="497"/>
      <c r="AM51" s="498"/>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5"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67" t="s">
        <v>223</v>
      </c>
      <c r="C2" s="568"/>
      <c r="D2" s="568"/>
      <c r="E2" s="568"/>
      <c r="F2" s="568"/>
      <c r="G2" s="568"/>
      <c r="H2" s="568"/>
      <c r="I2" s="568"/>
      <c r="J2" s="489" t="s">
        <v>23</v>
      </c>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68"/>
      <c r="C3" s="568"/>
      <c r="D3" s="568"/>
      <c r="E3" s="568"/>
      <c r="F3" s="568"/>
      <c r="G3" s="568"/>
      <c r="H3" s="568"/>
      <c r="I3" s="568"/>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68"/>
      <c r="C4" s="568"/>
      <c r="D4" s="568"/>
      <c r="E4" s="568"/>
      <c r="F4" s="568"/>
      <c r="G4" s="568"/>
      <c r="H4" s="568"/>
      <c r="I4" s="568"/>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500" t="s">
        <v>208</v>
      </c>
      <c r="C6" s="500"/>
      <c r="D6" s="501"/>
      <c r="E6" s="538" t="s">
        <v>209</v>
      </c>
      <c r="F6" s="539"/>
      <c r="G6" s="539"/>
      <c r="H6" s="539"/>
      <c r="I6" s="540"/>
      <c r="J6" s="46" t="str">
        <f>IF(AND('Mapa de Riesgos'!$Y$12="Muy Alta",'Mapa de Riesgos'!$AA$12="Leve"),CONCATENATE("R1C",'Mapa de Riesgos'!$O$12),"")</f>
        <v/>
      </c>
      <c r="K6" s="47" t="str">
        <f>IF(AND('Mapa de Riesgos'!$Y$16="Muy Alta",'Mapa de Riesgos'!$AA$16="Leve"),CONCATENATE("R1C",'Mapa de Riesgos'!$O$16),"")</f>
        <v/>
      </c>
      <c r="L6" s="47" t="str">
        <f>IF(AND('Mapa de Riesgos'!$Y$17="Muy Alta",'Mapa de Riesgos'!$AA$17="Leve"),CONCATENATE("R1C",'Mapa de Riesgos'!$O$17),"")</f>
        <v/>
      </c>
      <c r="M6" s="47" t="str">
        <f>IF(AND('Mapa de Riesgos'!$Y$18="Muy Alta",'Mapa de Riesgos'!$AA$18="Leve"),CONCATENATE("R1C",'Mapa de Riesgos'!$O$18),"")</f>
        <v/>
      </c>
      <c r="N6" s="47" t="str">
        <f>IF(AND('Mapa de Riesgos'!$Y$19="Muy Alta",'Mapa de Riesgos'!$AA$19="Leve"),CONCATENATE("R1C",'Mapa de Riesgos'!$O$19),"")</f>
        <v/>
      </c>
      <c r="O6" s="48" t="str">
        <f>IF(AND('Mapa de Riesgos'!$Y$20="Muy Alta",'Mapa de Riesgos'!$AA$20="Leve"),CONCATENATE("R1C",'Mapa de Riesgos'!$O$20),"")</f>
        <v/>
      </c>
      <c r="P6" s="46" t="str">
        <f>IF(AND('Mapa de Riesgos'!$Y$12="Muy Alta",'Mapa de Riesgos'!$AA$12="Menor"),CONCATENATE("R1C",'Mapa de Riesgos'!$O$12),"")</f>
        <v/>
      </c>
      <c r="Q6" s="47" t="str">
        <f>IF(AND('Mapa de Riesgos'!$Y$16="Muy Alta",'Mapa de Riesgos'!$AA$16="Menor"),CONCATENATE("R1C",'Mapa de Riesgos'!$O$16),"")</f>
        <v/>
      </c>
      <c r="R6" s="47" t="str">
        <f>IF(AND('Mapa de Riesgos'!$Y$17="Muy Alta",'Mapa de Riesgos'!$AA$17="Menor"),CONCATENATE("R1C",'Mapa de Riesgos'!$O$17),"")</f>
        <v/>
      </c>
      <c r="S6" s="47" t="str">
        <f>IF(AND('Mapa de Riesgos'!$Y$18="Muy Alta",'Mapa de Riesgos'!$AA$18="Menor"),CONCATENATE("R1C",'Mapa de Riesgos'!$O$18),"")</f>
        <v/>
      </c>
      <c r="T6" s="47" t="str">
        <f>IF(AND('Mapa de Riesgos'!$Y$19="Muy Alta",'Mapa de Riesgos'!$AA$19="Menor"),CONCATENATE("R1C",'Mapa de Riesgos'!$O$19),"")</f>
        <v/>
      </c>
      <c r="U6" s="48" t="str">
        <f>IF(AND('Mapa de Riesgos'!$Y$20="Muy Alta",'Mapa de Riesgos'!$AA$20="Menor"),CONCATENATE("R1C",'Mapa de Riesgos'!$O$20),"")</f>
        <v/>
      </c>
      <c r="V6" s="46" t="str">
        <f>IF(AND('Mapa de Riesgos'!$Y$12="Muy Alta",'Mapa de Riesgos'!$AA$12="Moderado"),CONCATENATE("R1C",'Mapa de Riesgos'!$O$12),"")</f>
        <v/>
      </c>
      <c r="W6" s="47" t="str">
        <f>IF(AND('Mapa de Riesgos'!$Y$16="Muy Alta",'Mapa de Riesgos'!$AA$16="Moderado"),CONCATENATE("R1C",'Mapa de Riesgos'!$O$16),"")</f>
        <v/>
      </c>
      <c r="X6" s="47" t="str">
        <f>IF(AND('Mapa de Riesgos'!$Y$17="Muy Alta",'Mapa de Riesgos'!$AA$17="Moderado"),CONCATENATE("R1C",'Mapa de Riesgos'!$O$17),"")</f>
        <v/>
      </c>
      <c r="Y6" s="47" t="str">
        <f>IF(AND('Mapa de Riesgos'!$Y$18="Muy Alta",'Mapa de Riesgos'!$AA$18="Moderado"),CONCATENATE("R1C",'Mapa de Riesgos'!$O$18),"")</f>
        <v/>
      </c>
      <c r="Z6" s="47" t="str">
        <f>IF(AND('Mapa de Riesgos'!$Y$19="Muy Alta",'Mapa de Riesgos'!$AA$19="Moderado"),CONCATENATE("R1C",'Mapa de Riesgos'!$O$19),"")</f>
        <v/>
      </c>
      <c r="AA6" s="48" t="str">
        <f>IF(AND('Mapa de Riesgos'!$Y$20="Muy Alta",'Mapa de Riesgos'!$AA$20="Moderado"),CONCATENATE("R1C",'Mapa de Riesgos'!$O$20),"")</f>
        <v/>
      </c>
      <c r="AB6" s="46" t="str">
        <f>IF(AND('Mapa de Riesgos'!$Y$12="Muy Alta",'Mapa de Riesgos'!$AA$12="Mayor"),CONCATENATE("R1C",'Mapa de Riesgos'!$O$12),"")</f>
        <v/>
      </c>
      <c r="AC6" s="47" t="str">
        <f>IF(AND('Mapa de Riesgos'!$Y$16="Muy Alta",'Mapa de Riesgos'!$AA$16="Mayor"),CONCATENATE("R1C",'Mapa de Riesgos'!$O$16),"")</f>
        <v/>
      </c>
      <c r="AD6" s="47" t="str">
        <f>IF(AND('Mapa de Riesgos'!$Y$17="Muy Alta",'Mapa de Riesgos'!$AA$17="Mayor"),CONCATENATE("R1C",'Mapa de Riesgos'!$O$17),"")</f>
        <v/>
      </c>
      <c r="AE6" s="47" t="str">
        <f>IF(AND('Mapa de Riesgos'!$Y$18="Muy Alta",'Mapa de Riesgos'!$AA$18="Mayor"),CONCATENATE("R1C",'Mapa de Riesgos'!$O$18),"")</f>
        <v/>
      </c>
      <c r="AF6" s="47" t="str">
        <f>IF(AND('Mapa de Riesgos'!$Y$19="Muy Alta",'Mapa de Riesgos'!$AA$19="Mayor"),CONCATENATE("R1C",'Mapa de Riesgos'!$O$19),"")</f>
        <v/>
      </c>
      <c r="AG6" s="48" t="str">
        <f>IF(AND('Mapa de Riesgos'!$Y$20="Muy Alta",'Mapa de Riesgos'!$AA$20="Mayor"),CONCATENATE("R1C",'Mapa de Riesgos'!$O$20),"")</f>
        <v/>
      </c>
      <c r="AH6" s="49" t="str">
        <f>IF(AND('Mapa de Riesgos'!$Y$12="Muy Alta",'Mapa de Riesgos'!$AA$12="Catastrófico"),CONCATENATE("R1C",'Mapa de Riesgos'!$O$12),"")</f>
        <v/>
      </c>
      <c r="AI6" s="50" t="str">
        <f>IF(AND('Mapa de Riesgos'!$Y$16="Muy Alta",'Mapa de Riesgos'!$AA$16="Catastrófico"),CONCATENATE("R1C",'Mapa de Riesgos'!$O$16),"")</f>
        <v/>
      </c>
      <c r="AJ6" s="50" t="str">
        <f>IF(AND('Mapa de Riesgos'!$Y$17="Muy Alta",'Mapa de Riesgos'!$AA$17="Catastrófico"),CONCATENATE("R1C",'Mapa de Riesgos'!$O$17),"")</f>
        <v/>
      </c>
      <c r="AK6" s="50" t="str">
        <f>IF(AND('Mapa de Riesgos'!$Y$18="Muy Alta",'Mapa de Riesgos'!$AA$18="Catastrófico"),CONCATENATE("R1C",'Mapa de Riesgos'!$O$18),"")</f>
        <v/>
      </c>
      <c r="AL6" s="50" t="str">
        <f>IF(AND('Mapa de Riesgos'!$Y$19="Muy Alta",'Mapa de Riesgos'!$AA$19="Catastrófico"),CONCATENATE("R1C",'Mapa de Riesgos'!$O$19),"")</f>
        <v/>
      </c>
      <c r="AM6" s="51" t="str">
        <f>IF(AND('Mapa de Riesgos'!$Y$20="Muy Alta",'Mapa de Riesgos'!$AA$20="Catastrófico"),CONCATENATE("R1C",'Mapa de Riesgos'!$O$20),"")</f>
        <v/>
      </c>
      <c r="AN6" s="83"/>
      <c r="AO6" s="558" t="s">
        <v>210</v>
      </c>
      <c r="AP6" s="559"/>
      <c r="AQ6" s="559"/>
      <c r="AR6" s="559"/>
      <c r="AS6" s="559"/>
      <c r="AT6" s="56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500"/>
      <c r="C7" s="500"/>
      <c r="D7" s="501"/>
      <c r="E7" s="541"/>
      <c r="F7" s="542"/>
      <c r="G7" s="542"/>
      <c r="H7" s="542"/>
      <c r="I7" s="543"/>
      <c r="J7" s="52" t="str">
        <f>IF(AND('Mapa de Riesgos'!$Y$21="Muy Alta",'Mapa de Riesgos'!$AA$21="Leve"),CONCATENATE("R2C",'Mapa de Riesgos'!$O$21),"")</f>
        <v/>
      </c>
      <c r="K7" s="53" t="str">
        <f>IF(AND('Mapa de Riesgos'!$Y$22="Muy Alta",'Mapa de Riesgos'!$AA$22="Leve"),CONCATENATE("R2C",'Mapa de Riesgos'!$O$22),"")</f>
        <v/>
      </c>
      <c r="L7" s="53" t="str">
        <f>IF(AND('Mapa de Riesgos'!$Y$23="Muy Alta",'Mapa de Riesgos'!$AA$23="Leve"),CONCATENATE("R2C",'Mapa de Riesgos'!$O$23),"")</f>
        <v/>
      </c>
      <c r="M7" s="53" t="str">
        <f>IF(AND('Mapa de Riesgos'!$Y$24="Muy Alta",'Mapa de Riesgos'!$AA$24="Leve"),CONCATENATE("R2C",'Mapa de Riesgos'!$O$24),"")</f>
        <v/>
      </c>
      <c r="N7" s="53" t="str">
        <f>IF(AND('Mapa de Riesgos'!$Y$25="Muy Alta",'Mapa de Riesgos'!$AA$25="Leve"),CONCATENATE("R2C",'Mapa de Riesgos'!$O$25),"")</f>
        <v/>
      </c>
      <c r="O7" s="54" t="str">
        <f>IF(AND('Mapa de Riesgos'!$Y$26="Muy Alta",'Mapa de Riesgos'!$AA$26="Leve"),CONCATENATE("R2C",'Mapa de Riesgos'!$O$26),"")</f>
        <v/>
      </c>
      <c r="P7" s="52" t="str">
        <f>IF(AND('Mapa de Riesgos'!$Y$21="Muy Alta",'Mapa de Riesgos'!$AA$21="Menor"),CONCATENATE("R2C",'Mapa de Riesgos'!$O$21),"")</f>
        <v/>
      </c>
      <c r="Q7" s="53" t="str">
        <f>IF(AND('Mapa de Riesgos'!$Y$22="Muy Alta",'Mapa de Riesgos'!$AA$22="Menor"),CONCATENATE("R2C",'Mapa de Riesgos'!$O$22),"")</f>
        <v/>
      </c>
      <c r="R7" s="53" t="str">
        <f>IF(AND('Mapa de Riesgos'!$Y$23="Muy Alta",'Mapa de Riesgos'!$AA$23="Menor"),CONCATENATE("R2C",'Mapa de Riesgos'!$O$23),"")</f>
        <v/>
      </c>
      <c r="S7" s="53" t="str">
        <f>IF(AND('Mapa de Riesgos'!$Y$24="Muy Alta",'Mapa de Riesgos'!$AA$24="Menor"),CONCATENATE("R2C",'Mapa de Riesgos'!$O$24),"")</f>
        <v/>
      </c>
      <c r="T7" s="53" t="str">
        <f>IF(AND('Mapa de Riesgos'!$Y$25="Muy Alta",'Mapa de Riesgos'!$AA$25="Menor"),CONCATENATE("R2C",'Mapa de Riesgos'!$O$25),"")</f>
        <v/>
      </c>
      <c r="U7" s="54" t="str">
        <f>IF(AND('Mapa de Riesgos'!$Y$26="Muy Alta",'Mapa de Riesgos'!$AA$26="Menor"),CONCATENATE("R2C",'Mapa de Riesgos'!$O$26),"")</f>
        <v/>
      </c>
      <c r="V7" s="52" t="str">
        <f>IF(AND('Mapa de Riesgos'!$Y$21="Muy Alta",'Mapa de Riesgos'!$AA$21="Moderado"),CONCATENATE("R2C",'Mapa de Riesgos'!$O$21),"")</f>
        <v/>
      </c>
      <c r="W7" s="53" t="str">
        <f>IF(AND('Mapa de Riesgos'!$Y$22="Muy Alta",'Mapa de Riesgos'!$AA$22="Moderado"),CONCATENATE("R2C",'Mapa de Riesgos'!$O$22),"")</f>
        <v/>
      </c>
      <c r="X7" s="53" t="str">
        <f>IF(AND('Mapa de Riesgos'!$Y$23="Muy Alta",'Mapa de Riesgos'!$AA$23="Moderado"),CONCATENATE("R2C",'Mapa de Riesgos'!$O$23),"")</f>
        <v/>
      </c>
      <c r="Y7" s="53" t="str">
        <f>IF(AND('Mapa de Riesgos'!$Y$24="Muy Alta",'Mapa de Riesgos'!$AA$24="Moderado"),CONCATENATE("R2C",'Mapa de Riesgos'!$O$24),"")</f>
        <v/>
      </c>
      <c r="Z7" s="53" t="str">
        <f>IF(AND('Mapa de Riesgos'!$Y$25="Muy Alta",'Mapa de Riesgos'!$AA$25="Moderado"),CONCATENATE("R2C",'Mapa de Riesgos'!$O$25),"")</f>
        <v/>
      </c>
      <c r="AA7" s="54" t="str">
        <f>IF(AND('Mapa de Riesgos'!$Y$26="Muy Alta",'Mapa de Riesgos'!$AA$26="Moderado"),CONCATENATE("R2C",'Mapa de Riesgos'!$O$26),"")</f>
        <v/>
      </c>
      <c r="AB7" s="52" t="str">
        <f>IF(AND('Mapa de Riesgos'!$Y$21="Muy Alta",'Mapa de Riesgos'!$AA$21="Mayor"),CONCATENATE("R2C",'Mapa de Riesgos'!$O$21),"")</f>
        <v/>
      </c>
      <c r="AC7" s="53" t="str">
        <f>IF(AND('Mapa de Riesgos'!$Y$22="Muy Alta",'Mapa de Riesgos'!$AA$22="Mayor"),CONCATENATE("R2C",'Mapa de Riesgos'!$O$22),"")</f>
        <v/>
      </c>
      <c r="AD7" s="53" t="str">
        <f>IF(AND('Mapa de Riesgos'!$Y$23="Muy Alta",'Mapa de Riesgos'!$AA$23="Mayor"),CONCATENATE("R2C",'Mapa de Riesgos'!$O$23),"")</f>
        <v/>
      </c>
      <c r="AE7" s="53" t="str">
        <f>IF(AND('Mapa de Riesgos'!$Y$24="Muy Alta",'Mapa de Riesgos'!$AA$24="Mayor"),CONCATENATE("R2C",'Mapa de Riesgos'!$O$24),"")</f>
        <v/>
      </c>
      <c r="AF7" s="53" t="str">
        <f>IF(AND('Mapa de Riesgos'!$Y$25="Muy Alta",'Mapa de Riesgos'!$AA$25="Mayor"),CONCATENATE("R2C",'Mapa de Riesgos'!$O$25),"")</f>
        <v/>
      </c>
      <c r="AG7" s="54" t="str">
        <f>IF(AND('Mapa de Riesgos'!$Y$26="Muy Alta",'Mapa de Riesgos'!$AA$26="Mayor"),CONCATENATE("R2C",'Mapa de Riesgos'!$O$26),"")</f>
        <v/>
      </c>
      <c r="AH7" s="55" t="str">
        <f>IF(AND('Mapa de Riesgos'!$Y$21="Muy Alta",'Mapa de Riesgos'!$AA$21="Catastrófico"),CONCATENATE("R2C",'Mapa de Riesgos'!$O$21),"")</f>
        <v/>
      </c>
      <c r="AI7" s="56" t="str">
        <f>IF(AND('Mapa de Riesgos'!$Y$22="Muy Alta",'Mapa de Riesgos'!$AA$22="Catastrófico"),CONCATENATE("R2C",'Mapa de Riesgos'!$O$22),"")</f>
        <v/>
      </c>
      <c r="AJ7" s="56" t="str">
        <f>IF(AND('Mapa de Riesgos'!$Y$23="Muy Alta",'Mapa de Riesgos'!$AA$23="Catastrófico"),CONCATENATE("R2C",'Mapa de Riesgos'!$O$23),"")</f>
        <v/>
      </c>
      <c r="AK7" s="56" t="str">
        <f>IF(AND('Mapa de Riesgos'!$Y$24="Muy Alta",'Mapa de Riesgos'!$AA$24="Catastrófico"),CONCATENATE("R2C",'Mapa de Riesgos'!$O$24),"")</f>
        <v/>
      </c>
      <c r="AL7" s="56" t="str">
        <f>IF(AND('Mapa de Riesgos'!$Y$25="Muy Alta",'Mapa de Riesgos'!$AA$25="Catastrófico"),CONCATENATE("R2C",'Mapa de Riesgos'!$O$25),"")</f>
        <v/>
      </c>
      <c r="AM7" s="57" t="str">
        <f>IF(AND('Mapa de Riesgos'!$Y$26="Muy Alta",'Mapa de Riesgos'!$AA$26="Catastrófico"),CONCATENATE("R2C",'Mapa de Riesgos'!$O$26),"")</f>
        <v/>
      </c>
      <c r="AN7" s="83"/>
      <c r="AO7" s="561"/>
      <c r="AP7" s="562"/>
      <c r="AQ7" s="562"/>
      <c r="AR7" s="562"/>
      <c r="AS7" s="562"/>
      <c r="AT7" s="56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500"/>
      <c r="C8" s="500"/>
      <c r="D8" s="501"/>
      <c r="E8" s="541"/>
      <c r="F8" s="542"/>
      <c r="G8" s="542"/>
      <c r="H8" s="542"/>
      <c r="I8" s="543"/>
      <c r="J8" s="52" t="str">
        <f>IF(AND('Mapa de Riesgos'!$Y$27="Muy Alta",'Mapa de Riesgos'!$AA$27="Leve"),CONCATENATE("R3C",'Mapa de Riesgos'!$O$27),"")</f>
        <v/>
      </c>
      <c r="K8" s="53" t="str">
        <f>IF(AND('Mapa de Riesgos'!$Y$28="Muy Alta",'Mapa de Riesgos'!$AA$28="Leve"),CONCATENATE("R3C",'Mapa de Riesgos'!$O$28),"")</f>
        <v/>
      </c>
      <c r="L8" s="53" t="str">
        <f>IF(AND('Mapa de Riesgos'!$Y$29="Muy Alta",'Mapa de Riesgos'!$AA$29="Leve"),CONCATENATE("R3C",'Mapa de Riesgos'!$O$29),"")</f>
        <v/>
      </c>
      <c r="M8" s="53" t="str">
        <f>IF(AND('Mapa de Riesgos'!$Y$30="Muy Alta",'Mapa de Riesgos'!$AA$30="Leve"),CONCATENATE("R3C",'Mapa de Riesgos'!$O$30),"")</f>
        <v/>
      </c>
      <c r="N8" s="53" t="str">
        <f>IF(AND('Mapa de Riesgos'!$Y$31="Muy Alta",'Mapa de Riesgos'!$AA$31="Leve"),CONCATENATE("R3C",'Mapa de Riesgos'!$O$31),"")</f>
        <v/>
      </c>
      <c r="O8" s="54" t="str">
        <f>IF(AND('Mapa de Riesgos'!$Y$32="Muy Alta",'Mapa de Riesgos'!$AA$32="Leve"),CONCATENATE("R3C",'Mapa de Riesgos'!$O$32),"")</f>
        <v/>
      </c>
      <c r="P8" s="52" t="str">
        <f>IF(AND('Mapa de Riesgos'!$Y$27="Muy Alta",'Mapa de Riesgos'!$AA$27="Menor"),CONCATENATE("R3C",'Mapa de Riesgos'!$O$27),"")</f>
        <v/>
      </c>
      <c r="Q8" s="53" t="str">
        <f>IF(AND('Mapa de Riesgos'!$Y$28="Muy Alta",'Mapa de Riesgos'!$AA$28="Menor"),CONCATENATE("R3C",'Mapa de Riesgos'!$O$28),"")</f>
        <v/>
      </c>
      <c r="R8" s="53" t="str">
        <f>IF(AND('Mapa de Riesgos'!$Y$29="Muy Alta",'Mapa de Riesgos'!$AA$29="Menor"),CONCATENATE("R3C",'Mapa de Riesgos'!$O$29),"")</f>
        <v/>
      </c>
      <c r="S8" s="53" t="str">
        <f>IF(AND('Mapa de Riesgos'!$Y$30="Muy Alta",'Mapa de Riesgos'!$AA$30="Menor"),CONCATENATE("R3C",'Mapa de Riesgos'!$O$30),"")</f>
        <v/>
      </c>
      <c r="T8" s="53" t="str">
        <f>IF(AND('Mapa de Riesgos'!$Y$31="Muy Alta",'Mapa de Riesgos'!$AA$31="Menor"),CONCATENATE("R3C",'Mapa de Riesgos'!$O$31),"")</f>
        <v/>
      </c>
      <c r="U8" s="54" t="str">
        <f>IF(AND('Mapa de Riesgos'!$Y$32="Muy Alta",'Mapa de Riesgos'!$AA$32="Menor"),CONCATENATE("R3C",'Mapa de Riesgos'!$O$32),"")</f>
        <v/>
      </c>
      <c r="V8" s="52" t="str">
        <f>IF(AND('Mapa de Riesgos'!$Y$27="Muy Alta",'Mapa de Riesgos'!$AA$27="Moderado"),CONCATENATE("R3C",'Mapa de Riesgos'!$O$27),"")</f>
        <v/>
      </c>
      <c r="W8" s="53" t="str">
        <f>IF(AND('Mapa de Riesgos'!$Y$28="Muy Alta",'Mapa de Riesgos'!$AA$28="Moderado"),CONCATENATE("R3C",'Mapa de Riesgos'!$O$28),"")</f>
        <v/>
      </c>
      <c r="X8" s="53" t="str">
        <f>IF(AND('Mapa de Riesgos'!$Y$29="Muy Alta",'Mapa de Riesgos'!$AA$29="Moderado"),CONCATENATE("R3C",'Mapa de Riesgos'!$O$29),"")</f>
        <v/>
      </c>
      <c r="Y8" s="53" t="str">
        <f>IF(AND('Mapa de Riesgos'!$Y$30="Muy Alta",'Mapa de Riesgos'!$AA$30="Moderado"),CONCATENATE("R3C",'Mapa de Riesgos'!$O$30),"")</f>
        <v/>
      </c>
      <c r="Z8" s="53" t="str">
        <f>IF(AND('Mapa de Riesgos'!$Y$31="Muy Alta",'Mapa de Riesgos'!$AA$31="Moderado"),CONCATENATE("R3C",'Mapa de Riesgos'!$O$31),"")</f>
        <v/>
      </c>
      <c r="AA8" s="54" t="str">
        <f>IF(AND('Mapa de Riesgos'!$Y$32="Muy Alta",'Mapa de Riesgos'!$AA$32="Moderado"),CONCATENATE("R3C",'Mapa de Riesgos'!$O$32),"")</f>
        <v/>
      </c>
      <c r="AB8" s="52" t="str">
        <f>IF(AND('Mapa de Riesgos'!$Y$27="Muy Alta",'Mapa de Riesgos'!$AA$27="Mayor"),CONCATENATE("R3C",'Mapa de Riesgos'!$O$27),"")</f>
        <v/>
      </c>
      <c r="AC8" s="53" t="str">
        <f>IF(AND('Mapa de Riesgos'!$Y$28="Muy Alta",'Mapa de Riesgos'!$AA$28="Mayor"),CONCATENATE("R3C",'Mapa de Riesgos'!$O$28),"")</f>
        <v/>
      </c>
      <c r="AD8" s="53" t="str">
        <f>IF(AND('Mapa de Riesgos'!$Y$29="Muy Alta",'Mapa de Riesgos'!$AA$29="Mayor"),CONCATENATE("R3C",'Mapa de Riesgos'!$O$29),"")</f>
        <v/>
      </c>
      <c r="AE8" s="53" t="str">
        <f>IF(AND('Mapa de Riesgos'!$Y$30="Muy Alta",'Mapa de Riesgos'!$AA$30="Mayor"),CONCATENATE("R3C",'Mapa de Riesgos'!$O$30),"")</f>
        <v/>
      </c>
      <c r="AF8" s="53" t="str">
        <f>IF(AND('Mapa de Riesgos'!$Y$31="Muy Alta",'Mapa de Riesgos'!$AA$31="Mayor"),CONCATENATE("R3C",'Mapa de Riesgos'!$O$31),"")</f>
        <v/>
      </c>
      <c r="AG8" s="54" t="str">
        <f>IF(AND('Mapa de Riesgos'!$Y$32="Muy Alta",'Mapa de Riesgos'!$AA$32="Mayor"),CONCATENATE("R3C",'Mapa de Riesgos'!$O$32),"")</f>
        <v/>
      </c>
      <c r="AH8" s="55" t="str">
        <f>IF(AND('Mapa de Riesgos'!$Y$27="Muy Alta",'Mapa de Riesgos'!$AA$27="Catastrófico"),CONCATENATE("R3C",'Mapa de Riesgos'!$O$27),"")</f>
        <v/>
      </c>
      <c r="AI8" s="56" t="str">
        <f>IF(AND('Mapa de Riesgos'!$Y$28="Muy Alta",'Mapa de Riesgos'!$AA$28="Catastrófico"),CONCATENATE("R3C",'Mapa de Riesgos'!$O$28),"")</f>
        <v/>
      </c>
      <c r="AJ8" s="56" t="str">
        <f>IF(AND('Mapa de Riesgos'!$Y$29="Muy Alta",'Mapa de Riesgos'!$AA$29="Catastrófico"),CONCATENATE("R3C",'Mapa de Riesgos'!$O$29),"")</f>
        <v/>
      </c>
      <c r="AK8" s="56" t="str">
        <f>IF(AND('Mapa de Riesgos'!$Y$30="Muy Alta",'Mapa de Riesgos'!$AA$30="Catastrófico"),CONCATENATE("R3C",'Mapa de Riesgos'!$O$30),"")</f>
        <v/>
      </c>
      <c r="AL8" s="56" t="str">
        <f>IF(AND('Mapa de Riesgos'!$Y$31="Muy Alta",'Mapa de Riesgos'!$AA$31="Catastrófico"),CONCATENATE("R3C",'Mapa de Riesgos'!$O$31),"")</f>
        <v/>
      </c>
      <c r="AM8" s="57" t="str">
        <f>IF(AND('Mapa de Riesgos'!$Y$32="Muy Alta",'Mapa de Riesgos'!$AA$32="Catastrófico"),CONCATENATE("R3C",'Mapa de Riesgos'!$O$32),"")</f>
        <v/>
      </c>
      <c r="AN8" s="83"/>
      <c r="AO8" s="561"/>
      <c r="AP8" s="562"/>
      <c r="AQ8" s="562"/>
      <c r="AR8" s="562"/>
      <c r="AS8" s="562"/>
      <c r="AT8" s="56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500"/>
      <c r="C9" s="500"/>
      <c r="D9" s="501"/>
      <c r="E9" s="541"/>
      <c r="F9" s="542"/>
      <c r="G9" s="542"/>
      <c r="H9" s="542"/>
      <c r="I9" s="543"/>
      <c r="J9" s="52" t="str">
        <f>IF(AND('Mapa de Riesgos'!$Y$33="Muy Alta",'Mapa de Riesgos'!$AA$33="Leve"),CONCATENATE("R4C",'Mapa de Riesgos'!$O$33),"")</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Riesgos'!$Y$33="Muy Alta",'Mapa de Riesgos'!$AA$33="Menor"),CONCATENATE("R4C",'Mapa de Riesgos'!$O$33),"")</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Riesgos'!$Y$33="Muy Alta",'Mapa de Riesgos'!$AA$33="Moderado"),CONCATENATE("R4C",'Mapa de Riesgos'!$O$33),"")</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Riesgos'!$Y$33="Muy Alta",'Mapa de Riesgos'!$AA$33="Mayor"),CONCATENATE("R4C",'Mapa de Riesgos'!$O$33),"")</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Riesgos'!$Y$33="Muy Alta",'Mapa de Riesgos'!$AA$33="Catastrófico"),CONCATENATE("R4C",'Mapa de Riesgos'!$O$33),"")</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61"/>
      <c r="AP9" s="562"/>
      <c r="AQ9" s="562"/>
      <c r="AR9" s="562"/>
      <c r="AS9" s="562"/>
      <c r="AT9" s="56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500"/>
      <c r="C10" s="500"/>
      <c r="D10" s="501"/>
      <c r="E10" s="541"/>
      <c r="F10" s="542"/>
      <c r="G10" s="542"/>
      <c r="H10" s="542"/>
      <c r="I10" s="543"/>
      <c r="J10" s="52" t="str">
        <f>IF(AND('Mapa de Riesgos'!$Y$39="Muy Alta",'Mapa de Riesgos'!$AA$39="Leve"),CONCATENATE("R5C",'Mapa de Riesgos'!$O$39),"")</f>
        <v/>
      </c>
      <c r="K10" s="53" t="str">
        <f>IF(AND('Mapa de Riesgos'!$Y$40="Muy Alta",'Mapa de Riesgos'!$AA$40="Leve"),CONCATENATE("R5C",'Mapa de Riesgos'!$O$40),"")</f>
        <v/>
      </c>
      <c r="L10" s="53" t="str">
        <f>IF(AND('Mapa de Riesgos'!$Y$41="Muy Alta",'Mapa de Riesgos'!$AA$41="Leve"),CONCATENATE("R5C",'Mapa de Riesgos'!$O$41),"")</f>
        <v/>
      </c>
      <c r="M10" s="53" t="str">
        <f>IF(AND('Mapa de Riesgos'!$Y$42="Muy Alta",'Mapa de Riesgos'!$AA$42="Leve"),CONCATENATE("R5C",'Mapa de Riesgos'!$O$42),"")</f>
        <v/>
      </c>
      <c r="N10" s="53" t="str">
        <f>IF(AND('Mapa de Riesgos'!$Y$43="Muy Alta",'Mapa de Riesgos'!$AA$43="Leve"),CONCATENATE("R5C",'Mapa de Riesgos'!$O$43),"")</f>
        <v/>
      </c>
      <c r="O10" s="54" t="str">
        <f>IF(AND('Mapa de Riesgos'!$Y$44="Muy Alta",'Mapa de Riesgos'!$AA$44="Leve"),CONCATENATE("R5C",'Mapa de Riesgos'!$O$44),"")</f>
        <v/>
      </c>
      <c r="P10" s="52" t="str">
        <f>IF(AND('Mapa de Riesgos'!$Y$39="Muy Alta",'Mapa de Riesgos'!$AA$39="Menor"),CONCATENATE("R5C",'Mapa de Riesgos'!$O$39),"")</f>
        <v/>
      </c>
      <c r="Q10" s="53" t="str">
        <f>IF(AND('Mapa de Riesgos'!$Y$40="Muy Alta",'Mapa de Riesgos'!$AA$40="Menor"),CONCATENATE("R5C",'Mapa de Riesgos'!$O$40),"")</f>
        <v/>
      </c>
      <c r="R10" s="53" t="str">
        <f>IF(AND('Mapa de Riesgos'!$Y$41="Muy Alta",'Mapa de Riesgos'!$AA$41="Menor"),CONCATENATE("R5C",'Mapa de Riesgos'!$O$41),"")</f>
        <v/>
      </c>
      <c r="S10" s="53" t="str">
        <f>IF(AND('Mapa de Riesgos'!$Y$42="Muy Alta",'Mapa de Riesgos'!$AA$42="Menor"),CONCATENATE("R5C",'Mapa de Riesgos'!$O$42),"")</f>
        <v/>
      </c>
      <c r="T10" s="53" t="str">
        <f>IF(AND('Mapa de Riesgos'!$Y$43="Muy Alta",'Mapa de Riesgos'!$AA$43="Menor"),CONCATENATE("R5C",'Mapa de Riesgos'!$O$43),"")</f>
        <v/>
      </c>
      <c r="U10" s="54" t="str">
        <f>IF(AND('Mapa de Riesgos'!$Y$44="Muy Alta",'Mapa de Riesgos'!$AA$44="Menor"),CONCATENATE("R5C",'Mapa de Riesgos'!$O$44),"")</f>
        <v/>
      </c>
      <c r="V10" s="52" t="str">
        <f>IF(AND('Mapa de Riesgos'!$Y$39="Muy Alta",'Mapa de Riesgos'!$AA$39="Moderado"),CONCATENATE("R5C",'Mapa de Riesgos'!$O$39),"")</f>
        <v/>
      </c>
      <c r="W10" s="53" t="str">
        <f>IF(AND('Mapa de Riesgos'!$Y$40="Muy Alta",'Mapa de Riesgos'!$AA$40="Moderado"),CONCATENATE("R5C",'Mapa de Riesgos'!$O$40),"")</f>
        <v/>
      </c>
      <c r="X10" s="53" t="str">
        <f>IF(AND('Mapa de Riesgos'!$Y$41="Muy Alta",'Mapa de Riesgos'!$AA$41="Moderado"),CONCATENATE("R5C",'Mapa de Riesgos'!$O$41),"")</f>
        <v/>
      </c>
      <c r="Y10" s="53" t="str">
        <f>IF(AND('Mapa de Riesgos'!$Y$42="Muy Alta",'Mapa de Riesgos'!$AA$42="Moderado"),CONCATENATE("R5C",'Mapa de Riesgos'!$O$42),"")</f>
        <v/>
      </c>
      <c r="Z10" s="53" t="str">
        <f>IF(AND('Mapa de Riesgos'!$Y$43="Muy Alta",'Mapa de Riesgos'!$AA$43="Moderado"),CONCATENATE("R5C",'Mapa de Riesgos'!$O$43),"")</f>
        <v/>
      </c>
      <c r="AA10" s="54" t="str">
        <f>IF(AND('Mapa de Riesgos'!$Y$44="Muy Alta",'Mapa de Riesgos'!$AA$44="Moderado"),CONCATENATE("R5C",'Mapa de Riesgos'!$O$44),"")</f>
        <v/>
      </c>
      <c r="AB10" s="52" t="str">
        <f>IF(AND('Mapa de Riesgos'!$Y$39="Muy Alta",'Mapa de Riesgos'!$AA$39="Mayor"),CONCATENATE("R5C",'Mapa de Riesgos'!$O$39),"")</f>
        <v/>
      </c>
      <c r="AC10" s="53" t="str">
        <f>IF(AND('Mapa de Riesgos'!$Y$40="Muy Alta",'Mapa de Riesgos'!$AA$40="Mayor"),CONCATENATE("R5C",'Mapa de Riesgos'!$O$40),"")</f>
        <v/>
      </c>
      <c r="AD10" s="53" t="str">
        <f>IF(AND('Mapa de Riesgos'!$Y$41="Muy Alta",'Mapa de Riesgos'!$AA$41="Mayor"),CONCATENATE("R5C",'Mapa de Riesgos'!$O$41),"")</f>
        <v/>
      </c>
      <c r="AE10" s="53" t="str">
        <f>IF(AND('Mapa de Riesgos'!$Y$42="Muy Alta",'Mapa de Riesgos'!$AA$42="Mayor"),CONCATENATE("R5C",'Mapa de Riesgos'!$O$42),"")</f>
        <v/>
      </c>
      <c r="AF10" s="53" t="str">
        <f>IF(AND('Mapa de Riesgos'!$Y$43="Muy Alta",'Mapa de Riesgos'!$AA$43="Mayor"),CONCATENATE("R5C",'Mapa de Riesgos'!$O$43),"")</f>
        <v/>
      </c>
      <c r="AG10" s="54" t="str">
        <f>IF(AND('Mapa de Riesgos'!$Y$44="Muy Alta",'Mapa de Riesgos'!$AA$44="Mayor"),CONCATENATE("R5C",'Mapa de Riesgos'!$O$44),"")</f>
        <v/>
      </c>
      <c r="AH10" s="55" t="str">
        <f>IF(AND('Mapa de Riesgos'!$Y$39="Muy Alta",'Mapa de Riesgos'!$AA$39="Catastrófico"),CONCATENATE("R5C",'Mapa de Riesgos'!$O$39),"")</f>
        <v/>
      </c>
      <c r="AI10" s="56" t="str">
        <f>IF(AND('Mapa de Riesgos'!$Y$40="Muy Alta",'Mapa de Riesgos'!$AA$40="Catastrófico"),CONCATENATE("R5C",'Mapa de Riesgos'!$O$40),"")</f>
        <v/>
      </c>
      <c r="AJ10" s="56" t="str">
        <f>IF(AND('Mapa de Riesgos'!$Y$41="Muy Alta",'Mapa de Riesgos'!$AA$41="Catastrófico"),CONCATENATE("R5C",'Mapa de Riesgos'!$O$41),"")</f>
        <v/>
      </c>
      <c r="AK10" s="56" t="str">
        <f>IF(AND('Mapa de Riesgos'!$Y$42="Muy Alta",'Mapa de Riesgos'!$AA$42="Catastrófico"),CONCATENATE("R5C",'Mapa de Riesgos'!$O$42),"")</f>
        <v/>
      </c>
      <c r="AL10" s="56" t="str">
        <f>IF(AND('Mapa de Riesgos'!$Y$43="Muy Alta",'Mapa de Riesgos'!$AA$43="Catastrófico"),CONCATENATE("R5C",'Mapa de Riesgos'!$O$43),"")</f>
        <v/>
      </c>
      <c r="AM10" s="57" t="str">
        <f>IF(AND('Mapa de Riesgos'!$Y$44="Muy Alta",'Mapa de Riesgos'!$AA$44="Catastrófico"),CONCATENATE("R5C",'Mapa de Riesgos'!$O$44),"")</f>
        <v/>
      </c>
      <c r="AN10" s="83"/>
      <c r="AO10" s="561"/>
      <c r="AP10" s="562"/>
      <c r="AQ10" s="562"/>
      <c r="AR10" s="562"/>
      <c r="AS10" s="562"/>
      <c r="AT10" s="56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500"/>
      <c r="C11" s="500"/>
      <c r="D11" s="501"/>
      <c r="E11" s="541"/>
      <c r="F11" s="542"/>
      <c r="G11" s="542"/>
      <c r="H11" s="542"/>
      <c r="I11" s="543"/>
      <c r="J11" s="52" t="str">
        <f>IF(AND('Mapa de Riesgos'!$Y$45="Muy Alta",'Mapa de Riesgos'!$AA$45="Leve"),CONCATENATE("R6C",'Mapa de Riesgos'!$O$45),"")</f>
        <v/>
      </c>
      <c r="K11" s="53" t="str">
        <f>IF(AND('Mapa de Riesgos'!$Y$46="Muy Alta",'Mapa de Riesgos'!$AA$46="Leve"),CONCATENATE("R6C",'Mapa de Riesgos'!$O$46),"")</f>
        <v/>
      </c>
      <c r="L11" s="53" t="str">
        <f>IF(AND('Mapa de Riesgos'!$Y$47="Muy Alta",'Mapa de Riesgos'!$AA$47="Leve"),CONCATENATE("R6C",'Mapa de Riesgos'!$O$47),"")</f>
        <v/>
      </c>
      <c r="M11" s="53" t="str">
        <f>IF(AND('Mapa de Riesgos'!$Y$48="Muy Alta",'Mapa de Riesgos'!$AA$48="Leve"),CONCATENATE("R6C",'Mapa de Riesgos'!$O$48),"")</f>
        <v/>
      </c>
      <c r="N11" s="53" t="str">
        <f>IF(AND('Mapa de Riesgos'!$Y$49="Muy Alta",'Mapa de Riesgos'!$AA$49="Leve"),CONCATENATE("R6C",'Mapa de Riesgos'!$O$49),"")</f>
        <v/>
      </c>
      <c r="O11" s="54" t="str">
        <f>IF(AND('Mapa de Riesgos'!$Y$50="Muy Alta",'Mapa de Riesgos'!$AA$50="Leve"),CONCATENATE("R6C",'Mapa de Riesgos'!$O$50),"")</f>
        <v/>
      </c>
      <c r="P11" s="52" t="str">
        <f>IF(AND('Mapa de Riesgos'!$Y$45="Muy Alta",'Mapa de Riesgos'!$AA$45="Menor"),CONCATENATE("R6C",'Mapa de Riesgos'!$O$45),"")</f>
        <v/>
      </c>
      <c r="Q11" s="53" t="str">
        <f>IF(AND('Mapa de Riesgos'!$Y$46="Muy Alta",'Mapa de Riesgos'!$AA$46="Menor"),CONCATENATE("R6C",'Mapa de Riesgos'!$O$46),"")</f>
        <v/>
      </c>
      <c r="R11" s="53" t="str">
        <f>IF(AND('Mapa de Riesgos'!$Y$47="Muy Alta",'Mapa de Riesgos'!$AA$47="Menor"),CONCATENATE("R6C",'Mapa de Riesgos'!$O$47),"")</f>
        <v/>
      </c>
      <c r="S11" s="53" t="str">
        <f>IF(AND('Mapa de Riesgos'!$Y$48="Muy Alta",'Mapa de Riesgos'!$AA$48="Menor"),CONCATENATE("R6C",'Mapa de Riesgos'!$O$48),"")</f>
        <v/>
      </c>
      <c r="T11" s="53" t="str">
        <f>IF(AND('Mapa de Riesgos'!$Y$49="Muy Alta",'Mapa de Riesgos'!$AA$49="Menor"),CONCATENATE("R6C",'Mapa de Riesgos'!$O$49),"")</f>
        <v/>
      </c>
      <c r="U11" s="54" t="str">
        <f>IF(AND('Mapa de Riesgos'!$Y$50="Muy Alta",'Mapa de Riesgos'!$AA$50="Menor"),CONCATENATE("R6C",'Mapa de Riesgos'!$O$50),"")</f>
        <v/>
      </c>
      <c r="V11" s="52" t="str">
        <f>IF(AND('Mapa de Riesgos'!$Y$45="Muy Alta",'Mapa de Riesgos'!$AA$45="Moderado"),CONCATENATE("R6C",'Mapa de Riesgos'!$O$45),"")</f>
        <v/>
      </c>
      <c r="W11" s="53" t="str">
        <f>IF(AND('Mapa de Riesgos'!$Y$46="Muy Alta",'Mapa de Riesgos'!$AA$46="Moderado"),CONCATENATE("R6C",'Mapa de Riesgos'!$O$46),"")</f>
        <v/>
      </c>
      <c r="X11" s="53" t="str">
        <f>IF(AND('Mapa de Riesgos'!$Y$47="Muy Alta",'Mapa de Riesgos'!$AA$47="Moderado"),CONCATENATE("R6C",'Mapa de Riesgos'!$O$47),"")</f>
        <v/>
      </c>
      <c r="Y11" s="53" t="str">
        <f>IF(AND('Mapa de Riesgos'!$Y$48="Muy Alta",'Mapa de Riesgos'!$AA$48="Moderado"),CONCATENATE("R6C",'Mapa de Riesgos'!$O$48),"")</f>
        <v/>
      </c>
      <c r="Z11" s="53" t="str">
        <f>IF(AND('Mapa de Riesgos'!$Y$49="Muy Alta",'Mapa de Riesgos'!$AA$49="Moderado"),CONCATENATE("R6C",'Mapa de Riesgos'!$O$49),"")</f>
        <v/>
      </c>
      <c r="AA11" s="54" t="str">
        <f>IF(AND('Mapa de Riesgos'!$Y$50="Muy Alta",'Mapa de Riesgos'!$AA$50="Moderado"),CONCATENATE("R6C",'Mapa de Riesgos'!$O$50),"")</f>
        <v/>
      </c>
      <c r="AB11" s="52" t="str">
        <f>IF(AND('Mapa de Riesgos'!$Y$45="Muy Alta",'Mapa de Riesgos'!$AA$45="Mayor"),CONCATENATE("R6C",'Mapa de Riesgos'!$O$45),"")</f>
        <v/>
      </c>
      <c r="AC11" s="53" t="str">
        <f>IF(AND('Mapa de Riesgos'!$Y$46="Muy Alta",'Mapa de Riesgos'!$AA$46="Mayor"),CONCATENATE("R6C",'Mapa de Riesgos'!$O$46),"")</f>
        <v/>
      </c>
      <c r="AD11" s="53" t="str">
        <f>IF(AND('Mapa de Riesgos'!$Y$47="Muy Alta",'Mapa de Riesgos'!$AA$47="Mayor"),CONCATENATE("R6C",'Mapa de Riesgos'!$O$47),"")</f>
        <v/>
      </c>
      <c r="AE11" s="53" t="str">
        <f>IF(AND('Mapa de Riesgos'!$Y$48="Muy Alta",'Mapa de Riesgos'!$AA$48="Mayor"),CONCATENATE("R6C",'Mapa de Riesgos'!$O$48),"")</f>
        <v/>
      </c>
      <c r="AF11" s="53" t="str">
        <f>IF(AND('Mapa de Riesgos'!$Y$49="Muy Alta",'Mapa de Riesgos'!$AA$49="Mayor"),CONCATENATE("R6C",'Mapa de Riesgos'!$O$49),"")</f>
        <v/>
      </c>
      <c r="AG11" s="54" t="str">
        <f>IF(AND('Mapa de Riesgos'!$Y$50="Muy Alta",'Mapa de Riesgos'!$AA$50="Mayor"),CONCATENATE("R6C",'Mapa de Riesgos'!$O$50),"")</f>
        <v/>
      </c>
      <c r="AH11" s="55" t="str">
        <f>IF(AND('Mapa de Riesgos'!$Y$45="Muy Alta",'Mapa de Riesgos'!$AA$45="Catastrófico"),CONCATENATE("R6C",'Mapa de Riesgos'!$O$45),"")</f>
        <v/>
      </c>
      <c r="AI11" s="56" t="str">
        <f>IF(AND('Mapa de Riesgos'!$Y$46="Muy Alta",'Mapa de Riesgos'!$AA$46="Catastrófico"),CONCATENATE("R6C",'Mapa de Riesgos'!$O$46),"")</f>
        <v/>
      </c>
      <c r="AJ11" s="56" t="str">
        <f>IF(AND('Mapa de Riesgos'!$Y$47="Muy Alta",'Mapa de Riesgos'!$AA$47="Catastrófico"),CONCATENATE("R6C",'Mapa de Riesgos'!$O$47),"")</f>
        <v/>
      </c>
      <c r="AK11" s="56" t="str">
        <f>IF(AND('Mapa de Riesgos'!$Y$48="Muy Alta",'Mapa de Riesgos'!$AA$48="Catastrófico"),CONCATENATE("R6C",'Mapa de Riesgos'!$O$48),"")</f>
        <v/>
      </c>
      <c r="AL11" s="56" t="str">
        <f>IF(AND('Mapa de Riesgos'!$Y$49="Muy Alta",'Mapa de Riesgos'!$AA$49="Catastrófico"),CONCATENATE("R6C",'Mapa de Riesgos'!$O$49),"")</f>
        <v/>
      </c>
      <c r="AM11" s="57" t="str">
        <f>IF(AND('Mapa de Riesgos'!$Y$50="Muy Alta",'Mapa de Riesgos'!$AA$50="Catastrófico"),CONCATENATE("R6C",'Mapa de Riesgos'!$O$50),"")</f>
        <v/>
      </c>
      <c r="AN11" s="83"/>
      <c r="AO11" s="561"/>
      <c r="AP11" s="562"/>
      <c r="AQ11" s="562"/>
      <c r="AR11" s="562"/>
      <c r="AS11" s="562"/>
      <c r="AT11" s="56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500"/>
      <c r="C12" s="500"/>
      <c r="D12" s="501"/>
      <c r="E12" s="541"/>
      <c r="F12" s="542"/>
      <c r="G12" s="542"/>
      <c r="H12" s="542"/>
      <c r="I12" s="543"/>
      <c r="J12" s="52" t="str">
        <f>IF(AND('Mapa de Riesgos'!$Y$51="Muy Alta",'Mapa de Riesgos'!$AA$51="Leve"),CONCATENATE("R7C",'Mapa de Riesgos'!$O$51),"")</f>
        <v/>
      </c>
      <c r="K12" s="53" t="str">
        <f>IF(AND('Mapa de Riesgos'!$Y$52="Muy Alta",'Mapa de Riesgos'!$AA$52="Leve"),CONCATENATE("R7C",'Mapa de Riesgos'!$O$52),"")</f>
        <v/>
      </c>
      <c r="L12" s="53" t="str">
        <f>IF(AND('Mapa de Riesgos'!$Y$53="Muy Alta",'Mapa de Riesgos'!$AA$53="Leve"),CONCATENATE("R7C",'Mapa de Riesgos'!$O$53),"")</f>
        <v/>
      </c>
      <c r="M12" s="53" t="str">
        <f>IF(AND('Mapa de Riesgos'!$Y$54="Muy Alta",'Mapa de Riesgos'!$AA$54="Leve"),CONCATENATE("R7C",'Mapa de Riesgos'!$O$54),"")</f>
        <v/>
      </c>
      <c r="N12" s="53" t="str">
        <f>IF(AND('Mapa de Riesgos'!$Y$55="Muy Alta",'Mapa de Riesgos'!$AA$55="Leve"),CONCATENATE("R7C",'Mapa de Riesgos'!$O$55),"")</f>
        <v/>
      </c>
      <c r="O12" s="54" t="str">
        <f>IF(AND('Mapa de Riesgos'!$Y$56="Muy Alta",'Mapa de Riesgos'!$AA$56="Leve"),CONCATENATE("R7C",'Mapa de Riesgos'!$O$56),"")</f>
        <v/>
      </c>
      <c r="P12" s="52" t="str">
        <f>IF(AND('Mapa de Riesgos'!$Y$51="Muy Alta",'Mapa de Riesgos'!$AA$51="Menor"),CONCATENATE("R7C",'Mapa de Riesgos'!$O$51),"")</f>
        <v/>
      </c>
      <c r="Q12" s="53" t="str">
        <f>IF(AND('Mapa de Riesgos'!$Y$52="Muy Alta",'Mapa de Riesgos'!$AA$52="Menor"),CONCATENATE("R7C",'Mapa de Riesgos'!$O$52),"")</f>
        <v/>
      </c>
      <c r="R12" s="53" t="str">
        <f>IF(AND('Mapa de Riesgos'!$Y$53="Muy Alta",'Mapa de Riesgos'!$AA$53="Menor"),CONCATENATE("R7C",'Mapa de Riesgos'!$O$53),"")</f>
        <v/>
      </c>
      <c r="S12" s="53" t="str">
        <f>IF(AND('Mapa de Riesgos'!$Y$54="Muy Alta",'Mapa de Riesgos'!$AA$54="Menor"),CONCATENATE("R7C",'Mapa de Riesgos'!$O$54),"")</f>
        <v/>
      </c>
      <c r="T12" s="53" t="str">
        <f>IF(AND('Mapa de Riesgos'!$Y$55="Muy Alta",'Mapa de Riesgos'!$AA$55="Menor"),CONCATENATE("R7C",'Mapa de Riesgos'!$O$55),"")</f>
        <v/>
      </c>
      <c r="U12" s="54" t="str">
        <f>IF(AND('Mapa de Riesgos'!$Y$56="Muy Alta",'Mapa de Riesgos'!$AA$56="Menor"),CONCATENATE("R7C",'Mapa de Riesgos'!$O$56),"")</f>
        <v/>
      </c>
      <c r="V12" s="52" t="str">
        <f>IF(AND('Mapa de Riesgos'!$Y$51="Muy Alta",'Mapa de Riesgos'!$AA$51="Moderado"),CONCATENATE("R7C",'Mapa de Riesgos'!$O$51),"")</f>
        <v/>
      </c>
      <c r="W12" s="53" t="str">
        <f>IF(AND('Mapa de Riesgos'!$Y$52="Muy Alta",'Mapa de Riesgos'!$AA$52="Moderado"),CONCATENATE("R7C",'Mapa de Riesgos'!$O$52),"")</f>
        <v/>
      </c>
      <c r="X12" s="53" t="str">
        <f>IF(AND('Mapa de Riesgos'!$Y$53="Muy Alta",'Mapa de Riesgos'!$AA$53="Moderado"),CONCATENATE("R7C",'Mapa de Riesgos'!$O$53),"")</f>
        <v/>
      </c>
      <c r="Y12" s="53" t="str">
        <f>IF(AND('Mapa de Riesgos'!$Y$54="Muy Alta",'Mapa de Riesgos'!$AA$54="Moderado"),CONCATENATE("R7C",'Mapa de Riesgos'!$O$54),"")</f>
        <v/>
      </c>
      <c r="Z12" s="53" t="str">
        <f>IF(AND('Mapa de Riesgos'!$Y$55="Muy Alta",'Mapa de Riesgos'!$AA$55="Moderado"),CONCATENATE("R7C",'Mapa de Riesgos'!$O$55),"")</f>
        <v/>
      </c>
      <c r="AA12" s="54" t="str">
        <f>IF(AND('Mapa de Riesgos'!$Y$56="Muy Alta",'Mapa de Riesgos'!$AA$56="Moderado"),CONCATENATE("R7C",'Mapa de Riesgos'!$O$56),"")</f>
        <v/>
      </c>
      <c r="AB12" s="52" t="str">
        <f>IF(AND('Mapa de Riesgos'!$Y$51="Muy Alta",'Mapa de Riesgos'!$AA$51="Mayor"),CONCATENATE("R7C",'Mapa de Riesgos'!$O$51),"")</f>
        <v/>
      </c>
      <c r="AC12" s="53" t="str">
        <f>IF(AND('Mapa de Riesgos'!$Y$52="Muy Alta",'Mapa de Riesgos'!$AA$52="Mayor"),CONCATENATE("R7C",'Mapa de Riesgos'!$O$52),"")</f>
        <v/>
      </c>
      <c r="AD12" s="53" t="str">
        <f>IF(AND('Mapa de Riesgos'!$Y$53="Muy Alta",'Mapa de Riesgos'!$AA$53="Mayor"),CONCATENATE("R7C",'Mapa de Riesgos'!$O$53),"")</f>
        <v/>
      </c>
      <c r="AE12" s="53" t="str">
        <f>IF(AND('Mapa de Riesgos'!$Y$54="Muy Alta",'Mapa de Riesgos'!$AA$54="Mayor"),CONCATENATE("R7C",'Mapa de Riesgos'!$O$54),"")</f>
        <v/>
      </c>
      <c r="AF12" s="53" t="str">
        <f>IF(AND('Mapa de Riesgos'!$Y$55="Muy Alta",'Mapa de Riesgos'!$AA$55="Mayor"),CONCATENATE("R7C",'Mapa de Riesgos'!$O$55),"")</f>
        <v/>
      </c>
      <c r="AG12" s="54" t="str">
        <f>IF(AND('Mapa de Riesgos'!$Y$56="Muy Alta",'Mapa de Riesgos'!$AA$56="Mayor"),CONCATENATE("R7C",'Mapa de Riesgos'!$O$56),"")</f>
        <v/>
      </c>
      <c r="AH12" s="55" t="str">
        <f>IF(AND('Mapa de Riesgos'!$Y$51="Muy Alta",'Mapa de Riesgos'!$AA$51="Catastrófico"),CONCATENATE("R7C",'Mapa de Riesgos'!$O$51),"")</f>
        <v/>
      </c>
      <c r="AI12" s="56" t="str">
        <f>IF(AND('Mapa de Riesgos'!$Y$52="Muy Alta",'Mapa de Riesgos'!$AA$52="Catastrófico"),CONCATENATE("R7C",'Mapa de Riesgos'!$O$52),"")</f>
        <v/>
      </c>
      <c r="AJ12" s="56" t="str">
        <f>IF(AND('Mapa de Riesgos'!$Y$53="Muy Alta",'Mapa de Riesgos'!$AA$53="Catastrófico"),CONCATENATE("R7C",'Mapa de Riesgos'!$O$53),"")</f>
        <v/>
      </c>
      <c r="AK12" s="56" t="str">
        <f>IF(AND('Mapa de Riesgos'!$Y$54="Muy Alta",'Mapa de Riesgos'!$AA$54="Catastrófico"),CONCATENATE("R7C",'Mapa de Riesgos'!$O$54),"")</f>
        <v/>
      </c>
      <c r="AL12" s="56" t="str">
        <f>IF(AND('Mapa de Riesgos'!$Y$55="Muy Alta",'Mapa de Riesgos'!$AA$55="Catastrófico"),CONCATENATE("R7C",'Mapa de Riesgos'!$O$55),"")</f>
        <v/>
      </c>
      <c r="AM12" s="57" t="str">
        <f>IF(AND('Mapa de Riesgos'!$Y$56="Muy Alta",'Mapa de Riesgos'!$AA$56="Catastrófico"),CONCATENATE("R7C",'Mapa de Riesgos'!$O$56),"")</f>
        <v/>
      </c>
      <c r="AN12" s="83"/>
      <c r="AO12" s="561"/>
      <c r="AP12" s="562"/>
      <c r="AQ12" s="562"/>
      <c r="AR12" s="562"/>
      <c r="AS12" s="562"/>
      <c r="AT12" s="56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500"/>
      <c r="C13" s="500"/>
      <c r="D13" s="501"/>
      <c r="E13" s="541"/>
      <c r="F13" s="542"/>
      <c r="G13" s="542"/>
      <c r="H13" s="542"/>
      <c r="I13" s="543"/>
      <c r="J13" s="52" t="str">
        <f>IF(AND('Mapa de Riesgos'!$Y$57="Muy Alta",'Mapa de Riesgos'!$AA$57="Leve"),CONCATENATE("R8C",'Mapa de Riesgos'!$O$57),"")</f>
        <v/>
      </c>
      <c r="K13" s="53" t="str">
        <f>IF(AND('Mapa de Riesgos'!$Y$58="Muy Alta",'Mapa de Riesgos'!$AA$58="Leve"),CONCATENATE("R8C",'Mapa de Riesgos'!$O$58),"")</f>
        <v/>
      </c>
      <c r="L13" s="53" t="str">
        <f>IF(AND('Mapa de Riesgos'!$Y$59="Muy Alta",'Mapa de Riesgos'!$AA$59="Leve"),CONCATENATE("R8C",'Mapa de Riesgos'!$O$59),"")</f>
        <v/>
      </c>
      <c r="M13" s="53" t="str">
        <f>IF(AND('Mapa de Riesgos'!$Y$60="Muy Alta",'Mapa de Riesgos'!$AA$60="Leve"),CONCATENATE("R8C",'Mapa de Riesgos'!$O$60),"")</f>
        <v/>
      </c>
      <c r="N13" s="53" t="str">
        <f>IF(AND('Mapa de Riesgos'!$Y$61="Muy Alta",'Mapa de Riesgos'!$AA$61="Leve"),CONCATENATE("R8C",'Mapa de Riesgos'!$O$61),"")</f>
        <v/>
      </c>
      <c r="O13" s="54" t="str">
        <f>IF(AND('Mapa de Riesgos'!$Y$62="Muy Alta",'Mapa de Riesgos'!$AA$62="Leve"),CONCATENATE("R8C",'Mapa de Riesgos'!$O$62),"")</f>
        <v/>
      </c>
      <c r="P13" s="52" t="str">
        <f>IF(AND('Mapa de Riesgos'!$Y$57="Muy Alta",'Mapa de Riesgos'!$AA$57="Menor"),CONCATENATE("R8C",'Mapa de Riesgos'!$O$57),"")</f>
        <v/>
      </c>
      <c r="Q13" s="53" t="str">
        <f>IF(AND('Mapa de Riesgos'!$Y$58="Muy Alta",'Mapa de Riesgos'!$AA$58="Menor"),CONCATENATE("R8C",'Mapa de Riesgos'!$O$58),"")</f>
        <v/>
      </c>
      <c r="R13" s="53" t="str">
        <f>IF(AND('Mapa de Riesgos'!$Y$59="Muy Alta",'Mapa de Riesgos'!$AA$59="Menor"),CONCATENATE("R8C",'Mapa de Riesgos'!$O$59),"")</f>
        <v/>
      </c>
      <c r="S13" s="53" t="str">
        <f>IF(AND('Mapa de Riesgos'!$Y$60="Muy Alta",'Mapa de Riesgos'!$AA$60="Menor"),CONCATENATE("R8C",'Mapa de Riesgos'!$O$60),"")</f>
        <v/>
      </c>
      <c r="T13" s="53" t="str">
        <f>IF(AND('Mapa de Riesgos'!$Y$61="Muy Alta",'Mapa de Riesgos'!$AA$61="Menor"),CONCATENATE("R8C",'Mapa de Riesgos'!$O$61),"")</f>
        <v/>
      </c>
      <c r="U13" s="54" t="str">
        <f>IF(AND('Mapa de Riesgos'!$Y$62="Muy Alta",'Mapa de Riesgos'!$AA$62="Menor"),CONCATENATE("R8C",'Mapa de Riesgos'!$O$62),"")</f>
        <v/>
      </c>
      <c r="V13" s="52" t="str">
        <f>IF(AND('Mapa de Riesgos'!$Y$57="Muy Alta",'Mapa de Riesgos'!$AA$57="Moderado"),CONCATENATE("R8C",'Mapa de Riesgos'!$O$57),"")</f>
        <v/>
      </c>
      <c r="W13" s="53" t="str">
        <f>IF(AND('Mapa de Riesgos'!$Y$58="Muy Alta",'Mapa de Riesgos'!$AA$58="Moderado"),CONCATENATE("R8C",'Mapa de Riesgos'!$O$58),"")</f>
        <v/>
      </c>
      <c r="X13" s="53" t="str">
        <f>IF(AND('Mapa de Riesgos'!$Y$59="Muy Alta",'Mapa de Riesgos'!$AA$59="Moderado"),CONCATENATE("R8C",'Mapa de Riesgos'!$O$59),"")</f>
        <v/>
      </c>
      <c r="Y13" s="53" t="str">
        <f>IF(AND('Mapa de Riesgos'!$Y$60="Muy Alta",'Mapa de Riesgos'!$AA$60="Moderado"),CONCATENATE("R8C",'Mapa de Riesgos'!$O$60),"")</f>
        <v/>
      </c>
      <c r="Z13" s="53" t="str">
        <f>IF(AND('Mapa de Riesgos'!$Y$61="Muy Alta",'Mapa de Riesgos'!$AA$61="Moderado"),CONCATENATE("R8C",'Mapa de Riesgos'!$O$61),"")</f>
        <v/>
      </c>
      <c r="AA13" s="54" t="str">
        <f>IF(AND('Mapa de Riesgos'!$Y$62="Muy Alta",'Mapa de Riesgos'!$AA$62="Moderado"),CONCATENATE("R8C",'Mapa de Riesgos'!$O$62),"")</f>
        <v/>
      </c>
      <c r="AB13" s="52" t="str">
        <f>IF(AND('Mapa de Riesgos'!$Y$57="Muy Alta",'Mapa de Riesgos'!$AA$57="Mayor"),CONCATENATE("R8C",'Mapa de Riesgos'!$O$57),"")</f>
        <v/>
      </c>
      <c r="AC13" s="53" t="str">
        <f>IF(AND('Mapa de Riesgos'!$Y$58="Muy Alta",'Mapa de Riesgos'!$AA$58="Mayor"),CONCATENATE("R8C",'Mapa de Riesgos'!$O$58),"")</f>
        <v/>
      </c>
      <c r="AD13" s="53" t="str">
        <f>IF(AND('Mapa de Riesgos'!$Y$59="Muy Alta",'Mapa de Riesgos'!$AA$59="Mayor"),CONCATENATE("R8C",'Mapa de Riesgos'!$O$59),"")</f>
        <v/>
      </c>
      <c r="AE13" s="53" t="str">
        <f>IF(AND('Mapa de Riesgos'!$Y$60="Muy Alta",'Mapa de Riesgos'!$AA$60="Mayor"),CONCATENATE("R8C",'Mapa de Riesgos'!$O$60),"")</f>
        <v/>
      </c>
      <c r="AF13" s="53" t="str">
        <f>IF(AND('Mapa de Riesgos'!$Y$61="Muy Alta",'Mapa de Riesgos'!$AA$61="Mayor"),CONCATENATE("R8C",'Mapa de Riesgos'!$O$61),"")</f>
        <v/>
      </c>
      <c r="AG13" s="54" t="str">
        <f>IF(AND('Mapa de Riesgos'!$Y$62="Muy Alta",'Mapa de Riesgos'!$AA$62="Mayor"),CONCATENATE("R8C",'Mapa de Riesgos'!$O$62),"")</f>
        <v/>
      </c>
      <c r="AH13" s="55" t="str">
        <f>IF(AND('Mapa de Riesgos'!$Y$57="Muy Alta",'Mapa de Riesgos'!$AA$57="Catastrófico"),CONCATENATE("R8C",'Mapa de Riesgos'!$O$57),"")</f>
        <v/>
      </c>
      <c r="AI13" s="56" t="str">
        <f>IF(AND('Mapa de Riesgos'!$Y$58="Muy Alta",'Mapa de Riesgos'!$AA$58="Catastrófico"),CONCATENATE("R8C",'Mapa de Riesgos'!$O$58),"")</f>
        <v/>
      </c>
      <c r="AJ13" s="56" t="str">
        <f>IF(AND('Mapa de Riesgos'!$Y$59="Muy Alta",'Mapa de Riesgos'!$AA$59="Catastrófico"),CONCATENATE("R8C",'Mapa de Riesgos'!$O$59),"")</f>
        <v/>
      </c>
      <c r="AK13" s="56" t="str">
        <f>IF(AND('Mapa de Riesgos'!$Y$60="Muy Alta",'Mapa de Riesgos'!$AA$60="Catastrófico"),CONCATENATE("R8C",'Mapa de Riesgos'!$O$60),"")</f>
        <v/>
      </c>
      <c r="AL13" s="56" t="str">
        <f>IF(AND('Mapa de Riesgos'!$Y$61="Muy Alta",'Mapa de Riesgos'!$AA$61="Catastrófico"),CONCATENATE("R8C",'Mapa de Riesgos'!$O$61),"")</f>
        <v/>
      </c>
      <c r="AM13" s="57" t="str">
        <f>IF(AND('Mapa de Riesgos'!$Y$62="Muy Alta",'Mapa de Riesgos'!$AA$62="Catastrófico"),CONCATENATE("R8C",'Mapa de Riesgos'!$O$62),"")</f>
        <v/>
      </c>
      <c r="AN13" s="83"/>
      <c r="AO13" s="561"/>
      <c r="AP13" s="562"/>
      <c r="AQ13" s="562"/>
      <c r="AR13" s="562"/>
      <c r="AS13" s="562"/>
      <c r="AT13" s="56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500"/>
      <c r="C14" s="500"/>
      <c r="D14" s="501"/>
      <c r="E14" s="541"/>
      <c r="F14" s="542"/>
      <c r="G14" s="542"/>
      <c r="H14" s="542"/>
      <c r="I14" s="543"/>
      <c r="J14" s="52" t="str">
        <f>IF(AND('Mapa de Riesgos'!$Y$63="Muy Alta",'Mapa de Riesgos'!$AA$63="Leve"),CONCATENATE("R9C",'Mapa de Riesgos'!$O$63),"")</f>
        <v/>
      </c>
      <c r="K14" s="53" t="str">
        <f>IF(AND('Mapa de Riesgos'!$Y$64="Muy Alta",'Mapa de Riesgos'!$AA$64="Leve"),CONCATENATE("R9C",'Mapa de Riesgos'!$O$64),"")</f>
        <v/>
      </c>
      <c r="L14" s="53" t="str">
        <f>IF(AND('Mapa de Riesgos'!$Y$65="Muy Alta",'Mapa de Riesgos'!$AA$65="Leve"),CONCATENATE("R9C",'Mapa de Riesgos'!$O$65),"")</f>
        <v/>
      </c>
      <c r="M14" s="53" t="str">
        <f>IF(AND('Mapa de Riesgos'!$Y$66="Muy Alta",'Mapa de Riesgos'!$AA$66="Leve"),CONCATENATE("R9C",'Mapa de Riesgos'!$O$66),"")</f>
        <v/>
      </c>
      <c r="N14" s="53" t="str">
        <f>IF(AND('Mapa de Riesgos'!$Y$67="Muy Alta",'Mapa de Riesgos'!$AA$67="Leve"),CONCATENATE("R9C",'Mapa de Riesgos'!$O$67),"")</f>
        <v/>
      </c>
      <c r="O14" s="54" t="str">
        <f>IF(AND('Mapa de Riesgos'!$Y$68="Muy Alta",'Mapa de Riesgos'!$AA$68="Leve"),CONCATENATE("R9C",'Mapa de Riesgos'!$O$68),"")</f>
        <v/>
      </c>
      <c r="P14" s="52" t="str">
        <f>IF(AND('Mapa de Riesgos'!$Y$63="Muy Alta",'Mapa de Riesgos'!$AA$63="Menor"),CONCATENATE("R9C",'Mapa de Riesgos'!$O$63),"")</f>
        <v/>
      </c>
      <c r="Q14" s="53" t="str">
        <f>IF(AND('Mapa de Riesgos'!$Y$64="Muy Alta",'Mapa de Riesgos'!$AA$64="Menor"),CONCATENATE("R9C",'Mapa de Riesgos'!$O$64),"")</f>
        <v/>
      </c>
      <c r="R14" s="53" t="str">
        <f>IF(AND('Mapa de Riesgos'!$Y$65="Muy Alta",'Mapa de Riesgos'!$AA$65="Menor"),CONCATENATE("R9C",'Mapa de Riesgos'!$O$65),"")</f>
        <v/>
      </c>
      <c r="S14" s="53" t="str">
        <f>IF(AND('Mapa de Riesgos'!$Y$66="Muy Alta",'Mapa de Riesgos'!$AA$66="Menor"),CONCATENATE("R9C",'Mapa de Riesgos'!$O$66),"")</f>
        <v/>
      </c>
      <c r="T14" s="53" t="str">
        <f>IF(AND('Mapa de Riesgos'!$Y$67="Muy Alta",'Mapa de Riesgos'!$AA$67="Menor"),CONCATENATE("R9C",'Mapa de Riesgos'!$O$67),"")</f>
        <v/>
      </c>
      <c r="U14" s="54" t="str">
        <f>IF(AND('Mapa de Riesgos'!$Y$68="Muy Alta",'Mapa de Riesgos'!$AA$68="Menor"),CONCATENATE("R9C",'Mapa de Riesgos'!$O$68),"")</f>
        <v/>
      </c>
      <c r="V14" s="52" t="str">
        <f>IF(AND('Mapa de Riesgos'!$Y$63="Muy Alta",'Mapa de Riesgos'!$AA$63="Moderado"),CONCATENATE("R9C",'Mapa de Riesgos'!$O$63),"")</f>
        <v/>
      </c>
      <c r="W14" s="53" t="str">
        <f>IF(AND('Mapa de Riesgos'!$Y$64="Muy Alta",'Mapa de Riesgos'!$AA$64="Moderado"),CONCATENATE("R9C",'Mapa de Riesgos'!$O$64),"")</f>
        <v/>
      </c>
      <c r="X14" s="53" t="str">
        <f>IF(AND('Mapa de Riesgos'!$Y$65="Muy Alta",'Mapa de Riesgos'!$AA$65="Moderado"),CONCATENATE("R9C",'Mapa de Riesgos'!$O$65),"")</f>
        <v/>
      </c>
      <c r="Y14" s="53" t="str">
        <f>IF(AND('Mapa de Riesgos'!$Y$66="Muy Alta",'Mapa de Riesgos'!$AA$66="Moderado"),CONCATENATE("R9C",'Mapa de Riesgos'!$O$66),"")</f>
        <v/>
      </c>
      <c r="Z14" s="53" t="str">
        <f>IF(AND('Mapa de Riesgos'!$Y$67="Muy Alta",'Mapa de Riesgos'!$AA$67="Moderado"),CONCATENATE("R9C",'Mapa de Riesgos'!$O$67),"")</f>
        <v/>
      </c>
      <c r="AA14" s="54" t="str">
        <f>IF(AND('Mapa de Riesgos'!$Y$68="Muy Alta",'Mapa de Riesgos'!$AA$68="Moderado"),CONCATENATE("R9C",'Mapa de Riesgos'!$O$68),"")</f>
        <v/>
      </c>
      <c r="AB14" s="52" t="str">
        <f>IF(AND('Mapa de Riesgos'!$Y$63="Muy Alta",'Mapa de Riesgos'!$AA$63="Mayor"),CONCATENATE("R9C",'Mapa de Riesgos'!$O$63),"")</f>
        <v/>
      </c>
      <c r="AC14" s="53" t="str">
        <f>IF(AND('Mapa de Riesgos'!$Y$64="Muy Alta",'Mapa de Riesgos'!$AA$64="Mayor"),CONCATENATE("R9C",'Mapa de Riesgos'!$O$64),"")</f>
        <v/>
      </c>
      <c r="AD14" s="53" t="str">
        <f>IF(AND('Mapa de Riesgos'!$Y$65="Muy Alta",'Mapa de Riesgos'!$AA$65="Mayor"),CONCATENATE("R9C",'Mapa de Riesgos'!$O$65),"")</f>
        <v/>
      </c>
      <c r="AE14" s="53" t="str">
        <f>IF(AND('Mapa de Riesgos'!$Y$66="Muy Alta",'Mapa de Riesgos'!$AA$66="Mayor"),CONCATENATE("R9C",'Mapa de Riesgos'!$O$66),"")</f>
        <v/>
      </c>
      <c r="AF14" s="53" t="str">
        <f>IF(AND('Mapa de Riesgos'!$Y$67="Muy Alta",'Mapa de Riesgos'!$AA$67="Mayor"),CONCATENATE("R9C",'Mapa de Riesgos'!$O$67),"")</f>
        <v/>
      </c>
      <c r="AG14" s="54" t="str">
        <f>IF(AND('Mapa de Riesgos'!$Y$68="Muy Alta",'Mapa de Riesgos'!$AA$68="Mayor"),CONCATENATE("R9C",'Mapa de Riesgos'!$O$68),"")</f>
        <v/>
      </c>
      <c r="AH14" s="55" t="str">
        <f>IF(AND('Mapa de Riesgos'!$Y$63="Muy Alta",'Mapa de Riesgos'!$AA$63="Catastrófico"),CONCATENATE("R9C",'Mapa de Riesgos'!$O$63),"")</f>
        <v/>
      </c>
      <c r="AI14" s="56" t="str">
        <f>IF(AND('Mapa de Riesgos'!$Y$64="Muy Alta",'Mapa de Riesgos'!$AA$64="Catastrófico"),CONCATENATE("R9C",'Mapa de Riesgos'!$O$64),"")</f>
        <v/>
      </c>
      <c r="AJ14" s="56" t="str">
        <f>IF(AND('Mapa de Riesgos'!$Y$65="Muy Alta",'Mapa de Riesgos'!$AA$65="Catastrófico"),CONCATENATE("R9C",'Mapa de Riesgos'!$O$65),"")</f>
        <v/>
      </c>
      <c r="AK14" s="56" t="str">
        <f>IF(AND('Mapa de Riesgos'!$Y$66="Muy Alta",'Mapa de Riesgos'!$AA$66="Catastrófico"),CONCATENATE("R9C",'Mapa de Riesgos'!$O$66),"")</f>
        <v/>
      </c>
      <c r="AL14" s="56" t="str">
        <f>IF(AND('Mapa de Riesgos'!$Y$67="Muy Alta",'Mapa de Riesgos'!$AA$67="Catastrófico"),CONCATENATE("R9C",'Mapa de Riesgos'!$O$67),"")</f>
        <v/>
      </c>
      <c r="AM14" s="57" t="str">
        <f>IF(AND('Mapa de Riesgos'!$Y$68="Muy Alta",'Mapa de Riesgos'!$AA$68="Catastrófico"),CONCATENATE("R9C",'Mapa de Riesgos'!$O$68),"")</f>
        <v/>
      </c>
      <c r="AN14" s="83"/>
      <c r="AO14" s="561"/>
      <c r="AP14" s="562"/>
      <c r="AQ14" s="562"/>
      <c r="AR14" s="562"/>
      <c r="AS14" s="562"/>
      <c r="AT14" s="56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500"/>
      <c r="C15" s="500"/>
      <c r="D15" s="501"/>
      <c r="E15" s="544"/>
      <c r="F15" s="545"/>
      <c r="G15" s="545"/>
      <c r="H15" s="545"/>
      <c r="I15" s="546"/>
      <c r="J15" s="58" t="str">
        <f>IF(AND('Mapa de Riesgos'!$Y$69="Muy Alta",'Mapa de Riesgos'!$AA$69="Leve"),CONCATENATE("R10C",'Mapa de Riesgos'!$O$69),"")</f>
        <v/>
      </c>
      <c r="K15" s="59" t="str">
        <f>IF(AND('Mapa de Riesgos'!$Y$70="Muy Alta",'Mapa de Riesgos'!$AA$70="Leve"),CONCATENATE("R10C",'Mapa de Riesgos'!$O$70),"")</f>
        <v/>
      </c>
      <c r="L15" s="59" t="str">
        <f>IF(AND('Mapa de Riesgos'!$Y$71="Muy Alta",'Mapa de Riesgos'!$AA$71="Leve"),CONCATENATE("R10C",'Mapa de Riesgos'!$O$71),"")</f>
        <v/>
      </c>
      <c r="M15" s="59" t="str">
        <f>IF(AND('Mapa de Riesgos'!$Y$72="Muy Alta",'Mapa de Riesgos'!$AA$72="Leve"),CONCATENATE("R10C",'Mapa de Riesgos'!$O$72),"")</f>
        <v/>
      </c>
      <c r="N15" s="59" t="str">
        <f>IF(AND('Mapa de Riesgos'!$Y$73="Muy Alta",'Mapa de Riesgos'!$AA$73="Leve"),CONCATENATE("R10C",'Mapa de Riesgos'!$O$73),"")</f>
        <v/>
      </c>
      <c r="O15" s="60" t="str">
        <f>IF(AND('Mapa de Riesgos'!$Y$74="Muy Alta",'Mapa de Riesgos'!$AA$74="Leve"),CONCATENATE("R10C",'Mapa de Riesgos'!$O$74),"")</f>
        <v/>
      </c>
      <c r="P15" s="52" t="str">
        <f>IF(AND('Mapa de Riesgos'!$Y$69="Muy Alta",'Mapa de Riesgos'!$AA$69="Menor"),CONCATENATE("R10C",'Mapa de Riesgos'!$O$69),"")</f>
        <v/>
      </c>
      <c r="Q15" s="53" t="str">
        <f>IF(AND('Mapa de Riesgos'!$Y$70="Muy Alta",'Mapa de Riesgos'!$AA$70="Menor"),CONCATENATE("R10C",'Mapa de Riesgos'!$O$70),"")</f>
        <v/>
      </c>
      <c r="R15" s="53" t="str">
        <f>IF(AND('Mapa de Riesgos'!$Y$71="Muy Alta",'Mapa de Riesgos'!$AA$71="Menor"),CONCATENATE("R10C",'Mapa de Riesgos'!$O$71),"")</f>
        <v/>
      </c>
      <c r="S15" s="53" t="str">
        <f>IF(AND('Mapa de Riesgos'!$Y$72="Muy Alta",'Mapa de Riesgos'!$AA$72="Menor"),CONCATENATE("R10C",'Mapa de Riesgos'!$O$72),"")</f>
        <v/>
      </c>
      <c r="T15" s="53" t="str">
        <f>IF(AND('Mapa de Riesgos'!$Y$73="Muy Alta",'Mapa de Riesgos'!$AA$73="Menor"),CONCATENATE("R10C",'Mapa de Riesgos'!$O$73),"")</f>
        <v/>
      </c>
      <c r="U15" s="54" t="str">
        <f>IF(AND('Mapa de Riesgos'!$Y$74="Muy Alta",'Mapa de Riesgos'!$AA$74="Menor"),CONCATENATE("R10C",'Mapa de Riesgos'!$O$74),"")</f>
        <v/>
      </c>
      <c r="V15" s="58" t="str">
        <f>IF(AND('Mapa de Riesgos'!$Y$69="Muy Alta",'Mapa de Riesgos'!$AA$69="Moderado"),CONCATENATE("R10C",'Mapa de Riesgos'!$O$69),"")</f>
        <v/>
      </c>
      <c r="W15" s="59" t="str">
        <f>IF(AND('Mapa de Riesgos'!$Y$70="Muy Alta",'Mapa de Riesgos'!$AA$70="Moderado"),CONCATENATE("R10C",'Mapa de Riesgos'!$O$70),"")</f>
        <v/>
      </c>
      <c r="X15" s="59" t="str">
        <f>IF(AND('Mapa de Riesgos'!$Y$71="Muy Alta",'Mapa de Riesgos'!$AA$71="Moderado"),CONCATENATE("R10C",'Mapa de Riesgos'!$O$71),"")</f>
        <v/>
      </c>
      <c r="Y15" s="59" t="str">
        <f>IF(AND('Mapa de Riesgos'!$Y$72="Muy Alta",'Mapa de Riesgos'!$AA$72="Moderado"),CONCATENATE("R10C",'Mapa de Riesgos'!$O$72),"")</f>
        <v/>
      </c>
      <c r="Z15" s="59" t="str">
        <f>IF(AND('Mapa de Riesgos'!$Y$73="Muy Alta",'Mapa de Riesgos'!$AA$73="Moderado"),CONCATENATE("R10C",'Mapa de Riesgos'!$O$73),"")</f>
        <v/>
      </c>
      <c r="AA15" s="60" t="str">
        <f>IF(AND('Mapa de Riesgos'!$Y$74="Muy Alta",'Mapa de Riesgos'!$AA$74="Moderado"),CONCATENATE("R10C",'Mapa de Riesgos'!$O$74),"")</f>
        <v/>
      </c>
      <c r="AB15" s="52" t="str">
        <f>IF(AND('Mapa de Riesgos'!$Y$69="Muy Alta",'Mapa de Riesgos'!$AA$69="Mayor"),CONCATENATE("R10C",'Mapa de Riesgos'!$O$69),"")</f>
        <v/>
      </c>
      <c r="AC15" s="53" t="str">
        <f>IF(AND('Mapa de Riesgos'!$Y$70="Muy Alta",'Mapa de Riesgos'!$AA$70="Mayor"),CONCATENATE("R10C",'Mapa de Riesgos'!$O$70),"")</f>
        <v/>
      </c>
      <c r="AD15" s="53" t="str">
        <f>IF(AND('Mapa de Riesgos'!$Y$71="Muy Alta",'Mapa de Riesgos'!$AA$71="Mayor"),CONCATENATE("R10C",'Mapa de Riesgos'!$O$71),"")</f>
        <v/>
      </c>
      <c r="AE15" s="53" t="str">
        <f>IF(AND('Mapa de Riesgos'!$Y$72="Muy Alta",'Mapa de Riesgos'!$AA$72="Mayor"),CONCATENATE("R10C",'Mapa de Riesgos'!$O$72),"")</f>
        <v/>
      </c>
      <c r="AF15" s="53" t="str">
        <f>IF(AND('Mapa de Riesgos'!$Y$73="Muy Alta",'Mapa de Riesgos'!$AA$73="Mayor"),CONCATENATE("R10C",'Mapa de Riesgos'!$O$73),"")</f>
        <v/>
      </c>
      <c r="AG15" s="54" t="str">
        <f>IF(AND('Mapa de Riesgos'!$Y$74="Muy Alta",'Mapa de Riesgos'!$AA$74="Mayor"),CONCATENATE("R10C",'Mapa de Riesgos'!$O$74),"")</f>
        <v/>
      </c>
      <c r="AH15" s="61" t="str">
        <f>IF(AND('Mapa de Riesgos'!$Y$69="Muy Alta",'Mapa de Riesgos'!$AA$69="Catastrófico"),CONCATENATE("R10C",'Mapa de Riesgos'!$O$69),"")</f>
        <v/>
      </c>
      <c r="AI15" s="62" t="str">
        <f>IF(AND('Mapa de Riesgos'!$Y$70="Muy Alta",'Mapa de Riesgos'!$AA$70="Catastrófico"),CONCATENATE("R10C",'Mapa de Riesgos'!$O$70),"")</f>
        <v/>
      </c>
      <c r="AJ15" s="62" t="str">
        <f>IF(AND('Mapa de Riesgos'!$Y$71="Muy Alta",'Mapa de Riesgos'!$AA$71="Catastrófico"),CONCATENATE("R10C",'Mapa de Riesgos'!$O$71),"")</f>
        <v/>
      </c>
      <c r="AK15" s="62" t="str">
        <f>IF(AND('Mapa de Riesgos'!$Y$72="Muy Alta",'Mapa de Riesgos'!$AA$72="Catastrófico"),CONCATENATE("R10C",'Mapa de Riesgos'!$O$72),"")</f>
        <v/>
      </c>
      <c r="AL15" s="62" t="str">
        <f>IF(AND('Mapa de Riesgos'!$Y$73="Muy Alta",'Mapa de Riesgos'!$AA$73="Catastrófico"),CONCATENATE("R10C",'Mapa de Riesgos'!$O$73),"")</f>
        <v/>
      </c>
      <c r="AM15" s="63" t="str">
        <f>IF(AND('Mapa de Riesgos'!$Y$74="Muy Alta",'Mapa de Riesgos'!$AA$74="Catastrófico"),CONCATENATE("R10C",'Mapa de Riesgos'!$O$74),"")</f>
        <v/>
      </c>
      <c r="AN15" s="83"/>
      <c r="AO15" s="564"/>
      <c r="AP15" s="565"/>
      <c r="AQ15" s="565"/>
      <c r="AR15" s="565"/>
      <c r="AS15" s="565"/>
      <c r="AT15" s="56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500"/>
      <c r="C16" s="500"/>
      <c r="D16" s="501"/>
      <c r="E16" s="538" t="s">
        <v>211</v>
      </c>
      <c r="F16" s="539"/>
      <c r="G16" s="539"/>
      <c r="H16" s="539"/>
      <c r="I16" s="539"/>
      <c r="J16" s="64" t="str">
        <f>IF(AND('Mapa de Riesgos'!$Y$12="Alta",'Mapa de Riesgos'!$AA$12="Leve"),CONCATENATE("R1C",'Mapa de Riesgos'!$O$12),"")</f>
        <v/>
      </c>
      <c r="K16" s="65" t="str">
        <f>IF(AND('Mapa de Riesgos'!$Y$16="Alta",'Mapa de Riesgos'!$AA$16="Leve"),CONCATENATE("R1C",'Mapa de Riesgos'!$O$16),"")</f>
        <v/>
      </c>
      <c r="L16" s="65" t="str">
        <f>IF(AND('Mapa de Riesgos'!$Y$17="Alta",'Mapa de Riesgos'!$AA$17="Leve"),CONCATENATE("R1C",'Mapa de Riesgos'!$O$17),"")</f>
        <v/>
      </c>
      <c r="M16" s="65" t="str">
        <f>IF(AND('Mapa de Riesgos'!$Y$18="Alta",'Mapa de Riesgos'!$AA$18="Leve"),CONCATENATE("R1C",'Mapa de Riesgos'!$O$18),"")</f>
        <v/>
      </c>
      <c r="N16" s="65" t="str">
        <f>IF(AND('Mapa de Riesgos'!$Y$19="Alta",'Mapa de Riesgos'!$AA$19="Leve"),CONCATENATE("R1C",'Mapa de Riesgos'!$O$19),"")</f>
        <v/>
      </c>
      <c r="O16" s="66" t="str">
        <f>IF(AND('Mapa de Riesgos'!$Y$20="Alta",'Mapa de Riesgos'!$AA$20="Leve"),CONCATENATE("R1C",'Mapa de Riesgos'!$O$20),"")</f>
        <v/>
      </c>
      <c r="P16" s="64" t="str">
        <f>IF(AND('Mapa de Riesgos'!$Y$12="Alta",'Mapa de Riesgos'!$AA$12="Menor"),CONCATENATE("R1C",'Mapa de Riesgos'!$O$12),"")</f>
        <v/>
      </c>
      <c r="Q16" s="65" t="str">
        <f>IF(AND('Mapa de Riesgos'!$Y$16="Alta",'Mapa de Riesgos'!$AA$16="Menor"),CONCATENATE("R1C",'Mapa de Riesgos'!$O$16),"")</f>
        <v/>
      </c>
      <c r="R16" s="65" t="str">
        <f>IF(AND('Mapa de Riesgos'!$Y$17="Alta",'Mapa de Riesgos'!$AA$17="Menor"),CONCATENATE("R1C",'Mapa de Riesgos'!$O$17),"")</f>
        <v/>
      </c>
      <c r="S16" s="65" t="str">
        <f>IF(AND('Mapa de Riesgos'!$Y$18="Alta",'Mapa de Riesgos'!$AA$18="Menor"),CONCATENATE("R1C",'Mapa de Riesgos'!$O$18),"")</f>
        <v/>
      </c>
      <c r="T16" s="65" t="str">
        <f>IF(AND('Mapa de Riesgos'!$Y$19="Alta",'Mapa de Riesgos'!$AA$19="Menor"),CONCATENATE("R1C",'Mapa de Riesgos'!$O$19),"")</f>
        <v/>
      </c>
      <c r="U16" s="66" t="str">
        <f>IF(AND('Mapa de Riesgos'!$Y$20="Alta",'Mapa de Riesgos'!$AA$20="Menor"),CONCATENATE("R1C",'Mapa de Riesgos'!$O$20),"")</f>
        <v/>
      </c>
      <c r="V16" s="46" t="str">
        <f>IF(AND('Mapa de Riesgos'!$Y$12="Alta",'Mapa de Riesgos'!$AA$12="Moderado"),CONCATENATE("R1C",'Mapa de Riesgos'!$O$12),"")</f>
        <v/>
      </c>
      <c r="W16" s="47" t="str">
        <f>IF(AND('Mapa de Riesgos'!$Y$16="Alta",'Mapa de Riesgos'!$AA$16="Moderado"),CONCATENATE("R1C",'Mapa de Riesgos'!$O$16),"")</f>
        <v/>
      </c>
      <c r="X16" s="47" t="str">
        <f>IF(AND('Mapa de Riesgos'!$Y$17="Alta",'Mapa de Riesgos'!$AA$17="Moderado"),CONCATENATE("R1C",'Mapa de Riesgos'!$O$17),"")</f>
        <v/>
      </c>
      <c r="Y16" s="47" t="str">
        <f>IF(AND('Mapa de Riesgos'!$Y$18="Alta",'Mapa de Riesgos'!$AA$18="Moderado"),CONCATENATE("R1C",'Mapa de Riesgos'!$O$18),"")</f>
        <v/>
      </c>
      <c r="Z16" s="47" t="str">
        <f>IF(AND('Mapa de Riesgos'!$Y$19="Alta",'Mapa de Riesgos'!$AA$19="Moderado"),CONCATENATE("R1C",'Mapa de Riesgos'!$O$19),"")</f>
        <v/>
      </c>
      <c r="AA16" s="48" t="str">
        <f>IF(AND('Mapa de Riesgos'!$Y$20="Alta",'Mapa de Riesgos'!$AA$20="Moderado"),CONCATENATE("R1C",'Mapa de Riesgos'!$O$20),"")</f>
        <v/>
      </c>
      <c r="AB16" s="46" t="str">
        <f>IF(AND('Mapa de Riesgos'!$Y$12="Alta",'Mapa de Riesgos'!$AA$12="Mayor"),CONCATENATE("R1C",'Mapa de Riesgos'!$O$12),"")</f>
        <v/>
      </c>
      <c r="AC16" s="47" t="str">
        <f>IF(AND('Mapa de Riesgos'!$Y$16="Alta",'Mapa de Riesgos'!$AA$16="Mayor"),CONCATENATE("R1C",'Mapa de Riesgos'!$O$16),"")</f>
        <v/>
      </c>
      <c r="AD16" s="47" t="str">
        <f>IF(AND('Mapa de Riesgos'!$Y$17="Alta",'Mapa de Riesgos'!$AA$17="Mayor"),CONCATENATE("R1C",'Mapa de Riesgos'!$O$17),"")</f>
        <v/>
      </c>
      <c r="AE16" s="47" t="str">
        <f>IF(AND('Mapa de Riesgos'!$Y$18="Alta",'Mapa de Riesgos'!$AA$18="Mayor"),CONCATENATE("R1C",'Mapa de Riesgos'!$O$18),"")</f>
        <v/>
      </c>
      <c r="AF16" s="47" t="str">
        <f>IF(AND('Mapa de Riesgos'!$Y$19="Alta",'Mapa de Riesgos'!$AA$19="Mayor"),CONCATENATE("R1C",'Mapa de Riesgos'!$O$19),"")</f>
        <v/>
      </c>
      <c r="AG16" s="48" t="str">
        <f>IF(AND('Mapa de Riesgos'!$Y$20="Alta",'Mapa de Riesgos'!$AA$20="Mayor"),CONCATENATE("R1C",'Mapa de Riesgos'!$O$20),"")</f>
        <v/>
      </c>
      <c r="AH16" s="49" t="str">
        <f>IF(AND('Mapa de Riesgos'!$Y$12="Alta",'Mapa de Riesgos'!$AA$12="Catastrófico"),CONCATENATE("R1C",'Mapa de Riesgos'!$O$12),"")</f>
        <v/>
      </c>
      <c r="AI16" s="50" t="str">
        <f>IF(AND('Mapa de Riesgos'!$Y$16="Alta",'Mapa de Riesgos'!$AA$16="Catastrófico"),CONCATENATE("R1C",'Mapa de Riesgos'!$O$16),"")</f>
        <v/>
      </c>
      <c r="AJ16" s="50" t="str">
        <f>IF(AND('Mapa de Riesgos'!$Y$17="Alta",'Mapa de Riesgos'!$AA$17="Catastrófico"),CONCATENATE("R1C",'Mapa de Riesgos'!$O$17),"")</f>
        <v/>
      </c>
      <c r="AK16" s="50" t="str">
        <f>IF(AND('Mapa de Riesgos'!$Y$18="Alta",'Mapa de Riesgos'!$AA$18="Catastrófico"),CONCATENATE("R1C",'Mapa de Riesgos'!$O$18),"")</f>
        <v/>
      </c>
      <c r="AL16" s="50" t="str">
        <f>IF(AND('Mapa de Riesgos'!$Y$19="Alta",'Mapa de Riesgos'!$AA$19="Catastrófico"),CONCATENATE("R1C",'Mapa de Riesgos'!$O$19),"")</f>
        <v/>
      </c>
      <c r="AM16" s="51" t="str">
        <f>IF(AND('Mapa de Riesgos'!$Y$20="Alta",'Mapa de Riesgos'!$AA$20="Catastrófico"),CONCATENATE("R1C",'Mapa de Riesgos'!$O$20),"")</f>
        <v/>
      </c>
      <c r="AN16" s="83"/>
      <c r="AO16" s="548" t="s">
        <v>212</v>
      </c>
      <c r="AP16" s="549"/>
      <c r="AQ16" s="549"/>
      <c r="AR16" s="549"/>
      <c r="AS16" s="549"/>
      <c r="AT16" s="55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500"/>
      <c r="C17" s="500"/>
      <c r="D17" s="501"/>
      <c r="E17" s="557"/>
      <c r="F17" s="542"/>
      <c r="G17" s="542"/>
      <c r="H17" s="542"/>
      <c r="I17" s="542"/>
      <c r="J17" s="67" t="str">
        <f>IF(AND('Mapa de Riesgos'!$Y$21="Alta",'Mapa de Riesgos'!$AA$21="Leve"),CONCATENATE("R2C",'Mapa de Riesgos'!$O$21),"")</f>
        <v/>
      </c>
      <c r="K17" s="68" t="str">
        <f>IF(AND('Mapa de Riesgos'!$Y$22="Alta",'Mapa de Riesgos'!$AA$22="Leve"),CONCATENATE("R2C",'Mapa de Riesgos'!$O$22),"")</f>
        <v/>
      </c>
      <c r="L17" s="68" t="str">
        <f>IF(AND('Mapa de Riesgos'!$Y$23="Alta",'Mapa de Riesgos'!$AA$23="Leve"),CONCATENATE("R2C",'Mapa de Riesgos'!$O$23),"")</f>
        <v/>
      </c>
      <c r="M17" s="68" t="str">
        <f>IF(AND('Mapa de Riesgos'!$Y$24="Alta",'Mapa de Riesgos'!$AA$24="Leve"),CONCATENATE("R2C",'Mapa de Riesgos'!$O$24),"")</f>
        <v/>
      </c>
      <c r="N17" s="68" t="str">
        <f>IF(AND('Mapa de Riesgos'!$Y$25="Alta",'Mapa de Riesgos'!$AA$25="Leve"),CONCATENATE("R2C",'Mapa de Riesgos'!$O$25),"")</f>
        <v/>
      </c>
      <c r="O17" s="69" t="str">
        <f>IF(AND('Mapa de Riesgos'!$Y$26="Alta",'Mapa de Riesgos'!$AA$26="Leve"),CONCATENATE("R2C",'Mapa de Riesgos'!$O$26),"")</f>
        <v/>
      </c>
      <c r="P17" s="67" t="str">
        <f>IF(AND('Mapa de Riesgos'!$Y$21="Alta",'Mapa de Riesgos'!$AA$21="Menor"),CONCATENATE("R2C",'Mapa de Riesgos'!$O$21),"")</f>
        <v/>
      </c>
      <c r="Q17" s="68" t="str">
        <f>IF(AND('Mapa de Riesgos'!$Y$22="Alta",'Mapa de Riesgos'!$AA$22="Menor"),CONCATENATE("R2C",'Mapa de Riesgos'!$O$22),"")</f>
        <v/>
      </c>
      <c r="R17" s="68" t="str">
        <f>IF(AND('Mapa de Riesgos'!$Y$23="Alta",'Mapa de Riesgos'!$AA$23="Menor"),CONCATENATE("R2C",'Mapa de Riesgos'!$O$23),"")</f>
        <v/>
      </c>
      <c r="S17" s="68" t="str">
        <f>IF(AND('Mapa de Riesgos'!$Y$24="Alta",'Mapa de Riesgos'!$AA$24="Menor"),CONCATENATE("R2C",'Mapa de Riesgos'!$O$24),"")</f>
        <v/>
      </c>
      <c r="T17" s="68" t="str">
        <f>IF(AND('Mapa de Riesgos'!$Y$25="Alta",'Mapa de Riesgos'!$AA$25="Menor"),CONCATENATE("R2C",'Mapa de Riesgos'!$O$25),"")</f>
        <v/>
      </c>
      <c r="U17" s="69" t="str">
        <f>IF(AND('Mapa de Riesgos'!$Y$26="Alta",'Mapa de Riesgos'!$AA$26="Menor"),CONCATENATE("R2C",'Mapa de Riesgos'!$O$26),"")</f>
        <v/>
      </c>
      <c r="V17" s="52" t="str">
        <f>IF(AND('Mapa de Riesgos'!$Y$21="Alta",'Mapa de Riesgos'!$AA$21="Moderado"),CONCATENATE("R2C",'Mapa de Riesgos'!$O$21),"")</f>
        <v/>
      </c>
      <c r="W17" s="53" t="str">
        <f>IF(AND('Mapa de Riesgos'!$Y$22="Alta",'Mapa de Riesgos'!$AA$22="Moderado"),CONCATENATE("R2C",'Mapa de Riesgos'!$O$22),"")</f>
        <v/>
      </c>
      <c r="X17" s="53" t="str">
        <f>IF(AND('Mapa de Riesgos'!$Y$23="Alta",'Mapa de Riesgos'!$AA$23="Moderado"),CONCATENATE("R2C",'Mapa de Riesgos'!$O$23),"")</f>
        <v/>
      </c>
      <c r="Y17" s="53" t="str">
        <f>IF(AND('Mapa de Riesgos'!$Y$24="Alta",'Mapa de Riesgos'!$AA$24="Moderado"),CONCATENATE("R2C",'Mapa de Riesgos'!$O$24),"")</f>
        <v/>
      </c>
      <c r="Z17" s="53" t="str">
        <f>IF(AND('Mapa de Riesgos'!$Y$25="Alta",'Mapa de Riesgos'!$AA$25="Moderado"),CONCATENATE("R2C",'Mapa de Riesgos'!$O$25),"")</f>
        <v/>
      </c>
      <c r="AA17" s="54" t="str">
        <f>IF(AND('Mapa de Riesgos'!$Y$26="Alta",'Mapa de Riesgos'!$AA$26="Moderado"),CONCATENATE("R2C",'Mapa de Riesgos'!$O$26),"")</f>
        <v/>
      </c>
      <c r="AB17" s="52" t="str">
        <f>IF(AND('Mapa de Riesgos'!$Y$21="Alta",'Mapa de Riesgos'!$AA$21="Mayor"),CONCATENATE("R2C",'Mapa de Riesgos'!$O$21),"")</f>
        <v/>
      </c>
      <c r="AC17" s="53" t="str">
        <f>IF(AND('Mapa de Riesgos'!$Y$22="Alta",'Mapa de Riesgos'!$AA$22="Mayor"),CONCATENATE("R2C",'Mapa de Riesgos'!$O$22),"")</f>
        <v/>
      </c>
      <c r="AD17" s="53" t="str">
        <f>IF(AND('Mapa de Riesgos'!$Y$23="Alta",'Mapa de Riesgos'!$AA$23="Mayor"),CONCATENATE("R2C",'Mapa de Riesgos'!$O$23),"")</f>
        <v/>
      </c>
      <c r="AE17" s="53" t="str">
        <f>IF(AND('Mapa de Riesgos'!$Y$24="Alta",'Mapa de Riesgos'!$AA$24="Mayor"),CONCATENATE("R2C",'Mapa de Riesgos'!$O$24),"")</f>
        <v/>
      </c>
      <c r="AF17" s="53" t="str">
        <f>IF(AND('Mapa de Riesgos'!$Y$25="Alta",'Mapa de Riesgos'!$AA$25="Mayor"),CONCATENATE("R2C",'Mapa de Riesgos'!$O$25),"")</f>
        <v/>
      </c>
      <c r="AG17" s="54" t="str">
        <f>IF(AND('Mapa de Riesgos'!$Y$26="Alta",'Mapa de Riesgos'!$AA$26="Mayor"),CONCATENATE("R2C",'Mapa de Riesgos'!$O$26),"")</f>
        <v/>
      </c>
      <c r="AH17" s="55" t="str">
        <f>IF(AND('Mapa de Riesgos'!$Y$21="Alta",'Mapa de Riesgos'!$AA$21="Catastrófico"),CONCATENATE("R2C",'Mapa de Riesgos'!$O$21),"")</f>
        <v/>
      </c>
      <c r="AI17" s="56" t="str">
        <f>IF(AND('Mapa de Riesgos'!$Y$22="Alta",'Mapa de Riesgos'!$AA$22="Catastrófico"),CONCATENATE("R2C",'Mapa de Riesgos'!$O$22),"")</f>
        <v/>
      </c>
      <c r="AJ17" s="56" t="str">
        <f>IF(AND('Mapa de Riesgos'!$Y$23="Alta",'Mapa de Riesgos'!$AA$23="Catastrófico"),CONCATENATE("R2C",'Mapa de Riesgos'!$O$23),"")</f>
        <v/>
      </c>
      <c r="AK17" s="56" t="str">
        <f>IF(AND('Mapa de Riesgos'!$Y$24="Alta",'Mapa de Riesgos'!$AA$24="Catastrófico"),CONCATENATE("R2C",'Mapa de Riesgos'!$O$24),"")</f>
        <v/>
      </c>
      <c r="AL17" s="56" t="str">
        <f>IF(AND('Mapa de Riesgos'!$Y$25="Alta",'Mapa de Riesgos'!$AA$25="Catastrófico"),CONCATENATE("R2C",'Mapa de Riesgos'!$O$25),"")</f>
        <v/>
      </c>
      <c r="AM17" s="57" t="str">
        <f>IF(AND('Mapa de Riesgos'!$Y$26="Alta",'Mapa de Riesgos'!$AA$26="Catastrófico"),CONCATENATE("R2C",'Mapa de Riesgos'!$O$26),"")</f>
        <v/>
      </c>
      <c r="AN17" s="83"/>
      <c r="AO17" s="551"/>
      <c r="AP17" s="552"/>
      <c r="AQ17" s="552"/>
      <c r="AR17" s="552"/>
      <c r="AS17" s="552"/>
      <c r="AT17" s="55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500"/>
      <c r="C18" s="500"/>
      <c r="D18" s="501"/>
      <c r="E18" s="541"/>
      <c r="F18" s="542"/>
      <c r="G18" s="542"/>
      <c r="H18" s="542"/>
      <c r="I18" s="542"/>
      <c r="J18" s="67" t="str">
        <f>IF(AND('Mapa de Riesgos'!$Y$27="Alta",'Mapa de Riesgos'!$AA$27="Leve"),CONCATENATE("R3C",'Mapa de Riesgos'!$O$27),"")</f>
        <v/>
      </c>
      <c r="K18" s="68" t="str">
        <f>IF(AND('Mapa de Riesgos'!$Y$28="Alta",'Mapa de Riesgos'!$AA$28="Leve"),CONCATENATE("R3C",'Mapa de Riesgos'!$O$28),"")</f>
        <v/>
      </c>
      <c r="L18" s="68" t="str">
        <f>IF(AND('Mapa de Riesgos'!$Y$29="Alta",'Mapa de Riesgos'!$AA$29="Leve"),CONCATENATE("R3C",'Mapa de Riesgos'!$O$29),"")</f>
        <v/>
      </c>
      <c r="M18" s="68" t="str">
        <f>IF(AND('Mapa de Riesgos'!$Y$30="Alta",'Mapa de Riesgos'!$AA$30="Leve"),CONCATENATE("R3C",'Mapa de Riesgos'!$O$30),"")</f>
        <v/>
      </c>
      <c r="N18" s="68" t="str">
        <f>IF(AND('Mapa de Riesgos'!$Y$31="Alta",'Mapa de Riesgos'!$AA$31="Leve"),CONCATENATE("R3C",'Mapa de Riesgos'!$O$31),"")</f>
        <v/>
      </c>
      <c r="O18" s="69" t="str">
        <f>IF(AND('Mapa de Riesgos'!$Y$32="Alta",'Mapa de Riesgos'!$AA$32="Leve"),CONCATENATE("R3C",'Mapa de Riesgos'!$O$32),"")</f>
        <v/>
      </c>
      <c r="P18" s="67" t="str">
        <f>IF(AND('Mapa de Riesgos'!$Y$27="Alta",'Mapa de Riesgos'!$AA$27="Menor"),CONCATENATE("R3C",'Mapa de Riesgos'!$O$27),"")</f>
        <v/>
      </c>
      <c r="Q18" s="68" t="str">
        <f>IF(AND('Mapa de Riesgos'!$Y$28="Alta",'Mapa de Riesgos'!$AA$28="Menor"),CONCATENATE("R3C",'Mapa de Riesgos'!$O$28),"")</f>
        <v/>
      </c>
      <c r="R18" s="68" t="str">
        <f>IF(AND('Mapa de Riesgos'!$Y$29="Alta",'Mapa de Riesgos'!$AA$29="Menor"),CONCATENATE("R3C",'Mapa de Riesgos'!$O$29),"")</f>
        <v/>
      </c>
      <c r="S18" s="68" t="str">
        <f>IF(AND('Mapa de Riesgos'!$Y$30="Alta",'Mapa de Riesgos'!$AA$30="Menor"),CONCATENATE("R3C",'Mapa de Riesgos'!$O$30),"")</f>
        <v/>
      </c>
      <c r="T18" s="68" t="str">
        <f>IF(AND('Mapa de Riesgos'!$Y$31="Alta",'Mapa de Riesgos'!$AA$31="Menor"),CONCATENATE("R3C",'Mapa de Riesgos'!$O$31),"")</f>
        <v/>
      </c>
      <c r="U18" s="69" t="str">
        <f>IF(AND('Mapa de Riesgos'!$Y$32="Alta",'Mapa de Riesgos'!$AA$32="Menor"),CONCATENATE("R3C",'Mapa de Riesgos'!$O$32),"")</f>
        <v/>
      </c>
      <c r="V18" s="52" t="str">
        <f>IF(AND('Mapa de Riesgos'!$Y$27="Alta",'Mapa de Riesgos'!$AA$27="Moderado"),CONCATENATE("R3C",'Mapa de Riesgos'!$O$27),"")</f>
        <v/>
      </c>
      <c r="W18" s="53" t="str">
        <f>IF(AND('Mapa de Riesgos'!$Y$28="Alta",'Mapa de Riesgos'!$AA$28="Moderado"),CONCATENATE("R3C",'Mapa de Riesgos'!$O$28),"")</f>
        <v/>
      </c>
      <c r="X18" s="53" t="str">
        <f>IF(AND('Mapa de Riesgos'!$Y$29="Alta",'Mapa de Riesgos'!$AA$29="Moderado"),CONCATENATE("R3C",'Mapa de Riesgos'!$O$29),"")</f>
        <v/>
      </c>
      <c r="Y18" s="53" t="str">
        <f>IF(AND('Mapa de Riesgos'!$Y$30="Alta",'Mapa de Riesgos'!$AA$30="Moderado"),CONCATENATE("R3C",'Mapa de Riesgos'!$O$30),"")</f>
        <v/>
      </c>
      <c r="Z18" s="53" t="str">
        <f>IF(AND('Mapa de Riesgos'!$Y$31="Alta",'Mapa de Riesgos'!$AA$31="Moderado"),CONCATENATE("R3C",'Mapa de Riesgos'!$O$31),"")</f>
        <v/>
      </c>
      <c r="AA18" s="54" t="str">
        <f>IF(AND('Mapa de Riesgos'!$Y$32="Alta",'Mapa de Riesgos'!$AA$32="Moderado"),CONCATENATE("R3C",'Mapa de Riesgos'!$O$32),"")</f>
        <v/>
      </c>
      <c r="AB18" s="52" t="str">
        <f>IF(AND('Mapa de Riesgos'!$Y$27="Alta",'Mapa de Riesgos'!$AA$27="Mayor"),CONCATENATE("R3C",'Mapa de Riesgos'!$O$27),"")</f>
        <v/>
      </c>
      <c r="AC18" s="53" t="str">
        <f>IF(AND('Mapa de Riesgos'!$Y$28="Alta",'Mapa de Riesgos'!$AA$28="Mayor"),CONCATENATE("R3C",'Mapa de Riesgos'!$O$28),"")</f>
        <v/>
      </c>
      <c r="AD18" s="53" t="str">
        <f>IF(AND('Mapa de Riesgos'!$Y$29="Alta",'Mapa de Riesgos'!$AA$29="Mayor"),CONCATENATE("R3C",'Mapa de Riesgos'!$O$29),"")</f>
        <v/>
      </c>
      <c r="AE18" s="53" t="str">
        <f>IF(AND('Mapa de Riesgos'!$Y$30="Alta",'Mapa de Riesgos'!$AA$30="Mayor"),CONCATENATE("R3C",'Mapa de Riesgos'!$O$30),"")</f>
        <v/>
      </c>
      <c r="AF18" s="53" t="str">
        <f>IF(AND('Mapa de Riesgos'!$Y$31="Alta",'Mapa de Riesgos'!$AA$31="Mayor"),CONCATENATE("R3C",'Mapa de Riesgos'!$O$31),"")</f>
        <v/>
      </c>
      <c r="AG18" s="54" t="str">
        <f>IF(AND('Mapa de Riesgos'!$Y$32="Alta",'Mapa de Riesgos'!$AA$32="Mayor"),CONCATENATE("R3C",'Mapa de Riesgos'!$O$32),"")</f>
        <v/>
      </c>
      <c r="AH18" s="55" t="str">
        <f>IF(AND('Mapa de Riesgos'!$Y$27="Alta",'Mapa de Riesgos'!$AA$27="Catastrófico"),CONCATENATE("R3C",'Mapa de Riesgos'!$O$27),"")</f>
        <v/>
      </c>
      <c r="AI18" s="56" t="str">
        <f>IF(AND('Mapa de Riesgos'!$Y$28="Alta",'Mapa de Riesgos'!$AA$28="Catastrófico"),CONCATENATE("R3C",'Mapa de Riesgos'!$O$28),"")</f>
        <v/>
      </c>
      <c r="AJ18" s="56" t="str">
        <f>IF(AND('Mapa de Riesgos'!$Y$29="Alta",'Mapa de Riesgos'!$AA$29="Catastrófico"),CONCATENATE("R3C",'Mapa de Riesgos'!$O$29),"")</f>
        <v/>
      </c>
      <c r="AK18" s="56" t="str">
        <f>IF(AND('Mapa de Riesgos'!$Y$30="Alta",'Mapa de Riesgos'!$AA$30="Catastrófico"),CONCATENATE("R3C",'Mapa de Riesgos'!$O$30),"")</f>
        <v/>
      </c>
      <c r="AL18" s="56" t="str">
        <f>IF(AND('Mapa de Riesgos'!$Y$31="Alta",'Mapa de Riesgos'!$AA$31="Catastrófico"),CONCATENATE("R3C",'Mapa de Riesgos'!$O$31),"")</f>
        <v/>
      </c>
      <c r="AM18" s="57" t="str">
        <f>IF(AND('Mapa de Riesgos'!$Y$32="Alta",'Mapa de Riesgos'!$AA$32="Catastrófico"),CONCATENATE("R3C",'Mapa de Riesgos'!$O$32),"")</f>
        <v/>
      </c>
      <c r="AN18" s="83"/>
      <c r="AO18" s="551"/>
      <c r="AP18" s="552"/>
      <c r="AQ18" s="552"/>
      <c r="AR18" s="552"/>
      <c r="AS18" s="552"/>
      <c r="AT18" s="55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500"/>
      <c r="C19" s="500"/>
      <c r="D19" s="501"/>
      <c r="E19" s="541"/>
      <c r="F19" s="542"/>
      <c r="G19" s="542"/>
      <c r="H19" s="542"/>
      <c r="I19" s="542"/>
      <c r="J19" s="67" t="str">
        <f>IF(AND('Mapa de Riesgos'!$Y$33="Alta",'Mapa de Riesgos'!$AA$33="Leve"),CONCATENATE("R4C",'Mapa de Riesgos'!$O$33),"")</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Riesgos'!$Y$33="Alta",'Mapa de Riesgos'!$AA$33="Menor"),CONCATENATE("R4C",'Mapa de Riesgos'!$O$33),"")</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Riesgos'!$Y$33="Alta",'Mapa de Riesgos'!$AA$33="Moderado"),CONCATENATE("R4C",'Mapa de Riesgos'!$O$33),"")</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Riesgos'!$Y$33="Alta",'Mapa de Riesgos'!$AA$33="Mayor"),CONCATENATE("R4C",'Mapa de Riesgos'!$O$33),"")</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Riesgos'!$Y$33="Alta",'Mapa de Riesgos'!$AA$33="Catastrófico"),CONCATENATE("R4C",'Mapa de Riesgos'!$O$33),"")</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51"/>
      <c r="AP19" s="552"/>
      <c r="AQ19" s="552"/>
      <c r="AR19" s="552"/>
      <c r="AS19" s="552"/>
      <c r="AT19" s="55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500"/>
      <c r="C20" s="500"/>
      <c r="D20" s="501"/>
      <c r="E20" s="541"/>
      <c r="F20" s="542"/>
      <c r="G20" s="542"/>
      <c r="H20" s="542"/>
      <c r="I20" s="542"/>
      <c r="J20" s="67" t="str">
        <f>IF(AND('Mapa de Riesgos'!$Y$39="Alta",'Mapa de Riesgos'!$AA$39="Leve"),CONCATENATE("R5C",'Mapa de Riesgos'!$O$39),"")</f>
        <v/>
      </c>
      <c r="K20" s="68" t="str">
        <f>IF(AND('Mapa de Riesgos'!$Y$40="Alta",'Mapa de Riesgos'!$AA$40="Leve"),CONCATENATE("R5C",'Mapa de Riesgos'!$O$40),"")</f>
        <v/>
      </c>
      <c r="L20" s="68" t="str">
        <f>IF(AND('Mapa de Riesgos'!$Y$41="Alta",'Mapa de Riesgos'!$AA$41="Leve"),CONCATENATE("R5C",'Mapa de Riesgos'!$O$41),"")</f>
        <v/>
      </c>
      <c r="M20" s="68" t="str">
        <f>IF(AND('Mapa de Riesgos'!$Y$42="Alta",'Mapa de Riesgos'!$AA$42="Leve"),CONCATENATE("R5C",'Mapa de Riesgos'!$O$42),"")</f>
        <v/>
      </c>
      <c r="N20" s="68" t="str">
        <f>IF(AND('Mapa de Riesgos'!$Y$43="Alta",'Mapa de Riesgos'!$AA$43="Leve"),CONCATENATE("R5C",'Mapa de Riesgos'!$O$43),"")</f>
        <v/>
      </c>
      <c r="O20" s="69" t="str">
        <f>IF(AND('Mapa de Riesgos'!$Y$44="Alta",'Mapa de Riesgos'!$AA$44="Leve"),CONCATENATE("R5C",'Mapa de Riesgos'!$O$44),"")</f>
        <v/>
      </c>
      <c r="P20" s="67" t="str">
        <f>IF(AND('Mapa de Riesgos'!$Y$39="Alta",'Mapa de Riesgos'!$AA$39="Menor"),CONCATENATE("R5C",'Mapa de Riesgos'!$O$39),"")</f>
        <v/>
      </c>
      <c r="Q20" s="68" t="str">
        <f>IF(AND('Mapa de Riesgos'!$Y$40="Alta",'Mapa de Riesgos'!$AA$40="Menor"),CONCATENATE("R5C",'Mapa de Riesgos'!$O$40),"")</f>
        <v/>
      </c>
      <c r="R20" s="68" t="str">
        <f>IF(AND('Mapa de Riesgos'!$Y$41="Alta",'Mapa de Riesgos'!$AA$41="Menor"),CONCATENATE("R5C",'Mapa de Riesgos'!$O$41),"")</f>
        <v/>
      </c>
      <c r="S20" s="68" t="str">
        <f>IF(AND('Mapa de Riesgos'!$Y$42="Alta",'Mapa de Riesgos'!$AA$42="Menor"),CONCATENATE("R5C",'Mapa de Riesgos'!$O$42),"")</f>
        <v/>
      </c>
      <c r="T20" s="68" t="str">
        <f>IF(AND('Mapa de Riesgos'!$Y$43="Alta",'Mapa de Riesgos'!$AA$43="Menor"),CONCATENATE("R5C",'Mapa de Riesgos'!$O$43),"")</f>
        <v/>
      </c>
      <c r="U20" s="69" t="str">
        <f>IF(AND('Mapa de Riesgos'!$Y$44="Alta",'Mapa de Riesgos'!$AA$44="Menor"),CONCATENATE("R5C",'Mapa de Riesgos'!$O$44),"")</f>
        <v/>
      </c>
      <c r="V20" s="52" t="str">
        <f>IF(AND('Mapa de Riesgos'!$Y$39="Alta",'Mapa de Riesgos'!$AA$39="Moderado"),CONCATENATE("R5C",'Mapa de Riesgos'!$O$39),"")</f>
        <v/>
      </c>
      <c r="W20" s="53" t="str">
        <f>IF(AND('Mapa de Riesgos'!$Y$40="Alta",'Mapa de Riesgos'!$AA$40="Moderado"),CONCATENATE("R5C",'Mapa de Riesgos'!$O$40),"")</f>
        <v/>
      </c>
      <c r="X20" s="53" t="str">
        <f>IF(AND('Mapa de Riesgos'!$Y$41="Alta",'Mapa de Riesgos'!$AA$41="Moderado"),CONCATENATE("R5C",'Mapa de Riesgos'!$O$41),"")</f>
        <v/>
      </c>
      <c r="Y20" s="53" t="str">
        <f>IF(AND('Mapa de Riesgos'!$Y$42="Alta",'Mapa de Riesgos'!$AA$42="Moderado"),CONCATENATE("R5C",'Mapa de Riesgos'!$O$42),"")</f>
        <v/>
      </c>
      <c r="Z20" s="53" t="str">
        <f>IF(AND('Mapa de Riesgos'!$Y$43="Alta",'Mapa de Riesgos'!$AA$43="Moderado"),CONCATENATE("R5C",'Mapa de Riesgos'!$O$43),"")</f>
        <v/>
      </c>
      <c r="AA20" s="54" t="str">
        <f>IF(AND('Mapa de Riesgos'!$Y$44="Alta",'Mapa de Riesgos'!$AA$44="Moderado"),CONCATENATE("R5C",'Mapa de Riesgos'!$O$44),"")</f>
        <v/>
      </c>
      <c r="AB20" s="52" t="str">
        <f>IF(AND('Mapa de Riesgos'!$Y$39="Alta",'Mapa de Riesgos'!$AA$39="Mayor"),CONCATENATE("R5C",'Mapa de Riesgos'!$O$39),"")</f>
        <v/>
      </c>
      <c r="AC20" s="53" t="str">
        <f>IF(AND('Mapa de Riesgos'!$Y$40="Alta",'Mapa de Riesgos'!$AA$40="Mayor"),CONCATENATE("R5C",'Mapa de Riesgos'!$O$40),"")</f>
        <v/>
      </c>
      <c r="AD20" s="53" t="str">
        <f>IF(AND('Mapa de Riesgos'!$Y$41="Alta",'Mapa de Riesgos'!$AA$41="Mayor"),CONCATENATE("R5C",'Mapa de Riesgos'!$O$41),"")</f>
        <v/>
      </c>
      <c r="AE20" s="53" t="str">
        <f>IF(AND('Mapa de Riesgos'!$Y$42="Alta",'Mapa de Riesgos'!$AA$42="Mayor"),CONCATENATE("R5C",'Mapa de Riesgos'!$O$42),"")</f>
        <v/>
      </c>
      <c r="AF20" s="53" t="str">
        <f>IF(AND('Mapa de Riesgos'!$Y$43="Alta",'Mapa de Riesgos'!$AA$43="Mayor"),CONCATENATE("R5C",'Mapa de Riesgos'!$O$43),"")</f>
        <v/>
      </c>
      <c r="AG20" s="54" t="str">
        <f>IF(AND('Mapa de Riesgos'!$Y$44="Alta",'Mapa de Riesgos'!$AA$44="Mayor"),CONCATENATE("R5C",'Mapa de Riesgos'!$O$44),"")</f>
        <v/>
      </c>
      <c r="AH20" s="55" t="str">
        <f>IF(AND('Mapa de Riesgos'!$Y$39="Alta",'Mapa de Riesgos'!$AA$39="Catastrófico"),CONCATENATE("R5C",'Mapa de Riesgos'!$O$39),"")</f>
        <v/>
      </c>
      <c r="AI20" s="56" t="str">
        <f>IF(AND('Mapa de Riesgos'!$Y$40="Alta",'Mapa de Riesgos'!$AA$40="Catastrófico"),CONCATENATE("R5C",'Mapa de Riesgos'!$O$40),"")</f>
        <v/>
      </c>
      <c r="AJ20" s="56" t="str">
        <f>IF(AND('Mapa de Riesgos'!$Y$41="Alta",'Mapa de Riesgos'!$AA$41="Catastrófico"),CONCATENATE("R5C",'Mapa de Riesgos'!$O$41),"")</f>
        <v/>
      </c>
      <c r="AK20" s="56" t="str">
        <f>IF(AND('Mapa de Riesgos'!$Y$42="Alta",'Mapa de Riesgos'!$AA$42="Catastrófico"),CONCATENATE("R5C",'Mapa de Riesgos'!$O$42),"")</f>
        <v/>
      </c>
      <c r="AL20" s="56" t="str">
        <f>IF(AND('Mapa de Riesgos'!$Y$43="Alta",'Mapa de Riesgos'!$AA$43="Catastrófico"),CONCATENATE("R5C",'Mapa de Riesgos'!$O$43),"")</f>
        <v/>
      </c>
      <c r="AM20" s="57" t="str">
        <f>IF(AND('Mapa de Riesgos'!$Y$44="Alta",'Mapa de Riesgos'!$AA$44="Catastrófico"),CONCATENATE("R5C",'Mapa de Riesgos'!$O$44),"")</f>
        <v/>
      </c>
      <c r="AN20" s="83"/>
      <c r="AO20" s="551"/>
      <c r="AP20" s="552"/>
      <c r="AQ20" s="552"/>
      <c r="AR20" s="552"/>
      <c r="AS20" s="552"/>
      <c r="AT20" s="55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500"/>
      <c r="C21" s="500"/>
      <c r="D21" s="501"/>
      <c r="E21" s="541"/>
      <c r="F21" s="542"/>
      <c r="G21" s="542"/>
      <c r="H21" s="542"/>
      <c r="I21" s="542"/>
      <c r="J21" s="67" t="str">
        <f>IF(AND('Mapa de Riesgos'!$Y$45="Alta",'Mapa de Riesgos'!$AA$45="Leve"),CONCATENATE("R6C",'Mapa de Riesgos'!$O$45),"")</f>
        <v/>
      </c>
      <c r="K21" s="68" t="str">
        <f>IF(AND('Mapa de Riesgos'!$Y$46="Alta",'Mapa de Riesgos'!$AA$46="Leve"),CONCATENATE("R6C",'Mapa de Riesgos'!$O$46),"")</f>
        <v/>
      </c>
      <c r="L21" s="68" t="str">
        <f>IF(AND('Mapa de Riesgos'!$Y$47="Alta",'Mapa de Riesgos'!$AA$47="Leve"),CONCATENATE("R6C",'Mapa de Riesgos'!$O$47),"")</f>
        <v/>
      </c>
      <c r="M21" s="68" t="str">
        <f>IF(AND('Mapa de Riesgos'!$Y$48="Alta",'Mapa de Riesgos'!$AA$48="Leve"),CONCATENATE("R6C",'Mapa de Riesgos'!$O$48),"")</f>
        <v/>
      </c>
      <c r="N21" s="68" t="str">
        <f>IF(AND('Mapa de Riesgos'!$Y$49="Alta",'Mapa de Riesgos'!$AA$49="Leve"),CONCATENATE("R6C",'Mapa de Riesgos'!$O$49),"")</f>
        <v/>
      </c>
      <c r="O21" s="69" t="str">
        <f>IF(AND('Mapa de Riesgos'!$Y$50="Alta",'Mapa de Riesgos'!$AA$50="Leve"),CONCATENATE("R6C",'Mapa de Riesgos'!$O$50),"")</f>
        <v/>
      </c>
      <c r="P21" s="67" t="str">
        <f>IF(AND('Mapa de Riesgos'!$Y$45="Alta",'Mapa de Riesgos'!$AA$45="Menor"),CONCATENATE("R6C",'Mapa de Riesgos'!$O$45),"")</f>
        <v/>
      </c>
      <c r="Q21" s="68" t="str">
        <f>IF(AND('Mapa de Riesgos'!$Y$46="Alta",'Mapa de Riesgos'!$AA$46="Menor"),CONCATENATE("R6C",'Mapa de Riesgos'!$O$46),"")</f>
        <v/>
      </c>
      <c r="R21" s="68" t="str">
        <f>IF(AND('Mapa de Riesgos'!$Y$47="Alta",'Mapa de Riesgos'!$AA$47="Menor"),CONCATENATE("R6C",'Mapa de Riesgos'!$O$47),"")</f>
        <v/>
      </c>
      <c r="S21" s="68" t="str">
        <f>IF(AND('Mapa de Riesgos'!$Y$48="Alta",'Mapa de Riesgos'!$AA$48="Menor"),CONCATENATE("R6C",'Mapa de Riesgos'!$O$48),"")</f>
        <v/>
      </c>
      <c r="T21" s="68" t="str">
        <f>IF(AND('Mapa de Riesgos'!$Y$49="Alta",'Mapa de Riesgos'!$AA$49="Menor"),CONCATENATE("R6C",'Mapa de Riesgos'!$O$49),"")</f>
        <v/>
      </c>
      <c r="U21" s="69" t="str">
        <f>IF(AND('Mapa de Riesgos'!$Y$50="Alta",'Mapa de Riesgos'!$AA$50="Menor"),CONCATENATE("R6C",'Mapa de Riesgos'!$O$50),"")</f>
        <v/>
      </c>
      <c r="V21" s="52" t="str">
        <f>IF(AND('Mapa de Riesgos'!$Y$45="Alta",'Mapa de Riesgos'!$AA$45="Moderado"),CONCATENATE("R6C",'Mapa de Riesgos'!$O$45),"")</f>
        <v/>
      </c>
      <c r="W21" s="53" t="str">
        <f>IF(AND('Mapa de Riesgos'!$Y$46="Alta",'Mapa de Riesgos'!$AA$46="Moderado"),CONCATENATE("R6C",'Mapa de Riesgos'!$O$46),"")</f>
        <v/>
      </c>
      <c r="X21" s="53" t="str">
        <f>IF(AND('Mapa de Riesgos'!$Y$47="Alta",'Mapa de Riesgos'!$AA$47="Moderado"),CONCATENATE("R6C",'Mapa de Riesgos'!$O$47),"")</f>
        <v/>
      </c>
      <c r="Y21" s="53" t="str">
        <f>IF(AND('Mapa de Riesgos'!$Y$48="Alta",'Mapa de Riesgos'!$AA$48="Moderado"),CONCATENATE("R6C",'Mapa de Riesgos'!$O$48),"")</f>
        <v/>
      </c>
      <c r="Z21" s="53" t="str">
        <f>IF(AND('Mapa de Riesgos'!$Y$49="Alta",'Mapa de Riesgos'!$AA$49="Moderado"),CONCATENATE("R6C",'Mapa de Riesgos'!$O$49),"")</f>
        <v/>
      </c>
      <c r="AA21" s="54" t="str">
        <f>IF(AND('Mapa de Riesgos'!$Y$50="Alta",'Mapa de Riesgos'!$AA$50="Moderado"),CONCATENATE("R6C",'Mapa de Riesgos'!$O$50),"")</f>
        <v/>
      </c>
      <c r="AB21" s="52" t="str">
        <f>IF(AND('Mapa de Riesgos'!$Y$45="Alta",'Mapa de Riesgos'!$AA$45="Mayor"),CONCATENATE("R6C",'Mapa de Riesgos'!$O$45),"")</f>
        <v/>
      </c>
      <c r="AC21" s="53" t="str">
        <f>IF(AND('Mapa de Riesgos'!$Y$46="Alta",'Mapa de Riesgos'!$AA$46="Mayor"),CONCATENATE("R6C",'Mapa de Riesgos'!$O$46),"")</f>
        <v/>
      </c>
      <c r="AD21" s="53" t="str">
        <f>IF(AND('Mapa de Riesgos'!$Y$47="Alta",'Mapa de Riesgos'!$AA$47="Mayor"),CONCATENATE("R6C",'Mapa de Riesgos'!$O$47),"")</f>
        <v/>
      </c>
      <c r="AE21" s="53" t="str">
        <f>IF(AND('Mapa de Riesgos'!$Y$48="Alta",'Mapa de Riesgos'!$AA$48="Mayor"),CONCATENATE("R6C",'Mapa de Riesgos'!$O$48),"")</f>
        <v/>
      </c>
      <c r="AF21" s="53" t="str">
        <f>IF(AND('Mapa de Riesgos'!$Y$49="Alta",'Mapa de Riesgos'!$AA$49="Mayor"),CONCATENATE("R6C",'Mapa de Riesgos'!$O$49),"")</f>
        <v/>
      </c>
      <c r="AG21" s="54" t="str">
        <f>IF(AND('Mapa de Riesgos'!$Y$50="Alta",'Mapa de Riesgos'!$AA$50="Mayor"),CONCATENATE("R6C",'Mapa de Riesgos'!$O$50),"")</f>
        <v/>
      </c>
      <c r="AH21" s="55" t="str">
        <f>IF(AND('Mapa de Riesgos'!$Y$45="Alta",'Mapa de Riesgos'!$AA$45="Catastrófico"),CONCATENATE("R6C",'Mapa de Riesgos'!$O$45),"")</f>
        <v/>
      </c>
      <c r="AI21" s="56" t="str">
        <f>IF(AND('Mapa de Riesgos'!$Y$46="Alta",'Mapa de Riesgos'!$AA$46="Catastrófico"),CONCATENATE("R6C",'Mapa de Riesgos'!$O$46),"")</f>
        <v/>
      </c>
      <c r="AJ21" s="56" t="str">
        <f>IF(AND('Mapa de Riesgos'!$Y$47="Alta",'Mapa de Riesgos'!$AA$47="Catastrófico"),CONCATENATE("R6C",'Mapa de Riesgos'!$O$47),"")</f>
        <v/>
      </c>
      <c r="AK21" s="56" t="str">
        <f>IF(AND('Mapa de Riesgos'!$Y$48="Alta",'Mapa de Riesgos'!$AA$48="Catastrófico"),CONCATENATE("R6C",'Mapa de Riesgos'!$O$48),"")</f>
        <v/>
      </c>
      <c r="AL21" s="56" t="str">
        <f>IF(AND('Mapa de Riesgos'!$Y$49="Alta",'Mapa de Riesgos'!$AA$49="Catastrófico"),CONCATENATE("R6C",'Mapa de Riesgos'!$O$49),"")</f>
        <v/>
      </c>
      <c r="AM21" s="57" t="str">
        <f>IF(AND('Mapa de Riesgos'!$Y$50="Alta",'Mapa de Riesgos'!$AA$50="Catastrófico"),CONCATENATE("R6C",'Mapa de Riesgos'!$O$50),"")</f>
        <v/>
      </c>
      <c r="AN21" s="83"/>
      <c r="AO21" s="551"/>
      <c r="AP21" s="552"/>
      <c r="AQ21" s="552"/>
      <c r="AR21" s="552"/>
      <c r="AS21" s="552"/>
      <c r="AT21" s="55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500"/>
      <c r="C22" s="500"/>
      <c r="D22" s="501"/>
      <c r="E22" s="541"/>
      <c r="F22" s="542"/>
      <c r="G22" s="542"/>
      <c r="H22" s="542"/>
      <c r="I22" s="542"/>
      <c r="J22" s="67" t="str">
        <f>IF(AND('Mapa de Riesgos'!$Y$51="Alta",'Mapa de Riesgos'!$AA$51="Leve"),CONCATENATE("R7C",'Mapa de Riesgos'!$O$51),"")</f>
        <v/>
      </c>
      <c r="K22" s="68" t="str">
        <f>IF(AND('Mapa de Riesgos'!$Y$52="Alta",'Mapa de Riesgos'!$AA$52="Leve"),CONCATENATE("R7C",'Mapa de Riesgos'!$O$52),"")</f>
        <v/>
      </c>
      <c r="L22" s="68" t="str">
        <f>IF(AND('Mapa de Riesgos'!$Y$53="Alta",'Mapa de Riesgos'!$AA$53="Leve"),CONCATENATE("R7C",'Mapa de Riesgos'!$O$53),"")</f>
        <v/>
      </c>
      <c r="M22" s="68" t="str">
        <f>IF(AND('Mapa de Riesgos'!$Y$54="Alta",'Mapa de Riesgos'!$AA$54="Leve"),CONCATENATE("R7C",'Mapa de Riesgos'!$O$54),"")</f>
        <v/>
      </c>
      <c r="N22" s="68" t="str">
        <f>IF(AND('Mapa de Riesgos'!$Y$55="Alta",'Mapa de Riesgos'!$AA$55="Leve"),CONCATENATE("R7C",'Mapa de Riesgos'!$O$55),"")</f>
        <v/>
      </c>
      <c r="O22" s="69" t="str">
        <f>IF(AND('Mapa de Riesgos'!$Y$56="Alta",'Mapa de Riesgos'!$AA$56="Leve"),CONCATENATE("R7C",'Mapa de Riesgos'!$O$56),"")</f>
        <v/>
      </c>
      <c r="P22" s="67" t="str">
        <f>IF(AND('Mapa de Riesgos'!$Y$51="Alta",'Mapa de Riesgos'!$AA$51="Menor"),CONCATENATE("R7C",'Mapa de Riesgos'!$O$51),"")</f>
        <v/>
      </c>
      <c r="Q22" s="68" t="str">
        <f>IF(AND('Mapa de Riesgos'!$Y$52="Alta",'Mapa de Riesgos'!$AA$52="Menor"),CONCATENATE("R7C",'Mapa de Riesgos'!$O$52),"")</f>
        <v/>
      </c>
      <c r="R22" s="68" t="str">
        <f>IF(AND('Mapa de Riesgos'!$Y$53="Alta",'Mapa de Riesgos'!$AA$53="Menor"),CONCATENATE("R7C",'Mapa de Riesgos'!$O$53),"")</f>
        <v/>
      </c>
      <c r="S22" s="68" t="str">
        <f>IF(AND('Mapa de Riesgos'!$Y$54="Alta",'Mapa de Riesgos'!$AA$54="Menor"),CONCATENATE("R7C",'Mapa de Riesgos'!$O$54),"")</f>
        <v/>
      </c>
      <c r="T22" s="68" t="str">
        <f>IF(AND('Mapa de Riesgos'!$Y$55="Alta",'Mapa de Riesgos'!$AA$55="Menor"),CONCATENATE("R7C",'Mapa de Riesgos'!$O$55),"")</f>
        <v/>
      </c>
      <c r="U22" s="69" t="str">
        <f>IF(AND('Mapa de Riesgos'!$Y$56="Alta",'Mapa de Riesgos'!$AA$56="Menor"),CONCATENATE("R7C",'Mapa de Riesgos'!$O$56),"")</f>
        <v/>
      </c>
      <c r="V22" s="52" t="str">
        <f>IF(AND('Mapa de Riesgos'!$Y$51="Alta",'Mapa de Riesgos'!$AA$51="Moderado"),CONCATENATE("R7C",'Mapa de Riesgos'!$O$51),"")</f>
        <v/>
      </c>
      <c r="W22" s="53" t="str">
        <f>IF(AND('Mapa de Riesgos'!$Y$52="Alta",'Mapa de Riesgos'!$AA$52="Moderado"),CONCATENATE("R7C",'Mapa de Riesgos'!$O$52),"")</f>
        <v/>
      </c>
      <c r="X22" s="53" t="str">
        <f>IF(AND('Mapa de Riesgos'!$Y$53="Alta",'Mapa de Riesgos'!$AA$53="Moderado"),CONCATENATE("R7C",'Mapa de Riesgos'!$O$53),"")</f>
        <v/>
      </c>
      <c r="Y22" s="53" t="str">
        <f>IF(AND('Mapa de Riesgos'!$Y$54="Alta",'Mapa de Riesgos'!$AA$54="Moderado"),CONCATENATE("R7C",'Mapa de Riesgos'!$O$54),"")</f>
        <v/>
      </c>
      <c r="Z22" s="53" t="str">
        <f>IF(AND('Mapa de Riesgos'!$Y$55="Alta",'Mapa de Riesgos'!$AA$55="Moderado"),CONCATENATE("R7C",'Mapa de Riesgos'!$O$55),"")</f>
        <v/>
      </c>
      <c r="AA22" s="54" t="str">
        <f>IF(AND('Mapa de Riesgos'!$Y$56="Alta",'Mapa de Riesgos'!$AA$56="Moderado"),CONCATENATE("R7C",'Mapa de Riesgos'!$O$56),"")</f>
        <v/>
      </c>
      <c r="AB22" s="52" t="str">
        <f>IF(AND('Mapa de Riesgos'!$Y$51="Alta",'Mapa de Riesgos'!$AA$51="Mayor"),CONCATENATE("R7C",'Mapa de Riesgos'!$O$51),"")</f>
        <v/>
      </c>
      <c r="AC22" s="53" t="str">
        <f>IF(AND('Mapa de Riesgos'!$Y$52="Alta",'Mapa de Riesgos'!$AA$52="Mayor"),CONCATENATE("R7C",'Mapa de Riesgos'!$O$52),"")</f>
        <v/>
      </c>
      <c r="AD22" s="53" t="str">
        <f>IF(AND('Mapa de Riesgos'!$Y$53="Alta",'Mapa de Riesgos'!$AA$53="Mayor"),CONCATENATE("R7C",'Mapa de Riesgos'!$O$53),"")</f>
        <v/>
      </c>
      <c r="AE22" s="53" t="str">
        <f>IF(AND('Mapa de Riesgos'!$Y$54="Alta",'Mapa de Riesgos'!$AA$54="Mayor"),CONCATENATE("R7C",'Mapa de Riesgos'!$O$54),"")</f>
        <v/>
      </c>
      <c r="AF22" s="53" t="str">
        <f>IF(AND('Mapa de Riesgos'!$Y$55="Alta",'Mapa de Riesgos'!$AA$55="Mayor"),CONCATENATE("R7C",'Mapa de Riesgos'!$O$55),"")</f>
        <v/>
      </c>
      <c r="AG22" s="54" t="str">
        <f>IF(AND('Mapa de Riesgos'!$Y$56="Alta",'Mapa de Riesgos'!$AA$56="Mayor"),CONCATENATE("R7C",'Mapa de Riesgos'!$O$56),"")</f>
        <v/>
      </c>
      <c r="AH22" s="55" t="str">
        <f>IF(AND('Mapa de Riesgos'!$Y$51="Alta",'Mapa de Riesgos'!$AA$51="Catastrófico"),CONCATENATE("R7C",'Mapa de Riesgos'!$O$51),"")</f>
        <v/>
      </c>
      <c r="AI22" s="56" t="str">
        <f>IF(AND('Mapa de Riesgos'!$Y$52="Alta",'Mapa de Riesgos'!$AA$52="Catastrófico"),CONCATENATE("R7C",'Mapa de Riesgos'!$O$52),"")</f>
        <v/>
      </c>
      <c r="AJ22" s="56" t="str">
        <f>IF(AND('Mapa de Riesgos'!$Y$53="Alta",'Mapa de Riesgos'!$AA$53="Catastrófico"),CONCATENATE("R7C",'Mapa de Riesgos'!$O$53),"")</f>
        <v/>
      </c>
      <c r="AK22" s="56" t="str">
        <f>IF(AND('Mapa de Riesgos'!$Y$54="Alta",'Mapa de Riesgos'!$AA$54="Catastrófico"),CONCATENATE("R7C",'Mapa de Riesgos'!$O$54),"")</f>
        <v/>
      </c>
      <c r="AL22" s="56" t="str">
        <f>IF(AND('Mapa de Riesgos'!$Y$55="Alta",'Mapa de Riesgos'!$AA$55="Catastrófico"),CONCATENATE("R7C",'Mapa de Riesgos'!$O$55),"")</f>
        <v/>
      </c>
      <c r="AM22" s="57" t="str">
        <f>IF(AND('Mapa de Riesgos'!$Y$56="Alta",'Mapa de Riesgos'!$AA$56="Catastrófico"),CONCATENATE("R7C",'Mapa de Riesgos'!$O$56),"")</f>
        <v/>
      </c>
      <c r="AN22" s="83"/>
      <c r="AO22" s="551"/>
      <c r="AP22" s="552"/>
      <c r="AQ22" s="552"/>
      <c r="AR22" s="552"/>
      <c r="AS22" s="552"/>
      <c r="AT22" s="55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500"/>
      <c r="C23" s="500"/>
      <c r="D23" s="501"/>
      <c r="E23" s="541"/>
      <c r="F23" s="542"/>
      <c r="G23" s="542"/>
      <c r="H23" s="542"/>
      <c r="I23" s="542"/>
      <c r="J23" s="67" t="str">
        <f>IF(AND('Mapa de Riesgos'!$Y$57="Alta",'Mapa de Riesgos'!$AA$57="Leve"),CONCATENATE("R8C",'Mapa de Riesgos'!$O$57),"")</f>
        <v/>
      </c>
      <c r="K23" s="68" t="str">
        <f>IF(AND('Mapa de Riesgos'!$Y$58="Alta",'Mapa de Riesgos'!$AA$58="Leve"),CONCATENATE("R8C",'Mapa de Riesgos'!$O$58),"")</f>
        <v/>
      </c>
      <c r="L23" s="68" t="str">
        <f>IF(AND('Mapa de Riesgos'!$Y$59="Alta",'Mapa de Riesgos'!$AA$59="Leve"),CONCATENATE("R8C",'Mapa de Riesgos'!$O$59),"")</f>
        <v/>
      </c>
      <c r="M23" s="68" t="str">
        <f>IF(AND('Mapa de Riesgos'!$Y$60="Alta",'Mapa de Riesgos'!$AA$60="Leve"),CONCATENATE("R8C",'Mapa de Riesgos'!$O$60),"")</f>
        <v/>
      </c>
      <c r="N23" s="68" t="str">
        <f>IF(AND('Mapa de Riesgos'!$Y$61="Alta",'Mapa de Riesgos'!$AA$61="Leve"),CONCATENATE("R8C",'Mapa de Riesgos'!$O$61),"")</f>
        <v/>
      </c>
      <c r="O23" s="69" t="str">
        <f>IF(AND('Mapa de Riesgos'!$Y$62="Alta",'Mapa de Riesgos'!$AA$62="Leve"),CONCATENATE("R8C",'Mapa de Riesgos'!$O$62),"")</f>
        <v/>
      </c>
      <c r="P23" s="67" t="str">
        <f>IF(AND('Mapa de Riesgos'!$Y$57="Alta",'Mapa de Riesgos'!$AA$57="Menor"),CONCATENATE("R8C",'Mapa de Riesgos'!$O$57),"")</f>
        <v/>
      </c>
      <c r="Q23" s="68" t="str">
        <f>IF(AND('Mapa de Riesgos'!$Y$58="Alta",'Mapa de Riesgos'!$AA$58="Menor"),CONCATENATE("R8C",'Mapa de Riesgos'!$O$58),"")</f>
        <v/>
      </c>
      <c r="R23" s="68" t="str">
        <f>IF(AND('Mapa de Riesgos'!$Y$59="Alta",'Mapa de Riesgos'!$AA$59="Menor"),CONCATENATE("R8C",'Mapa de Riesgos'!$O$59),"")</f>
        <v/>
      </c>
      <c r="S23" s="68" t="str">
        <f>IF(AND('Mapa de Riesgos'!$Y$60="Alta",'Mapa de Riesgos'!$AA$60="Menor"),CONCATENATE("R8C",'Mapa de Riesgos'!$O$60),"")</f>
        <v/>
      </c>
      <c r="T23" s="68" t="str">
        <f>IF(AND('Mapa de Riesgos'!$Y$61="Alta",'Mapa de Riesgos'!$AA$61="Menor"),CONCATENATE("R8C",'Mapa de Riesgos'!$O$61),"")</f>
        <v/>
      </c>
      <c r="U23" s="69" t="str">
        <f>IF(AND('Mapa de Riesgos'!$Y$62="Alta",'Mapa de Riesgos'!$AA$62="Menor"),CONCATENATE("R8C",'Mapa de Riesgos'!$O$62),"")</f>
        <v/>
      </c>
      <c r="V23" s="52" t="str">
        <f>IF(AND('Mapa de Riesgos'!$Y$57="Alta",'Mapa de Riesgos'!$AA$57="Moderado"),CONCATENATE("R8C",'Mapa de Riesgos'!$O$57),"")</f>
        <v/>
      </c>
      <c r="W23" s="53" t="str">
        <f>IF(AND('Mapa de Riesgos'!$Y$58="Alta",'Mapa de Riesgos'!$AA$58="Moderado"),CONCATENATE("R8C",'Mapa de Riesgos'!$O$58),"")</f>
        <v/>
      </c>
      <c r="X23" s="53" t="str">
        <f>IF(AND('Mapa de Riesgos'!$Y$59="Alta",'Mapa de Riesgos'!$AA$59="Moderado"),CONCATENATE("R8C",'Mapa de Riesgos'!$O$59),"")</f>
        <v/>
      </c>
      <c r="Y23" s="53" t="str">
        <f>IF(AND('Mapa de Riesgos'!$Y$60="Alta",'Mapa de Riesgos'!$AA$60="Moderado"),CONCATENATE("R8C",'Mapa de Riesgos'!$O$60),"")</f>
        <v/>
      </c>
      <c r="Z23" s="53" t="str">
        <f>IF(AND('Mapa de Riesgos'!$Y$61="Alta",'Mapa de Riesgos'!$AA$61="Moderado"),CONCATENATE("R8C",'Mapa de Riesgos'!$O$61),"")</f>
        <v/>
      </c>
      <c r="AA23" s="54" t="str">
        <f>IF(AND('Mapa de Riesgos'!$Y$62="Alta",'Mapa de Riesgos'!$AA$62="Moderado"),CONCATENATE("R8C",'Mapa de Riesgos'!$O$62),"")</f>
        <v/>
      </c>
      <c r="AB23" s="52" t="str">
        <f>IF(AND('Mapa de Riesgos'!$Y$57="Alta",'Mapa de Riesgos'!$AA$57="Mayor"),CONCATENATE("R8C",'Mapa de Riesgos'!$O$57),"")</f>
        <v/>
      </c>
      <c r="AC23" s="53" t="str">
        <f>IF(AND('Mapa de Riesgos'!$Y$58="Alta",'Mapa de Riesgos'!$AA$58="Mayor"),CONCATENATE("R8C",'Mapa de Riesgos'!$O$58),"")</f>
        <v/>
      </c>
      <c r="AD23" s="53" t="str">
        <f>IF(AND('Mapa de Riesgos'!$Y$59="Alta",'Mapa de Riesgos'!$AA$59="Mayor"),CONCATENATE("R8C",'Mapa de Riesgos'!$O$59),"")</f>
        <v/>
      </c>
      <c r="AE23" s="53" t="str">
        <f>IF(AND('Mapa de Riesgos'!$Y$60="Alta",'Mapa de Riesgos'!$AA$60="Mayor"),CONCATENATE("R8C",'Mapa de Riesgos'!$O$60),"")</f>
        <v/>
      </c>
      <c r="AF23" s="53" t="str">
        <f>IF(AND('Mapa de Riesgos'!$Y$61="Alta",'Mapa de Riesgos'!$AA$61="Mayor"),CONCATENATE("R8C",'Mapa de Riesgos'!$O$61),"")</f>
        <v/>
      </c>
      <c r="AG23" s="54" t="str">
        <f>IF(AND('Mapa de Riesgos'!$Y$62="Alta",'Mapa de Riesgos'!$AA$62="Mayor"),CONCATENATE("R8C",'Mapa de Riesgos'!$O$62),"")</f>
        <v/>
      </c>
      <c r="AH23" s="55" t="str">
        <f>IF(AND('Mapa de Riesgos'!$Y$57="Alta",'Mapa de Riesgos'!$AA$57="Catastrófico"),CONCATENATE("R8C",'Mapa de Riesgos'!$O$57),"")</f>
        <v/>
      </c>
      <c r="AI23" s="56" t="str">
        <f>IF(AND('Mapa de Riesgos'!$Y$58="Alta",'Mapa de Riesgos'!$AA$58="Catastrófico"),CONCATENATE("R8C",'Mapa de Riesgos'!$O$58),"")</f>
        <v/>
      </c>
      <c r="AJ23" s="56" t="str">
        <f>IF(AND('Mapa de Riesgos'!$Y$59="Alta",'Mapa de Riesgos'!$AA$59="Catastrófico"),CONCATENATE("R8C",'Mapa de Riesgos'!$O$59),"")</f>
        <v/>
      </c>
      <c r="AK23" s="56" t="str">
        <f>IF(AND('Mapa de Riesgos'!$Y$60="Alta",'Mapa de Riesgos'!$AA$60="Catastrófico"),CONCATENATE("R8C",'Mapa de Riesgos'!$O$60),"")</f>
        <v/>
      </c>
      <c r="AL23" s="56" t="str">
        <f>IF(AND('Mapa de Riesgos'!$Y$61="Alta",'Mapa de Riesgos'!$AA$61="Catastrófico"),CONCATENATE("R8C",'Mapa de Riesgos'!$O$61),"")</f>
        <v/>
      </c>
      <c r="AM23" s="57" t="str">
        <f>IF(AND('Mapa de Riesgos'!$Y$62="Alta",'Mapa de Riesgos'!$AA$62="Catastrófico"),CONCATENATE("R8C",'Mapa de Riesgos'!$O$62),"")</f>
        <v/>
      </c>
      <c r="AN23" s="83"/>
      <c r="AO23" s="551"/>
      <c r="AP23" s="552"/>
      <c r="AQ23" s="552"/>
      <c r="AR23" s="552"/>
      <c r="AS23" s="552"/>
      <c r="AT23" s="55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500"/>
      <c r="C24" s="500"/>
      <c r="D24" s="501"/>
      <c r="E24" s="541"/>
      <c r="F24" s="542"/>
      <c r="G24" s="542"/>
      <c r="H24" s="542"/>
      <c r="I24" s="542"/>
      <c r="J24" s="67" t="str">
        <f>IF(AND('Mapa de Riesgos'!$Y$63="Alta",'Mapa de Riesgos'!$AA$63="Leve"),CONCATENATE("R9C",'Mapa de Riesgos'!$O$63),"")</f>
        <v/>
      </c>
      <c r="K24" s="68" t="str">
        <f>IF(AND('Mapa de Riesgos'!$Y$64="Alta",'Mapa de Riesgos'!$AA$64="Leve"),CONCATENATE("R9C",'Mapa de Riesgos'!$O$64),"")</f>
        <v/>
      </c>
      <c r="L24" s="68" t="str">
        <f>IF(AND('Mapa de Riesgos'!$Y$65="Alta",'Mapa de Riesgos'!$AA$65="Leve"),CONCATENATE("R9C",'Mapa de Riesgos'!$O$65),"")</f>
        <v/>
      </c>
      <c r="M24" s="68" t="str">
        <f>IF(AND('Mapa de Riesgos'!$Y$66="Alta",'Mapa de Riesgos'!$AA$66="Leve"),CONCATENATE("R9C",'Mapa de Riesgos'!$O$66),"")</f>
        <v/>
      </c>
      <c r="N24" s="68" t="str">
        <f>IF(AND('Mapa de Riesgos'!$Y$67="Alta",'Mapa de Riesgos'!$AA$67="Leve"),CONCATENATE("R9C",'Mapa de Riesgos'!$O$67),"")</f>
        <v/>
      </c>
      <c r="O24" s="69" t="str">
        <f>IF(AND('Mapa de Riesgos'!$Y$68="Alta",'Mapa de Riesgos'!$AA$68="Leve"),CONCATENATE("R9C",'Mapa de Riesgos'!$O$68),"")</f>
        <v/>
      </c>
      <c r="P24" s="67" t="str">
        <f>IF(AND('Mapa de Riesgos'!$Y$63="Alta",'Mapa de Riesgos'!$AA$63="Menor"),CONCATENATE("R9C",'Mapa de Riesgos'!$O$63),"")</f>
        <v/>
      </c>
      <c r="Q24" s="68" t="str">
        <f>IF(AND('Mapa de Riesgos'!$Y$64="Alta",'Mapa de Riesgos'!$AA$64="Menor"),CONCATENATE("R9C",'Mapa de Riesgos'!$O$64),"")</f>
        <v/>
      </c>
      <c r="R24" s="68" t="str">
        <f>IF(AND('Mapa de Riesgos'!$Y$65="Alta",'Mapa de Riesgos'!$AA$65="Menor"),CONCATENATE("R9C",'Mapa de Riesgos'!$O$65),"")</f>
        <v/>
      </c>
      <c r="S24" s="68" t="str">
        <f>IF(AND('Mapa de Riesgos'!$Y$66="Alta",'Mapa de Riesgos'!$AA$66="Menor"),CONCATENATE("R9C",'Mapa de Riesgos'!$O$66),"")</f>
        <v/>
      </c>
      <c r="T24" s="68" t="str">
        <f>IF(AND('Mapa de Riesgos'!$Y$67="Alta",'Mapa de Riesgos'!$AA$67="Menor"),CONCATENATE("R9C",'Mapa de Riesgos'!$O$67),"")</f>
        <v/>
      </c>
      <c r="U24" s="69" t="str">
        <f>IF(AND('Mapa de Riesgos'!$Y$68="Alta",'Mapa de Riesgos'!$AA$68="Menor"),CONCATENATE("R9C",'Mapa de Riesgos'!$O$68),"")</f>
        <v/>
      </c>
      <c r="V24" s="52" t="str">
        <f>IF(AND('Mapa de Riesgos'!$Y$63="Alta",'Mapa de Riesgos'!$AA$63="Moderado"),CONCATENATE("R9C",'Mapa de Riesgos'!$O$63),"")</f>
        <v/>
      </c>
      <c r="W24" s="53" t="str">
        <f>IF(AND('Mapa de Riesgos'!$Y$64="Alta",'Mapa de Riesgos'!$AA$64="Moderado"),CONCATENATE("R9C",'Mapa de Riesgos'!$O$64),"")</f>
        <v/>
      </c>
      <c r="X24" s="53" t="str">
        <f>IF(AND('Mapa de Riesgos'!$Y$65="Alta",'Mapa de Riesgos'!$AA$65="Moderado"),CONCATENATE("R9C",'Mapa de Riesgos'!$O$65),"")</f>
        <v/>
      </c>
      <c r="Y24" s="53" t="str">
        <f>IF(AND('Mapa de Riesgos'!$Y$66="Alta",'Mapa de Riesgos'!$AA$66="Moderado"),CONCATENATE("R9C",'Mapa de Riesgos'!$O$66),"")</f>
        <v/>
      </c>
      <c r="Z24" s="53" t="str">
        <f>IF(AND('Mapa de Riesgos'!$Y$67="Alta",'Mapa de Riesgos'!$AA$67="Moderado"),CONCATENATE("R9C",'Mapa de Riesgos'!$O$67),"")</f>
        <v/>
      </c>
      <c r="AA24" s="54" t="str">
        <f>IF(AND('Mapa de Riesgos'!$Y$68="Alta",'Mapa de Riesgos'!$AA$68="Moderado"),CONCATENATE("R9C",'Mapa de Riesgos'!$O$68),"")</f>
        <v/>
      </c>
      <c r="AB24" s="52" t="str">
        <f>IF(AND('Mapa de Riesgos'!$Y$63="Alta",'Mapa de Riesgos'!$AA$63="Mayor"),CONCATENATE("R9C",'Mapa de Riesgos'!$O$63),"")</f>
        <v/>
      </c>
      <c r="AC24" s="53" t="str">
        <f>IF(AND('Mapa de Riesgos'!$Y$64="Alta",'Mapa de Riesgos'!$AA$64="Mayor"),CONCATENATE("R9C",'Mapa de Riesgos'!$O$64),"")</f>
        <v/>
      </c>
      <c r="AD24" s="53" t="str">
        <f>IF(AND('Mapa de Riesgos'!$Y$65="Alta",'Mapa de Riesgos'!$AA$65="Mayor"),CONCATENATE("R9C",'Mapa de Riesgos'!$O$65),"")</f>
        <v/>
      </c>
      <c r="AE24" s="53" t="str">
        <f>IF(AND('Mapa de Riesgos'!$Y$66="Alta",'Mapa de Riesgos'!$AA$66="Mayor"),CONCATENATE("R9C",'Mapa de Riesgos'!$O$66),"")</f>
        <v/>
      </c>
      <c r="AF24" s="53" t="str">
        <f>IF(AND('Mapa de Riesgos'!$Y$67="Alta",'Mapa de Riesgos'!$AA$67="Mayor"),CONCATENATE("R9C",'Mapa de Riesgos'!$O$67),"")</f>
        <v/>
      </c>
      <c r="AG24" s="54" t="str">
        <f>IF(AND('Mapa de Riesgos'!$Y$68="Alta",'Mapa de Riesgos'!$AA$68="Mayor"),CONCATENATE("R9C",'Mapa de Riesgos'!$O$68),"")</f>
        <v/>
      </c>
      <c r="AH24" s="55" t="str">
        <f>IF(AND('Mapa de Riesgos'!$Y$63="Alta",'Mapa de Riesgos'!$AA$63="Catastrófico"),CONCATENATE("R9C",'Mapa de Riesgos'!$O$63),"")</f>
        <v/>
      </c>
      <c r="AI24" s="56" t="str">
        <f>IF(AND('Mapa de Riesgos'!$Y$64="Alta",'Mapa de Riesgos'!$AA$64="Catastrófico"),CONCATENATE("R9C",'Mapa de Riesgos'!$O$64),"")</f>
        <v/>
      </c>
      <c r="AJ24" s="56" t="str">
        <f>IF(AND('Mapa de Riesgos'!$Y$65="Alta",'Mapa de Riesgos'!$AA$65="Catastrófico"),CONCATENATE("R9C",'Mapa de Riesgos'!$O$65),"")</f>
        <v/>
      </c>
      <c r="AK24" s="56" t="str">
        <f>IF(AND('Mapa de Riesgos'!$Y$66="Alta",'Mapa de Riesgos'!$AA$66="Catastrófico"),CONCATENATE("R9C",'Mapa de Riesgos'!$O$66),"")</f>
        <v/>
      </c>
      <c r="AL24" s="56" t="str">
        <f>IF(AND('Mapa de Riesgos'!$Y$67="Alta",'Mapa de Riesgos'!$AA$67="Catastrófico"),CONCATENATE("R9C",'Mapa de Riesgos'!$O$67),"")</f>
        <v/>
      </c>
      <c r="AM24" s="57" t="str">
        <f>IF(AND('Mapa de Riesgos'!$Y$68="Alta",'Mapa de Riesgos'!$AA$68="Catastrófico"),CONCATENATE("R9C",'Mapa de Riesgos'!$O$68),"")</f>
        <v/>
      </c>
      <c r="AN24" s="83"/>
      <c r="AO24" s="551"/>
      <c r="AP24" s="552"/>
      <c r="AQ24" s="552"/>
      <c r="AR24" s="552"/>
      <c r="AS24" s="552"/>
      <c r="AT24" s="55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500"/>
      <c r="C25" s="500"/>
      <c r="D25" s="501"/>
      <c r="E25" s="544"/>
      <c r="F25" s="545"/>
      <c r="G25" s="545"/>
      <c r="H25" s="545"/>
      <c r="I25" s="545"/>
      <c r="J25" s="70" t="str">
        <f>IF(AND('Mapa de Riesgos'!$Y$69="Alta",'Mapa de Riesgos'!$AA$69="Leve"),CONCATENATE("R10C",'Mapa de Riesgos'!$O$69),"")</f>
        <v/>
      </c>
      <c r="K25" s="71" t="str">
        <f>IF(AND('Mapa de Riesgos'!$Y$70="Alta",'Mapa de Riesgos'!$AA$70="Leve"),CONCATENATE("R10C",'Mapa de Riesgos'!$O$70),"")</f>
        <v/>
      </c>
      <c r="L25" s="71" t="str">
        <f>IF(AND('Mapa de Riesgos'!$Y$71="Alta",'Mapa de Riesgos'!$AA$71="Leve"),CONCATENATE("R10C",'Mapa de Riesgos'!$O$71),"")</f>
        <v/>
      </c>
      <c r="M25" s="71" t="str">
        <f>IF(AND('Mapa de Riesgos'!$Y$72="Alta",'Mapa de Riesgos'!$AA$72="Leve"),CONCATENATE("R10C",'Mapa de Riesgos'!$O$72),"")</f>
        <v/>
      </c>
      <c r="N25" s="71" t="str">
        <f>IF(AND('Mapa de Riesgos'!$Y$73="Alta",'Mapa de Riesgos'!$AA$73="Leve"),CONCATENATE("R10C",'Mapa de Riesgos'!$O$73),"")</f>
        <v/>
      </c>
      <c r="O25" s="72" t="str">
        <f>IF(AND('Mapa de Riesgos'!$Y$74="Alta",'Mapa de Riesgos'!$AA$74="Leve"),CONCATENATE("R10C",'Mapa de Riesgos'!$O$74),"")</f>
        <v/>
      </c>
      <c r="P25" s="70" t="str">
        <f>IF(AND('Mapa de Riesgos'!$Y$69="Alta",'Mapa de Riesgos'!$AA$69="Menor"),CONCATENATE("R10C",'Mapa de Riesgos'!$O$69),"")</f>
        <v/>
      </c>
      <c r="Q25" s="71" t="str">
        <f>IF(AND('Mapa de Riesgos'!$Y$70="Alta",'Mapa de Riesgos'!$AA$70="Menor"),CONCATENATE("R10C",'Mapa de Riesgos'!$O$70),"")</f>
        <v/>
      </c>
      <c r="R25" s="71" t="str">
        <f>IF(AND('Mapa de Riesgos'!$Y$71="Alta",'Mapa de Riesgos'!$AA$71="Menor"),CONCATENATE("R10C",'Mapa de Riesgos'!$O$71),"")</f>
        <v/>
      </c>
      <c r="S25" s="71" t="str">
        <f>IF(AND('Mapa de Riesgos'!$Y$72="Alta",'Mapa de Riesgos'!$AA$72="Menor"),CONCATENATE("R10C",'Mapa de Riesgos'!$O$72),"")</f>
        <v/>
      </c>
      <c r="T25" s="71" t="str">
        <f>IF(AND('Mapa de Riesgos'!$Y$73="Alta",'Mapa de Riesgos'!$AA$73="Menor"),CONCATENATE("R10C",'Mapa de Riesgos'!$O$73),"")</f>
        <v/>
      </c>
      <c r="U25" s="72" t="str">
        <f>IF(AND('Mapa de Riesgos'!$Y$74="Alta",'Mapa de Riesgos'!$AA$74="Menor"),CONCATENATE("R10C",'Mapa de Riesgos'!$O$74),"")</f>
        <v/>
      </c>
      <c r="V25" s="58" t="str">
        <f>IF(AND('Mapa de Riesgos'!$Y$69="Alta",'Mapa de Riesgos'!$AA$69="Moderado"),CONCATENATE("R10C",'Mapa de Riesgos'!$O$69),"")</f>
        <v/>
      </c>
      <c r="W25" s="59" t="str">
        <f>IF(AND('Mapa de Riesgos'!$Y$70="Alta",'Mapa de Riesgos'!$AA$70="Moderado"),CONCATENATE("R10C",'Mapa de Riesgos'!$O$70),"")</f>
        <v/>
      </c>
      <c r="X25" s="59" t="str">
        <f>IF(AND('Mapa de Riesgos'!$Y$71="Alta",'Mapa de Riesgos'!$AA$71="Moderado"),CONCATENATE("R10C",'Mapa de Riesgos'!$O$71),"")</f>
        <v/>
      </c>
      <c r="Y25" s="59" t="str">
        <f>IF(AND('Mapa de Riesgos'!$Y$72="Alta",'Mapa de Riesgos'!$AA$72="Moderado"),CONCATENATE("R10C",'Mapa de Riesgos'!$O$72),"")</f>
        <v/>
      </c>
      <c r="Z25" s="59" t="str">
        <f>IF(AND('Mapa de Riesgos'!$Y$73="Alta",'Mapa de Riesgos'!$AA$73="Moderado"),CONCATENATE("R10C",'Mapa de Riesgos'!$O$73),"")</f>
        <v/>
      </c>
      <c r="AA25" s="60" t="str">
        <f>IF(AND('Mapa de Riesgos'!$Y$74="Alta",'Mapa de Riesgos'!$AA$74="Moderado"),CONCATENATE("R10C",'Mapa de Riesgos'!$O$74),"")</f>
        <v/>
      </c>
      <c r="AB25" s="58" t="str">
        <f>IF(AND('Mapa de Riesgos'!$Y$69="Alta",'Mapa de Riesgos'!$AA$69="Mayor"),CONCATENATE("R10C",'Mapa de Riesgos'!$O$69),"")</f>
        <v/>
      </c>
      <c r="AC25" s="59" t="str">
        <f>IF(AND('Mapa de Riesgos'!$Y$70="Alta",'Mapa de Riesgos'!$AA$70="Mayor"),CONCATENATE("R10C",'Mapa de Riesgos'!$O$70),"")</f>
        <v/>
      </c>
      <c r="AD25" s="59" t="str">
        <f>IF(AND('Mapa de Riesgos'!$Y$71="Alta",'Mapa de Riesgos'!$AA$71="Mayor"),CONCATENATE("R10C",'Mapa de Riesgos'!$O$71),"")</f>
        <v/>
      </c>
      <c r="AE25" s="59" t="str">
        <f>IF(AND('Mapa de Riesgos'!$Y$72="Alta",'Mapa de Riesgos'!$AA$72="Mayor"),CONCATENATE("R10C",'Mapa de Riesgos'!$O$72),"")</f>
        <v/>
      </c>
      <c r="AF25" s="59" t="str">
        <f>IF(AND('Mapa de Riesgos'!$Y$73="Alta",'Mapa de Riesgos'!$AA$73="Mayor"),CONCATENATE("R10C",'Mapa de Riesgos'!$O$73),"")</f>
        <v/>
      </c>
      <c r="AG25" s="60" t="str">
        <f>IF(AND('Mapa de Riesgos'!$Y$74="Alta",'Mapa de Riesgos'!$AA$74="Mayor"),CONCATENATE("R10C",'Mapa de Riesgos'!$O$74),"")</f>
        <v/>
      </c>
      <c r="AH25" s="61" t="str">
        <f>IF(AND('Mapa de Riesgos'!$Y$69="Alta",'Mapa de Riesgos'!$AA$69="Catastrófico"),CONCATENATE("R10C",'Mapa de Riesgos'!$O$69),"")</f>
        <v/>
      </c>
      <c r="AI25" s="62" t="str">
        <f>IF(AND('Mapa de Riesgos'!$Y$70="Alta",'Mapa de Riesgos'!$AA$70="Catastrófico"),CONCATENATE("R10C",'Mapa de Riesgos'!$O$70),"")</f>
        <v/>
      </c>
      <c r="AJ25" s="62" t="str">
        <f>IF(AND('Mapa de Riesgos'!$Y$71="Alta",'Mapa de Riesgos'!$AA$71="Catastrófico"),CONCATENATE("R10C",'Mapa de Riesgos'!$O$71),"")</f>
        <v/>
      </c>
      <c r="AK25" s="62" t="str">
        <f>IF(AND('Mapa de Riesgos'!$Y$72="Alta",'Mapa de Riesgos'!$AA$72="Catastrófico"),CONCATENATE("R10C",'Mapa de Riesgos'!$O$72),"")</f>
        <v/>
      </c>
      <c r="AL25" s="62" t="str">
        <f>IF(AND('Mapa de Riesgos'!$Y$73="Alta",'Mapa de Riesgos'!$AA$73="Catastrófico"),CONCATENATE("R10C",'Mapa de Riesgos'!$O$73),"")</f>
        <v/>
      </c>
      <c r="AM25" s="63" t="str">
        <f>IF(AND('Mapa de Riesgos'!$Y$74="Alta",'Mapa de Riesgos'!$AA$74="Catastrófico"),CONCATENATE("R10C",'Mapa de Riesgos'!$O$74),"")</f>
        <v/>
      </c>
      <c r="AN25" s="83"/>
      <c r="AO25" s="554"/>
      <c r="AP25" s="555"/>
      <c r="AQ25" s="555"/>
      <c r="AR25" s="555"/>
      <c r="AS25" s="555"/>
      <c r="AT25" s="55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500"/>
      <c r="C26" s="500"/>
      <c r="D26" s="501"/>
      <c r="E26" s="538" t="s">
        <v>213</v>
      </c>
      <c r="F26" s="539"/>
      <c r="G26" s="539"/>
      <c r="H26" s="539"/>
      <c r="I26" s="540"/>
      <c r="J26" s="64" t="str">
        <f>IF(AND('Mapa de Riesgos'!$Y$12="Media",'Mapa de Riesgos'!$AA$12="Leve"),CONCATENATE("R1C",'Mapa de Riesgos'!$O$12),"")</f>
        <v/>
      </c>
      <c r="K26" s="65" t="str">
        <f>IF(AND('Mapa de Riesgos'!$Y$16="Media",'Mapa de Riesgos'!$AA$16="Leve"),CONCATENATE("R1C",'Mapa de Riesgos'!$O$16),"")</f>
        <v/>
      </c>
      <c r="L26" s="65" t="str">
        <f>IF(AND('Mapa de Riesgos'!$Y$17="Media",'Mapa de Riesgos'!$AA$17="Leve"),CONCATENATE("R1C",'Mapa de Riesgos'!$O$17),"")</f>
        <v/>
      </c>
      <c r="M26" s="65" t="str">
        <f>IF(AND('Mapa de Riesgos'!$Y$18="Media",'Mapa de Riesgos'!$AA$18="Leve"),CONCATENATE("R1C",'Mapa de Riesgos'!$O$18),"")</f>
        <v/>
      </c>
      <c r="N26" s="65" t="str">
        <f>IF(AND('Mapa de Riesgos'!$Y$19="Media",'Mapa de Riesgos'!$AA$19="Leve"),CONCATENATE("R1C",'Mapa de Riesgos'!$O$19),"")</f>
        <v/>
      </c>
      <c r="O26" s="66" t="str">
        <f>IF(AND('Mapa de Riesgos'!$Y$20="Media",'Mapa de Riesgos'!$AA$20="Leve"),CONCATENATE("R1C",'Mapa de Riesgos'!$O$20),"")</f>
        <v/>
      </c>
      <c r="P26" s="64" t="str">
        <f>IF(AND('Mapa de Riesgos'!$Y$12="Media",'Mapa de Riesgos'!$AA$12="Menor"),CONCATENATE("R1C",'Mapa de Riesgos'!$O$12),"")</f>
        <v/>
      </c>
      <c r="Q26" s="65" t="str">
        <f>IF(AND('Mapa de Riesgos'!$Y$16="Media",'Mapa de Riesgos'!$AA$16="Menor"),CONCATENATE("R1C",'Mapa de Riesgos'!$O$16),"")</f>
        <v/>
      </c>
      <c r="R26" s="65" t="str">
        <f>IF(AND('Mapa de Riesgos'!$Y$17="Media",'Mapa de Riesgos'!$AA$17="Menor"),CONCATENATE("R1C",'Mapa de Riesgos'!$O$17),"")</f>
        <v/>
      </c>
      <c r="S26" s="65" t="str">
        <f>IF(AND('Mapa de Riesgos'!$Y$18="Media",'Mapa de Riesgos'!$AA$18="Menor"),CONCATENATE("R1C",'Mapa de Riesgos'!$O$18),"")</f>
        <v/>
      </c>
      <c r="T26" s="65" t="str">
        <f>IF(AND('Mapa de Riesgos'!$Y$19="Media",'Mapa de Riesgos'!$AA$19="Menor"),CONCATENATE("R1C",'Mapa de Riesgos'!$O$19),"")</f>
        <v/>
      </c>
      <c r="U26" s="66" t="str">
        <f>IF(AND('Mapa de Riesgos'!$Y$20="Media",'Mapa de Riesgos'!$AA$20="Menor"),CONCATENATE("R1C",'Mapa de Riesgos'!$O$20),"")</f>
        <v/>
      </c>
      <c r="V26" s="64" t="str">
        <f>IF(AND('Mapa de Riesgos'!$Y$12="Media",'Mapa de Riesgos'!$AA$12="Moderado"),CONCATENATE("R1C",'Mapa de Riesgos'!$O$12),"")</f>
        <v/>
      </c>
      <c r="W26" s="65" t="str">
        <f>IF(AND('Mapa de Riesgos'!$Y$16="Media",'Mapa de Riesgos'!$AA$16="Moderado"),CONCATENATE("R1C",'Mapa de Riesgos'!$O$16),"")</f>
        <v/>
      </c>
      <c r="X26" s="65" t="str">
        <f>IF(AND('Mapa de Riesgos'!$Y$17="Media",'Mapa de Riesgos'!$AA$17="Moderado"),CONCATENATE("R1C",'Mapa de Riesgos'!$O$17),"")</f>
        <v/>
      </c>
      <c r="Y26" s="65" t="str">
        <f>IF(AND('Mapa de Riesgos'!$Y$18="Media",'Mapa de Riesgos'!$AA$18="Moderado"),CONCATENATE("R1C",'Mapa de Riesgos'!$O$18),"")</f>
        <v/>
      </c>
      <c r="Z26" s="65" t="str">
        <f>IF(AND('Mapa de Riesgos'!$Y$19="Media",'Mapa de Riesgos'!$AA$19="Moderado"),CONCATENATE("R1C",'Mapa de Riesgos'!$O$19),"")</f>
        <v/>
      </c>
      <c r="AA26" s="66" t="str">
        <f>IF(AND('Mapa de Riesgos'!$Y$20="Media",'Mapa de Riesgos'!$AA$20="Moderado"),CONCATENATE("R1C",'Mapa de Riesgos'!$O$20),"")</f>
        <v/>
      </c>
      <c r="AB26" s="46" t="str">
        <f>IF(AND('Mapa de Riesgos'!$Y$12="Media",'Mapa de Riesgos'!$AA$12="Mayor"),CONCATENATE("R1C",'Mapa de Riesgos'!$O$12),"")</f>
        <v/>
      </c>
      <c r="AC26" s="47" t="str">
        <f>IF(AND('Mapa de Riesgos'!$Y$16="Media",'Mapa de Riesgos'!$AA$16="Mayor"),CONCATENATE("R1C",'Mapa de Riesgos'!$O$16),"")</f>
        <v/>
      </c>
      <c r="AD26" s="47" t="str">
        <f>IF(AND('Mapa de Riesgos'!$Y$17="Media",'Mapa de Riesgos'!$AA$17="Mayor"),CONCATENATE("R1C",'Mapa de Riesgos'!$O$17),"")</f>
        <v/>
      </c>
      <c r="AE26" s="47" t="str">
        <f>IF(AND('Mapa de Riesgos'!$Y$18="Media",'Mapa de Riesgos'!$AA$18="Mayor"),CONCATENATE("R1C",'Mapa de Riesgos'!$O$18),"")</f>
        <v/>
      </c>
      <c r="AF26" s="47" t="str">
        <f>IF(AND('Mapa de Riesgos'!$Y$19="Media",'Mapa de Riesgos'!$AA$19="Mayor"),CONCATENATE("R1C",'Mapa de Riesgos'!$O$19),"")</f>
        <v/>
      </c>
      <c r="AG26" s="48" t="str">
        <f>IF(AND('Mapa de Riesgos'!$Y$20="Media",'Mapa de Riesgos'!$AA$20="Mayor"),CONCATENATE("R1C",'Mapa de Riesgos'!$O$20),"")</f>
        <v/>
      </c>
      <c r="AH26" s="49" t="str">
        <f>IF(AND('Mapa de Riesgos'!$Y$12="Media",'Mapa de Riesgos'!$AA$12="Catastrófico"),CONCATENATE("R1C",'Mapa de Riesgos'!$O$12),"")</f>
        <v/>
      </c>
      <c r="AI26" s="50" t="str">
        <f>IF(AND('Mapa de Riesgos'!$Y$16="Media",'Mapa de Riesgos'!$AA$16="Catastrófico"),CONCATENATE("R1C",'Mapa de Riesgos'!$O$16),"")</f>
        <v/>
      </c>
      <c r="AJ26" s="50" t="str">
        <f>IF(AND('Mapa de Riesgos'!$Y$17="Media",'Mapa de Riesgos'!$AA$17="Catastrófico"),CONCATENATE("R1C",'Mapa de Riesgos'!$O$17),"")</f>
        <v/>
      </c>
      <c r="AK26" s="50" t="str">
        <f>IF(AND('Mapa de Riesgos'!$Y$18="Media",'Mapa de Riesgos'!$AA$18="Catastrófico"),CONCATENATE("R1C",'Mapa de Riesgos'!$O$18),"")</f>
        <v/>
      </c>
      <c r="AL26" s="50" t="str">
        <f>IF(AND('Mapa de Riesgos'!$Y$19="Media",'Mapa de Riesgos'!$AA$19="Catastrófico"),CONCATENATE("R1C",'Mapa de Riesgos'!$O$19),"")</f>
        <v/>
      </c>
      <c r="AM26" s="51" t="str">
        <f>IF(AND('Mapa de Riesgos'!$Y$20="Media",'Mapa de Riesgos'!$AA$20="Catastrófico"),CONCATENATE("R1C",'Mapa de Riesgos'!$O$20),"")</f>
        <v/>
      </c>
      <c r="AN26" s="83"/>
      <c r="AO26" s="578" t="s">
        <v>214</v>
      </c>
      <c r="AP26" s="579"/>
      <c r="AQ26" s="579"/>
      <c r="AR26" s="579"/>
      <c r="AS26" s="579"/>
      <c r="AT26" s="58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500"/>
      <c r="C27" s="500"/>
      <c r="D27" s="501"/>
      <c r="E27" s="557"/>
      <c r="F27" s="542"/>
      <c r="G27" s="542"/>
      <c r="H27" s="542"/>
      <c r="I27" s="543"/>
      <c r="J27" s="67" t="str">
        <f>IF(AND('Mapa de Riesgos'!$Y$21="Media",'Mapa de Riesgos'!$AA$21="Leve"),CONCATENATE("R2C",'Mapa de Riesgos'!$O$21),"")</f>
        <v/>
      </c>
      <c r="K27" s="68" t="str">
        <f>IF(AND('Mapa de Riesgos'!$Y$22="Media",'Mapa de Riesgos'!$AA$22="Leve"),CONCATENATE("R2C",'Mapa de Riesgos'!$O$22),"")</f>
        <v/>
      </c>
      <c r="L27" s="68" t="str">
        <f>IF(AND('Mapa de Riesgos'!$Y$23="Media",'Mapa de Riesgos'!$AA$23="Leve"),CONCATENATE("R2C",'Mapa de Riesgos'!$O$23),"")</f>
        <v/>
      </c>
      <c r="M27" s="68" t="str">
        <f>IF(AND('Mapa de Riesgos'!$Y$24="Media",'Mapa de Riesgos'!$AA$24="Leve"),CONCATENATE("R2C",'Mapa de Riesgos'!$O$24),"")</f>
        <v/>
      </c>
      <c r="N27" s="68" t="str">
        <f>IF(AND('Mapa de Riesgos'!$Y$25="Media",'Mapa de Riesgos'!$AA$25="Leve"),CONCATENATE("R2C",'Mapa de Riesgos'!$O$25),"")</f>
        <v/>
      </c>
      <c r="O27" s="69" t="str">
        <f>IF(AND('Mapa de Riesgos'!$Y$26="Media",'Mapa de Riesgos'!$AA$26="Leve"),CONCATENATE("R2C",'Mapa de Riesgos'!$O$26),"")</f>
        <v/>
      </c>
      <c r="P27" s="67" t="str">
        <f>IF(AND('Mapa de Riesgos'!$Y$21="Media",'Mapa de Riesgos'!$AA$21="Menor"),CONCATENATE("R2C",'Mapa de Riesgos'!$O$21),"")</f>
        <v/>
      </c>
      <c r="Q27" s="68" t="str">
        <f>IF(AND('Mapa de Riesgos'!$Y$22="Media",'Mapa de Riesgos'!$AA$22="Menor"),CONCATENATE("R2C",'Mapa de Riesgos'!$O$22),"")</f>
        <v/>
      </c>
      <c r="R27" s="68" t="str">
        <f>IF(AND('Mapa de Riesgos'!$Y$23="Media",'Mapa de Riesgos'!$AA$23="Menor"),CONCATENATE("R2C",'Mapa de Riesgos'!$O$23),"")</f>
        <v/>
      </c>
      <c r="S27" s="68" t="str">
        <f>IF(AND('Mapa de Riesgos'!$Y$24="Media",'Mapa de Riesgos'!$AA$24="Menor"),CONCATENATE("R2C",'Mapa de Riesgos'!$O$24),"")</f>
        <v/>
      </c>
      <c r="T27" s="68" t="str">
        <f>IF(AND('Mapa de Riesgos'!$Y$25="Media",'Mapa de Riesgos'!$AA$25="Menor"),CONCATENATE("R2C",'Mapa de Riesgos'!$O$25),"")</f>
        <v/>
      </c>
      <c r="U27" s="69" t="str">
        <f>IF(AND('Mapa de Riesgos'!$Y$26="Media",'Mapa de Riesgos'!$AA$26="Menor"),CONCATENATE("R2C",'Mapa de Riesgos'!$O$26),"")</f>
        <v/>
      </c>
      <c r="V27" s="67" t="str">
        <f>IF(AND('Mapa de Riesgos'!$Y$21="Media",'Mapa de Riesgos'!$AA$21="Moderado"),CONCATENATE("R2C",'Mapa de Riesgos'!$O$21),"")</f>
        <v/>
      </c>
      <c r="W27" s="68" t="str">
        <f>IF(AND('Mapa de Riesgos'!$Y$22="Media",'Mapa de Riesgos'!$AA$22="Moderado"),CONCATENATE("R2C",'Mapa de Riesgos'!$O$22),"")</f>
        <v/>
      </c>
      <c r="X27" s="68" t="str">
        <f>IF(AND('Mapa de Riesgos'!$Y$23="Media",'Mapa de Riesgos'!$AA$23="Moderado"),CONCATENATE("R2C",'Mapa de Riesgos'!$O$23),"")</f>
        <v/>
      </c>
      <c r="Y27" s="68" t="str">
        <f>IF(AND('Mapa de Riesgos'!$Y$24="Media",'Mapa de Riesgos'!$AA$24="Moderado"),CONCATENATE("R2C",'Mapa de Riesgos'!$O$24),"")</f>
        <v/>
      </c>
      <c r="Z27" s="68" t="str">
        <f>IF(AND('Mapa de Riesgos'!$Y$25="Media",'Mapa de Riesgos'!$AA$25="Moderado"),CONCATENATE("R2C",'Mapa de Riesgos'!$O$25),"")</f>
        <v/>
      </c>
      <c r="AA27" s="69" t="str">
        <f>IF(AND('Mapa de Riesgos'!$Y$26="Media",'Mapa de Riesgos'!$AA$26="Moderado"),CONCATENATE("R2C",'Mapa de Riesgos'!$O$26),"")</f>
        <v/>
      </c>
      <c r="AB27" s="52" t="str">
        <f>IF(AND('Mapa de Riesgos'!$Y$21="Media",'Mapa de Riesgos'!$AA$21="Mayor"),CONCATENATE("R2C",'Mapa de Riesgos'!$O$21),"")</f>
        <v/>
      </c>
      <c r="AC27" s="53" t="str">
        <f>IF(AND('Mapa de Riesgos'!$Y$22="Media",'Mapa de Riesgos'!$AA$22="Mayor"),CONCATENATE("R2C",'Mapa de Riesgos'!$O$22),"")</f>
        <v/>
      </c>
      <c r="AD27" s="53" t="str">
        <f>IF(AND('Mapa de Riesgos'!$Y$23="Media",'Mapa de Riesgos'!$AA$23="Mayor"),CONCATENATE("R2C",'Mapa de Riesgos'!$O$23),"")</f>
        <v/>
      </c>
      <c r="AE27" s="53" t="str">
        <f>IF(AND('Mapa de Riesgos'!$Y$24="Media",'Mapa de Riesgos'!$AA$24="Mayor"),CONCATENATE("R2C",'Mapa de Riesgos'!$O$24),"")</f>
        <v/>
      </c>
      <c r="AF27" s="53" t="str">
        <f>IF(AND('Mapa de Riesgos'!$Y$25="Media",'Mapa de Riesgos'!$AA$25="Mayor"),CONCATENATE("R2C",'Mapa de Riesgos'!$O$25),"")</f>
        <v/>
      </c>
      <c r="AG27" s="54" t="str">
        <f>IF(AND('Mapa de Riesgos'!$Y$26="Media",'Mapa de Riesgos'!$AA$26="Mayor"),CONCATENATE("R2C",'Mapa de Riesgos'!$O$26),"")</f>
        <v/>
      </c>
      <c r="AH27" s="55" t="str">
        <f>IF(AND('Mapa de Riesgos'!$Y$21="Media",'Mapa de Riesgos'!$AA$21="Catastrófico"),CONCATENATE("R2C",'Mapa de Riesgos'!$O$21),"")</f>
        <v/>
      </c>
      <c r="AI27" s="56" t="str">
        <f>IF(AND('Mapa de Riesgos'!$Y$22="Media",'Mapa de Riesgos'!$AA$22="Catastrófico"),CONCATENATE("R2C",'Mapa de Riesgos'!$O$22),"")</f>
        <v/>
      </c>
      <c r="AJ27" s="56" t="str">
        <f>IF(AND('Mapa de Riesgos'!$Y$23="Media",'Mapa de Riesgos'!$AA$23="Catastrófico"),CONCATENATE("R2C",'Mapa de Riesgos'!$O$23),"")</f>
        <v/>
      </c>
      <c r="AK27" s="56" t="str">
        <f>IF(AND('Mapa de Riesgos'!$Y$24="Media",'Mapa de Riesgos'!$AA$24="Catastrófico"),CONCATENATE("R2C",'Mapa de Riesgos'!$O$24),"")</f>
        <v/>
      </c>
      <c r="AL27" s="56" t="str">
        <f>IF(AND('Mapa de Riesgos'!$Y$25="Media",'Mapa de Riesgos'!$AA$25="Catastrófico"),CONCATENATE("R2C",'Mapa de Riesgos'!$O$25),"")</f>
        <v/>
      </c>
      <c r="AM27" s="57" t="str">
        <f>IF(AND('Mapa de Riesgos'!$Y$26="Media",'Mapa de Riesgos'!$AA$26="Catastrófico"),CONCATENATE("R2C",'Mapa de Riesgos'!$O$26),"")</f>
        <v/>
      </c>
      <c r="AN27" s="83"/>
      <c r="AO27" s="581"/>
      <c r="AP27" s="582"/>
      <c r="AQ27" s="582"/>
      <c r="AR27" s="582"/>
      <c r="AS27" s="582"/>
      <c r="AT27" s="5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500"/>
      <c r="C28" s="500"/>
      <c r="D28" s="501"/>
      <c r="E28" s="541"/>
      <c r="F28" s="542"/>
      <c r="G28" s="542"/>
      <c r="H28" s="542"/>
      <c r="I28" s="543"/>
      <c r="J28" s="67" t="str">
        <f>IF(AND('Mapa de Riesgos'!$Y$27="Media",'Mapa de Riesgos'!$AA$27="Leve"),CONCATENATE("R3C",'Mapa de Riesgos'!$O$27),"")</f>
        <v/>
      </c>
      <c r="K28" s="68" t="str">
        <f>IF(AND('Mapa de Riesgos'!$Y$28="Media",'Mapa de Riesgos'!$AA$28="Leve"),CONCATENATE("R3C",'Mapa de Riesgos'!$O$28),"")</f>
        <v/>
      </c>
      <c r="L28" s="68" t="str">
        <f>IF(AND('Mapa de Riesgos'!$Y$29="Media",'Mapa de Riesgos'!$AA$29="Leve"),CONCATENATE("R3C",'Mapa de Riesgos'!$O$29),"")</f>
        <v/>
      </c>
      <c r="M28" s="68" t="str">
        <f>IF(AND('Mapa de Riesgos'!$Y$30="Media",'Mapa de Riesgos'!$AA$30="Leve"),CONCATENATE("R3C",'Mapa de Riesgos'!$O$30),"")</f>
        <v/>
      </c>
      <c r="N28" s="68" t="str">
        <f>IF(AND('Mapa de Riesgos'!$Y$31="Media",'Mapa de Riesgos'!$AA$31="Leve"),CONCATENATE("R3C",'Mapa de Riesgos'!$O$31),"")</f>
        <v/>
      </c>
      <c r="O28" s="69" t="str">
        <f>IF(AND('Mapa de Riesgos'!$Y$32="Media",'Mapa de Riesgos'!$AA$32="Leve"),CONCATENATE("R3C",'Mapa de Riesgos'!$O$32),"")</f>
        <v/>
      </c>
      <c r="P28" s="67" t="str">
        <f>IF(AND('Mapa de Riesgos'!$Y$27="Media",'Mapa de Riesgos'!$AA$27="Menor"),CONCATENATE("R3C",'Mapa de Riesgos'!$O$27),"")</f>
        <v/>
      </c>
      <c r="Q28" s="68" t="str">
        <f>IF(AND('Mapa de Riesgos'!$Y$28="Media",'Mapa de Riesgos'!$AA$28="Menor"),CONCATENATE("R3C",'Mapa de Riesgos'!$O$28),"")</f>
        <v/>
      </c>
      <c r="R28" s="68" t="str">
        <f>IF(AND('Mapa de Riesgos'!$Y$29="Media",'Mapa de Riesgos'!$AA$29="Menor"),CONCATENATE("R3C",'Mapa de Riesgos'!$O$29),"")</f>
        <v/>
      </c>
      <c r="S28" s="68" t="str">
        <f>IF(AND('Mapa de Riesgos'!$Y$30="Media",'Mapa de Riesgos'!$AA$30="Menor"),CONCATENATE("R3C",'Mapa de Riesgos'!$O$30),"")</f>
        <v/>
      </c>
      <c r="T28" s="68" t="str">
        <f>IF(AND('Mapa de Riesgos'!$Y$31="Media",'Mapa de Riesgos'!$AA$31="Menor"),CONCATENATE("R3C",'Mapa de Riesgos'!$O$31),"")</f>
        <v/>
      </c>
      <c r="U28" s="69" t="str">
        <f>IF(AND('Mapa de Riesgos'!$Y$32="Media",'Mapa de Riesgos'!$AA$32="Menor"),CONCATENATE("R3C",'Mapa de Riesgos'!$O$32),"")</f>
        <v/>
      </c>
      <c r="V28" s="67" t="str">
        <f>IF(AND('Mapa de Riesgos'!$Y$27="Media",'Mapa de Riesgos'!$AA$27="Moderado"),CONCATENATE("R3C",'Mapa de Riesgos'!$O$27),"")</f>
        <v/>
      </c>
      <c r="W28" s="68" t="str">
        <f>IF(AND('Mapa de Riesgos'!$Y$28="Media",'Mapa de Riesgos'!$AA$28="Moderado"),CONCATENATE("R3C",'Mapa de Riesgos'!$O$28),"")</f>
        <v/>
      </c>
      <c r="X28" s="68" t="str">
        <f>IF(AND('Mapa de Riesgos'!$Y$29="Media",'Mapa de Riesgos'!$AA$29="Moderado"),CONCATENATE("R3C",'Mapa de Riesgos'!$O$29),"")</f>
        <v/>
      </c>
      <c r="Y28" s="68" t="str">
        <f>IF(AND('Mapa de Riesgos'!$Y$30="Media",'Mapa de Riesgos'!$AA$30="Moderado"),CONCATENATE("R3C",'Mapa de Riesgos'!$O$30),"")</f>
        <v/>
      </c>
      <c r="Z28" s="68" t="str">
        <f>IF(AND('Mapa de Riesgos'!$Y$31="Media",'Mapa de Riesgos'!$AA$31="Moderado"),CONCATENATE("R3C",'Mapa de Riesgos'!$O$31),"")</f>
        <v/>
      </c>
      <c r="AA28" s="69" t="str">
        <f>IF(AND('Mapa de Riesgos'!$Y$32="Media",'Mapa de Riesgos'!$AA$32="Moderado"),CONCATENATE("R3C",'Mapa de Riesgos'!$O$32),"")</f>
        <v/>
      </c>
      <c r="AB28" s="52" t="str">
        <f>IF(AND('Mapa de Riesgos'!$Y$27="Media",'Mapa de Riesgos'!$AA$27="Mayor"),CONCATENATE("R3C",'Mapa de Riesgos'!$O$27),"")</f>
        <v/>
      </c>
      <c r="AC28" s="53" t="str">
        <f>IF(AND('Mapa de Riesgos'!$Y$28="Media",'Mapa de Riesgos'!$AA$28="Mayor"),CONCATENATE("R3C",'Mapa de Riesgos'!$O$28),"")</f>
        <v/>
      </c>
      <c r="AD28" s="53" t="str">
        <f>IF(AND('Mapa de Riesgos'!$Y$29="Media",'Mapa de Riesgos'!$AA$29="Mayor"),CONCATENATE("R3C",'Mapa de Riesgos'!$O$29),"")</f>
        <v/>
      </c>
      <c r="AE28" s="53" t="str">
        <f>IF(AND('Mapa de Riesgos'!$Y$30="Media",'Mapa de Riesgos'!$AA$30="Mayor"),CONCATENATE("R3C",'Mapa de Riesgos'!$O$30),"")</f>
        <v/>
      </c>
      <c r="AF28" s="53" t="str">
        <f>IF(AND('Mapa de Riesgos'!$Y$31="Media",'Mapa de Riesgos'!$AA$31="Mayor"),CONCATENATE("R3C",'Mapa de Riesgos'!$O$31),"")</f>
        <v/>
      </c>
      <c r="AG28" s="54" t="str">
        <f>IF(AND('Mapa de Riesgos'!$Y$32="Media",'Mapa de Riesgos'!$AA$32="Mayor"),CONCATENATE("R3C",'Mapa de Riesgos'!$O$32),"")</f>
        <v/>
      </c>
      <c r="AH28" s="55" t="str">
        <f>IF(AND('Mapa de Riesgos'!$Y$27="Media",'Mapa de Riesgos'!$AA$27="Catastrófico"),CONCATENATE("R3C",'Mapa de Riesgos'!$O$27),"")</f>
        <v/>
      </c>
      <c r="AI28" s="56" t="str">
        <f>IF(AND('Mapa de Riesgos'!$Y$28="Media",'Mapa de Riesgos'!$AA$28="Catastrófico"),CONCATENATE("R3C",'Mapa de Riesgos'!$O$28),"")</f>
        <v/>
      </c>
      <c r="AJ28" s="56" t="str">
        <f>IF(AND('Mapa de Riesgos'!$Y$29="Media",'Mapa de Riesgos'!$AA$29="Catastrófico"),CONCATENATE("R3C",'Mapa de Riesgos'!$O$29),"")</f>
        <v/>
      </c>
      <c r="AK28" s="56" t="str">
        <f>IF(AND('Mapa de Riesgos'!$Y$30="Media",'Mapa de Riesgos'!$AA$30="Catastrófico"),CONCATENATE("R3C",'Mapa de Riesgos'!$O$30),"")</f>
        <v/>
      </c>
      <c r="AL28" s="56" t="str">
        <f>IF(AND('Mapa de Riesgos'!$Y$31="Media",'Mapa de Riesgos'!$AA$31="Catastrófico"),CONCATENATE("R3C",'Mapa de Riesgos'!$O$31),"")</f>
        <v/>
      </c>
      <c r="AM28" s="57" t="str">
        <f>IF(AND('Mapa de Riesgos'!$Y$32="Media",'Mapa de Riesgos'!$AA$32="Catastrófico"),CONCATENATE("R3C",'Mapa de Riesgos'!$O$32),"")</f>
        <v/>
      </c>
      <c r="AN28" s="83"/>
      <c r="AO28" s="581"/>
      <c r="AP28" s="582"/>
      <c r="AQ28" s="582"/>
      <c r="AR28" s="582"/>
      <c r="AS28" s="582"/>
      <c r="AT28" s="5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500"/>
      <c r="C29" s="500"/>
      <c r="D29" s="501"/>
      <c r="E29" s="541"/>
      <c r="F29" s="542"/>
      <c r="G29" s="542"/>
      <c r="H29" s="542"/>
      <c r="I29" s="543"/>
      <c r="J29" s="67" t="str">
        <f>IF(AND('Mapa de Riesgos'!$Y$33="Media",'Mapa de Riesgos'!$AA$33="Leve"),CONCATENATE("R4C",'Mapa de Riesgos'!$O$33),"")</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Riesgos'!$Y$33="Media",'Mapa de Riesgos'!$AA$33="Menor"),CONCATENATE("R4C",'Mapa de Riesgos'!$O$33),"")</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Riesgos'!$Y$33="Media",'Mapa de Riesgos'!$AA$33="Moderado"),CONCATENATE("R4C",'Mapa de Riesgos'!$O$33),"")</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Riesgos'!$Y$33="Media",'Mapa de Riesgos'!$AA$33="Mayor"),CONCATENATE("R4C",'Mapa de Riesgos'!$O$33),"")</f>
        <v>R4C1</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Riesgos'!$Y$33="Media",'Mapa de Riesgos'!$AA$33="Catastrófico"),CONCATENATE("R4C",'Mapa de Riesgos'!$O$33),"")</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581"/>
      <c r="AP29" s="582"/>
      <c r="AQ29" s="582"/>
      <c r="AR29" s="582"/>
      <c r="AS29" s="582"/>
      <c r="AT29" s="5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500"/>
      <c r="C30" s="500"/>
      <c r="D30" s="501"/>
      <c r="E30" s="541"/>
      <c r="F30" s="542"/>
      <c r="G30" s="542"/>
      <c r="H30" s="542"/>
      <c r="I30" s="543"/>
      <c r="J30" s="67" t="str">
        <f>IF(AND('Mapa de Riesgos'!$Y$39="Media",'Mapa de Riesgos'!$AA$39="Leve"),CONCATENATE("R5C",'Mapa de Riesgos'!$O$39),"")</f>
        <v/>
      </c>
      <c r="K30" s="68" t="str">
        <f>IF(AND('Mapa de Riesgos'!$Y$40="Media",'Mapa de Riesgos'!$AA$40="Leve"),CONCATENATE("R5C",'Mapa de Riesgos'!$O$40),"")</f>
        <v/>
      </c>
      <c r="L30" s="68" t="str">
        <f>IF(AND('Mapa de Riesgos'!$Y$41="Media",'Mapa de Riesgos'!$AA$41="Leve"),CONCATENATE("R5C",'Mapa de Riesgos'!$O$41),"")</f>
        <v/>
      </c>
      <c r="M30" s="68" t="str">
        <f>IF(AND('Mapa de Riesgos'!$Y$42="Media",'Mapa de Riesgos'!$AA$42="Leve"),CONCATENATE("R5C",'Mapa de Riesgos'!$O$42),"")</f>
        <v/>
      </c>
      <c r="N30" s="68" t="str">
        <f>IF(AND('Mapa de Riesgos'!$Y$43="Media",'Mapa de Riesgos'!$AA$43="Leve"),CONCATENATE("R5C",'Mapa de Riesgos'!$O$43),"")</f>
        <v/>
      </c>
      <c r="O30" s="69" t="str">
        <f>IF(AND('Mapa de Riesgos'!$Y$44="Media",'Mapa de Riesgos'!$AA$44="Leve"),CONCATENATE("R5C",'Mapa de Riesgos'!$O$44),"")</f>
        <v/>
      </c>
      <c r="P30" s="67" t="str">
        <f>IF(AND('Mapa de Riesgos'!$Y$39="Media",'Mapa de Riesgos'!$AA$39="Menor"),CONCATENATE("R5C",'Mapa de Riesgos'!$O$39),"")</f>
        <v>R5C1</v>
      </c>
      <c r="Q30" s="68" t="str">
        <f>IF(AND('Mapa de Riesgos'!$Y$40="Media",'Mapa de Riesgos'!$AA$40="Menor"),CONCATENATE("R5C",'Mapa de Riesgos'!$O$40),"")</f>
        <v/>
      </c>
      <c r="R30" s="68" t="str">
        <f>IF(AND('Mapa de Riesgos'!$Y$41="Media",'Mapa de Riesgos'!$AA$41="Menor"),CONCATENATE("R5C",'Mapa de Riesgos'!$O$41),"")</f>
        <v/>
      </c>
      <c r="S30" s="68" t="str">
        <f>IF(AND('Mapa de Riesgos'!$Y$42="Media",'Mapa de Riesgos'!$AA$42="Menor"),CONCATENATE("R5C",'Mapa de Riesgos'!$O$42),"")</f>
        <v/>
      </c>
      <c r="T30" s="68" t="str">
        <f>IF(AND('Mapa de Riesgos'!$Y$43="Media",'Mapa de Riesgos'!$AA$43="Menor"),CONCATENATE("R5C",'Mapa de Riesgos'!$O$43),"")</f>
        <v/>
      </c>
      <c r="U30" s="69" t="str">
        <f>IF(AND('Mapa de Riesgos'!$Y$44="Media",'Mapa de Riesgos'!$AA$44="Menor"),CONCATENATE("R5C",'Mapa de Riesgos'!$O$44),"")</f>
        <v/>
      </c>
      <c r="V30" s="67" t="str">
        <f>IF(AND('Mapa de Riesgos'!$Y$39="Media",'Mapa de Riesgos'!$AA$39="Moderado"),CONCATENATE("R5C",'Mapa de Riesgos'!$O$39),"")</f>
        <v/>
      </c>
      <c r="W30" s="68" t="str">
        <f>IF(AND('Mapa de Riesgos'!$Y$40="Media",'Mapa de Riesgos'!$AA$40="Moderado"),CONCATENATE("R5C",'Mapa de Riesgos'!$O$40),"")</f>
        <v/>
      </c>
      <c r="X30" s="68" t="str">
        <f>IF(AND('Mapa de Riesgos'!$Y$41="Media",'Mapa de Riesgos'!$AA$41="Moderado"),CONCATENATE("R5C",'Mapa de Riesgos'!$O$41),"")</f>
        <v/>
      </c>
      <c r="Y30" s="68" t="str">
        <f>IF(AND('Mapa de Riesgos'!$Y$42="Media",'Mapa de Riesgos'!$AA$42="Moderado"),CONCATENATE("R5C",'Mapa de Riesgos'!$O$42),"")</f>
        <v/>
      </c>
      <c r="Z30" s="68" t="str">
        <f>IF(AND('Mapa de Riesgos'!$Y$43="Media",'Mapa de Riesgos'!$AA$43="Moderado"),CONCATENATE("R5C",'Mapa de Riesgos'!$O$43),"")</f>
        <v/>
      </c>
      <c r="AA30" s="69" t="str">
        <f>IF(AND('Mapa de Riesgos'!$Y$44="Media",'Mapa de Riesgos'!$AA$44="Moderado"),CONCATENATE("R5C",'Mapa de Riesgos'!$O$44),"")</f>
        <v/>
      </c>
      <c r="AB30" s="52" t="str">
        <f>IF(AND('Mapa de Riesgos'!$Y$39="Media",'Mapa de Riesgos'!$AA$39="Mayor"),CONCATENATE("R5C",'Mapa de Riesgos'!$O$39),"")</f>
        <v/>
      </c>
      <c r="AC30" s="53" t="str">
        <f>IF(AND('Mapa de Riesgos'!$Y$40="Media",'Mapa de Riesgos'!$AA$40="Mayor"),CONCATENATE("R5C",'Mapa de Riesgos'!$O$40),"")</f>
        <v/>
      </c>
      <c r="AD30" s="53" t="str">
        <f>IF(AND('Mapa de Riesgos'!$Y$41="Media",'Mapa de Riesgos'!$AA$41="Mayor"),CONCATENATE("R5C",'Mapa de Riesgos'!$O$41),"")</f>
        <v/>
      </c>
      <c r="AE30" s="53" t="str">
        <f>IF(AND('Mapa de Riesgos'!$Y$42="Media",'Mapa de Riesgos'!$AA$42="Mayor"),CONCATENATE("R5C",'Mapa de Riesgos'!$O$42),"")</f>
        <v/>
      </c>
      <c r="AF30" s="53" t="str">
        <f>IF(AND('Mapa de Riesgos'!$Y$43="Media",'Mapa de Riesgos'!$AA$43="Mayor"),CONCATENATE("R5C",'Mapa de Riesgos'!$O$43),"")</f>
        <v/>
      </c>
      <c r="AG30" s="54" t="str">
        <f>IF(AND('Mapa de Riesgos'!$Y$44="Media",'Mapa de Riesgos'!$AA$44="Mayor"),CONCATENATE("R5C",'Mapa de Riesgos'!$O$44),"")</f>
        <v/>
      </c>
      <c r="AH30" s="55" t="str">
        <f>IF(AND('Mapa de Riesgos'!$Y$39="Media",'Mapa de Riesgos'!$AA$39="Catastrófico"),CONCATENATE("R5C",'Mapa de Riesgos'!$O$39),"")</f>
        <v/>
      </c>
      <c r="AI30" s="56" t="str">
        <f>IF(AND('Mapa de Riesgos'!$Y$40="Media",'Mapa de Riesgos'!$AA$40="Catastrófico"),CONCATENATE("R5C",'Mapa de Riesgos'!$O$40),"")</f>
        <v/>
      </c>
      <c r="AJ30" s="56" t="str">
        <f>IF(AND('Mapa de Riesgos'!$Y$41="Media",'Mapa de Riesgos'!$AA$41="Catastrófico"),CONCATENATE("R5C",'Mapa de Riesgos'!$O$41),"")</f>
        <v/>
      </c>
      <c r="AK30" s="56" t="str">
        <f>IF(AND('Mapa de Riesgos'!$Y$42="Media",'Mapa de Riesgos'!$AA$42="Catastrófico"),CONCATENATE("R5C",'Mapa de Riesgos'!$O$42),"")</f>
        <v/>
      </c>
      <c r="AL30" s="56" t="str">
        <f>IF(AND('Mapa de Riesgos'!$Y$43="Media",'Mapa de Riesgos'!$AA$43="Catastrófico"),CONCATENATE("R5C",'Mapa de Riesgos'!$O$43),"")</f>
        <v/>
      </c>
      <c r="AM30" s="57" t="str">
        <f>IF(AND('Mapa de Riesgos'!$Y$44="Media",'Mapa de Riesgos'!$AA$44="Catastrófico"),CONCATENATE("R5C",'Mapa de Riesgos'!$O$44),"")</f>
        <v/>
      </c>
      <c r="AN30" s="83"/>
      <c r="AO30" s="581"/>
      <c r="AP30" s="582"/>
      <c r="AQ30" s="582"/>
      <c r="AR30" s="582"/>
      <c r="AS30" s="582"/>
      <c r="AT30" s="5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500"/>
      <c r="C31" s="500"/>
      <c r="D31" s="501"/>
      <c r="E31" s="541"/>
      <c r="F31" s="542"/>
      <c r="G31" s="542"/>
      <c r="H31" s="542"/>
      <c r="I31" s="543"/>
      <c r="J31" s="67" t="str">
        <f>IF(AND('Mapa de Riesgos'!$Y$45="Media",'Mapa de Riesgos'!$AA$45="Leve"),CONCATENATE("R6C",'Mapa de Riesgos'!$O$45),"")</f>
        <v/>
      </c>
      <c r="K31" s="68" t="str">
        <f>IF(AND('Mapa de Riesgos'!$Y$46="Media",'Mapa de Riesgos'!$AA$46="Leve"),CONCATENATE("R6C",'Mapa de Riesgos'!$O$46),"")</f>
        <v/>
      </c>
      <c r="L31" s="68" t="str">
        <f>IF(AND('Mapa de Riesgos'!$Y$47="Media",'Mapa de Riesgos'!$AA$47="Leve"),CONCATENATE("R6C",'Mapa de Riesgos'!$O$47),"")</f>
        <v/>
      </c>
      <c r="M31" s="68" t="str">
        <f>IF(AND('Mapa de Riesgos'!$Y$48="Media",'Mapa de Riesgos'!$AA$48="Leve"),CONCATENATE("R6C",'Mapa de Riesgos'!$O$48),"")</f>
        <v/>
      </c>
      <c r="N31" s="68" t="str">
        <f>IF(AND('Mapa de Riesgos'!$Y$49="Media",'Mapa de Riesgos'!$AA$49="Leve"),CONCATENATE("R6C",'Mapa de Riesgos'!$O$49),"")</f>
        <v/>
      </c>
      <c r="O31" s="69" t="str">
        <f>IF(AND('Mapa de Riesgos'!$Y$50="Media",'Mapa de Riesgos'!$AA$50="Leve"),CONCATENATE("R6C",'Mapa de Riesgos'!$O$50),"")</f>
        <v/>
      </c>
      <c r="P31" s="67" t="str">
        <f>IF(AND('Mapa de Riesgos'!$Y$45="Media",'Mapa de Riesgos'!$AA$45="Menor"),CONCATENATE("R6C",'Mapa de Riesgos'!$O$45),"")</f>
        <v/>
      </c>
      <c r="Q31" s="68" t="str">
        <f>IF(AND('Mapa de Riesgos'!$Y$46="Media",'Mapa de Riesgos'!$AA$46="Menor"),CONCATENATE("R6C",'Mapa de Riesgos'!$O$46),"")</f>
        <v/>
      </c>
      <c r="R31" s="68" t="str">
        <f>IF(AND('Mapa de Riesgos'!$Y$47="Media",'Mapa de Riesgos'!$AA$47="Menor"),CONCATENATE("R6C",'Mapa de Riesgos'!$O$47),"")</f>
        <v/>
      </c>
      <c r="S31" s="68" t="str">
        <f>IF(AND('Mapa de Riesgos'!$Y$48="Media",'Mapa de Riesgos'!$AA$48="Menor"),CONCATENATE("R6C",'Mapa de Riesgos'!$O$48),"")</f>
        <v/>
      </c>
      <c r="T31" s="68" t="str">
        <f>IF(AND('Mapa de Riesgos'!$Y$49="Media",'Mapa de Riesgos'!$AA$49="Menor"),CONCATENATE("R6C",'Mapa de Riesgos'!$O$49),"")</f>
        <v/>
      </c>
      <c r="U31" s="69" t="str">
        <f>IF(AND('Mapa de Riesgos'!$Y$50="Media",'Mapa de Riesgos'!$AA$50="Menor"),CONCATENATE("R6C",'Mapa de Riesgos'!$O$50),"")</f>
        <v/>
      </c>
      <c r="V31" s="67" t="str">
        <f>IF(AND('Mapa de Riesgos'!$Y$45="Media",'Mapa de Riesgos'!$AA$45="Moderado"),CONCATENATE("R6C",'Mapa de Riesgos'!$O$45),"")</f>
        <v/>
      </c>
      <c r="W31" s="68" t="str">
        <f>IF(AND('Mapa de Riesgos'!$Y$46="Media",'Mapa de Riesgos'!$AA$46="Moderado"),CONCATENATE("R6C",'Mapa de Riesgos'!$O$46),"")</f>
        <v/>
      </c>
      <c r="X31" s="68" t="str">
        <f>IF(AND('Mapa de Riesgos'!$Y$47="Media",'Mapa de Riesgos'!$AA$47="Moderado"),CONCATENATE("R6C",'Mapa de Riesgos'!$O$47),"")</f>
        <v/>
      </c>
      <c r="Y31" s="68" t="str">
        <f>IF(AND('Mapa de Riesgos'!$Y$48="Media",'Mapa de Riesgos'!$AA$48="Moderado"),CONCATENATE("R6C",'Mapa de Riesgos'!$O$48),"")</f>
        <v/>
      </c>
      <c r="Z31" s="68" t="str">
        <f>IF(AND('Mapa de Riesgos'!$Y$49="Media",'Mapa de Riesgos'!$AA$49="Moderado"),CONCATENATE("R6C",'Mapa de Riesgos'!$O$49),"")</f>
        <v/>
      </c>
      <c r="AA31" s="69" t="str">
        <f>IF(AND('Mapa de Riesgos'!$Y$50="Media",'Mapa de Riesgos'!$AA$50="Moderado"),CONCATENATE("R6C",'Mapa de Riesgos'!$O$50),"")</f>
        <v/>
      </c>
      <c r="AB31" s="52" t="str">
        <f>IF(AND('Mapa de Riesgos'!$Y$45="Media",'Mapa de Riesgos'!$AA$45="Mayor"),CONCATENATE("R6C",'Mapa de Riesgos'!$O$45),"")</f>
        <v/>
      </c>
      <c r="AC31" s="53" t="str">
        <f>IF(AND('Mapa de Riesgos'!$Y$46="Media",'Mapa de Riesgos'!$AA$46="Mayor"),CONCATENATE("R6C",'Mapa de Riesgos'!$O$46),"")</f>
        <v/>
      </c>
      <c r="AD31" s="53" t="str">
        <f>IF(AND('Mapa de Riesgos'!$Y$47="Media",'Mapa de Riesgos'!$AA$47="Mayor"),CONCATENATE("R6C",'Mapa de Riesgos'!$O$47),"")</f>
        <v/>
      </c>
      <c r="AE31" s="53" t="str">
        <f>IF(AND('Mapa de Riesgos'!$Y$48="Media",'Mapa de Riesgos'!$AA$48="Mayor"),CONCATENATE("R6C",'Mapa de Riesgos'!$O$48),"")</f>
        <v/>
      </c>
      <c r="AF31" s="53" t="str">
        <f>IF(AND('Mapa de Riesgos'!$Y$49="Media",'Mapa de Riesgos'!$AA$49="Mayor"),CONCATENATE("R6C",'Mapa de Riesgos'!$O$49),"")</f>
        <v/>
      </c>
      <c r="AG31" s="54" t="str">
        <f>IF(AND('Mapa de Riesgos'!$Y$50="Media",'Mapa de Riesgos'!$AA$50="Mayor"),CONCATENATE("R6C",'Mapa de Riesgos'!$O$50),"")</f>
        <v/>
      </c>
      <c r="AH31" s="55" t="str">
        <f>IF(AND('Mapa de Riesgos'!$Y$45="Media",'Mapa de Riesgos'!$AA$45="Catastrófico"),CONCATENATE("R6C",'Mapa de Riesgos'!$O$45),"")</f>
        <v/>
      </c>
      <c r="AI31" s="56" t="str">
        <f>IF(AND('Mapa de Riesgos'!$Y$46="Media",'Mapa de Riesgos'!$AA$46="Catastrófico"),CONCATENATE("R6C",'Mapa de Riesgos'!$O$46),"")</f>
        <v/>
      </c>
      <c r="AJ31" s="56" t="str">
        <f>IF(AND('Mapa de Riesgos'!$Y$47="Media",'Mapa de Riesgos'!$AA$47="Catastrófico"),CONCATENATE("R6C",'Mapa de Riesgos'!$O$47),"")</f>
        <v/>
      </c>
      <c r="AK31" s="56" t="str">
        <f>IF(AND('Mapa de Riesgos'!$Y$48="Media",'Mapa de Riesgos'!$AA$48="Catastrófico"),CONCATENATE("R6C",'Mapa de Riesgos'!$O$48),"")</f>
        <v/>
      </c>
      <c r="AL31" s="56" t="str">
        <f>IF(AND('Mapa de Riesgos'!$Y$49="Media",'Mapa de Riesgos'!$AA$49="Catastrófico"),CONCATENATE("R6C",'Mapa de Riesgos'!$O$49),"")</f>
        <v/>
      </c>
      <c r="AM31" s="57" t="str">
        <f>IF(AND('Mapa de Riesgos'!$Y$50="Media",'Mapa de Riesgos'!$AA$50="Catastrófico"),CONCATENATE("R6C",'Mapa de Riesgos'!$O$50),"")</f>
        <v/>
      </c>
      <c r="AN31" s="83"/>
      <c r="AO31" s="581"/>
      <c r="AP31" s="582"/>
      <c r="AQ31" s="582"/>
      <c r="AR31" s="582"/>
      <c r="AS31" s="582"/>
      <c r="AT31" s="5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500"/>
      <c r="C32" s="500"/>
      <c r="D32" s="501"/>
      <c r="E32" s="541"/>
      <c r="F32" s="542"/>
      <c r="G32" s="542"/>
      <c r="H32" s="542"/>
      <c r="I32" s="543"/>
      <c r="J32" s="67" t="str">
        <f>IF(AND('Mapa de Riesgos'!$Y$51="Media",'Mapa de Riesgos'!$AA$51="Leve"),CONCATENATE("R7C",'Mapa de Riesgos'!$O$51),"")</f>
        <v/>
      </c>
      <c r="K32" s="68" t="str">
        <f>IF(AND('Mapa de Riesgos'!$Y$52="Media",'Mapa de Riesgos'!$AA$52="Leve"),CONCATENATE("R7C",'Mapa de Riesgos'!$O$52),"")</f>
        <v/>
      </c>
      <c r="L32" s="68" t="str">
        <f>IF(AND('Mapa de Riesgos'!$Y$53="Media",'Mapa de Riesgos'!$AA$53="Leve"),CONCATENATE("R7C",'Mapa de Riesgos'!$O$53),"")</f>
        <v/>
      </c>
      <c r="M32" s="68" t="str">
        <f>IF(AND('Mapa de Riesgos'!$Y$54="Media",'Mapa de Riesgos'!$AA$54="Leve"),CONCATENATE("R7C",'Mapa de Riesgos'!$O$54),"")</f>
        <v/>
      </c>
      <c r="N32" s="68" t="str">
        <f>IF(AND('Mapa de Riesgos'!$Y$55="Media",'Mapa de Riesgos'!$AA$55="Leve"),CONCATENATE("R7C",'Mapa de Riesgos'!$O$55),"")</f>
        <v/>
      </c>
      <c r="O32" s="69" t="str">
        <f>IF(AND('Mapa de Riesgos'!$Y$56="Media",'Mapa de Riesgos'!$AA$56="Leve"),CONCATENATE("R7C",'Mapa de Riesgos'!$O$56),"")</f>
        <v/>
      </c>
      <c r="P32" s="67" t="str">
        <f>IF(AND('Mapa de Riesgos'!$Y$51="Media",'Mapa de Riesgos'!$AA$51="Menor"),CONCATENATE("R7C",'Mapa de Riesgos'!$O$51),"")</f>
        <v/>
      </c>
      <c r="Q32" s="68" t="str">
        <f>IF(AND('Mapa de Riesgos'!$Y$52="Media",'Mapa de Riesgos'!$AA$52="Menor"),CONCATENATE("R7C",'Mapa de Riesgos'!$O$52),"")</f>
        <v/>
      </c>
      <c r="R32" s="68" t="str">
        <f>IF(AND('Mapa de Riesgos'!$Y$53="Media",'Mapa de Riesgos'!$AA$53="Menor"),CONCATENATE("R7C",'Mapa de Riesgos'!$O$53),"")</f>
        <v/>
      </c>
      <c r="S32" s="68" t="str">
        <f>IF(AND('Mapa de Riesgos'!$Y$54="Media",'Mapa de Riesgos'!$AA$54="Menor"),CONCATENATE("R7C",'Mapa de Riesgos'!$O$54),"")</f>
        <v/>
      </c>
      <c r="T32" s="68" t="str">
        <f>IF(AND('Mapa de Riesgos'!$Y$55="Media",'Mapa de Riesgos'!$AA$55="Menor"),CONCATENATE("R7C",'Mapa de Riesgos'!$O$55),"")</f>
        <v/>
      </c>
      <c r="U32" s="69" t="str">
        <f>IF(AND('Mapa de Riesgos'!$Y$56="Media",'Mapa de Riesgos'!$AA$56="Menor"),CONCATENATE("R7C",'Mapa de Riesgos'!$O$56),"")</f>
        <v/>
      </c>
      <c r="V32" s="67" t="str">
        <f>IF(AND('Mapa de Riesgos'!$Y$51="Media",'Mapa de Riesgos'!$AA$51="Moderado"),CONCATENATE("R7C",'Mapa de Riesgos'!$O$51),"")</f>
        <v/>
      </c>
      <c r="W32" s="68" t="str">
        <f>IF(AND('Mapa de Riesgos'!$Y$52="Media",'Mapa de Riesgos'!$AA$52="Moderado"),CONCATENATE("R7C",'Mapa de Riesgos'!$O$52),"")</f>
        <v/>
      </c>
      <c r="X32" s="68" t="str">
        <f>IF(AND('Mapa de Riesgos'!$Y$53="Media",'Mapa de Riesgos'!$AA$53="Moderado"),CONCATENATE("R7C",'Mapa de Riesgos'!$O$53),"")</f>
        <v/>
      </c>
      <c r="Y32" s="68" t="str">
        <f>IF(AND('Mapa de Riesgos'!$Y$54="Media",'Mapa de Riesgos'!$AA$54="Moderado"),CONCATENATE("R7C",'Mapa de Riesgos'!$O$54),"")</f>
        <v/>
      </c>
      <c r="Z32" s="68" t="str">
        <f>IF(AND('Mapa de Riesgos'!$Y$55="Media",'Mapa de Riesgos'!$AA$55="Moderado"),CONCATENATE("R7C",'Mapa de Riesgos'!$O$55),"")</f>
        <v/>
      </c>
      <c r="AA32" s="69" t="str">
        <f>IF(AND('Mapa de Riesgos'!$Y$56="Media",'Mapa de Riesgos'!$AA$56="Moderado"),CONCATENATE("R7C",'Mapa de Riesgos'!$O$56),"")</f>
        <v/>
      </c>
      <c r="AB32" s="52" t="str">
        <f>IF(AND('Mapa de Riesgos'!$Y$51="Media",'Mapa de Riesgos'!$AA$51="Mayor"),CONCATENATE("R7C",'Mapa de Riesgos'!$O$51),"")</f>
        <v/>
      </c>
      <c r="AC32" s="53" t="str">
        <f>IF(AND('Mapa de Riesgos'!$Y$52="Media",'Mapa de Riesgos'!$AA$52="Mayor"),CONCATENATE("R7C",'Mapa de Riesgos'!$O$52),"")</f>
        <v/>
      </c>
      <c r="AD32" s="53" t="str">
        <f>IF(AND('Mapa de Riesgos'!$Y$53="Media",'Mapa de Riesgos'!$AA$53="Mayor"),CONCATENATE("R7C",'Mapa de Riesgos'!$O$53),"")</f>
        <v/>
      </c>
      <c r="AE32" s="53" t="str">
        <f>IF(AND('Mapa de Riesgos'!$Y$54="Media",'Mapa de Riesgos'!$AA$54="Mayor"),CONCATENATE("R7C",'Mapa de Riesgos'!$O$54),"")</f>
        <v/>
      </c>
      <c r="AF32" s="53" t="str">
        <f>IF(AND('Mapa de Riesgos'!$Y$55="Media",'Mapa de Riesgos'!$AA$55="Mayor"),CONCATENATE("R7C",'Mapa de Riesgos'!$O$55),"")</f>
        <v/>
      </c>
      <c r="AG32" s="54" t="str">
        <f>IF(AND('Mapa de Riesgos'!$Y$56="Media",'Mapa de Riesgos'!$AA$56="Mayor"),CONCATENATE("R7C",'Mapa de Riesgos'!$O$56),"")</f>
        <v/>
      </c>
      <c r="AH32" s="55" t="str">
        <f>IF(AND('Mapa de Riesgos'!$Y$51="Media",'Mapa de Riesgos'!$AA$51="Catastrófico"),CONCATENATE("R7C",'Mapa de Riesgos'!$O$51),"")</f>
        <v/>
      </c>
      <c r="AI32" s="56" t="str">
        <f>IF(AND('Mapa de Riesgos'!$Y$52="Media",'Mapa de Riesgos'!$AA$52="Catastrófico"),CONCATENATE("R7C",'Mapa de Riesgos'!$O$52),"")</f>
        <v/>
      </c>
      <c r="AJ32" s="56" t="str">
        <f>IF(AND('Mapa de Riesgos'!$Y$53="Media",'Mapa de Riesgos'!$AA$53="Catastrófico"),CONCATENATE("R7C",'Mapa de Riesgos'!$O$53),"")</f>
        <v/>
      </c>
      <c r="AK32" s="56" t="str">
        <f>IF(AND('Mapa de Riesgos'!$Y$54="Media",'Mapa de Riesgos'!$AA$54="Catastrófico"),CONCATENATE("R7C",'Mapa de Riesgos'!$O$54),"")</f>
        <v/>
      </c>
      <c r="AL32" s="56" t="str">
        <f>IF(AND('Mapa de Riesgos'!$Y$55="Media",'Mapa de Riesgos'!$AA$55="Catastrófico"),CONCATENATE("R7C",'Mapa de Riesgos'!$O$55),"")</f>
        <v/>
      </c>
      <c r="AM32" s="57" t="str">
        <f>IF(AND('Mapa de Riesgos'!$Y$56="Media",'Mapa de Riesgos'!$AA$56="Catastrófico"),CONCATENATE("R7C",'Mapa de Riesgos'!$O$56),"")</f>
        <v/>
      </c>
      <c r="AN32" s="83"/>
      <c r="AO32" s="581"/>
      <c r="AP32" s="582"/>
      <c r="AQ32" s="582"/>
      <c r="AR32" s="582"/>
      <c r="AS32" s="582"/>
      <c r="AT32" s="5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500"/>
      <c r="C33" s="500"/>
      <c r="D33" s="501"/>
      <c r="E33" s="541"/>
      <c r="F33" s="542"/>
      <c r="G33" s="542"/>
      <c r="H33" s="542"/>
      <c r="I33" s="543"/>
      <c r="J33" s="67" t="str">
        <f>IF(AND('Mapa de Riesgos'!$Y$57="Media",'Mapa de Riesgos'!$AA$57="Leve"),CONCATENATE("R8C",'Mapa de Riesgos'!$O$57),"")</f>
        <v/>
      </c>
      <c r="K33" s="68" t="str">
        <f>IF(AND('Mapa de Riesgos'!$Y$58="Media",'Mapa de Riesgos'!$AA$58="Leve"),CONCATENATE("R8C",'Mapa de Riesgos'!$O$58),"")</f>
        <v/>
      </c>
      <c r="L33" s="68" t="str">
        <f>IF(AND('Mapa de Riesgos'!$Y$59="Media",'Mapa de Riesgos'!$AA$59="Leve"),CONCATENATE("R8C",'Mapa de Riesgos'!$O$59),"")</f>
        <v/>
      </c>
      <c r="M33" s="68" t="str">
        <f>IF(AND('Mapa de Riesgos'!$Y$60="Media",'Mapa de Riesgos'!$AA$60="Leve"),CONCATENATE("R8C",'Mapa de Riesgos'!$O$60),"")</f>
        <v/>
      </c>
      <c r="N33" s="68" t="str">
        <f>IF(AND('Mapa de Riesgos'!$Y$61="Media",'Mapa de Riesgos'!$AA$61="Leve"),CONCATENATE("R8C",'Mapa de Riesgos'!$O$61),"")</f>
        <v/>
      </c>
      <c r="O33" s="69" t="str">
        <f>IF(AND('Mapa de Riesgos'!$Y$62="Media",'Mapa de Riesgos'!$AA$62="Leve"),CONCATENATE("R8C",'Mapa de Riesgos'!$O$62),"")</f>
        <v/>
      </c>
      <c r="P33" s="67" t="str">
        <f>IF(AND('Mapa de Riesgos'!$Y$57="Media",'Mapa de Riesgos'!$AA$57="Menor"),CONCATENATE("R8C",'Mapa de Riesgos'!$O$57),"")</f>
        <v/>
      </c>
      <c r="Q33" s="68" t="str">
        <f>IF(AND('Mapa de Riesgos'!$Y$58="Media",'Mapa de Riesgos'!$AA$58="Menor"),CONCATENATE("R8C",'Mapa de Riesgos'!$O$58),"")</f>
        <v/>
      </c>
      <c r="R33" s="68" t="str">
        <f>IF(AND('Mapa de Riesgos'!$Y$59="Media",'Mapa de Riesgos'!$AA$59="Menor"),CONCATENATE("R8C",'Mapa de Riesgos'!$O$59),"")</f>
        <v/>
      </c>
      <c r="S33" s="68" t="str">
        <f>IF(AND('Mapa de Riesgos'!$Y$60="Media",'Mapa de Riesgos'!$AA$60="Menor"),CONCATENATE("R8C",'Mapa de Riesgos'!$O$60),"")</f>
        <v/>
      </c>
      <c r="T33" s="68" t="str">
        <f>IF(AND('Mapa de Riesgos'!$Y$61="Media",'Mapa de Riesgos'!$AA$61="Menor"),CONCATENATE("R8C",'Mapa de Riesgos'!$O$61),"")</f>
        <v/>
      </c>
      <c r="U33" s="69" t="str">
        <f>IF(AND('Mapa de Riesgos'!$Y$62="Media",'Mapa de Riesgos'!$AA$62="Menor"),CONCATENATE("R8C",'Mapa de Riesgos'!$O$62),"")</f>
        <v/>
      </c>
      <c r="V33" s="67" t="str">
        <f>IF(AND('Mapa de Riesgos'!$Y$57="Media",'Mapa de Riesgos'!$AA$57="Moderado"),CONCATENATE("R8C",'Mapa de Riesgos'!$O$57),"")</f>
        <v/>
      </c>
      <c r="W33" s="68" t="str">
        <f>IF(AND('Mapa de Riesgos'!$Y$58="Media",'Mapa de Riesgos'!$AA$58="Moderado"),CONCATENATE("R8C",'Mapa de Riesgos'!$O$58),"")</f>
        <v/>
      </c>
      <c r="X33" s="68" t="str">
        <f>IF(AND('Mapa de Riesgos'!$Y$59="Media",'Mapa de Riesgos'!$AA$59="Moderado"),CONCATENATE("R8C",'Mapa de Riesgos'!$O$59),"")</f>
        <v/>
      </c>
      <c r="Y33" s="68" t="str">
        <f>IF(AND('Mapa de Riesgos'!$Y$60="Media",'Mapa de Riesgos'!$AA$60="Moderado"),CONCATENATE("R8C",'Mapa de Riesgos'!$O$60),"")</f>
        <v/>
      </c>
      <c r="Z33" s="68" t="str">
        <f>IF(AND('Mapa de Riesgos'!$Y$61="Media",'Mapa de Riesgos'!$AA$61="Moderado"),CONCATENATE("R8C",'Mapa de Riesgos'!$O$61),"")</f>
        <v/>
      </c>
      <c r="AA33" s="69" t="str">
        <f>IF(AND('Mapa de Riesgos'!$Y$62="Media",'Mapa de Riesgos'!$AA$62="Moderado"),CONCATENATE("R8C",'Mapa de Riesgos'!$O$62),"")</f>
        <v/>
      </c>
      <c r="AB33" s="52" t="str">
        <f>IF(AND('Mapa de Riesgos'!$Y$57="Media",'Mapa de Riesgos'!$AA$57="Mayor"),CONCATENATE("R8C",'Mapa de Riesgos'!$O$57),"")</f>
        <v/>
      </c>
      <c r="AC33" s="53" t="str">
        <f>IF(AND('Mapa de Riesgos'!$Y$58="Media",'Mapa de Riesgos'!$AA$58="Mayor"),CONCATENATE("R8C",'Mapa de Riesgos'!$O$58),"")</f>
        <v/>
      </c>
      <c r="AD33" s="53" t="str">
        <f>IF(AND('Mapa de Riesgos'!$Y$59="Media",'Mapa de Riesgos'!$AA$59="Mayor"),CONCATENATE("R8C",'Mapa de Riesgos'!$O$59),"")</f>
        <v/>
      </c>
      <c r="AE33" s="53" t="str">
        <f>IF(AND('Mapa de Riesgos'!$Y$60="Media",'Mapa de Riesgos'!$AA$60="Mayor"),CONCATENATE("R8C",'Mapa de Riesgos'!$O$60),"")</f>
        <v/>
      </c>
      <c r="AF33" s="53" t="str">
        <f>IF(AND('Mapa de Riesgos'!$Y$61="Media",'Mapa de Riesgos'!$AA$61="Mayor"),CONCATENATE("R8C",'Mapa de Riesgos'!$O$61),"")</f>
        <v/>
      </c>
      <c r="AG33" s="54" t="str">
        <f>IF(AND('Mapa de Riesgos'!$Y$62="Media",'Mapa de Riesgos'!$AA$62="Mayor"),CONCATENATE("R8C",'Mapa de Riesgos'!$O$62),"")</f>
        <v/>
      </c>
      <c r="AH33" s="55" t="str">
        <f>IF(AND('Mapa de Riesgos'!$Y$57="Media",'Mapa de Riesgos'!$AA$57="Catastrófico"),CONCATENATE("R8C",'Mapa de Riesgos'!$O$57),"")</f>
        <v/>
      </c>
      <c r="AI33" s="56" t="str">
        <f>IF(AND('Mapa de Riesgos'!$Y$58="Media",'Mapa de Riesgos'!$AA$58="Catastrófico"),CONCATENATE("R8C",'Mapa de Riesgos'!$O$58),"")</f>
        <v/>
      </c>
      <c r="AJ33" s="56" t="str">
        <f>IF(AND('Mapa de Riesgos'!$Y$59="Media",'Mapa de Riesgos'!$AA$59="Catastrófico"),CONCATENATE("R8C",'Mapa de Riesgos'!$O$59),"")</f>
        <v/>
      </c>
      <c r="AK33" s="56" t="str">
        <f>IF(AND('Mapa de Riesgos'!$Y$60="Media",'Mapa de Riesgos'!$AA$60="Catastrófico"),CONCATENATE("R8C",'Mapa de Riesgos'!$O$60),"")</f>
        <v/>
      </c>
      <c r="AL33" s="56" t="str">
        <f>IF(AND('Mapa de Riesgos'!$Y$61="Media",'Mapa de Riesgos'!$AA$61="Catastrófico"),CONCATENATE("R8C",'Mapa de Riesgos'!$O$61),"")</f>
        <v/>
      </c>
      <c r="AM33" s="57" t="str">
        <f>IF(AND('Mapa de Riesgos'!$Y$62="Media",'Mapa de Riesgos'!$AA$62="Catastrófico"),CONCATENATE("R8C",'Mapa de Riesgos'!$O$62),"")</f>
        <v/>
      </c>
      <c r="AN33" s="83"/>
      <c r="AO33" s="581"/>
      <c r="AP33" s="582"/>
      <c r="AQ33" s="582"/>
      <c r="AR33" s="582"/>
      <c r="AS33" s="582"/>
      <c r="AT33" s="5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500"/>
      <c r="C34" s="500"/>
      <c r="D34" s="501"/>
      <c r="E34" s="541"/>
      <c r="F34" s="542"/>
      <c r="G34" s="542"/>
      <c r="H34" s="542"/>
      <c r="I34" s="543"/>
      <c r="J34" s="67" t="str">
        <f>IF(AND('Mapa de Riesgos'!$Y$63="Media",'Mapa de Riesgos'!$AA$63="Leve"),CONCATENATE("R9C",'Mapa de Riesgos'!$O$63),"")</f>
        <v/>
      </c>
      <c r="K34" s="68" t="str">
        <f>IF(AND('Mapa de Riesgos'!$Y$64="Media",'Mapa de Riesgos'!$AA$64="Leve"),CONCATENATE("R9C",'Mapa de Riesgos'!$O$64),"")</f>
        <v/>
      </c>
      <c r="L34" s="68" t="str">
        <f>IF(AND('Mapa de Riesgos'!$Y$65="Media",'Mapa de Riesgos'!$AA$65="Leve"),CONCATENATE("R9C",'Mapa de Riesgos'!$O$65),"")</f>
        <v/>
      </c>
      <c r="M34" s="68" t="str">
        <f>IF(AND('Mapa de Riesgos'!$Y$66="Media",'Mapa de Riesgos'!$AA$66="Leve"),CONCATENATE("R9C",'Mapa de Riesgos'!$O$66),"")</f>
        <v/>
      </c>
      <c r="N34" s="68" t="str">
        <f>IF(AND('Mapa de Riesgos'!$Y$67="Media",'Mapa de Riesgos'!$AA$67="Leve"),CONCATENATE("R9C",'Mapa de Riesgos'!$O$67),"")</f>
        <v/>
      </c>
      <c r="O34" s="69" t="str">
        <f>IF(AND('Mapa de Riesgos'!$Y$68="Media",'Mapa de Riesgos'!$AA$68="Leve"),CONCATENATE("R9C",'Mapa de Riesgos'!$O$68),"")</f>
        <v/>
      </c>
      <c r="P34" s="67" t="str">
        <f>IF(AND('Mapa de Riesgos'!$Y$63="Media",'Mapa de Riesgos'!$AA$63="Menor"),CONCATENATE("R9C",'Mapa de Riesgos'!$O$63),"")</f>
        <v/>
      </c>
      <c r="Q34" s="68" t="str">
        <f>IF(AND('Mapa de Riesgos'!$Y$64="Media",'Mapa de Riesgos'!$AA$64="Menor"),CONCATENATE("R9C",'Mapa de Riesgos'!$O$64),"")</f>
        <v/>
      </c>
      <c r="R34" s="68" t="str">
        <f>IF(AND('Mapa de Riesgos'!$Y$65="Media",'Mapa de Riesgos'!$AA$65="Menor"),CONCATENATE("R9C",'Mapa de Riesgos'!$O$65),"")</f>
        <v/>
      </c>
      <c r="S34" s="68" t="str">
        <f>IF(AND('Mapa de Riesgos'!$Y$66="Media",'Mapa de Riesgos'!$AA$66="Menor"),CONCATENATE("R9C",'Mapa de Riesgos'!$O$66),"")</f>
        <v/>
      </c>
      <c r="T34" s="68" t="str">
        <f>IF(AND('Mapa de Riesgos'!$Y$67="Media",'Mapa de Riesgos'!$AA$67="Menor"),CONCATENATE("R9C",'Mapa de Riesgos'!$O$67),"")</f>
        <v/>
      </c>
      <c r="U34" s="69" t="str">
        <f>IF(AND('Mapa de Riesgos'!$Y$68="Media",'Mapa de Riesgos'!$AA$68="Menor"),CONCATENATE("R9C",'Mapa de Riesgos'!$O$68),"")</f>
        <v/>
      </c>
      <c r="V34" s="67" t="str">
        <f>IF(AND('Mapa de Riesgos'!$Y$63="Media",'Mapa de Riesgos'!$AA$63="Moderado"),CONCATENATE("R9C",'Mapa de Riesgos'!$O$63),"")</f>
        <v/>
      </c>
      <c r="W34" s="68" t="str">
        <f>IF(AND('Mapa de Riesgos'!$Y$64="Media",'Mapa de Riesgos'!$AA$64="Moderado"),CONCATENATE("R9C",'Mapa de Riesgos'!$O$64),"")</f>
        <v/>
      </c>
      <c r="X34" s="68" t="str">
        <f>IF(AND('Mapa de Riesgos'!$Y$65="Media",'Mapa de Riesgos'!$AA$65="Moderado"),CONCATENATE("R9C",'Mapa de Riesgos'!$O$65),"")</f>
        <v/>
      </c>
      <c r="Y34" s="68" t="str">
        <f>IF(AND('Mapa de Riesgos'!$Y$66="Media",'Mapa de Riesgos'!$AA$66="Moderado"),CONCATENATE("R9C",'Mapa de Riesgos'!$O$66),"")</f>
        <v/>
      </c>
      <c r="Z34" s="68" t="str">
        <f>IF(AND('Mapa de Riesgos'!$Y$67="Media",'Mapa de Riesgos'!$AA$67="Moderado"),CONCATENATE("R9C",'Mapa de Riesgos'!$O$67),"")</f>
        <v/>
      </c>
      <c r="AA34" s="69" t="str">
        <f>IF(AND('Mapa de Riesgos'!$Y$68="Media",'Mapa de Riesgos'!$AA$68="Moderado"),CONCATENATE("R9C",'Mapa de Riesgos'!$O$68),"")</f>
        <v/>
      </c>
      <c r="AB34" s="52" t="str">
        <f>IF(AND('Mapa de Riesgos'!$Y$63="Media",'Mapa de Riesgos'!$AA$63="Mayor"),CONCATENATE("R9C",'Mapa de Riesgos'!$O$63),"")</f>
        <v/>
      </c>
      <c r="AC34" s="53" t="str">
        <f>IF(AND('Mapa de Riesgos'!$Y$64="Media",'Mapa de Riesgos'!$AA$64="Mayor"),CONCATENATE("R9C",'Mapa de Riesgos'!$O$64),"")</f>
        <v/>
      </c>
      <c r="AD34" s="53" t="str">
        <f>IF(AND('Mapa de Riesgos'!$Y$65="Media",'Mapa de Riesgos'!$AA$65="Mayor"),CONCATENATE("R9C",'Mapa de Riesgos'!$O$65),"")</f>
        <v/>
      </c>
      <c r="AE34" s="53" t="str">
        <f>IF(AND('Mapa de Riesgos'!$Y$66="Media",'Mapa de Riesgos'!$AA$66="Mayor"),CONCATENATE("R9C",'Mapa de Riesgos'!$O$66),"")</f>
        <v/>
      </c>
      <c r="AF34" s="53" t="str">
        <f>IF(AND('Mapa de Riesgos'!$Y$67="Media",'Mapa de Riesgos'!$AA$67="Mayor"),CONCATENATE("R9C",'Mapa de Riesgos'!$O$67),"")</f>
        <v/>
      </c>
      <c r="AG34" s="54" t="str">
        <f>IF(AND('Mapa de Riesgos'!$Y$68="Media",'Mapa de Riesgos'!$AA$68="Mayor"),CONCATENATE("R9C",'Mapa de Riesgos'!$O$68),"")</f>
        <v/>
      </c>
      <c r="AH34" s="55" t="str">
        <f>IF(AND('Mapa de Riesgos'!$Y$63="Media",'Mapa de Riesgos'!$AA$63="Catastrófico"),CONCATENATE("R9C",'Mapa de Riesgos'!$O$63),"")</f>
        <v/>
      </c>
      <c r="AI34" s="56" t="str">
        <f>IF(AND('Mapa de Riesgos'!$Y$64="Media",'Mapa de Riesgos'!$AA$64="Catastrófico"),CONCATENATE("R9C",'Mapa de Riesgos'!$O$64),"")</f>
        <v/>
      </c>
      <c r="AJ34" s="56" t="str">
        <f>IF(AND('Mapa de Riesgos'!$Y$65="Media",'Mapa de Riesgos'!$AA$65="Catastrófico"),CONCATENATE("R9C",'Mapa de Riesgos'!$O$65),"")</f>
        <v/>
      </c>
      <c r="AK34" s="56" t="str">
        <f>IF(AND('Mapa de Riesgos'!$Y$66="Media",'Mapa de Riesgos'!$AA$66="Catastrófico"),CONCATENATE("R9C",'Mapa de Riesgos'!$O$66),"")</f>
        <v/>
      </c>
      <c r="AL34" s="56" t="str">
        <f>IF(AND('Mapa de Riesgos'!$Y$67="Media",'Mapa de Riesgos'!$AA$67="Catastrófico"),CONCATENATE("R9C",'Mapa de Riesgos'!$O$67),"")</f>
        <v/>
      </c>
      <c r="AM34" s="57" t="str">
        <f>IF(AND('Mapa de Riesgos'!$Y$68="Media",'Mapa de Riesgos'!$AA$68="Catastrófico"),CONCATENATE("R9C",'Mapa de Riesgos'!$O$68),"")</f>
        <v/>
      </c>
      <c r="AN34" s="83"/>
      <c r="AO34" s="581"/>
      <c r="AP34" s="582"/>
      <c r="AQ34" s="582"/>
      <c r="AR34" s="582"/>
      <c r="AS34" s="582"/>
      <c r="AT34" s="5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500"/>
      <c r="C35" s="500"/>
      <c r="D35" s="501"/>
      <c r="E35" s="544"/>
      <c r="F35" s="545"/>
      <c r="G35" s="545"/>
      <c r="H35" s="545"/>
      <c r="I35" s="546"/>
      <c r="J35" s="67" t="str">
        <f>IF(AND('Mapa de Riesgos'!$Y$69="Media",'Mapa de Riesgos'!$AA$69="Leve"),CONCATENATE("R10C",'Mapa de Riesgos'!$O$69),"")</f>
        <v/>
      </c>
      <c r="K35" s="68" t="str">
        <f>IF(AND('Mapa de Riesgos'!$Y$70="Media",'Mapa de Riesgos'!$AA$70="Leve"),CONCATENATE("R10C",'Mapa de Riesgos'!$O$70),"")</f>
        <v/>
      </c>
      <c r="L35" s="68" t="str">
        <f>IF(AND('Mapa de Riesgos'!$Y$71="Media",'Mapa de Riesgos'!$AA$71="Leve"),CONCATENATE("R10C",'Mapa de Riesgos'!$O$71),"")</f>
        <v/>
      </c>
      <c r="M35" s="68" t="str">
        <f>IF(AND('Mapa de Riesgos'!$Y$72="Media",'Mapa de Riesgos'!$AA$72="Leve"),CONCATENATE("R10C",'Mapa de Riesgos'!$O$72),"")</f>
        <v/>
      </c>
      <c r="N35" s="68" t="str">
        <f>IF(AND('Mapa de Riesgos'!$Y$73="Media",'Mapa de Riesgos'!$AA$73="Leve"),CONCATENATE("R10C",'Mapa de Riesgos'!$O$73),"")</f>
        <v/>
      </c>
      <c r="O35" s="69" t="str">
        <f>IF(AND('Mapa de Riesgos'!$Y$74="Media",'Mapa de Riesgos'!$AA$74="Leve"),CONCATENATE("R10C",'Mapa de Riesgos'!$O$74),"")</f>
        <v/>
      </c>
      <c r="P35" s="67" t="str">
        <f>IF(AND('Mapa de Riesgos'!$Y$69="Media",'Mapa de Riesgos'!$AA$69="Menor"),CONCATENATE("R10C",'Mapa de Riesgos'!$O$69),"")</f>
        <v/>
      </c>
      <c r="Q35" s="68" t="str">
        <f>IF(AND('Mapa de Riesgos'!$Y$70="Media",'Mapa de Riesgos'!$AA$70="Menor"),CONCATENATE("R10C",'Mapa de Riesgos'!$O$70),"")</f>
        <v/>
      </c>
      <c r="R35" s="68" t="str">
        <f>IF(AND('Mapa de Riesgos'!$Y$71="Media",'Mapa de Riesgos'!$AA$71="Menor"),CONCATENATE("R10C",'Mapa de Riesgos'!$O$71),"")</f>
        <v/>
      </c>
      <c r="S35" s="68" t="str">
        <f>IF(AND('Mapa de Riesgos'!$Y$72="Media",'Mapa de Riesgos'!$AA$72="Menor"),CONCATENATE("R10C",'Mapa de Riesgos'!$O$72),"")</f>
        <v/>
      </c>
      <c r="T35" s="68" t="str">
        <f>IF(AND('Mapa de Riesgos'!$Y$73="Media",'Mapa de Riesgos'!$AA$73="Menor"),CONCATENATE("R10C",'Mapa de Riesgos'!$O$73),"")</f>
        <v/>
      </c>
      <c r="U35" s="69" t="str">
        <f>IF(AND('Mapa de Riesgos'!$Y$74="Media",'Mapa de Riesgos'!$AA$74="Menor"),CONCATENATE("R10C",'Mapa de Riesgos'!$O$74),"")</f>
        <v/>
      </c>
      <c r="V35" s="67" t="str">
        <f>IF(AND('Mapa de Riesgos'!$Y$69="Media",'Mapa de Riesgos'!$AA$69="Moderado"),CONCATENATE("R10C",'Mapa de Riesgos'!$O$69),"")</f>
        <v/>
      </c>
      <c r="W35" s="68" t="str">
        <f>IF(AND('Mapa de Riesgos'!$Y$70="Media",'Mapa de Riesgos'!$AA$70="Moderado"),CONCATENATE("R10C",'Mapa de Riesgos'!$O$70),"")</f>
        <v/>
      </c>
      <c r="X35" s="68" t="str">
        <f>IF(AND('Mapa de Riesgos'!$Y$71="Media",'Mapa de Riesgos'!$AA$71="Moderado"),CONCATENATE("R10C",'Mapa de Riesgos'!$O$71),"")</f>
        <v/>
      </c>
      <c r="Y35" s="68" t="str">
        <f>IF(AND('Mapa de Riesgos'!$Y$72="Media",'Mapa de Riesgos'!$AA$72="Moderado"),CONCATENATE("R10C",'Mapa de Riesgos'!$O$72),"")</f>
        <v/>
      </c>
      <c r="Z35" s="68" t="str">
        <f>IF(AND('Mapa de Riesgos'!$Y$73="Media",'Mapa de Riesgos'!$AA$73="Moderado"),CONCATENATE("R10C",'Mapa de Riesgos'!$O$73),"")</f>
        <v/>
      </c>
      <c r="AA35" s="69" t="str">
        <f>IF(AND('Mapa de Riesgos'!$Y$74="Media",'Mapa de Riesgos'!$AA$74="Moderado"),CONCATENATE("R10C",'Mapa de Riesgos'!$O$74),"")</f>
        <v/>
      </c>
      <c r="AB35" s="58" t="str">
        <f>IF(AND('Mapa de Riesgos'!$Y$69="Media",'Mapa de Riesgos'!$AA$69="Mayor"),CONCATENATE("R10C",'Mapa de Riesgos'!$O$69),"")</f>
        <v/>
      </c>
      <c r="AC35" s="59" t="str">
        <f>IF(AND('Mapa de Riesgos'!$Y$70="Media",'Mapa de Riesgos'!$AA$70="Mayor"),CONCATENATE("R10C",'Mapa de Riesgos'!$O$70),"")</f>
        <v/>
      </c>
      <c r="AD35" s="59" t="str">
        <f>IF(AND('Mapa de Riesgos'!$Y$71="Media",'Mapa de Riesgos'!$AA$71="Mayor"),CONCATENATE("R10C",'Mapa de Riesgos'!$O$71),"")</f>
        <v/>
      </c>
      <c r="AE35" s="59" t="str">
        <f>IF(AND('Mapa de Riesgos'!$Y$72="Media",'Mapa de Riesgos'!$AA$72="Mayor"),CONCATENATE("R10C",'Mapa de Riesgos'!$O$72),"")</f>
        <v/>
      </c>
      <c r="AF35" s="59" t="str">
        <f>IF(AND('Mapa de Riesgos'!$Y$73="Media",'Mapa de Riesgos'!$AA$73="Mayor"),CONCATENATE("R10C",'Mapa de Riesgos'!$O$73),"")</f>
        <v/>
      </c>
      <c r="AG35" s="60" t="str">
        <f>IF(AND('Mapa de Riesgos'!$Y$74="Media",'Mapa de Riesgos'!$AA$74="Mayor"),CONCATENATE("R10C",'Mapa de Riesgos'!$O$74),"")</f>
        <v/>
      </c>
      <c r="AH35" s="61" t="str">
        <f>IF(AND('Mapa de Riesgos'!$Y$69="Media",'Mapa de Riesgos'!$AA$69="Catastrófico"),CONCATENATE("R10C",'Mapa de Riesgos'!$O$69),"")</f>
        <v/>
      </c>
      <c r="AI35" s="62" t="str">
        <f>IF(AND('Mapa de Riesgos'!$Y$70="Media",'Mapa de Riesgos'!$AA$70="Catastrófico"),CONCATENATE("R10C",'Mapa de Riesgos'!$O$70),"")</f>
        <v/>
      </c>
      <c r="AJ35" s="62" t="str">
        <f>IF(AND('Mapa de Riesgos'!$Y$71="Media",'Mapa de Riesgos'!$AA$71="Catastrófico"),CONCATENATE("R10C",'Mapa de Riesgos'!$O$71),"")</f>
        <v/>
      </c>
      <c r="AK35" s="62" t="str">
        <f>IF(AND('Mapa de Riesgos'!$Y$72="Media",'Mapa de Riesgos'!$AA$72="Catastrófico"),CONCATENATE("R10C",'Mapa de Riesgos'!$O$72),"")</f>
        <v/>
      </c>
      <c r="AL35" s="62" t="str">
        <f>IF(AND('Mapa de Riesgos'!$Y$73="Media",'Mapa de Riesgos'!$AA$73="Catastrófico"),CONCATENATE("R10C",'Mapa de Riesgos'!$O$73),"")</f>
        <v/>
      </c>
      <c r="AM35" s="63" t="str">
        <f>IF(AND('Mapa de Riesgos'!$Y$74="Media",'Mapa de Riesgos'!$AA$74="Catastrófico"),CONCATENATE("R10C",'Mapa de Riesgos'!$O$74),"")</f>
        <v/>
      </c>
      <c r="AN35" s="83"/>
      <c r="AO35" s="584"/>
      <c r="AP35" s="585"/>
      <c r="AQ35" s="585"/>
      <c r="AR35" s="585"/>
      <c r="AS35" s="585"/>
      <c r="AT35" s="58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500"/>
      <c r="C36" s="500"/>
      <c r="D36" s="501"/>
      <c r="E36" s="538" t="s">
        <v>215</v>
      </c>
      <c r="F36" s="539"/>
      <c r="G36" s="539"/>
      <c r="H36" s="539"/>
      <c r="I36" s="539"/>
      <c r="J36" s="73" t="str">
        <f>IF(AND('Mapa de Riesgos'!$Y$12="Baja",'Mapa de Riesgos'!$AA$12="Leve"),CONCATENATE("R1C",'Mapa de Riesgos'!$O$12),"")</f>
        <v/>
      </c>
      <c r="K36" s="74" t="str">
        <f>IF(AND('Mapa de Riesgos'!$Y$16="Baja",'Mapa de Riesgos'!$AA$16="Leve"),CONCATENATE("R1C",'Mapa de Riesgos'!$O$16),"")</f>
        <v/>
      </c>
      <c r="L36" s="74" t="str">
        <f>IF(AND('Mapa de Riesgos'!$Y$17="Baja",'Mapa de Riesgos'!$AA$17="Leve"),CONCATENATE("R1C",'Mapa de Riesgos'!$O$17),"")</f>
        <v/>
      </c>
      <c r="M36" s="74" t="str">
        <f>IF(AND('Mapa de Riesgos'!$Y$18="Baja",'Mapa de Riesgos'!$AA$18="Leve"),CONCATENATE("R1C",'Mapa de Riesgos'!$O$18),"")</f>
        <v/>
      </c>
      <c r="N36" s="74" t="str">
        <f>IF(AND('Mapa de Riesgos'!$Y$19="Baja",'Mapa de Riesgos'!$AA$19="Leve"),CONCATENATE("R1C",'Mapa de Riesgos'!$O$19),"")</f>
        <v/>
      </c>
      <c r="O36" s="75" t="str">
        <f>IF(AND('Mapa de Riesgos'!$Y$20="Baja",'Mapa de Riesgos'!$AA$20="Leve"),CONCATENATE("R1C",'Mapa de Riesgos'!$O$20),"")</f>
        <v/>
      </c>
      <c r="P36" s="64" t="str">
        <f>IF(AND('Mapa de Riesgos'!$Y$12="Baja",'Mapa de Riesgos'!$AA$12="Menor"),CONCATENATE("R1C",'Mapa de Riesgos'!$O$12),"")</f>
        <v/>
      </c>
      <c r="Q36" s="65" t="str">
        <f>IF(AND('Mapa de Riesgos'!$Y$16="Baja",'Mapa de Riesgos'!$AA$16="Menor"),CONCATENATE("R1C",'Mapa de Riesgos'!$O$16),"")</f>
        <v/>
      </c>
      <c r="R36" s="65" t="str">
        <f>IF(AND('Mapa de Riesgos'!$Y$17="Baja",'Mapa de Riesgos'!$AA$17="Menor"),CONCATENATE("R1C",'Mapa de Riesgos'!$O$17),"")</f>
        <v/>
      </c>
      <c r="S36" s="65" t="str">
        <f>IF(AND('Mapa de Riesgos'!$Y$18="Baja",'Mapa de Riesgos'!$AA$18="Menor"),CONCATENATE("R1C",'Mapa de Riesgos'!$O$18),"")</f>
        <v/>
      </c>
      <c r="T36" s="65" t="str">
        <f>IF(AND('Mapa de Riesgos'!$Y$19="Baja",'Mapa de Riesgos'!$AA$19="Menor"),CONCATENATE("R1C",'Mapa de Riesgos'!$O$19),"")</f>
        <v/>
      </c>
      <c r="U36" s="66" t="str">
        <f>IF(AND('Mapa de Riesgos'!$Y$20="Baja",'Mapa de Riesgos'!$AA$20="Menor"),CONCATENATE("R1C",'Mapa de Riesgos'!$O$20),"")</f>
        <v/>
      </c>
      <c r="V36" s="64" t="str">
        <f>IF(AND('Mapa de Riesgos'!$Y$12="Baja",'Mapa de Riesgos'!$AA$12="Moderado"),CONCATENATE("R1C",'Mapa de Riesgos'!$O$12),"")</f>
        <v>R1C1</v>
      </c>
      <c r="W36" s="65" t="str">
        <f>IF(AND('Mapa de Riesgos'!$Y$16="Baja",'Mapa de Riesgos'!$AA$16="Moderado"),CONCATENATE("R1C",'Mapa de Riesgos'!$O$16),"")</f>
        <v/>
      </c>
      <c r="X36" s="65" t="str">
        <f>IF(AND('Mapa de Riesgos'!$Y$17="Baja",'Mapa de Riesgos'!$AA$17="Moderado"),CONCATENATE("R1C",'Mapa de Riesgos'!$O$17),"")</f>
        <v/>
      </c>
      <c r="Y36" s="65" t="str">
        <f>IF(AND('Mapa de Riesgos'!$Y$18="Baja",'Mapa de Riesgos'!$AA$18="Moderado"),CONCATENATE("R1C",'Mapa de Riesgos'!$O$18),"")</f>
        <v/>
      </c>
      <c r="Z36" s="65" t="str">
        <f>IF(AND('Mapa de Riesgos'!$Y$19="Baja",'Mapa de Riesgos'!$AA$19="Moderado"),CONCATENATE("R1C",'Mapa de Riesgos'!$O$19),"")</f>
        <v/>
      </c>
      <c r="AA36" s="66" t="str">
        <f>IF(AND('Mapa de Riesgos'!$Y$20="Baja",'Mapa de Riesgos'!$AA$20="Moderado"),CONCATENATE("R1C",'Mapa de Riesgos'!$O$20),"")</f>
        <v/>
      </c>
      <c r="AB36" s="46" t="str">
        <f>IF(AND('Mapa de Riesgos'!$Y$12="Baja",'Mapa de Riesgos'!$AA$12="Mayor"),CONCATENATE("R1C",'Mapa de Riesgos'!$O$12),"")</f>
        <v/>
      </c>
      <c r="AC36" s="47" t="str">
        <f>IF(AND('Mapa de Riesgos'!$Y$16="Baja",'Mapa de Riesgos'!$AA$16="Mayor"),CONCATENATE("R1C",'Mapa de Riesgos'!$O$16),"")</f>
        <v/>
      </c>
      <c r="AD36" s="47" t="str">
        <f>IF(AND('Mapa de Riesgos'!$Y$17="Baja",'Mapa de Riesgos'!$AA$17="Mayor"),CONCATENATE("R1C",'Mapa de Riesgos'!$O$17),"")</f>
        <v/>
      </c>
      <c r="AE36" s="47" t="str">
        <f>IF(AND('Mapa de Riesgos'!$Y$18="Baja",'Mapa de Riesgos'!$AA$18="Mayor"),CONCATENATE("R1C",'Mapa de Riesgos'!$O$18),"")</f>
        <v/>
      </c>
      <c r="AF36" s="47" t="str">
        <f>IF(AND('Mapa de Riesgos'!$Y$19="Baja",'Mapa de Riesgos'!$AA$19="Mayor"),CONCATENATE("R1C",'Mapa de Riesgos'!$O$19),"")</f>
        <v/>
      </c>
      <c r="AG36" s="48" t="str">
        <f>IF(AND('Mapa de Riesgos'!$Y$20="Baja",'Mapa de Riesgos'!$AA$20="Mayor"),CONCATENATE("R1C",'Mapa de Riesgos'!$O$20),"")</f>
        <v/>
      </c>
      <c r="AH36" s="49" t="str">
        <f>IF(AND('Mapa de Riesgos'!$Y$12="Baja",'Mapa de Riesgos'!$AA$12="Catastrófico"),CONCATENATE("R1C",'Mapa de Riesgos'!$O$12),"")</f>
        <v/>
      </c>
      <c r="AI36" s="50" t="str">
        <f>IF(AND('Mapa de Riesgos'!$Y$16="Baja",'Mapa de Riesgos'!$AA$16="Catastrófico"),CONCATENATE("R1C",'Mapa de Riesgos'!$O$16),"")</f>
        <v/>
      </c>
      <c r="AJ36" s="50" t="str">
        <f>IF(AND('Mapa de Riesgos'!$Y$17="Baja",'Mapa de Riesgos'!$AA$17="Catastrófico"),CONCATENATE("R1C",'Mapa de Riesgos'!$O$17),"")</f>
        <v/>
      </c>
      <c r="AK36" s="50" t="str">
        <f>IF(AND('Mapa de Riesgos'!$Y$18="Baja",'Mapa de Riesgos'!$AA$18="Catastrófico"),CONCATENATE("R1C",'Mapa de Riesgos'!$O$18),"")</f>
        <v/>
      </c>
      <c r="AL36" s="50" t="str">
        <f>IF(AND('Mapa de Riesgos'!$Y$19="Baja",'Mapa de Riesgos'!$AA$19="Catastrófico"),CONCATENATE("R1C",'Mapa de Riesgos'!$O$19),"")</f>
        <v/>
      </c>
      <c r="AM36" s="51" t="str">
        <f>IF(AND('Mapa de Riesgos'!$Y$20="Baja",'Mapa de Riesgos'!$AA$20="Catastrófico"),CONCATENATE("R1C",'Mapa de Riesgos'!$O$20),"")</f>
        <v/>
      </c>
      <c r="AN36" s="83"/>
      <c r="AO36" s="569" t="s">
        <v>216</v>
      </c>
      <c r="AP36" s="570"/>
      <c r="AQ36" s="570"/>
      <c r="AR36" s="570"/>
      <c r="AS36" s="570"/>
      <c r="AT36" s="57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500"/>
      <c r="C37" s="500"/>
      <c r="D37" s="501"/>
      <c r="E37" s="557"/>
      <c r="F37" s="542"/>
      <c r="G37" s="542"/>
      <c r="H37" s="542"/>
      <c r="I37" s="542"/>
      <c r="J37" s="76" t="str">
        <f>IF(AND('Mapa de Riesgos'!$Y$21="Baja",'Mapa de Riesgos'!$AA$21="Leve"),CONCATENATE("R2C",'Mapa de Riesgos'!$O$21),"")</f>
        <v/>
      </c>
      <c r="K37" s="77" t="str">
        <f>IF(AND('Mapa de Riesgos'!$Y$22="Baja",'Mapa de Riesgos'!$AA$22="Leve"),CONCATENATE("R2C",'Mapa de Riesgos'!$O$22),"")</f>
        <v/>
      </c>
      <c r="L37" s="77" t="str">
        <f>IF(AND('Mapa de Riesgos'!$Y$23="Baja",'Mapa de Riesgos'!$AA$23="Leve"),CONCATENATE("R2C",'Mapa de Riesgos'!$O$23),"")</f>
        <v/>
      </c>
      <c r="M37" s="77" t="str">
        <f>IF(AND('Mapa de Riesgos'!$Y$24="Baja",'Mapa de Riesgos'!$AA$24="Leve"),CONCATENATE("R2C",'Mapa de Riesgos'!$O$24),"")</f>
        <v/>
      </c>
      <c r="N37" s="77" t="str">
        <f>IF(AND('Mapa de Riesgos'!$Y$25="Baja",'Mapa de Riesgos'!$AA$25="Leve"),CONCATENATE("R2C",'Mapa de Riesgos'!$O$25),"")</f>
        <v/>
      </c>
      <c r="O37" s="78" t="str">
        <f>IF(AND('Mapa de Riesgos'!$Y$26="Baja",'Mapa de Riesgos'!$AA$26="Leve"),CONCATENATE("R2C",'Mapa de Riesgos'!$O$26),"")</f>
        <v/>
      </c>
      <c r="P37" s="67" t="str">
        <f>IF(AND('Mapa de Riesgos'!$Y$21="Baja",'Mapa de Riesgos'!$AA$21="Menor"),CONCATENATE("R2C",'Mapa de Riesgos'!$O$21),"")</f>
        <v/>
      </c>
      <c r="Q37" s="68" t="str">
        <f>IF(AND('Mapa de Riesgos'!$Y$22="Baja",'Mapa de Riesgos'!$AA$22="Menor"),CONCATENATE("R2C",'Mapa de Riesgos'!$O$22),"")</f>
        <v/>
      </c>
      <c r="R37" s="68" t="str">
        <f>IF(AND('Mapa de Riesgos'!$Y$23="Baja",'Mapa de Riesgos'!$AA$23="Menor"),CONCATENATE("R2C",'Mapa de Riesgos'!$O$23),"")</f>
        <v/>
      </c>
      <c r="S37" s="68" t="str">
        <f>IF(AND('Mapa de Riesgos'!$Y$24="Baja",'Mapa de Riesgos'!$AA$24="Menor"),CONCATENATE("R2C",'Mapa de Riesgos'!$O$24),"")</f>
        <v/>
      </c>
      <c r="T37" s="68" t="str">
        <f>IF(AND('Mapa de Riesgos'!$Y$25="Baja",'Mapa de Riesgos'!$AA$25="Menor"),CONCATENATE("R2C",'Mapa de Riesgos'!$O$25),"")</f>
        <v/>
      </c>
      <c r="U37" s="69" t="str">
        <f>IF(AND('Mapa de Riesgos'!$Y$26="Baja",'Mapa de Riesgos'!$AA$26="Menor"),CONCATENATE("R2C",'Mapa de Riesgos'!$O$26),"")</f>
        <v/>
      </c>
      <c r="V37" s="67" t="str">
        <f>IF(AND('Mapa de Riesgos'!$Y$21="Baja",'Mapa de Riesgos'!$AA$21="Moderado"),CONCATENATE("R2C",'Mapa de Riesgos'!$O$21),"")</f>
        <v/>
      </c>
      <c r="W37" s="68" t="str">
        <f>IF(AND('Mapa de Riesgos'!$Y$22="Baja",'Mapa de Riesgos'!$AA$22="Moderado"),CONCATENATE("R2C",'Mapa de Riesgos'!$O$22),"")</f>
        <v/>
      </c>
      <c r="X37" s="68" t="str">
        <f>IF(AND('Mapa de Riesgos'!$Y$23="Baja",'Mapa de Riesgos'!$AA$23="Moderado"),CONCATENATE("R2C",'Mapa de Riesgos'!$O$23),"")</f>
        <v/>
      </c>
      <c r="Y37" s="68" t="str">
        <f>IF(AND('Mapa de Riesgos'!$Y$24="Baja",'Mapa de Riesgos'!$AA$24="Moderado"),CONCATENATE("R2C",'Mapa de Riesgos'!$O$24),"")</f>
        <v/>
      </c>
      <c r="Z37" s="68" t="str">
        <f>IF(AND('Mapa de Riesgos'!$Y$25="Baja",'Mapa de Riesgos'!$AA$25="Moderado"),CONCATENATE("R2C",'Mapa de Riesgos'!$O$25),"")</f>
        <v/>
      </c>
      <c r="AA37" s="69" t="str">
        <f>IF(AND('Mapa de Riesgos'!$Y$26="Baja",'Mapa de Riesgos'!$AA$26="Moderado"),CONCATENATE("R2C",'Mapa de Riesgos'!$O$26),"")</f>
        <v/>
      </c>
      <c r="AB37" s="52" t="str">
        <f>IF(AND('Mapa de Riesgos'!$Y$21="Baja",'Mapa de Riesgos'!$AA$21="Mayor"),CONCATENATE("R2C",'Mapa de Riesgos'!$O$21),"")</f>
        <v>R2C1</v>
      </c>
      <c r="AC37" s="53" t="str">
        <f>IF(AND('Mapa de Riesgos'!$Y$22="Baja",'Mapa de Riesgos'!$AA$22="Mayor"),CONCATENATE("R2C",'Mapa de Riesgos'!$O$22),"")</f>
        <v/>
      </c>
      <c r="AD37" s="53" t="str">
        <f>IF(AND('Mapa de Riesgos'!$Y$23="Baja",'Mapa de Riesgos'!$AA$23="Mayor"),CONCATENATE("R2C",'Mapa de Riesgos'!$O$23),"")</f>
        <v/>
      </c>
      <c r="AE37" s="53" t="str">
        <f>IF(AND('Mapa de Riesgos'!$Y$24="Baja",'Mapa de Riesgos'!$AA$24="Mayor"),CONCATENATE("R2C",'Mapa de Riesgos'!$O$24),"")</f>
        <v/>
      </c>
      <c r="AF37" s="53" t="str">
        <f>IF(AND('Mapa de Riesgos'!$Y$25="Baja",'Mapa de Riesgos'!$AA$25="Mayor"),CONCATENATE("R2C",'Mapa de Riesgos'!$O$25),"")</f>
        <v/>
      </c>
      <c r="AG37" s="54" t="str">
        <f>IF(AND('Mapa de Riesgos'!$Y$26="Baja",'Mapa de Riesgos'!$AA$26="Mayor"),CONCATENATE("R2C",'Mapa de Riesgos'!$O$26),"")</f>
        <v/>
      </c>
      <c r="AH37" s="55" t="str">
        <f>IF(AND('Mapa de Riesgos'!$Y$21="Baja",'Mapa de Riesgos'!$AA$21="Catastrófico"),CONCATENATE("R2C",'Mapa de Riesgos'!$O$21),"")</f>
        <v/>
      </c>
      <c r="AI37" s="56" t="str">
        <f>IF(AND('Mapa de Riesgos'!$Y$22="Baja",'Mapa de Riesgos'!$AA$22="Catastrófico"),CONCATENATE("R2C",'Mapa de Riesgos'!$O$22),"")</f>
        <v/>
      </c>
      <c r="AJ37" s="56" t="str">
        <f>IF(AND('Mapa de Riesgos'!$Y$23="Baja",'Mapa de Riesgos'!$AA$23="Catastrófico"),CONCATENATE("R2C",'Mapa de Riesgos'!$O$23),"")</f>
        <v/>
      </c>
      <c r="AK37" s="56" t="str">
        <f>IF(AND('Mapa de Riesgos'!$Y$24="Baja",'Mapa de Riesgos'!$AA$24="Catastrófico"),CONCATENATE("R2C",'Mapa de Riesgos'!$O$24),"")</f>
        <v/>
      </c>
      <c r="AL37" s="56" t="str">
        <f>IF(AND('Mapa de Riesgos'!$Y$25="Baja",'Mapa de Riesgos'!$AA$25="Catastrófico"),CONCATENATE("R2C",'Mapa de Riesgos'!$O$25),"")</f>
        <v/>
      </c>
      <c r="AM37" s="57" t="str">
        <f>IF(AND('Mapa de Riesgos'!$Y$26="Baja",'Mapa de Riesgos'!$AA$26="Catastrófico"),CONCATENATE("R2C",'Mapa de Riesgos'!$O$26),"")</f>
        <v/>
      </c>
      <c r="AN37" s="83"/>
      <c r="AO37" s="572"/>
      <c r="AP37" s="573"/>
      <c r="AQ37" s="573"/>
      <c r="AR37" s="573"/>
      <c r="AS37" s="573"/>
      <c r="AT37" s="57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500"/>
      <c r="C38" s="500"/>
      <c r="D38" s="501"/>
      <c r="E38" s="541"/>
      <c r="F38" s="542"/>
      <c r="G38" s="542"/>
      <c r="H38" s="542"/>
      <c r="I38" s="542"/>
      <c r="J38" s="76" t="str">
        <f>IF(AND('Mapa de Riesgos'!$Y$27="Baja",'Mapa de Riesgos'!$AA$27="Leve"),CONCATENATE("R3C",'Mapa de Riesgos'!$O$27),"")</f>
        <v/>
      </c>
      <c r="K38" s="77" t="str">
        <f>IF(AND('Mapa de Riesgos'!$Y$28="Baja",'Mapa de Riesgos'!$AA$28="Leve"),CONCATENATE("R3C",'Mapa de Riesgos'!$O$28),"")</f>
        <v/>
      </c>
      <c r="L38" s="77" t="str">
        <f>IF(AND('Mapa de Riesgos'!$Y$29="Baja",'Mapa de Riesgos'!$AA$29="Leve"),CONCATENATE("R3C",'Mapa de Riesgos'!$O$29),"")</f>
        <v/>
      </c>
      <c r="M38" s="77" t="str">
        <f>IF(AND('Mapa de Riesgos'!$Y$30="Baja",'Mapa de Riesgos'!$AA$30="Leve"),CONCATENATE("R3C",'Mapa de Riesgos'!$O$30),"")</f>
        <v/>
      </c>
      <c r="N38" s="77" t="str">
        <f>IF(AND('Mapa de Riesgos'!$Y$31="Baja",'Mapa de Riesgos'!$AA$31="Leve"),CONCATENATE("R3C",'Mapa de Riesgos'!$O$31),"")</f>
        <v/>
      </c>
      <c r="O38" s="78" t="str">
        <f>IF(AND('Mapa de Riesgos'!$Y$32="Baja",'Mapa de Riesgos'!$AA$32="Leve"),CONCATENATE("R3C",'Mapa de Riesgos'!$O$32),"")</f>
        <v/>
      </c>
      <c r="P38" s="67" t="str">
        <f>IF(AND('Mapa de Riesgos'!$Y$27="Baja",'Mapa de Riesgos'!$AA$27="Menor"),CONCATENATE("R3C",'Mapa de Riesgos'!$O$27),"")</f>
        <v/>
      </c>
      <c r="Q38" s="68" t="str">
        <f>IF(AND('Mapa de Riesgos'!$Y$28="Baja",'Mapa de Riesgos'!$AA$28="Menor"),CONCATENATE("R3C",'Mapa de Riesgos'!$O$28),"")</f>
        <v/>
      </c>
      <c r="R38" s="68" t="str">
        <f>IF(AND('Mapa de Riesgos'!$Y$29="Baja",'Mapa de Riesgos'!$AA$29="Menor"),CONCATENATE("R3C",'Mapa de Riesgos'!$O$29),"")</f>
        <v/>
      </c>
      <c r="S38" s="68" t="str">
        <f>IF(AND('Mapa de Riesgos'!$Y$30="Baja",'Mapa de Riesgos'!$AA$30="Menor"),CONCATENATE("R3C",'Mapa de Riesgos'!$O$30),"")</f>
        <v/>
      </c>
      <c r="T38" s="68" t="str">
        <f>IF(AND('Mapa de Riesgos'!$Y$31="Baja",'Mapa de Riesgos'!$AA$31="Menor"),CONCATENATE("R3C",'Mapa de Riesgos'!$O$31),"")</f>
        <v/>
      </c>
      <c r="U38" s="69" t="str">
        <f>IF(AND('Mapa de Riesgos'!$Y$32="Baja",'Mapa de Riesgos'!$AA$32="Menor"),CONCATENATE("R3C",'Mapa de Riesgos'!$O$32),"")</f>
        <v/>
      </c>
      <c r="V38" s="67" t="str">
        <f>IF(AND('Mapa de Riesgos'!$Y$27="Baja",'Mapa de Riesgos'!$AA$27="Moderado"),CONCATENATE("R3C",'Mapa de Riesgos'!$O$27),"")</f>
        <v/>
      </c>
      <c r="W38" s="68" t="str">
        <f>IF(AND('Mapa de Riesgos'!$Y$28="Baja",'Mapa de Riesgos'!$AA$28="Moderado"),CONCATENATE("R3C",'Mapa de Riesgos'!$O$28),"")</f>
        <v/>
      </c>
      <c r="X38" s="68" t="str">
        <f>IF(AND('Mapa de Riesgos'!$Y$29="Baja",'Mapa de Riesgos'!$AA$29="Moderado"),CONCATENATE("R3C",'Mapa de Riesgos'!$O$29),"")</f>
        <v/>
      </c>
      <c r="Y38" s="68" t="str">
        <f>IF(AND('Mapa de Riesgos'!$Y$30="Baja",'Mapa de Riesgos'!$AA$30="Moderado"),CONCATENATE("R3C",'Mapa de Riesgos'!$O$30),"")</f>
        <v/>
      </c>
      <c r="Z38" s="68" t="str">
        <f>IF(AND('Mapa de Riesgos'!$Y$31="Baja",'Mapa de Riesgos'!$AA$31="Moderado"),CONCATENATE("R3C",'Mapa de Riesgos'!$O$31),"")</f>
        <v/>
      </c>
      <c r="AA38" s="69" t="str">
        <f>IF(AND('Mapa de Riesgos'!$Y$32="Baja",'Mapa de Riesgos'!$AA$32="Moderado"),CONCATENATE("R3C",'Mapa de Riesgos'!$O$32),"")</f>
        <v/>
      </c>
      <c r="AB38" s="52" t="str">
        <f>IF(AND('Mapa de Riesgos'!$Y$27="Baja",'Mapa de Riesgos'!$AA$27="Mayor"),CONCATENATE("R3C",'Mapa de Riesgos'!$O$27),"")</f>
        <v>R3C1</v>
      </c>
      <c r="AC38" s="53" t="str">
        <f>IF(AND('Mapa de Riesgos'!$Y$28="Baja",'Mapa de Riesgos'!$AA$28="Mayor"),CONCATENATE("R3C",'Mapa de Riesgos'!$O$28),"")</f>
        <v/>
      </c>
      <c r="AD38" s="53" t="str">
        <f>IF(AND('Mapa de Riesgos'!$Y$29="Baja",'Mapa de Riesgos'!$AA$29="Mayor"),CONCATENATE("R3C",'Mapa de Riesgos'!$O$29),"")</f>
        <v/>
      </c>
      <c r="AE38" s="53" t="str">
        <f>IF(AND('Mapa de Riesgos'!$Y$30="Baja",'Mapa de Riesgos'!$AA$30="Mayor"),CONCATENATE("R3C",'Mapa de Riesgos'!$O$30),"")</f>
        <v/>
      </c>
      <c r="AF38" s="53" t="str">
        <f>IF(AND('Mapa de Riesgos'!$Y$31="Baja",'Mapa de Riesgos'!$AA$31="Mayor"),CONCATENATE("R3C",'Mapa de Riesgos'!$O$31),"")</f>
        <v/>
      </c>
      <c r="AG38" s="54" t="str">
        <f>IF(AND('Mapa de Riesgos'!$Y$32="Baja",'Mapa de Riesgos'!$AA$32="Mayor"),CONCATENATE("R3C",'Mapa de Riesgos'!$O$32),"")</f>
        <v/>
      </c>
      <c r="AH38" s="55" t="str">
        <f>IF(AND('Mapa de Riesgos'!$Y$27="Baja",'Mapa de Riesgos'!$AA$27="Catastrófico"),CONCATENATE("R3C",'Mapa de Riesgos'!$O$27),"")</f>
        <v/>
      </c>
      <c r="AI38" s="56" t="str">
        <f>IF(AND('Mapa de Riesgos'!$Y$28="Baja",'Mapa de Riesgos'!$AA$28="Catastrófico"),CONCATENATE("R3C",'Mapa de Riesgos'!$O$28),"")</f>
        <v/>
      </c>
      <c r="AJ38" s="56" t="str">
        <f>IF(AND('Mapa de Riesgos'!$Y$29="Baja",'Mapa de Riesgos'!$AA$29="Catastrófico"),CONCATENATE("R3C",'Mapa de Riesgos'!$O$29),"")</f>
        <v/>
      </c>
      <c r="AK38" s="56" t="str">
        <f>IF(AND('Mapa de Riesgos'!$Y$30="Baja",'Mapa de Riesgos'!$AA$30="Catastrófico"),CONCATENATE("R3C",'Mapa de Riesgos'!$O$30),"")</f>
        <v/>
      </c>
      <c r="AL38" s="56" t="str">
        <f>IF(AND('Mapa de Riesgos'!$Y$31="Baja",'Mapa de Riesgos'!$AA$31="Catastrófico"),CONCATENATE("R3C",'Mapa de Riesgos'!$O$31),"")</f>
        <v/>
      </c>
      <c r="AM38" s="57" t="str">
        <f>IF(AND('Mapa de Riesgos'!$Y$32="Baja",'Mapa de Riesgos'!$AA$32="Catastrófico"),CONCATENATE("R3C",'Mapa de Riesgos'!$O$32),"")</f>
        <v/>
      </c>
      <c r="AN38" s="83"/>
      <c r="AO38" s="572"/>
      <c r="AP38" s="573"/>
      <c r="AQ38" s="573"/>
      <c r="AR38" s="573"/>
      <c r="AS38" s="573"/>
      <c r="AT38" s="574"/>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500"/>
      <c r="C39" s="500"/>
      <c r="D39" s="501"/>
      <c r="E39" s="541"/>
      <c r="F39" s="542"/>
      <c r="G39" s="542"/>
      <c r="H39" s="542"/>
      <c r="I39" s="542"/>
      <c r="J39" s="76" t="str">
        <f>IF(AND('Mapa de Riesgos'!$Y$33="Baja",'Mapa de Riesgos'!$AA$33="Leve"),CONCATENATE("R4C",'Mapa de Riesgos'!$O$33),"")</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Riesgos'!$Y$33="Baja",'Mapa de Riesgos'!$AA$33="Menor"),CONCATENATE("R4C",'Mapa de Riesgos'!$O$33),"")</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Riesgos'!$Y$33="Baja",'Mapa de Riesgos'!$AA$33="Moderado"),CONCATENATE("R4C",'Mapa de Riesgos'!$O$33),"")</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Riesgos'!$Y$33="Baja",'Mapa de Riesgos'!$AA$33="Mayor"),CONCATENATE("R4C",'Mapa de Riesgos'!$O$33),"")</f>
        <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Riesgos'!$Y$33="Baja",'Mapa de Riesgos'!$AA$33="Catastrófico"),CONCATENATE("R4C",'Mapa de Riesgos'!$O$33),"")</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572"/>
      <c r="AP39" s="573"/>
      <c r="AQ39" s="573"/>
      <c r="AR39" s="573"/>
      <c r="AS39" s="573"/>
      <c r="AT39" s="574"/>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500"/>
      <c r="C40" s="500"/>
      <c r="D40" s="501"/>
      <c r="E40" s="541"/>
      <c r="F40" s="542"/>
      <c r="G40" s="542"/>
      <c r="H40" s="542"/>
      <c r="I40" s="542"/>
      <c r="J40" s="76" t="str">
        <f>IF(AND('Mapa de Riesgos'!$Y$39="Baja",'Mapa de Riesgos'!$AA$39="Leve"),CONCATENATE("R5C",'Mapa de Riesgos'!$O$39),"")</f>
        <v/>
      </c>
      <c r="K40" s="77" t="str">
        <f>IF(AND('Mapa de Riesgos'!$Y$40="Baja",'Mapa de Riesgos'!$AA$40="Leve"),CONCATENATE("R5C",'Mapa de Riesgos'!$O$40),"")</f>
        <v/>
      </c>
      <c r="L40" s="77" t="str">
        <f>IF(AND('Mapa de Riesgos'!$Y$41="Baja",'Mapa de Riesgos'!$AA$41="Leve"),CONCATENATE("R5C",'Mapa de Riesgos'!$O$41),"")</f>
        <v/>
      </c>
      <c r="M40" s="77" t="str">
        <f>IF(AND('Mapa de Riesgos'!$Y$42="Baja",'Mapa de Riesgos'!$AA$42="Leve"),CONCATENATE("R5C",'Mapa de Riesgos'!$O$42),"")</f>
        <v/>
      </c>
      <c r="N40" s="77" t="str">
        <f>IF(AND('Mapa de Riesgos'!$Y$43="Baja",'Mapa de Riesgos'!$AA$43="Leve"),CONCATENATE("R5C",'Mapa de Riesgos'!$O$43),"")</f>
        <v/>
      </c>
      <c r="O40" s="78" t="str">
        <f>IF(AND('Mapa de Riesgos'!$Y$44="Baja",'Mapa de Riesgos'!$AA$44="Leve"),CONCATENATE("R5C",'Mapa de Riesgos'!$O$44),"")</f>
        <v/>
      </c>
      <c r="P40" s="67" t="str">
        <f>IF(AND('Mapa de Riesgos'!$Y$39="Baja",'Mapa de Riesgos'!$AA$39="Menor"),CONCATENATE("R5C",'Mapa de Riesgos'!$O$39),"")</f>
        <v/>
      </c>
      <c r="Q40" s="68" t="str">
        <f>IF(AND('Mapa de Riesgos'!$Y$40="Baja",'Mapa de Riesgos'!$AA$40="Menor"),CONCATENATE("R5C",'Mapa de Riesgos'!$O$40),"")</f>
        <v/>
      </c>
      <c r="R40" s="68" t="str">
        <f>IF(AND('Mapa de Riesgos'!$Y$41="Baja",'Mapa de Riesgos'!$AA$41="Menor"),CONCATENATE("R5C",'Mapa de Riesgos'!$O$41),"")</f>
        <v/>
      </c>
      <c r="S40" s="68" t="str">
        <f>IF(AND('Mapa de Riesgos'!$Y$42="Baja",'Mapa de Riesgos'!$AA$42="Menor"),CONCATENATE("R5C",'Mapa de Riesgos'!$O$42),"")</f>
        <v/>
      </c>
      <c r="T40" s="68" t="str">
        <f>IF(AND('Mapa de Riesgos'!$Y$43="Baja",'Mapa de Riesgos'!$AA$43="Menor"),CONCATENATE("R5C",'Mapa de Riesgos'!$O$43),"")</f>
        <v/>
      </c>
      <c r="U40" s="69" t="str">
        <f>IF(AND('Mapa de Riesgos'!$Y$44="Baja",'Mapa de Riesgos'!$AA$44="Menor"),CONCATENATE("R5C",'Mapa de Riesgos'!$O$44),"")</f>
        <v/>
      </c>
      <c r="V40" s="67" t="str">
        <f>IF(AND('Mapa de Riesgos'!$Y$39="Baja",'Mapa de Riesgos'!$AA$39="Moderado"),CONCATENATE("R5C",'Mapa de Riesgos'!$O$39),"")</f>
        <v/>
      </c>
      <c r="W40" s="68" t="str">
        <f>IF(AND('Mapa de Riesgos'!$Y$40="Baja",'Mapa de Riesgos'!$AA$40="Moderado"),CONCATENATE("R5C",'Mapa de Riesgos'!$O$40),"")</f>
        <v/>
      </c>
      <c r="X40" s="68" t="str">
        <f>IF(AND('Mapa de Riesgos'!$Y$41="Baja",'Mapa de Riesgos'!$AA$41="Moderado"),CONCATENATE("R5C",'Mapa de Riesgos'!$O$41),"")</f>
        <v/>
      </c>
      <c r="Y40" s="68" t="str">
        <f>IF(AND('Mapa de Riesgos'!$Y$42="Baja",'Mapa de Riesgos'!$AA$42="Moderado"),CONCATENATE("R5C",'Mapa de Riesgos'!$O$42),"")</f>
        <v/>
      </c>
      <c r="Z40" s="68" t="str">
        <f>IF(AND('Mapa de Riesgos'!$Y$43="Baja",'Mapa de Riesgos'!$AA$43="Moderado"),CONCATENATE("R5C",'Mapa de Riesgos'!$O$43),"")</f>
        <v/>
      </c>
      <c r="AA40" s="69" t="str">
        <f>IF(AND('Mapa de Riesgos'!$Y$44="Baja",'Mapa de Riesgos'!$AA$44="Moderado"),CONCATENATE("R5C",'Mapa de Riesgos'!$O$44),"")</f>
        <v/>
      </c>
      <c r="AB40" s="52" t="str">
        <f>IF(AND('Mapa de Riesgos'!$Y$39="Baja",'Mapa de Riesgos'!$AA$39="Mayor"),CONCATENATE("R5C",'Mapa de Riesgos'!$O$39),"")</f>
        <v/>
      </c>
      <c r="AC40" s="53" t="str">
        <f>IF(AND('Mapa de Riesgos'!$Y$40="Baja",'Mapa de Riesgos'!$AA$40="Mayor"),CONCATENATE("R5C",'Mapa de Riesgos'!$O$40),"")</f>
        <v/>
      </c>
      <c r="AD40" s="53" t="str">
        <f>IF(AND('Mapa de Riesgos'!$Y$41="Baja",'Mapa de Riesgos'!$AA$41="Mayor"),CONCATENATE("R5C",'Mapa de Riesgos'!$O$41),"")</f>
        <v/>
      </c>
      <c r="AE40" s="53" t="str">
        <f>IF(AND('Mapa de Riesgos'!$Y$42="Baja",'Mapa de Riesgos'!$AA$42="Mayor"),CONCATENATE("R5C",'Mapa de Riesgos'!$O$42),"")</f>
        <v/>
      </c>
      <c r="AF40" s="53" t="str">
        <f>IF(AND('Mapa de Riesgos'!$Y$43="Baja",'Mapa de Riesgos'!$AA$43="Mayor"),CONCATENATE("R5C",'Mapa de Riesgos'!$O$43),"")</f>
        <v/>
      </c>
      <c r="AG40" s="54" t="str">
        <f>IF(AND('Mapa de Riesgos'!$Y$44="Baja",'Mapa de Riesgos'!$AA$44="Mayor"),CONCATENATE("R5C",'Mapa de Riesgos'!$O$44),"")</f>
        <v/>
      </c>
      <c r="AH40" s="55" t="str">
        <f>IF(AND('Mapa de Riesgos'!$Y$39="Baja",'Mapa de Riesgos'!$AA$39="Catastrófico"),CONCATENATE("R5C",'Mapa de Riesgos'!$O$39),"")</f>
        <v/>
      </c>
      <c r="AI40" s="56" t="str">
        <f>IF(AND('Mapa de Riesgos'!$Y$40="Baja",'Mapa de Riesgos'!$AA$40="Catastrófico"),CONCATENATE("R5C",'Mapa de Riesgos'!$O$40),"")</f>
        <v/>
      </c>
      <c r="AJ40" s="56" t="str">
        <f>IF(AND('Mapa de Riesgos'!$Y$41="Baja",'Mapa de Riesgos'!$AA$41="Catastrófico"),CONCATENATE("R5C",'Mapa de Riesgos'!$O$41),"")</f>
        <v/>
      </c>
      <c r="AK40" s="56" t="str">
        <f>IF(AND('Mapa de Riesgos'!$Y$42="Baja",'Mapa de Riesgos'!$AA$42="Catastrófico"),CONCATENATE("R5C",'Mapa de Riesgos'!$O$42),"")</f>
        <v/>
      </c>
      <c r="AL40" s="56" t="str">
        <f>IF(AND('Mapa de Riesgos'!$Y$43="Baja",'Mapa de Riesgos'!$AA$43="Catastrófico"),CONCATENATE("R5C",'Mapa de Riesgos'!$O$43),"")</f>
        <v/>
      </c>
      <c r="AM40" s="57" t="str">
        <f>IF(AND('Mapa de Riesgos'!$Y$44="Baja",'Mapa de Riesgos'!$AA$44="Catastrófico"),CONCATENATE("R5C",'Mapa de Riesgos'!$O$44),"")</f>
        <v/>
      </c>
      <c r="AN40" s="83"/>
      <c r="AO40" s="572"/>
      <c r="AP40" s="573"/>
      <c r="AQ40" s="573"/>
      <c r="AR40" s="573"/>
      <c r="AS40" s="573"/>
      <c r="AT40" s="574"/>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500"/>
      <c r="C41" s="500"/>
      <c r="D41" s="501"/>
      <c r="E41" s="541"/>
      <c r="F41" s="542"/>
      <c r="G41" s="542"/>
      <c r="H41" s="542"/>
      <c r="I41" s="542"/>
      <c r="J41" s="76" t="str">
        <f>IF(AND('Mapa de Riesgos'!$Y$45="Baja",'Mapa de Riesgos'!$AA$45="Leve"),CONCATENATE("R6C",'Mapa de Riesgos'!$O$45),"")</f>
        <v/>
      </c>
      <c r="K41" s="77" t="str">
        <f>IF(AND('Mapa de Riesgos'!$Y$46="Baja",'Mapa de Riesgos'!$AA$46="Leve"),CONCATENATE("R6C",'Mapa de Riesgos'!$O$46),"")</f>
        <v/>
      </c>
      <c r="L41" s="77" t="str">
        <f>IF(AND('Mapa de Riesgos'!$Y$47="Baja",'Mapa de Riesgos'!$AA$47="Leve"),CONCATENATE("R6C",'Mapa de Riesgos'!$O$47),"")</f>
        <v/>
      </c>
      <c r="M41" s="77" t="str">
        <f>IF(AND('Mapa de Riesgos'!$Y$48="Baja",'Mapa de Riesgos'!$AA$48="Leve"),CONCATENATE("R6C",'Mapa de Riesgos'!$O$48),"")</f>
        <v/>
      </c>
      <c r="N41" s="77" t="str">
        <f>IF(AND('Mapa de Riesgos'!$Y$49="Baja",'Mapa de Riesgos'!$AA$49="Leve"),CONCATENATE("R6C",'Mapa de Riesgos'!$O$49),"")</f>
        <v/>
      </c>
      <c r="O41" s="78" t="str">
        <f>IF(AND('Mapa de Riesgos'!$Y$50="Baja",'Mapa de Riesgos'!$AA$50="Leve"),CONCATENATE("R6C",'Mapa de Riesgos'!$O$50),"")</f>
        <v/>
      </c>
      <c r="P41" s="67" t="str">
        <f>IF(AND('Mapa de Riesgos'!$Y$45="Baja",'Mapa de Riesgos'!$AA$45="Menor"),CONCATENATE("R6C",'Mapa de Riesgos'!$O$45),"")</f>
        <v/>
      </c>
      <c r="Q41" s="68" t="str">
        <f>IF(AND('Mapa de Riesgos'!$Y$46="Baja",'Mapa de Riesgos'!$AA$46="Menor"),CONCATENATE("R6C",'Mapa de Riesgos'!$O$46),"")</f>
        <v/>
      </c>
      <c r="R41" s="68" t="str">
        <f>IF(AND('Mapa de Riesgos'!$Y$47="Baja",'Mapa de Riesgos'!$AA$47="Menor"),CONCATENATE("R6C",'Mapa de Riesgos'!$O$47),"")</f>
        <v/>
      </c>
      <c r="S41" s="68" t="str">
        <f>IF(AND('Mapa de Riesgos'!$Y$48="Baja",'Mapa de Riesgos'!$AA$48="Menor"),CONCATENATE("R6C",'Mapa de Riesgos'!$O$48),"")</f>
        <v/>
      </c>
      <c r="T41" s="68" t="str">
        <f>IF(AND('Mapa de Riesgos'!$Y$49="Baja",'Mapa de Riesgos'!$AA$49="Menor"),CONCATENATE("R6C",'Mapa de Riesgos'!$O$49),"")</f>
        <v/>
      </c>
      <c r="U41" s="69" t="str">
        <f>IF(AND('Mapa de Riesgos'!$Y$50="Baja",'Mapa de Riesgos'!$AA$50="Menor"),CONCATENATE("R6C",'Mapa de Riesgos'!$O$50),"")</f>
        <v/>
      </c>
      <c r="V41" s="67" t="str">
        <f>IF(AND('Mapa de Riesgos'!$Y$45="Baja",'Mapa de Riesgos'!$AA$45="Moderado"),CONCATENATE("R6C",'Mapa de Riesgos'!$O$45),"")</f>
        <v>R6C1</v>
      </c>
      <c r="W41" s="68" t="str">
        <f>IF(AND('Mapa de Riesgos'!$Y$46="Baja",'Mapa de Riesgos'!$AA$46="Moderado"),CONCATENATE("R6C",'Mapa de Riesgos'!$O$46),"")</f>
        <v/>
      </c>
      <c r="X41" s="68" t="str">
        <f>IF(AND('Mapa de Riesgos'!$Y$47="Baja",'Mapa de Riesgos'!$AA$47="Moderado"),CONCATENATE("R6C",'Mapa de Riesgos'!$O$47),"")</f>
        <v/>
      </c>
      <c r="Y41" s="68" t="str">
        <f>IF(AND('Mapa de Riesgos'!$Y$48="Baja",'Mapa de Riesgos'!$AA$48="Moderado"),CONCATENATE("R6C",'Mapa de Riesgos'!$O$48),"")</f>
        <v/>
      </c>
      <c r="Z41" s="68" t="str">
        <f>IF(AND('Mapa de Riesgos'!$Y$49="Baja",'Mapa de Riesgos'!$AA$49="Moderado"),CONCATENATE("R6C",'Mapa de Riesgos'!$O$49),"")</f>
        <v/>
      </c>
      <c r="AA41" s="69" t="str">
        <f>IF(AND('Mapa de Riesgos'!$Y$50="Baja",'Mapa de Riesgos'!$AA$50="Moderado"),CONCATENATE("R6C",'Mapa de Riesgos'!$O$50),"")</f>
        <v/>
      </c>
      <c r="AB41" s="52" t="str">
        <f>IF(AND('Mapa de Riesgos'!$Y$45="Baja",'Mapa de Riesgos'!$AA$45="Mayor"),CONCATENATE("R6C",'Mapa de Riesgos'!$O$45),"")</f>
        <v/>
      </c>
      <c r="AC41" s="53" t="str">
        <f>IF(AND('Mapa de Riesgos'!$Y$46="Baja",'Mapa de Riesgos'!$AA$46="Mayor"),CONCATENATE("R6C",'Mapa de Riesgos'!$O$46),"")</f>
        <v/>
      </c>
      <c r="AD41" s="53" t="str">
        <f>IF(AND('Mapa de Riesgos'!$Y$47="Baja",'Mapa de Riesgos'!$AA$47="Mayor"),CONCATENATE("R6C",'Mapa de Riesgos'!$O$47),"")</f>
        <v/>
      </c>
      <c r="AE41" s="53" t="str">
        <f>IF(AND('Mapa de Riesgos'!$Y$48="Baja",'Mapa de Riesgos'!$AA$48="Mayor"),CONCATENATE("R6C",'Mapa de Riesgos'!$O$48),"")</f>
        <v/>
      </c>
      <c r="AF41" s="53" t="str">
        <f>IF(AND('Mapa de Riesgos'!$Y$49="Baja",'Mapa de Riesgos'!$AA$49="Mayor"),CONCATENATE("R6C",'Mapa de Riesgos'!$O$49),"")</f>
        <v/>
      </c>
      <c r="AG41" s="54" t="str">
        <f>IF(AND('Mapa de Riesgos'!$Y$50="Baja",'Mapa de Riesgos'!$AA$50="Mayor"),CONCATENATE("R6C",'Mapa de Riesgos'!$O$50),"")</f>
        <v/>
      </c>
      <c r="AH41" s="55" t="str">
        <f>IF(AND('Mapa de Riesgos'!$Y$45="Baja",'Mapa de Riesgos'!$AA$45="Catastrófico"),CONCATENATE("R6C",'Mapa de Riesgos'!$O$45),"")</f>
        <v/>
      </c>
      <c r="AI41" s="56" t="str">
        <f>IF(AND('Mapa de Riesgos'!$Y$46="Baja",'Mapa de Riesgos'!$AA$46="Catastrófico"),CONCATENATE("R6C",'Mapa de Riesgos'!$O$46),"")</f>
        <v/>
      </c>
      <c r="AJ41" s="56" t="str">
        <f>IF(AND('Mapa de Riesgos'!$Y$47="Baja",'Mapa de Riesgos'!$AA$47="Catastrófico"),CONCATENATE("R6C",'Mapa de Riesgos'!$O$47),"")</f>
        <v/>
      </c>
      <c r="AK41" s="56" t="str">
        <f>IF(AND('Mapa de Riesgos'!$Y$48="Baja",'Mapa de Riesgos'!$AA$48="Catastrófico"),CONCATENATE("R6C",'Mapa de Riesgos'!$O$48),"")</f>
        <v/>
      </c>
      <c r="AL41" s="56" t="str">
        <f>IF(AND('Mapa de Riesgos'!$Y$49="Baja",'Mapa de Riesgos'!$AA$49="Catastrófico"),CONCATENATE("R6C",'Mapa de Riesgos'!$O$49),"")</f>
        <v/>
      </c>
      <c r="AM41" s="57" t="str">
        <f>IF(AND('Mapa de Riesgos'!$Y$50="Baja",'Mapa de Riesgos'!$AA$50="Catastrófico"),CONCATENATE("R6C",'Mapa de Riesgos'!$O$50),"")</f>
        <v/>
      </c>
      <c r="AN41" s="83"/>
      <c r="AO41" s="572"/>
      <c r="AP41" s="573"/>
      <c r="AQ41" s="573"/>
      <c r="AR41" s="573"/>
      <c r="AS41" s="573"/>
      <c r="AT41" s="574"/>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500"/>
      <c r="C42" s="500"/>
      <c r="D42" s="501"/>
      <c r="E42" s="541"/>
      <c r="F42" s="542"/>
      <c r="G42" s="542"/>
      <c r="H42" s="542"/>
      <c r="I42" s="542"/>
      <c r="J42" s="76" t="str">
        <f>IF(AND('Mapa de Riesgos'!$Y$51="Baja",'Mapa de Riesgos'!$AA$51="Leve"),CONCATENATE("R7C",'Mapa de Riesgos'!$O$51),"")</f>
        <v/>
      </c>
      <c r="K42" s="77" t="str">
        <f>IF(AND('Mapa de Riesgos'!$Y$52="Baja",'Mapa de Riesgos'!$AA$52="Leve"),CONCATENATE("R7C",'Mapa de Riesgos'!$O$52),"")</f>
        <v/>
      </c>
      <c r="L42" s="77" t="str">
        <f>IF(AND('Mapa de Riesgos'!$Y$53="Baja",'Mapa de Riesgos'!$AA$53="Leve"),CONCATENATE("R7C",'Mapa de Riesgos'!$O$53),"")</f>
        <v/>
      </c>
      <c r="M42" s="77" t="str">
        <f>IF(AND('Mapa de Riesgos'!$Y$54="Baja",'Mapa de Riesgos'!$AA$54="Leve"),CONCATENATE("R7C",'Mapa de Riesgos'!$O$54),"")</f>
        <v/>
      </c>
      <c r="N42" s="77" t="str">
        <f>IF(AND('Mapa de Riesgos'!$Y$55="Baja",'Mapa de Riesgos'!$AA$55="Leve"),CONCATENATE("R7C",'Mapa de Riesgos'!$O$55),"")</f>
        <v/>
      </c>
      <c r="O42" s="78" t="str">
        <f>IF(AND('Mapa de Riesgos'!$Y$56="Baja",'Mapa de Riesgos'!$AA$56="Leve"),CONCATENATE("R7C",'Mapa de Riesgos'!$O$56),"")</f>
        <v/>
      </c>
      <c r="P42" s="67" t="str">
        <f>IF(AND('Mapa de Riesgos'!$Y$51="Baja",'Mapa de Riesgos'!$AA$51="Menor"),CONCATENATE("R7C",'Mapa de Riesgos'!$O$51),"")</f>
        <v/>
      </c>
      <c r="Q42" s="68" t="str">
        <f>IF(AND('Mapa de Riesgos'!$Y$52="Baja",'Mapa de Riesgos'!$AA$52="Menor"),CONCATENATE("R7C",'Mapa de Riesgos'!$O$52),"")</f>
        <v/>
      </c>
      <c r="R42" s="68" t="str">
        <f>IF(AND('Mapa de Riesgos'!$Y$53="Baja",'Mapa de Riesgos'!$AA$53="Menor"),CONCATENATE("R7C",'Mapa de Riesgos'!$O$53),"")</f>
        <v/>
      </c>
      <c r="S42" s="68" t="str">
        <f>IF(AND('Mapa de Riesgos'!$Y$54="Baja",'Mapa de Riesgos'!$AA$54="Menor"),CONCATENATE("R7C",'Mapa de Riesgos'!$O$54),"")</f>
        <v/>
      </c>
      <c r="T42" s="68" t="str">
        <f>IF(AND('Mapa de Riesgos'!$Y$55="Baja",'Mapa de Riesgos'!$AA$55="Menor"),CONCATENATE("R7C",'Mapa de Riesgos'!$O$55),"")</f>
        <v/>
      </c>
      <c r="U42" s="69" t="str">
        <f>IF(AND('Mapa de Riesgos'!$Y$56="Baja",'Mapa de Riesgos'!$AA$56="Menor"),CONCATENATE("R7C",'Mapa de Riesgos'!$O$56),"")</f>
        <v/>
      </c>
      <c r="V42" s="67" t="str">
        <f>IF(AND('Mapa de Riesgos'!$Y$51="Baja",'Mapa de Riesgos'!$AA$51="Moderado"),CONCATENATE("R7C",'Mapa de Riesgos'!$O$51),"")</f>
        <v>R7C1</v>
      </c>
      <c r="W42" s="68" t="str">
        <f>IF(AND('Mapa de Riesgos'!$Y$52="Baja",'Mapa de Riesgos'!$AA$52="Moderado"),CONCATENATE("R7C",'Mapa de Riesgos'!$O$52),"")</f>
        <v/>
      </c>
      <c r="X42" s="68" t="str">
        <f>IF(AND('Mapa de Riesgos'!$Y$53="Baja",'Mapa de Riesgos'!$AA$53="Moderado"),CONCATENATE("R7C",'Mapa de Riesgos'!$O$53),"")</f>
        <v/>
      </c>
      <c r="Y42" s="68" t="str">
        <f>IF(AND('Mapa de Riesgos'!$Y$54="Baja",'Mapa de Riesgos'!$AA$54="Moderado"),CONCATENATE("R7C",'Mapa de Riesgos'!$O$54),"")</f>
        <v/>
      </c>
      <c r="Z42" s="68" t="str">
        <f>IF(AND('Mapa de Riesgos'!$Y$55="Baja",'Mapa de Riesgos'!$AA$55="Moderado"),CONCATENATE("R7C",'Mapa de Riesgos'!$O$55),"")</f>
        <v/>
      </c>
      <c r="AA42" s="69" t="str">
        <f>IF(AND('Mapa de Riesgos'!$Y$56="Baja",'Mapa de Riesgos'!$AA$56="Moderado"),CONCATENATE("R7C",'Mapa de Riesgos'!$O$56),"")</f>
        <v/>
      </c>
      <c r="AB42" s="52" t="str">
        <f>IF(AND('Mapa de Riesgos'!$Y$51="Baja",'Mapa de Riesgos'!$AA$51="Mayor"),CONCATENATE("R7C",'Mapa de Riesgos'!$O$51),"")</f>
        <v/>
      </c>
      <c r="AC42" s="53" t="str">
        <f>IF(AND('Mapa de Riesgos'!$Y$52="Baja",'Mapa de Riesgos'!$AA$52="Mayor"),CONCATENATE("R7C",'Mapa de Riesgos'!$O$52),"")</f>
        <v/>
      </c>
      <c r="AD42" s="53" t="str">
        <f>IF(AND('Mapa de Riesgos'!$Y$53="Baja",'Mapa de Riesgos'!$AA$53="Mayor"),CONCATENATE("R7C",'Mapa de Riesgos'!$O$53),"")</f>
        <v/>
      </c>
      <c r="AE42" s="53" t="str">
        <f>IF(AND('Mapa de Riesgos'!$Y$54="Baja",'Mapa de Riesgos'!$AA$54="Mayor"),CONCATENATE("R7C",'Mapa de Riesgos'!$O$54),"")</f>
        <v/>
      </c>
      <c r="AF42" s="53" t="str">
        <f>IF(AND('Mapa de Riesgos'!$Y$55="Baja",'Mapa de Riesgos'!$AA$55="Mayor"),CONCATENATE("R7C",'Mapa de Riesgos'!$O$55),"")</f>
        <v/>
      </c>
      <c r="AG42" s="54" t="str">
        <f>IF(AND('Mapa de Riesgos'!$Y$56="Baja",'Mapa de Riesgos'!$AA$56="Mayor"),CONCATENATE("R7C",'Mapa de Riesgos'!$O$56),"")</f>
        <v/>
      </c>
      <c r="AH42" s="55" t="str">
        <f>IF(AND('Mapa de Riesgos'!$Y$51="Baja",'Mapa de Riesgos'!$AA$51="Catastrófico"),CONCATENATE("R7C",'Mapa de Riesgos'!$O$51),"")</f>
        <v/>
      </c>
      <c r="AI42" s="56" t="str">
        <f>IF(AND('Mapa de Riesgos'!$Y$52="Baja",'Mapa de Riesgos'!$AA$52="Catastrófico"),CONCATENATE("R7C",'Mapa de Riesgos'!$O$52),"")</f>
        <v/>
      </c>
      <c r="AJ42" s="56" t="str">
        <f>IF(AND('Mapa de Riesgos'!$Y$53="Baja",'Mapa de Riesgos'!$AA$53="Catastrófico"),CONCATENATE("R7C",'Mapa de Riesgos'!$O$53),"")</f>
        <v/>
      </c>
      <c r="AK42" s="56" t="str">
        <f>IF(AND('Mapa de Riesgos'!$Y$54="Baja",'Mapa de Riesgos'!$AA$54="Catastrófico"),CONCATENATE("R7C",'Mapa de Riesgos'!$O$54),"")</f>
        <v/>
      </c>
      <c r="AL42" s="56" t="str">
        <f>IF(AND('Mapa de Riesgos'!$Y$55="Baja",'Mapa de Riesgos'!$AA$55="Catastrófico"),CONCATENATE("R7C",'Mapa de Riesgos'!$O$55),"")</f>
        <v/>
      </c>
      <c r="AM42" s="57" t="str">
        <f>IF(AND('Mapa de Riesgos'!$Y$56="Baja",'Mapa de Riesgos'!$AA$56="Catastrófico"),CONCATENATE("R7C",'Mapa de Riesgos'!$O$56),"")</f>
        <v/>
      </c>
      <c r="AN42" s="83"/>
      <c r="AO42" s="572"/>
      <c r="AP42" s="573"/>
      <c r="AQ42" s="573"/>
      <c r="AR42" s="573"/>
      <c r="AS42" s="573"/>
      <c r="AT42" s="574"/>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500"/>
      <c r="C43" s="500"/>
      <c r="D43" s="501"/>
      <c r="E43" s="541"/>
      <c r="F43" s="542"/>
      <c r="G43" s="542"/>
      <c r="H43" s="542"/>
      <c r="I43" s="542"/>
      <c r="J43" s="76" t="str">
        <f>IF(AND('Mapa de Riesgos'!$Y$57="Baja",'Mapa de Riesgos'!$AA$57="Leve"),CONCATENATE("R8C",'Mapa de Riesgos'!$O$57),"")</f>
        <v/>
      </c>
      <c r="K43" s="77" t="str">
        <f>IF(AND('Mapa de Riesgos'!$Y$58="Baja",'Mapa de Riesgos'!$AA$58="Leve"),CONCATENATE("R8C",'Mapa de Riesgos'!$O$58),"")</f>
        <v/>
      </c>
      <c r="L43" s="77" t="str">
        <f>IF(AND('Mapa de Riesgos'!$Y$59="Baja",'Mapa de Riesgos'!$AA$59="Leve"),CONCATENATE("R8C",'Mapa de Riesgos'!$O$59),"")</f>
        <v/>
      </c>
      <c r="M43" s="77" t="str">
        <f>IF(AND('Mapa de Riesgos'!$Y$60="Baja",'Mapa de Riesgos'!$AA$60="Leve"),CONCATENATE("R8C",'Mapa de Riesgos'!$O$60),"")</f>
        <v/>
      </c>
      <c r="N43" s="77" t="str">
        <f>IF(AND('Mapa de Riesgos'!$Y$61="Baja",'Mapa de Riesgos'!$AA$61="Leve"),CONCATENATE("R8C",'Mapa de Riesgos'!$O$61),"")</f>
        <v/>
      </c>
      <c r="O43" s="78" t="str">
        <f>IF(AND('Mapa de Riesgos'!$Y$62="Baja",'Mapa de Riesgos'!$AA$62="Leve"),CONCATENATE("R8C",'Mapa de Riesgos'!$O$62),"")</f>
        <v/>
      </c>
      <c r="P43" s="67" t="str">
        <f>IF(AND('Mapa de Riesgos'!$Y$57="Baja",'Mapa de Riesgos'!$AA$57="Menor"),CONCATENATE("R8C",'Mapa de Riesgos'!$O$57),"")</f>
        <v/>
      </c>
      <c r="Q43" s="68" t="str">
        <f>IF(AND('Mapa de Riesgos'!$Y$58="Baja",'Mapa de Riesgos'!$AA$58="Menor"),CONCATENATE("R8C",'Mapa de Riesgos'!$O$58),"")</f>
        <v/>
      </c>
      <c r="R43" s="68" t="str">
        <f>IF(AND('Mapa de Riesgos'!$Y$59="Baja",'Mapa de Riesgos'!$AA$59="Menor"),CONCATENATE("R8C",'Mapa de Riesgos'!$O$59),"")</f>
        <v/>
      </c>
      <c r="S43" s="68" t="str">
        <f>IF(AND('Mapa de Riesgos'!$Y$60="Baja",'Mapa de Riesgos'!$AA$60="Menor"),CONCATENATE("R8C",'Mapa de Riesgos'!$O$60),"")</f>
        <v/>
      </c>
      <c r="T43" s="68" t="str">
        <f>IF(AND('Mapa de Riesgos'!$Y$61="Baja",'Mapa de Riesgos'!$AA$61="Menor"),CONCATENATE("R8C",'Mapa de Riesgos'!$O$61),"")</f>
        <v/>
      </c>
      <c r="U43" s="69" t="str">
        <f>IF(AND('Mapa de Riesgos'!$Y$62="Baja",'Mapa de Riesgos'!$AA$62="Menor"),CONCATENATE("R8C",'Mapa de Riesgos'!$O$62),"")</f>
        <v/>
      </c>
      <c r="V43" s="67" t="str">
        <f>IF(AND('Mapa de Riesgos'!$Y$57="Baja",'Mapa de Riesgos'!$AA$57="Moderado"),CONCATENATE("R8C",'Mapa de Riesgos'!$O$57),"")</f>
        <v/>
      </c>
      <c r="W43" s="68" t="str">
        <f>IF(AND('Mapa de Riesgos'!$Y$58="Baja",'Mapa de Riesgos'!$AA$58="Moderado"),CONCATENATE("R8C",'Mapa de Riesgos'!$O$58),"")</f>
        <v/>
      </c>
      <c r="X43" s="68" t="str">
        <f>IF(AND('Mapa de Riesgos'!$Y$59="Baja",'Mapa de Riesgos'!$AA$59="Moderado"),CONCATENATE("R8C",'Mapa de Riesgos'!$O$59),"")</f>
        <v/>
      </c>
      <c r="Y43" s="68" t="str">
        <f>IF(AND('Mapa de Riesgos'!$Y$60="Baja",'Mapa de Riesgos'!$AA$60="Moderado"),CONCATENATE("R8C",'Mapa de Riesgos'!$O$60),"")</f>
        <v/>
      </c>
      <c r="Z43" s="68" t="str">
        <f>IF(AND('Mapa de Riesgos'!$Y$61="Baja",'Mapa de Riesgos'!$AA$61="Moderado"),CONCATENATE("R8C",'Mapa de Riesgos'!$O$61),"")</f>
        <v/>
      </c>
      <c r="AA43" s="69" t="str">
        <f>IF(AND('Mapa de Riesgos'!$Y$62="Baja",'Mapa de Riesgos'!$AA$62="Moderado"),CONCATENATE("R8C",'Mapa de Riesgos'!$O$62),"")</f>
        <v/>
      </c>
      <c r="AB43" s="52" t="str">
        <f>IF(AND('Mapa de Riesgos'!$Y$57="Baja",'Mapa de Riesgos'!$AA$57="Mayor"),CONCATENATE("R8C",'Mapa de Riesgos'!$O$57),"")</f>
        <v/>
      </c>
      <c r="AC43" s="53" t="str">
        <f>IF(AND('Mapa de Riesgos'!$Y$58="Baja",'Mapa de Riesgos'!$AA$58="Mayor"),CONCATENATE("R8C",'Mapa de Riesgos'!$O$58),"")</f>
        <v/>
      </c>
      <c r="AD43" s="53" t="str">
        <f>IF(AND('Mapa de Riesgos'!$Y$59="Baja",'Mapa de Riesgos'!$AA$59="Mayor"),CONCATENATE("R8C",'Mapa de Riesgos'!$O$59),"")</f>
        <v/>
      </c>
      <c r="AE43" s="53" t="str">
        <f>IF(AND('Mapa de Riesgos'!$Y$60="Baja",'Mapa de Riesgos'!$AA$60="Mayor"),CONCATENATE("R8C",'Mapa de Riesgos'!$O$60),"")</f>
        <v/>
      </c>
      <c r="AF43" s="53" t="str">
        <f>IF(AND('Mapa de Riesgos'!$Y$61="Baja",'Mapa de Riesgos'!$AA$61="Mayor"),CONCATENATE("R8C",'Mapa de Riesgos'!$O$61),"")</f>
        <v/>
      </c>
      <c r="AG43" s="54" t="str">
        <f>IF(AND('Mapa de Riesgos'!$Y$62="Baja",'Mapa de Riesgos'!$AA$62="Mayor"),CONCATENATE("R8C",'Mapa de Riesgos'!$O$62),"")</f>
        <v/>
      </c>
      <c r="AH43" s="55" t="str">
        <f>IF(AND('Mapa de Riesgos'!$Y$57="Baja",'Mapa de Riesgos'!$AA$57="Catastrófico"),CONCATENATE("R8C",'Mapa de Riesgos'!$O$57),"")</f>
        <v/>
      </c>
      <c r="AI43" s="56" t="str">
        <f>IF(AND('Mapa de Riesgos'!$Y$58="Baja",'Mapa de Riesgos'!$AA$58="Catastrófico"),CONCATENATE("R8C",'Mapa de Riesgos'!$O$58),"")</f>
        <v/>
      </c>
      <c r="AJ43" s="56" t="str">
        <f>IF(AND('Mapa de Riesgos'!$Y$59="Baja",'Mapa de Riesgos'!$AA$59="Catastrófico"),CONCATENATE("R8C",'Mapa de Riesgos'!$O$59),"")</f>
        <v/>
      </c>
      <c r="AK43" s="56" t="str">
        <f>IF(AND('Mapa de Riesgos'!$Y$60="Baja",'Mapa de Riesgos'!$AA$60="Catastrófico"),CONCATENATE("R8C",'Mapa de Riesgos'!$O$60),"")</f>
        <v/>
      </c>
      <c r="AL43" s="56" t="str">
        <f>IF(AND('Mapa de Riesgos'!$Y$61="Baja",'Mapa de Riesgos'!$AA$61="Catastrófico"),CONCATENATE("R8C",'Mapa de Riesgos'!$O$61),"")</f>
        <v/>
      </c>
      <c r="AM43" s="57" t="str">
        <f>IF(AND('Mapa de Riesgos'!$Y$62="Baja",'Mapa de Riesgos'!$AA$62="Catastrófico"),CONCATENATE("R8C",'Mapa de Riesgos'!$O$62),"")</f>
        <v/>
      </c>
      <c r="AN43" s="83"/>
      <c r="AO43" s="572"/>
      <c r="AP43" s="573"/>
      <c r="AQ43" s="573"/>
      <c r="AR43" s="573"/>
      <c r="AS43" s="573"/>
      <c r="AT43" s="574"/>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500"/>
      <c r="C44" s="500"/>
      <c r="D44" s="501"/>
      <c r="E44" s="541"/>
      <c r="F44" s="542"/>
      <c r="G44" s="542"/>
      <c r="H44" s="542"/>
      <c r="I44" s="542"/>
      <c r="J44" s="76" t="str">
        <f>IF(AND('Mapa de Riesgos'!$Y$63="Baja",'Mapa de Riesgos'!$AA$63="Leve"),CONCATENATE("R9C",'Mapa de Riesgos'!$O$63),"")</f>
        <v/>
      </c>
      <c r="K44" s="77" t="str">
        <f>IF(AND('Mapa de Riesgos'!$Y$64="Baja",'Mapa de Riesgos'!$AA$64="Leve"),CONCATENATE("R9C",'Mapa de Riesgos'!$O$64),"")</f>
        <v/>
      </c>
      <c r="L44" s="77" t="str">
        <f>IF(AND('Mapa de Riesgos'!$Y$65="Baja",'Mapa de Riesgos'!$AA$65="Leve"),CONCATENATE("R9C",'Mapa de Riesgos'!$O$65),"")</f>
        <v/>
      </c>
      <c r="M44" s="77" t="str">
        <f>IF(AND('Mapa de Riesgos'!$Y$66="Baja",'Mapa de Riesgos'!$AA$66="Leve"),CONCATENATE("R9C",'Mapa de Riesgos'!$O$66),"")</f>
        <v/>
      </c>
      <c r="N44" s="77" t="str">
        <f>IF(AND('Mapa de Riesgos'!$Y$67="Baja",'Mapa de Riesgos'!$AA$67="Leve"),CONCATENATE("R9C",'Mapa de Riesgos'!$O$67),"")</f>
        <v/>
      </c>
      <c r="O44" s="78" t="str">
        <f>IF(AND('Mapa de Riesgos'!$Y$68="Baja",'Mapa de Riesgos'!$AA$68="Leve"),CONCATENATE("R9C",'Mapa de Riesgos'!$O$68),"")</f>
        <v/>
      </c>
      <c r="P44" s="67" t="str">
        <f>IF(AND('Mapa de Riesgos'!$Y$63="Baja",'Mapa de Riesgos'!$AA$63="Menor"),CONCATENATE("R9C",'Mapa de Riesgos'!$O$63),"")</f>
        <v/>
      </c>
      <c r="Q44" s="68" t="str">
        <f>IF(AND('Mapa de Riesgos'!$Y$64="Baja",'Mapa de Riesgos'!$AA$64="Menor"),CONCATENATE("R9C",'Mapa de Riesgos'!$O$64),"")</f>
        <v/>
      </c>
      <c r="R44" s="68" t="str">
        <f>IF(AND('Mapa de Riesgos'!$Y$65="Baja",'Mapa de Riesgos'!$AA$65="Menor"),CONCATENATE("R9C",'Mapa de Riesgos'!$O$65),"")</f>
        <v/>
      </c>
      <c r="S44" s="68" t="str">
        <f>IF(AND('Mapa de Riesgos'!$Y$66="Baja",'Mapa de Riesgos'!$AA$66="Menor"),CONCATENATE("R9C",'Mapa de Riesgos'!$O$66),"")</f>
        <v/>
      </c>
      <c r="T44" s="68" t="str">
        <f>IF(AND('Mapa de Riesgos'!$Y$67="Baja",'Mapa de Riesgos'!$AA$67="Menor"),CONCATENATE("R9C",'Mapa de Riesgos'!$O$67),"")</f>
        <v/>
      </c>
      <c r="U44" s="69" t="str">
        <f>IF(AND('Mapa de Riesgos'!$Y$68="Baja",'Mapa de Riesgos'!$AA$68="Menor"),CONCATENATE("R9C",'Mapa de Riesgos'!$O$68),"")</f>
        <v/>
      </c>
      <c r="V44" s="67" t="str">
        <f>IF(AND('Mapa de Riesgos'!$Y$63="Baja",'Mapa de Riesgos'!$AA$63="Moderado"),CONCATENATE("R9C",'Mapa de Riesgos'!$O$63),"")</f>
        <v/>
      </c>
      <c r="W44" s="68" t="str">
        <f>IF(AND('Mapa de Riesgos'!$Y$64="Baja",'Mapa de Riesgos'!$AA$64="Moderado"),CONCATENATE("R9C",'Mapa de Riesgos'!$O$64),"")</f>
        <v/>
      </c>
      <c r="X44" s="68" t="str">
        <f>IF(AND('Mapa de Riesgos'!$Y$65="Baja",'Mapa de Riesgos'!$AA$65="Moderado"),CONCATENATE("R9C",'Mapa de Riesgos'!$O$65),"")</f>
        <v/>
      </c>
      <c r="Y44" s="68" t="str">
        <f>IF(AND('Mapa de Riesgos'!$Y$66="Baja",'Mapa de Riesgos'!$AA$66="Moderado"),CONCATENATE("R9C",'Mapa de Riesgos'!$O$66),"")</f>
        <v/>
      </c>
      <c r="Z44" s="68" t="str">
        <f>IF(AND('Mapa de Riesgos'!$Y$67="Baja",'Mapa de Riesgos'!$AA$67="Moderado"),CONCATENATE("R9C",'Mapa de Riesgos'!$O$67),"")</f>
        <v/>
      </c>
      <c r="AA44" s="69" t="str">
        <f>IF(AND('Mapa de Riesgos'!$Y$68="Baja",'Mapa de Riesgos'!$AA$68="Moderado"),CONCATENATE("R9C",'Mapa de Riesgos'!$O$68),"")</f>
        <v/>
      </c>
      <c r="AB44" s="52" t="str">
        <f>IF(AND('Mapa de Riesgos'!$Y$63="Baja",'Mapa de Riesgos'!$AA$63="Mayor"),CONCATENATE("R9C",'Mapa de Riesgos'!$O$63),"")</f>
        <v/>
      </c>
      <c r="AC44" s="53" t="str">
        <f>IF(AND('Mapa de Riesgos'!$Y$64="Baja",'Mapa de Riesgos'!$AA$64="Mayor"),CONCATENATE("R9C",'Mapa de Riesgos'!$O$64),"")</f>
        <v/>
      </c>
      <c r="AD44" s="53" t="str">
        <f>IF(AND('Mapa de Riesgos'!$Y$65="Baja",'Mapa de Riesgos'!$AA$65="Mayor"),CONCATENATE("R9C",'Mapa de Riesgos'!$O$65),"")</f>
        <v/>
      </c>
      <c r="AE44" s="53" t="str">
        <f>IF(AND('Mapa de Riesgos'!$Y$66="Baja",'Mapa de Riesgos'!$AA$66="Mayor"),CONCATENATE("R9C",'Mapa de Riesgos'!$O$66),"")</f>
        <v/>
      </c>
      <c r="AF44" s="53" t="str">
        <f>IF(AND('Mapa de Riesgos'!$Y$67="Baja",'Mapa de Riesgos'!$AA$67="Mayor"),CONCATENATE("R9C",'Mapa de Riesgos'!$O$67),"")</f>
        <v/>
      </c>
      <c r="AG44" s="54" t="str">
        <f>IF(AND('Mapa de Riesgos'!$Y$68="Baja",'Mapa de Riesgos'!$AA$68="Mayor"),CONCATENATE("R9C",'Mapa de Riesgos'!$O$68),"")</f>
        <v/>
      </c>
      <c r="AH44" s="55" t="str">
        <f>IF(AND('Mapa de Riesgos'!$Y$63="Baja",'Mapa de Riesgos'!$AA$63="Catastrófico"),CONCATENATE("R9C",'Mapa de Riesgos'!$O$63),"")</f>
        <v/>
      </c>
      <c r="AI44" s="56" t="str">
        <f>IF(AND('Mapa de Riesgos'!$Y$64="Baja",'Mapa de Riesgos'!$AA$64="Catastrófico"),CONCATENATE("R9C",'Mapa de Riesgos'!$O$64),"")</f>
        <v/>
      </c>
      <c r="AJ44" s="56" t="str">
        <f>IF(AND('Mapa de Riesgos'!$Y$65="Baja",'Mapa de Riesgos'!$AA$65="Catastrófico"),CONCATENATE("R9C",'Mapa de Riesgos'!$O$65),"")</f>
        <v/>
      </c>
      <c r="AK44" s="56" t="str">
        <f>IF(AND('Mapa de Riesgos'!$Y$66="Baja",'Mapa de Riesgos'!$AA$66="Catastrófico"),CONCATENATE("R9C",'Mapa de Riesgos'!$O$66),"")</f>
        <v/>
      </c>
      <c r="AL44" s="56" t="str">
        <f>IF(AND('Mapa de Riesgos'!$Y$67="Baja",'Mapa de Riesgos'!$AA$67="Catastrófico"),CONCATENATE("R9C",'Mapa de Riesgos'!$O$67),"")</f>
        <v/>
      </c>
      <c r="AM44" s="57" t="str">
        <f>IF(AND('Mapa de Riesgos'!$Y$68="Baja",'Mapa de Riesgos'!$AA$68="Catastrófico"),CONCATENATE("R9C",'Mapa de Riesgos'!$O$68),"")</f>
        <v/>
      </c>
      <c r="AN44" s="83"/>
      <c r="AO44" s="572"/>
      <c r="AP44" s="573"/>
      <c r="AQ44" s="573"/>
      <c r="AR44" s="573"/>
      <c r="AS44" s="573"/>
      <c r="AT44" s="574"/>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500"/>
      <c r="C45" s="500"/>
      <c r="D45" s="501"/>
      <c r="E45" s="544"/>
      <c r="F45" s="545"/>
      <c r="G45" s="545"/>
      <c r="H45" s="545"/>
      <c r="I45" s="545"/>
      <c r="J45" s="79" t="str">
        <f>IF(AND('Mapa de Riesgos'!$Y$69="Baja",'Mapa de Riesgos'!$AA$69="Leve"),CONCATENATE("R10C",'Mapa de Riesgos'!$O$69),"")</f>
        <v/>
      </c>
      <c r="K45" s="80" t="str">
        <f>IF(AND('Mapa de Riesgos'!$Y$70="Baja",'Mapa de Riesgos'!$AA$70="Leve"),CONCATENATE("R10C",'Mapa de Riesgos'!$O$70),"")</f>
        <v/>
      </c>
      <c r="L45" s="80" t="str">
        <f>IF(AND('Mapa de Riesgos'!$Y$71="Baja",'Mapa de Riesgos'!$AA$71="Leve"),CONCATENATE("R10C",'Mapa de Riesgos'!$O$71),"")</f>
        <v/>
      </c>
      <c r="M45" s="80" t="str">
        <f>IF(AND('Mapa de Riesgos'!$Y$72="Baja",'Mapa de Riesgos'!$AA$72="Leve"),CONCATENATE("R10C",'Mapa de Riesgos'!$O$72),"")</f>
        <v/>
      </c>
      <c r="N45" s="80" t="str">
        <f>IF(AND('Mapa de Riesgos'!$Y$73="Baja",'Mapa de Riesgos'!$AA$73="Leve"),CONCATENATE("R10C",'Mapa de Riesgos'!$O$73),"")</f>
        <v/>
      </c>
      <c r="O45" s="81" t="str">
        <f>IF(AND('Mapa de Riesgos'!$Y$74="Baja",'Mapa de Riesgos'!$AA$74="Leve"),CONCATENATE("R10C",'Mapa de Riesgos'!$O$74),"")</f>
        <v/>
      </c>
      <c r="P45" s="67" t="str">
        <f>IF(AND('Mapa de Riesgos'!$Y$69="Baja",'Mapa de Riesgos'!$AA$69="Menor"),CONCATENATE("R10C",'Mapa de Riesgos'!$O$69),"")</f>
        <v/>
      </c>
      <c r="Q45" s="68" t="str">
        <f>IF(AND('Mapa de Riesgos'!$Y$70="Baja",'Mapa de Riesgos'!$AA$70="Menor"),CONCATENATE("R10C",'Mapa de Riesgos'!$O$70),"")</f>
        <v/>
      </c>
      <c r="R45" s="68" t="str">
        <f>IF(AND('Mapa de Riesgos'!$Y$71="Baja",'Mapa de Riesgos'!$AA$71="Menor"),CONCATENATE("R10C",'Mapa de Riesgos'!$O$71),"")</f>
        <v/>
      </c>
      <c r="S45" s="68" t="str">
        <f>IF(AND('Mapa de Riesgos'!$Y$72="Baja",'Mapa de Riesgos'!$AA$72="Menor"),CONCATENATE("R10C",'Mapa de Riesgos'!$O$72),"")</f>
        <v/>
      </c>
      <c r="T45" s="68" t="str">
        <f>IF(AND('Mapa de Riesgos'!$Y$73="Baja",'Mapa de Riesgos'!$AA$73="Menor"),CONCATENATE("R10C",'Mapa de Riesgos'!$O$73),"")</f>
        <v/>
      </c>
      <c r="U45" s="69" t="str">
        <f>IF(AND('Mapa de Riesgos'!$Y$74="Baja",'Mapa de Riesgos'!$AA$74="Menor"),CONCATENATE("R10C",'Mapa de Riesgos'!$O$74),"")</f>
        <v/>
      </c>
      <c r="V45" s="70" t="str">
        <f>IF(AND('Mapa de Riesgos'!$Y$69="Baja",'Mapa de Riesgos'!$AA$69="Moderado"),CONCATENATE("R10C",'Mapa de Riesgos'!$O$69),"")</f>
        <v/>
      </c>
      <c r="W45" s="71" t="str">
        <f>IF(AND('Mapa de Riesgos'!$Y$70="Baja",'Mapa de Riesgos'!$AA$70="Moderado"),CONCATENATE("R10C",'Mapa de Riesgos'!$O$70),"")</f>
        <v/>
      </c>
      <c r="X45" s="71" t="str">
        <f>IF(AND('Mapa de Riesgos'!$Y$71="Baja",'Mapa de Riesgos'!$AA$71="Moderado"),CONCATENATE("R10C",'Mapa de Riesgos'!$O$71),"")</f>
        <v/>
      </c>
      <c r="Y45" s="71" t="str">
        <f>IF(AND('Mapa de Riesgos'!$Y$72="Baja",'Mapa de Riesgos'!$AA$72="Moderado"),CONCATENATE("R10C",'Mapa de Riesgos'!$O$72),"")</f>
        <v/>
      </c>
      <c r="Z45" s="71" t="str">
        <f>IF(AND('Mapa de Riesgos'!$Y$73="Baja",'Mapa de Riesgos'!$AA$73="Moderado"),CONCATENATE("R10C",'Mapa de Riesgos'!$O$73),"")</f>
        <v/>
      </c>
      <c r="AA45" s="72" t="str">
        <f>IF(AND('Mapa de Riesgos'!$Y$74="Baja",'Mapa de Riesgos'!$AA$74="Moderado"),CONCATENATE("R10C",'Mapa de Riesgos'!$O$74),"")</f>
        <v/>
      </c>
      <c r="AB45" s="58" t="str">
        <f>IF(AND('Mapa de Riesgos'!$Y$69="Baja",'Mapa de Riesgos'!$AA$69="Mayor"),CONCATENATE("R10C",'Mapa de Riesgos'!$O$69),"")</f>
        <v/>
      </c>
      <c r="AC45" s="59" t="str">
        <f>IF(AND('Mapa de Riesgos'!$Y$70="Baja",'Mapa de Riesgos'!$AA$70="Mayor"),CONCATENATE("R10C",'Mapa de Riesgos'!$O$70),"")</f>
        <v/>
      </c>
      <c r="AD45" s="59" t="str">
        <f>IF(AND('Mapa de Riesgos'!$Y$71="Baja",'Mapa de Riesgos'!$AA$71="Mayor"),CONCATENATE("R10C",'Mapa de Riesgos'!$O$71),"")</f>
        <v/>
      </c>
      <c r="AE45" s="59" t="str">
        <f>IF(AND('Mapa de Riesgos'!$Y$72="Baja",'Mapa de Riesgos'!$AA$72="Mayor"),CONCATENATE("R10C",'Mapa de Riesgos'!$O$72),"")</f>
        <v/>
      </c>
      <c r="AF45" s="59" t="str">
        <f>IF(AND('Mapa de Riesgos'!$Y$73="Baja",'Mapa de Riesgos'!$AA$73="Mayor"),CONCATENATE("R10C",'Mapa de Riesgos'!$O$73),"")</f>
        <v/>
      </c>
      <c r="AG45" s="60" t="str">
        <f>IF(AND('Mapa de Riesgos'!$Y$74="Baja",'Mapa de Riesgos'!$AA$74="Mayor"),CONCATENATE("R10C",'Mapa de Riesgos'!$O$74),"")</f>
        <v/>
      </c>
      <c r="AH45" s="61" t="str">
        <f>IF(AND('Mapa de Riesgos'!$Y$69="Baja",'Mapa de Riesgos'!$AA$69="Catastrófico"),CONCATENATE("R10C",'Mapa de Riesgos'!$O$69),"")</f>
        <v/>
      </c>
      <c r="AI45" s="62" t="str">
        <f>IF(AND('Mapa de Riesgos'!$Y$70="Baja",'Mapa de Riesgos'!$AA$70="Catastrófico"),CONCATENATE("R10C",'Mapa de Riesgos'!$O$70),"")</f>
        <v/>
      </c>
      <c r="AJ45" s="62" t="str">
        <f>IF(AND('Mapa de Riesgos'!$Y$71="Baja",'Mapa de Riesgos'!$AA$71="Catastrófico"),CONCATENATE("R10C",'Mapa de Riesgos'!$O$71),"")</f>
        <v/>
      </c>
      <c r="AK45" s="62" t="str">
        <f>IF(AND('Mapa de Riesgos'!$Y$72="Baja",'Mapa de Riesgos'!$AA$72="Catastrófico"),CONCATENATE("R10C",'Mapa de Riesgos'!$O$72),"")</f>
        <v/>
      </c>
      <c r="AL45" s="62" t="str">
        <f>IF(AND('Mapa de Riesgos'!$Y$73="Baja",'Mapa de Riesgos'!$AA$73="Catastrófico"),CONCATENATE("R10C",'Mapa de Riesgos'!$O$73),"")</f>
        <v/>
      </c>
      <c r="AM45" s="63" t="str">
        <f>IF(AND('Mapa de Riesgos'!$Y$74="Baja",'Mapa de Riesgos'!$AA$74="Catastrófico"),CONCATENATE("R10C",'Mapa de Riesgos'!$O$74),"")</f>
        <v/>
      </c>
      <c r="AN45" s="83"/>
      <c r="AO45" s="575"/>
      <c r="AP45" s="576"/>
      <c r="AQ45" s="576"/>
      <c r="AR45" s="576"/>
      <c r="AS45" s="576"/>
      <c r="AT45" s="577"/>
    </row>
    <row r="46" spans="1:80" ht="46.5" customHeight="1" x14ac:dyDescent="0.35">
      <c r="A46" s="83"/>
      <c r="B46" s="500"/>
      <c r="C46" s="500"/>
      <c r="D46" s="501"/>
      <c r="E46" s="538" t="s">
        <v>217</v>
      </c>
      <c r="F46" s="539"/>
      <c r="G46" s="539"/>
      <c r="H46" s="539"/>
      <c r="I46" s="540"/>
      <c r="J46" s="73" t="str">
        <f>IF(AND('Mapa de Riesgos'!$Y$12="Muy Baja",'Mapa de Riesgos'!$AA$12="Leve"),CONCATENATE("R1C",'Mapa de Riesgos'!$O$12),"")</f>
        <v/>
      </c>
      <c r="K46" s="74" t="str">
        <f>IF(AND('Mapa de Riesgos'!$Y$16="Muy Baja",'Mapa de Riesgos'!$AA$16="Leve"),CONCATENATE("R1C",'Mapa de Riesgos'!$O$16),"")</f>
        <v/>
      </c>
      <c r="L46" s="74" t="str">
        <f>IF(AND('Mapa de Riesgos'!$Y$17="Muy Baja",'Mapa de Riesgos'!$AA$17="Leve"),CONCATENATE("R1C",'Mapa de Riesgos'!$O$17),"")</f>
        <v/>
      </c>
      <c r="M46" s="74" t="str">
        <f>IF(AND('Mapa de Riesgos'!$Y$18="Muy Baja",'Mapa de Riesgos'!$AA$18="Leve"),CONCATENATE("R1C",'Mapa de Riesgos'!$O$18),"")</f>
        <v/>
      </c>
      <c r="N46" s="74" t="str">
        <f>IF(AND('Mapa de Riesgos'!$Y$19="Muy Baja",'Mapa de Riesgos'!$AA$19="Leve"),CONCATENATE("R1C",'Mapa de Riesgos'!$O$19),"")</f>
        <v/>
      </c>
      <c r="O46" s="75" t="str">
        <f>IF(AND('Mapa de Riesgos'!$Y$20="Muy Baja",'Mapa de Riesgos'!$AA$20="Leve"),CONCATENATE("R1C",'Mapa de Riesgos'!$O$20),"")</f>
        <v/>
      </c>
      <c r="P46" s="73" t="str">
        <f>IF(AND('Mapa de Riesgos'!$Y$12="Muy Baja",'Mapa de Riesgos'!$AA$12="Menor"),CONCATENATE("R1C",'Mapa de Riesgos'!$O$12),"")</f>
        <v/>
      </c>
      <c r="Q46" s="74" t="str">
        <f>IF(AND('Mapa de Riesgos'!$Y$16="Muy Baja",'Mapa de Riesgos'!$AA$16="Menor"),CONCATENATE("R1C",'Mapa de Riesgos'!$O$16),"")</f>
        <v/>
      </c>
      <c r="R46" s="74" t="str">
        <f>IF(AND('Mapa de Riesgos'!$Y$17="Muy Baja",'Mapa de Riesgos'!$AA$17="Menor"),CONCATENATE("R1C",'Mapa de Riesgos'!$O$17),"")</f>
        <v/>
      </c>
      <c r="S46" s="74" t="str">
        <f>IF(AND('Mapa de Riesgos'!$Y$18="Muy Baja",'Mapa de Riesgos'!$AA$18="Menor"),CONCATENATE("R1C",'Mapa de Riesgos'!$O$18),"")</f>
        <v/>
      </c>
      <c r="T46" s="74" t="str">
        <f>IF(AND('Mapa de Riesgos'!$Y$19="Muy Baja",'Mapa de Riesgos'!$AA$19="Menor"),CONCATENATE("R1C",'Mapa de Riesgos'!$O$19),"")</f>
        <v/>
      </c>
      <c r="U46" s="75" t="str">
        <f>IF(AND('Mapa de Riesgos'!$Y$20="Muy Baja",'Mapa de Riesgos'!$AA$20="Menor"),CONCATENATE("R1C",'Mapa de Riesgos'!$O$20),"")</f>
        <v/>
      </c>
      <c r="V46" s="64" t="str">
        <f>IF(AND('Mapa de Riesgos'!$Y$12="Muy Baja",'Mapa de Riesgos'!$AA$12="Moderado"),CONCATENATE("R1C",'Mapa de Riesgos'!$O$12),"")</f>
        <v/>
      </c>
      <c r="W46" s="82" t="str">
        <f>IF(AND('Mapa de Riesgos'!$Y$16="Muy Baja",'Mapa de Riesgos'!$AA$16="Moderado"),CONCATENATE("R1C",'Mapa de Riesgos'!$O$16),"")</f>
        <v/>
      </c>
      <c r="X46" s="65" t="str">
        <f>IF(AND('Mapa de Riesgos'!$Y$17="Muy Baja",'Mapa de Riesgos'!$AA$17="Moderado"),CONCATENATE("R1C",'Mapa de Riesgos'!$O$17),"")</f>
        <v/>
      </c>
      <c r="Y46" s="65" t="str">
        <f>IF(AND('Mapa de Riesgos'!$Y$18="Muy Baja",'Mapa de Riesgos'!$AA$18="Moderado"),CONCATENATE("R1C",'Mapa de Riesgos'!$O$18),"")</f>
        <v/>
      </c>
      <c r="Z46" s="65" t="str">
        <f>IF(AND('Mapa de Riesgos'!$Y$19="Muy Baja",'Mapa de Riesgos'!$AA$19="Moderado"),CONCATENATE("R1C",'Mapa de Riesgos'!$O$19),"")</f>
        <v/>
      </c>
      <c r="AA46" s="66" t="str">
        <f>IF(AND('Mapa de Riesgos'!$Y$20="Muy Baja",'Mapa de Riesgos'!$AA$20="Moderado"),CONCATENATE("R1C",'Mapa de Riesgos'!$O$20),"")</f>
        <v/>
      </c>
      <c r="AB46" s="46" t="str">
        <f>IF(AND('Mapa de Riesgos'!$Y$12="Muy Baja",'Mapa de Riesgos'!$AA$12="Mayor"),CONCATENATE("R1C",'Mapa de Riesgos'!$O$12),"")</f>
        <v/>
      </c>
      <c r="AC46" s="47" t="str">
        <f>IF(AND('Mapa de Riesgos'!$Y$16="Muy Baja",'Mapa de Riesgos'!$AA$16="Mayor"),CONCATENATE("R1C",'Mapa de Riesgos'!$O$16),"")</f>
        <v/>
      </c>
      <c r="AD46" s="47" t="str">
        <f>IF(AND('Mapa de Riesgos'!$Y$17="Muy Baja",'Mapa de Riesgos'!$AA$17="Mayor"),CONCATENATE("R1C",'Mapa de Riesgos'!$O$17),"")</f>
        <v/>
      </c>
      <c r="AE46" s="47" t="str">
        <f>IF(AND('Mapa de Riesgos'!$Y$18="Muy Baja",'Mapa de Riesgos'!$AA$18="Mayor"),CONCATENATE("R1C",'Mapa de Riesgos'!$O$18),"")</f>
        <v/>
      </c>
      <c r="AF46" s="47" t="str">
        <f>IF(AND('Mapa de Riesgos'!$Y$19="Muy Baja",'Mapa de Riesgos'!$AA$19="Mayor"),CONCATENATE("R1C",'Mapa de Riesgos'!$O$19),"")</f>
        <v/>
      </c>
      <c r="AG46" s="48" t="str">
        <f>IF(AND('Mapa de Riesgos'!$Y$20="Muy Baja",'Mapa de Riesgos'!$AA$20="Mayor"),CONCATENATE("R1C",'Mapa de Riesgos'!$O$20),"")</f>
        <v/>
      </c>
      <c r="AH46" s="49" t="str">
        <f>IF(AND('Mapa de Riesgos'!$Y$12="Muy Baja",'Mapa de Riesgos'!$AA$12="Catastrófico"),CONCATENATE("R1C",'Mapa de Riesgos'!$O$12),"")</f>
        <v/>
      </c>
      <c r="AI46" s="50" t="str">
        <f>IF(AND('Mapa de Riesgos'!$Y$16="Muy Baja",'Mapa de Riesgos'!$AA$16="Catastrófico"),CONCATENATE("R1C",'Mapa de Riesgos'!$O$16),"")</f>
        <v/>
      </c>
      <c r="AJ46" s="50" t="str">
        <f>IF(AND('Mapa de Riesgos'!$Y$17="Muy Baja",'Mapa de Riesgos'!$AA$17="Catastrófico"),CONCATENATE("R1C",'Mapa de Riesgos'!$O$17),"")</f>
        <v/>
      </c>
      <c r="AK46" s="50" t="str">
        <f>IF(AND('Mapa de Riesgos'!$Y$18="Muy Baja",'Mapa de Riesgos'!$AA$18="Catastrófico"),CONCATENATE("R1C",'Mapa de Riesgos'!$O$18),"")</f>
        <v/>
      </c>
      <c r="AL46" s="50" t="str">
        <f>IF(AND('Mapa de Riesgos'!$Y$19="Muy Baja",'Mapa de Riesgos'!$AA$19="Catastrófico"),CONCATENATE("R1C",'Mapa de Riesgos'!$O$19),"")</f>
        <v/>
      </c>
      <c r="AM46" s="51" t="str">
        <f>IF(AND('Mapa de Riesgos'!$Y$20="Muy Baja",'Mapa de Riesgos'!$AA$20="Catastrófico"),CONCATENATE("R1C",'Mapa de Riesgos'!$O$20),"")</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500"/>
      <c r="C47" s="500"/>
      <c r="D47" s="501"/>
      <c r="E47" s="557"/>
      <c r="F47" s="542"/>
      <c r="G47" s="542"/>
      <c r="H47" s="542"/>
      <c r="I47" s="543"/>
      <c r="J47" s="76" t="str">
        <f>IF(AND('Mapa de Riesgos'!$Y$21="Muy Baja",'Mapa de Riesgos'!$AA$21="Leve"),CONCATENATE("R2C",'Mapa de Riesgos'!$O$21),"")</f>
        <v/>
      </c>
      <c r="K47" s="77" t="str">
        <f>IF(AND('Mapa de Riesgos'!$Y$22="Muy Baja",'Mapa de Riesgos'!$AA$22="Leve"),CONCATENATE("R2C",'Mapa de Riesgos'!$O$22),"")</f>
        <v/>
      </c>
      <c r="L47" s="77" t="str">
        <f>IF(AND('Mapa de Riesgos'!$Y$23="Muy Baja",'Mapa de Riesgos'!$AA$23="Leve"),CONCATENATE("R2C",'Mapa de Riesgos'!$O$23),"")</f>
        <v/>
      </c>
      <c r="M47" s="77" t="str">
        <f>IF(AND('Mapa de Riesgos'!$Y$24="Muy Baja",'Mapa de Riesgos'!$AA$24="Leve"),CONCATENATE("R2C",'Mapa de Riesgos'!$O$24),"")</f>
        <v/>
      </c>
      <c r="N47" s="77" t="str">
        <f>IF(AND('Mapa de Riesgos'!$Y$25="Muy Baja",'Mapa de Riesgos'!$AA$25="Leve"),CONCATENATE("R2C",'Mapa de Riesgos'!$O$25),"")</f>
        <v/>
      </c>
      <c r="O47" s="78" t="str">
        <f>IF(AND('Mapa de Riesgos'!$Y$26="Muy Baja",'Mapa de Riesgos'!$AA$26="Leve"),CONCATENATE("R2C",'Mapa de Riesgos'!$O$26),"")</f>
        <v/>
      </c>
      <c r="P47" s="76" t="str">
        <f>IF(AND('Mapa de Riesgos'!$Y$21="Muy Baja",'Mapa de Riesgos'!$AA$21="Menor"),CONCATENATE("R2C",'Mapa de Riesgos'!$O$21),"")</f>
        <v/>
      </c>
      <c r="Q47" s="77" t="str">
        <f>IF(AND('Mapa de Riesgos'!$Y$22="Muy Baja",'Mapa de Riesgos'!$AA$22="Menor"),CONCATENATE("R2C",'Mapa de Riesgos'!$O$22),"")</f>
        <v/>
      </c>
      <c r="R47" s="77" t="str">
        <f>IF(AND('Mapa de Riesgos'!$Y$23="Muy Baja",'Mapa de Riesgos'!$AA$23="Menor"),CONCATENATE("R2C",'Mapa de Riesgos'!$O$23),"")</f>
        <v/>
      </c>
      <c r="S47" s="77" t="str">
        <f>IF(AND('Mapa de Riesgos'!$Y$24="Muy Baja",'Mapa de Riesgos'!$AA$24="Menor"),CONCATENATE("R2C",'Mapa de Riesgos'!$O$24),"")</f>
        <v/>
      </c>
      <c r="T47" s="77" t="str">
        <f>IF(AND('Mapa de Riesgos'!$Y$25="Muy Baja",'Mapa de Riesgos'!$AA$25="Menor"),CONCATENATE("R2C",'Mapa de Riesgos'!$O$25),"")</f>
        <v/>
      </c>
      <c r="U47" s="78" t="str">
        <f>IF(AND('Mapa de Riesgos'!$Y$26="Muy Baja",'Mapa de Riesgos'!$AA$26="Menor"),CONCATENATE("R2C",'Mapa de Riesgos'!$O$26),"")</f>
        <v/>
      </c>
      <c r="V47" s="67" t="str">
        <f>IF(AND('Mapa de Riesgos'!$Y$21="Muy Baja",'Mapa de Riesgos'!$AA$21="Moderado"),CONCATENATE("R2C",'Mapa de Riesgos'!$O$21),"")</f>
        <v/>
      </c>
      <c r="W47" s="68" t="str">
        <f>IF(AND('Mapa de Riesgos'!$Y$22="Muy Baja",'Mapa de Riesgos'!$AA$22="Moderado"),CONCATENATE("R2C",'Mapa de Riesgos'!$O$22),"")</f>
        <v/>
      </c>
      <c r="X47" s="68" t="str">
        <f>IF(AND('Mapa de Riesgos'!$Y$23="Muy Baja",'Mapa de Riesgos'!$AA$23="Moderado"),CONCATENATE("R2C",'Mapa de Riesgos'!$O$23),"")</f>
        <v/>
      </c>
      <c r="Y47" s="68" t="str">
        <f>IF(AND('Mapa de Riesgos'!$Y$24="Muy Baja",'Mapa de Riesgos'!$AA$24="Moderado"),CONCATENATE("R2C",'Mapa de Riesgos'!$O$24),"")</f>
        <v/>
      </c>
      <c r="Z47" s="68" t="str">
        <f>IF(AND('Mapa de Riesgos'!$Y$25="Muy Baja",'Mapa de Riesgos'!$AA$25="Moderado"),CONCATENATE("R2C",'Mapa de Riesgos'!$O$25),"")</f>
        <v/>
      </c>
      <c r="AA47" s="69" t="str">
        <f>IF(AND('Mapa de Riesgos'!$Y$26="Muy Baja",'Mapa de Riesgos'!$AA$26="Moderado"),CONCATENATE("R2C",'Mapa de Riesgos'!$O$26),"")</f>
        <v/>
      </c>
      <c r="AB47" s="52" t="str">
        <f>IF(AND('Mapa de Riesgos'!$Y$21="Muy Baja",'Mapa de Riesgos'!$AA$21="Mayor"),CONCATENATE("R2C",'Mapa de Riesgos'!$O$21),"")</f>
        <v/>
      </c>
      <c r="AC47" s="53" t="str">
        <f>IF(AND('Mapa de Riesgos'!$Y$22="Muy Baja",'Mapa de Riesgos'!$AA$22="Mayor"),CONCATENATE("R2C",'Mapa de Riesgos'!$O$22),"")</f>
        <v>R2C2</v>
      </c>
      <c r="AD47" s="53" t="str">
        <f>IF(AND('Mapa de Riesgos'!$Y$23="Muy Baja",'Mapa de Riesgos'!$AA$23="Mayor"),CONCATENATE("R2C",'Mapa de Riesgos'!$O$23),"")</f>
        <v>R2C3</v>
      </c>
      <c r="AE47" s="53" t="str">
        <f>IF(AND('Mapa de Riesgos'!$Y$24="Muy Baja",'Mapa de Riesgos'!$AA$24="Mayor"),CONCATENATE("R2C",'Mapa de Riesgos'!$O$24),"")</f>
        <v/>
      </c>
      <c r="AF47" s="53" t="str">
        <f>IF(AND('Mapa de Riesgos'!$Y$25="Muy Baja",'Mapa de Riesgos'!$AA$25="Mayor"),CONCATENATE("R2C",'Mapa de Riesgos'!$O$25),"")</f>
        <v/>
      </c>
      <c r="AG47" s="54" t="str">
        <f>IF(AND('Mapa de Riesgos'!$Y$26="Muy Baja",'Mapa de Riesgos'!$AA$26="Mayor"),CONCATENATE("R2C",'Mapa de Riesgos'!$O$26),"")</f>
        <v/>
      </c>
      <c r="AH47" s="55" t="str">
        <f>IF(AND('Mapa de Riesgos'!$Y$21="Muy Baja",'Mapa de Riesgos'!$AA$21="Catastrófico"),CONCATENATE("R2C",'Mapa de Riesgos'!$O$21),"")</f>
        <v/>
      </c>
      <c r="AI47" s="56" t="str">
        <f>IF(AND('Mapa de Riesgos'!$Y$22="Muy Baja",'Mapa de Riesgos'!$AA$22="Catastrófico"),CONCATENATE("R2C",'Mapa de Riesgos'!$O$22),"")</f>
        <v/>
      </c>
      <c r="AJ47" s="56" t="str">
        <f>IF(AND('Mapa de Riesgos'!$Y$23="Muy Baja",'Mapa de Riesgos'!$AA$23="Catastrófico"),CONCATENATE("R2C",'Mapa de Riesgos'!$O$23),"")</f>
        <v/>
      </c>
      <c r="AK47" s="56" t="str">
        <f>IF(AND('Mapa de Riesgos'!$Y$24="Muy Baja",'Mapa de Riesgos'!$AA$24="Catastrófico"),CONCATENATE("R2C",'Mapa de Riesgos'!$O$24),"")</f>
        <v/>
      </c>
      <c r="AL47" s="56" t="str">
        <f>IF(AND('Mapa de Riesgos'!$Y$25="Muy Baja",'Mapa de Riesgos'!$AA$25="Catastrófico"),CONCATENATE("R2C",'Mapa de Riesgos'!$O$25),"")</f>
        <v/>
      </c>
      <c r="AM47" s="57" t="str">
        <f>IF(AND('Mapa de Riesgos'!$Y$26="Muy Baja",'Mapa de Riesgos'!$AA$26="Catastrófico"),CONCATENATE("R2C",'Mapa de Riesgos'!$O$26),"")</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500"/>
      <c r="C48" s="500"/>
      <c r="D48" s="501"/>
      <c r="E48" s="557"/>
      <c r="F48" s="542"/>
      <c r="G48" s="542"/>
      <c r="H48" s="542"/>
      <c r="I48" s="543"/>
      <c r="J48" s="76" t="str">
        <f>IF(AND('Mapa de Riesgos'!$Y$27="Muy Baja",'Mapa de Riesgos'!$AA$27="Leve"),CONCATENATE("R3C",'Mapa de Riesgos'!$O$27),"")</f>
        <v/>
      </c>
      <c r="K48" s="77" t="str">
        <f>IF(AND('Mapa de Riesgos'!$Y$28="Muy Baja",'Mapa de Riesgos'!$AA$28="Leve"),CONCATENATE("R3C",'Mapa de Riesgos'!$O$28),"")</f>
        <v/>
      </c>
      <c r="L48" s="77" t="str">
        <f>IF(AND('Mapa de Riesgos'!$Y$29="Muy Baja",'Mapa de Riesgos'!$AA$29="Leve"),CONCATENATE("R3C",'Mapa de Riesgos'!$O$29),"")</f>
        <v/>
      </c>
      <c r="M48" s="77" t="str">
        <f>IF(AND('Mapa de Riesgos'!$Y$30="Muy Baja",'Mapa de Riesgos'!$AA$30="Leve"),CONCATENATE("R3C",'Mapa de Riesgos'!$O$30),"")</f>
        <v/>
      </c>
      <c r="N48" s="77" t="str">
        <f>IF(AND('Mapa de Riesgos'!$Y$31="Muy Baja",'Mapa de Riesgos'!$AA$31="Leve"),CONCATENATE("R3C",'Mapa de Riesgos'!$O$31),"")</f>
        <v/>
      </c>
      <c r="O48" s="78" t="str">
        <f>IF(AND('Mapa de Riesgos'!$Y$32="Muy Baja",'Mapa de Riesgos'!$AA$32="Leve"),CONCATENATE("R3C",'Mapa de Riesgos'!$O$32),"")</f>
        <v/>
      </c>
      <c r="P48" s="76" t="str">
        <f>IF(AND('Mapa de Riesgos'!$Y$27="Muy Baja",'Mapa de Riesgos'!$AA$27="Menor"),CONCATENATE("R3C",'Mapa de Riesgos'!$O$27),"")</f>
        <v/>
      </c>
      <c r="Q48" s="77" t="str">
        <f>IF(AND('Mapa de Riesgos'!$Y$28="Muy Baja",'Mapa de Riesgos'!$AA$28="Menor"),CONCATENATE("R3C",'Mapa de Riesgos'!$O$28),"")</f>
        <v/>
      </c>
      <c r="R48" s="77" t="str">
        <f>IF(AND('Mapa de Riesgos'!$Y$29="Muy Baja",'Mapa de Riesgos'!$AA$29="Menor"),CONCATENATE("R3C",'Mapa de Riesgos'!$O$29),"")</f>
        <v/>
      </c>
      <c r="S48" s="77" t="str">
        <f>IF(AND('Mapa de Riesgos'!$Y$30="Muy Baja",'Mapa de Riesgos'!$AA$30="Menor"),CONCATENATE("R3C",'Mapa de Riesgos'!$O$30),"")</f>
        <v/>
      </c>
      <c r="T48" s="77" t="str">
        <f>IF(AND('Mapa de Riesgos'!$Y$31="Muy Baja",'Mapa de Riesgos'!$AA$31="Menor"),CONCATENATE("R3C",'Mapa de Riesgos'!$O$31),"")</f>
        <v/>
      </c>
      <c r="U48" s="78" t="str">
        <f>IF(AND('Mapa de Riesgos'!$Y$32="Muy Baja",'Mapa de Riesgos'!$AA$32="Menor"),CONCATENATE("R3C",'Mapa de Riesgos'!$O$32),"")</f>
        <v/>
      </c>
      <c r="V48" s="67" t="str">
        <f>IF(AND('Mapa de Riesgos'!$Y$27="Muy Baja",'Mapa de Riesgos'!$AA$27="Moderado"),CONCATENATE("R3C",'Mapa de Riesgos'!$O$27),"")</f>
        <v/>
      </c>
      <c r="W48" s="68" t="str">
        <f>IF(AND('Mapa de Riesgos'!$Y$28="Muy Baja",'Mapa de Riesgos'!$AA$28="Moderado"),CONCATENATE("R3C",'Mapa de Riesgos'!$O$28),"")</f>
        <v/>
      </c>
      <c r="X48" s="68" t="str">
        <f>IF(AND('Mapa de Riesgos'!$Y$29="Muy Baja",'Mapa de Riesgos'!$AA$29="Moderado"),CONCATENATE("R3C",'Mapa de Riesgos'!$O$29),"")</f>
        <v/>
      </c>
      <c r="Y48" s="68" t="str">
        <f>IF(AND('Mapa de Riesgos'!$Y$30="Muy Baja",'Mapa de Riesgos'!$AA$30="Moderado"),CONCATENATE("R3C",'Mapa de Riesgos'!$O$30),"")</f>
        <v/>
      </c>
      <c r="Z48" s="68" t="str">
        <f>IF(AND('Mapa de Riesgos'!$Y$31="Muy Baja",'Mapa de Riesgos'!$AA$31="Moderado"),CONCATENATE("R3C",'Mapa de Riesgos'!$O$31),"")</f>
        <v/>
      </c>
      <c r="AA48" s="69" t="str">
        <f>IF(AND('Mapa de Riesgos'!$Y$32="Muy Baja",'Mapa de Riesgos'!$AA$32="Moderado"),CONCATENATE("R3C",'Mapa de Riesgos'!$O$32),"")</f>
        <v/>
      </c>
      <c r="AB48" s="52" t="str">
        <f>IF(AND('Mapa de Riesgos'!$Y$27="Muy Baja",'Mapa de Riesgos'!$AA$27="Mayor"),CONCATENATE("R3C",'Mapa de Riesgos'!$O$27),"")</f>
        <v/>
      </c>
      <c r="AC48" s="53" t="str">
        <f>IF(AND('Mapa de Riesgos'!$Y$28="Muy Baja",'Mapa de Riesgos'!$AA$28="Mayor"),CONCATENATE("R3C",'Mapa de Riesgos'!$O$28),"")</f>
        <v/>
      </c>
      <c r="AD48" s="53" t="str">
        <f>IF(AND('Mapa de Riesgos'!$Y$29="Muy Baja",'Mapa de Riesgos'!$AA$29="Mayor"),CONCATENATE("R3C",'Mapa de Riesgos'!$O$29),"")</f>
        <v/>
      </c>
      <c r="AE48" s="53" t="str">
        <f>IF(AND('Mapa de Riesgos'!$Y$30="Muy Baja",'Mapa de Riesgos'!$AA$30="Mayor"),CONCATENATE("R3C",'Mapa de Riesgos'!$O$30),"")</f>
        <v/>
      </c>
      <c r="AF48" s="53" t="str">
        <f>IF(AND('Mapa de Riesgos'!$Y$31="Muy Baja",'Mapa de Riesgos'!$AA$31="Mayor"),CONCATENATE("R3C",'Mapa de Riesgos'!$O$31),"")</f>
        <v/>
      </c>
      <c r="AG48" s="54" t="str">
        <f>IF(AND('Mapa de Riesgos'!$Y$32="Muy Baja",'Mapa de Riesgos'!$AA$32="Mayor"),CONCATENATE("R3C",'Mapa de Riesgos'!$O$32),"")</f>
        <v/>
      </c>
      <c r="AH48" s="55" t="str">
        <f>IF(AND('Mapa de Riesgos'!$Y$27="Muy Baja",'Mapa de Riesgos'!$AA$27="Catastrófico"),CONCATENATE("R3C",'Mapa de Riesgos'!$O$27),"")</f>
        <v/>
      </c>
      <c r="AI48" s="56" t="str">
        <f>IF(AND('Mapa de Riesgos'!$Y$28="Muy Baja",'Mapa de Riesgos'!$AA$28="Catastrófico"),CONCATENATE("R3C",'Mapa de Riesgos'!$O$28),"")</f>
        <v/>
      </c>
      <c r="AJ48" s="56" t="str">
        <f>IF(AND('Mapa de Riesgos'!$Y$29="Muy Baja",'Mapa de Riesgos'!$AA$29="Catastrófico"),CONCATENATE("R3C",'Mapa de Riesgos'!$O$29),"")</f>
        <v/>
      </c>
      <c r="AK48" s="56" t="str">
        <f>IF(AND('Mapa de Riesgos'!$Y$30="Muy Baja",'Mapa de Riesgos'!$AA$30="Catastrófico"),CONCATENATE("R3C",'Mapa de Riesgos'!$O$30),"")</f>
        <v/>
      </c>
      <c r="AL48" s="56" t="str">
        <f>IF(AND('Mapa de Riesgos'!$Y$31="Muy Baja",'Mapa de Riesgos'!$AA$31="Catastrófico"),CONCATENATE("R3C",'Mapa de Riesgos'!$O$31),"")</f>
        <v/>
      </c>
      <c r="AM48" s="57" t="str">
        <f>IF(AND('Mapa de Riesgos'!$Y$32="Muy Baja",'Mapa de Riesgos'!$AA$32="Catastrófico"),CONCATENATE("R3C",'Mapa de Riesgos'!$O$32),"")</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500"/>
      <c r="C49" s="500"/>
      <c r="D49" s="501"/>
      <c r="E49" s="541"/>
      <c r="F49" s="542"/>
      <c r="G49" s="542"/>
      <c r="H49" s="542"/>
      <c r="I49" s="543"/>
      <c r="J49" s="76" t="str">
        <f>IF(AND('Mapa de Riesgos'!$Y$33="Muy Baja",'Mapa de Riesgos'!$AA$33="Leve"),CONCATENATE("R4C",'Mapa de Riesgos'!$O$33),"")</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Riesgos'!$Y$33="Muy Baja",'Mapa de Riesgos'!$AA$33="Menor"),CONCATENATE("R4C",'Mapa de Riesgos'!$O$33),"")</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Riesgos'!$Y$33="Muy Baja",'Mapa de Riesgos'!$AA$33="Moderado"),CONCATENATE("R4C",'Mapa de Riesgos'!$O$33),"")</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Riesgos'!$Y$33="Muy Baja",'Mapa de Riesgos'!$AA$33="Mayor"),CONCATENATE("R4C",'Mapa de Riesgos'!$O$33),"")</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Riesgos'!$Y$33="Muy Baja",'Mapa de Riesgos'!$AA$33="Catastrófico"),CONCATENATE("R4C",'Mapa de Riesgos'!$O$33),"")</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500"/>
      <c r="C50" s="500"/>
      <c r="D50" s="501"/>
      <c r="E50" s="541"/>
      <c r="F50" s="542"/>
      <c r="G50" s="542"/>
      <c r="H50" s="542"/>
      <c r="I50" s="543"/>
      <c r="J50" s="76" t="str">
        <f>IF(AND('Mapa de Riesgos'!$Y$39="Muy Baja",'Mapa de Riesgos'!$AA$39="Leve"),CONCATENATE("R5C",'Mapa de Riesgos'!$O$39),"")</f>
        <v/>
      </c>
      <c r="K50" s="77" t="str">
        <f>IF(AND('Mapa de Riesgos'!$Y$40="Muy Baja",'Mapa de Riesgos'!$AA$40="Leve"),CONCATENATE("R5C",'Mapa de Riesgos'!$O$40),"")</f>
        <v/>
      </c>
      <c r="L50" s="77" t="str">
        <f>IF(AND('Mapa de Riesgos'!$Y$41="Muy Baja",'Mapa de Riesgos'!$AA$41="Leve"),CONCATENATE("R5C",'Mapa de Riesgos'!$O$41),"")</f>
        <v/>
      </c>
      <c r="M50" s="77" t="str">
        <f>IF(AND('Mapa de Riesgos'!$Y$42="Muy Baja",'Mapa de Riesgos'!$AA$42="Leve"),CONCATENATE("R5C",'Mapa de Riesgos'!$O$42),"")</f>
        <v/>
      </c>
      <c r="N50" s="77" t="str">
        <f>IF(AND('Mapa de Riesgos'!$Y$43="Muy Baja",'Mapa de Riesgos'!$AA$43="Leve"),CONCATENATE("R5C",'Mapa de Riesgos'!$O$43),"")</f>
        <v/>
      </c>
      <c r="O50" s="78" t="str">
        <f>IF(AND('Mapa de Riesgos'!$Y$44="Muy Baja",'Mapa de Riesgos'!$AA$44="Leve"),CONCATENATE("R5C",'Mapa de Riesgos'!$O$44),"")</f>
        <v/>
      </c>
      <c r="P50" s="76" t="str">
        <f>IF(AND('Mapa de Riesgos'!$Y$39="Muy Baja",'Mapa de Riesgos'!$AA$39="Menor"),CONCATENATE("R5C",'Mapa de Riesgos'!$O$39),"")</f>
        <v/>
      </c>
      <c r="Q50" s="77" t="str">
        <f>IF(AND('Mapa de Riesgos'!$Y$40="Muy Baja",'Mapa de Riesgos'!$AA$40="Menor"),CONCATENATE("R5C",'Mapa de Riesgos'!$O$40),"")</f>
        <v/>
      </c>
      <c r="R50" s="77" t="str">
        <f>IF(AND('Mapa de Riesgos'!$Y$41="Muy Baja",'Mapa de Riesgos'!$AA$41="Menor"),CONCATENATE("R5C",'Mapa de Riesgos'!$O$41),"")</f>
        <v/>
      </c>
      <c r="S50" s="77" t="str">
        <f>IF(AND('Mapa de Riesgos'!$Y$42="Muy Baja",'Mapa de Riesgos'!$AA$42="Menor"),CONCATENATE("R5C",'Mapa de Riesgos'!$O$42),"")</f>
        <v/>
      </c>
      <c r="T50" s="77" t="str">
        <f>IF(AND('Mapa de Riesgos'!$Y$43="Muy Baja",'Mapa de Riesgos'!$AA$43="Menor"),CONCATENATE("R5C",'Mapa de Riesgos'!$O$43),"")</f>
        <v/>
      </c>
      <c r="U50" s="78" t="str">
        <f>IF(AND('Mapa de Riesgos'!$Y$44="Muy Baja",'Mapa de Riesgos'!$AA$44="Menor"),CONCATENATE("R5C",'Mapa de Riesgos'!$O$44),"")</f>
        <v/>
      </c>
      <c r="V50" s="67" t="str">
        <f>IF(AND('Mapa de Riesgos'!$Y$39="Muy Baja",'Mapa de Riesgos'!$AA$39="Moderado"),CONCATENATE("R5C",'Mapa de Riesgos'!$O$39),"")</f>
        <v/>
      </c>
      <c r="W50" s="68" t="str">
        <f>IF(AND('Mapa de Riesgos'!$Y$40="Muy Baja",'Mapa de Riesgos'!$AA$40="Moderado"),CONCATENATE("R5C",'Mapa de Riesgos'!$O$40),"")</f>
        <v/>
      </c>
      <c r="X50" s="68" t="str">
        <f>IF(AND('Mapa de Riesgos'!$Y$41="Muy Baja",'Mapa de Riesgos'!$AA$41="Moderado"),CONCATENATE("R5C",'Mapa de Riesgos'!$O$41),"")</f>
        <v/>
      </c>
      <c r="Y50" s="68" t="str">
        <f>IF(AND('Mapa de Riesgos'!$Y$42="Muy Baja",'Mapa de Riesgos'!$AA$42="Moderado"),CONCATENATE("R5C",'Mapa de Riesgos'!$O$42),"")</f>
        <v/>
      </c>
      <c r="Z50" s="68" t="str">
        <f>IF(AND('Mapa de Riesgos'!$Y$43="Muy Baja",'Mapa de Riesgos'!$AA$43="Moderado"),CONCATENATE("R5C",'Mapa de Riesgos'!$O$43),"")</f>
        <v/>
      </c>
      <c r="AA50" s="69" t="str">
        <f>IF(AND('Mapa de Riesgos'!$Y$44="Muy Baja",'Mapa de Riesgos'!$AA$44="Moderado"),CONCATENATE("R5C",'Mapa de Riesgos'!$O$44),"")</f>
        <v/>
      </c>
      <c r="AB50" s="52" t="str">
        <f>IF(AND('Mapa de Riesgos'!$Y$39="Muy Baja",'Mapa de Riesgos'!$AA$39="Mayor"),CONCATENATE("R5C",'Mapa de Riesgos'!$O$39),"")</f>
        <v/>
      </c>
      <c r="AC50" s="53" t="str">
        <f>IF(AND('Mapa de Riesgos'!$Y$40="Muy Baja",'Mapa de Riesgos'!$AA$40="Mayor"),CONCATENATE("R5C",'Mapa de Riesgos'!$O$40),"")</f>
        <v/>
      </c>
      <c r="AD50" s="53" t="str">
        <f>IF(AND('Mapa de Riesgos'!$Y$41="Muy Baja",'Mapa de Riesgos'!$AA$41="Mayor"),CONCATENATE("R5C",'Mapa de Riesgos'!$O$41),"")</f>
        <v/>
      </c>
      <c r="AE50" s="53" t="str">
        <f>IF(AND('Mapa de Riesgos'!$Y$42="Muy Baja",'Mapa de Riesgos'!$AA$42="Mayor"),CONCATENATE("R5C",'Mapa de Riesgos'!$O$42),"")</f>
        <v/>
      </c>
      <c r="AF50" s="53" t="str">
        <f>IF(AND('Mapa de Riesgos'!$Y$43="Muy Baja",'Mapa de Riesgos'!$AA$43="Mayor"),CONCATENATE("R5C",'Mapa de Riesgos'!$O$43),"")</f>
        <v/>
      </c>
      <c r="AG50" s="54" t="str">
        <f>IF(AND('Mapa de Riesgos'!$Y$44="Muy Baja",'Mapa de Riesgos'!$AA$44="Mayor"),CONCATENATE("R5C",'Mapa de Riesgos'!$O$44),"")</f>
        <v/>
      </c>
      <c r="AH50" s="55" t="str">
        <f>IF(AND('Mapa de Riesgos'!$Y$39="Muy Baja",'Mapa de Riesgos'!$AA$39="Catastrófico"),CONCATENATE("R5C",'Mapa de Riesgos'!$O$39),"")</f>
        <v/>
      </c>
      <c r="AI50" s="56" t="str">
        <f>IF(AND('Mapa de Riesgos'!$Y$40="Muy Baja",'Mapa de Riesgos'!$AA$40="Catastrófico"),CONCATENATE("R5C",'Mapa de Riesgos'!$O$40),"")</f>
        <v/>
      </c>
      <c r="AJ50" s="56" t="str">
        <f>IF(AND('Mapa de Riesgos'!$Y$41="Muy Baja",'Mapa de Riesgos'!$AA$41="Catastrófico"),CONCATENATE("R5C",'Mapa de Riesgos'!$O$41),"")</f>
        <v/>
      </c>
      <c r="AK50" s="56" t="str">
        <f>IF(AND('Mapa de Riesgos'!$Y$42="Muy Baja",'Mapa de Riesgos'!$AA$42="Catastrófico"),CONCATENATE("R5C",'Mapa de Riesgos'!$O$42),"")</f>
        <v/>
      </c>
      <c r="AL50" s="56" t="str">
        <f>IF(AND('Mapa de Riesgos'!$Y$43="Muy Baja",'Mapa de Riesgos'!$AA$43="Catastrófico"),CONCATENATE("R5C",'Mapa de Riesgos'!$O$43),"")</f>
        <v/>
      </c>
      <c r="AM50" s="57" t="str">
        <f>IF(AND('Mapa de Riesgos'!$Y$44="Muy Baja",'Mapa de Riesgos'!$AA$44="Catastrófico"),CONCATENATE("R5C",'Mapa de Riesgos'!$O$44),"")</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500"/>
      <c r="C51" s="500"/>
      <c r="D51" s="501"/>
      <c r="E51" s="541"/>
      <c r="F51" s="542"/>
      <c r="G51" s="542"/>
      <c r="H51" s="542"/>
      <c r="I51" s="543"/>
      <c r="J51" s="76" t="str">
        <f>IF(AND('Mapa de Riesgos'!$Y$45="Muy Baja",'Mapa de Riesgos'!$AA$45="Leve"),CONCATENATE("R6C",'Mapa de Riesgos'!$O$45),"")</f>
        <v/>
      </c>
      <c r="K51" s="77" t="str">
        <f>IF(AND('Mapa de Riesgos'!$Y$46="Muy Baja",'Mapa de Riesgos'!$AA$46="Leve"),CONCATENATE("R6C",'Mapa de Riesgos'!$O$46),"")</f>
        <v/>
      </c>
      <c r="L51" s="77" t="str">
        <f>IF(AND('Mapa de Riesgos'!$Y$47="Muy Baja",'Mapa de Riesgos'!$AA$47="Leve"),CONCATENATE("R6C",'Mapa de Riesgos'!$O$47),"")</f>
        <v/>
      </c>
      <c r="M51" s="77" t="str">
        <f>IF(AND('Mapa de Riesgos'!$Y$48="Muy Baja",'Mapa de Riesgos'!$AA$48="Leve"),CONCATENATE("R6C",'Mapa de Riesgos'!$O$48),"")</f>
        <v/>
      </c>
      <c r="N51" s="77" t="str">
        <f>IF(AND('Mapa de Riesgos'!$Y$49="Muy Baja",'Mapa de Riesgos'!$AA$49="Leve"),CONCATENATE("R6C",'Mapa de Riesgos'!$O$49),"")</f>
        <v/>
      </c>
      <c r="O51" s="78" t="str">
        <f>IF(AND('Mapa de Riesgos'!$Y$50="Muy Baja",'Mapa de Riesgos'!$AA$50="Leve"),CONCATENATE("R6C",'Mapa de Riesgos'!$O$50),"")</f>
        <v/>
      </c>
      <c r="P51" s="76" t="str">
        <f>IF(AND('Mapa de Riesgos'!$Y$45="Muy Baja",'Mapa de Riesgos'!$AA$45="Menor"),CONCATENATE("R6C",'Mapa de Riesgos'!$O$45),"")</f>
        <v/>
      </c>
      <c r="Q51" s="77" t="str">
        <f>IF(AND('Mapa de Riesgos'!$Y$46="Muy Baja",'Mapa de Riesgos'!$AA$46="Menor"),CONCATENATE("R6C",'Mapa de Riesgos'!$O$46),"")</f>
        <v/>
      </c>
      <c r="R51" s="77" t="str">
        <f>IF(AND('Mapa de Riesgos'!$Y$47="Muy Baja",'Mapa de Riesgos'!$AA$47="Menor"),CONCATENATE("R6C",'Mapa de Riesgos'!$O$47),"")</f>
        <v/>
      </c>
      <c r="S51" s="77" t="str">
        <f>IF(AND('Mapa de Riesgos'!$Y$48="Muy Baja",'Mapa de Riesgos'!$AA$48="Menor"),CONCATENATE("R6C",'Mapa de Riesgos'!$O$48),"")</f>
        <v/>
      </c>
      <c r="T51" s="77" t="str">
        <f>IF(AND('Mapa de Riesgos'!$Y$49="Muy Baja",'Mapa de Riesgos'!$AA$49="Menor"),CONCATENATE("R6C",'Mapa de Riesgos'!$O$49),"")</f>
        <v/>
      </c>
      <c r="U51" s="78" t="str">
        <f>IF(AND('Mapa de Riesgos'!$Y$50="Muy Baja",'Mapa de Riesgos'!$AA$50="Menor"),CONCATENATE("R6C",'Mapa de Riesgos'!$O$50),"")</f>
        <v/>
      </c>
      <c r="V51" s="67" t="str">
        <f>IF(AND('Mapa de Riesgos'!$Y$45="Muy Baja",'Mapa de Riesgos'!$AA$45="Moderado"),CONCATENATE("R6C",'Mapa de Riesgos'!$O$45),"")</f>
        <v/>
      </c>
      <c r="W51" s="68" t="str">
        <f>IF(AND('Mapa de Riesgos'!$Y$46="Muy Baja",'Mapa de Riesgos'!$AA$46="Moderado"),CONCATENATE("R6C",'Mapa de Riesgos'!$O$46),"")</f>
        <v/>
      </c>
      <c r="X51" s="68" t="str">
        <f>IF(AND('Mapa de Riesgos'!$Y$47="Muy Baja",'Mapa de Riesgos'!$AA$47="Moderado"),CONCATENATE("R6C",'Mapa de Riesgos'!$O$47),"")</f>
        <v/>
      </c>
      <c r="Y51" s="68" t="str">
        <f>IF(AND('Mapa de Riesgos'!$Y$48="Muy Baja",'Mapa de Riesgos'!$AA$48="Moderado"),CONCATENATE("R6C",'Mapa de Riesgos'!$O$48),"")</f>
        <v/>
      </c>
      <c r="Z51" s="68" t="str">
        <f>IF(AND('Mapa de Riesgos'!$Y$49="Muy Baja",'Mapa de Riesgos'!$AA$49="Moderado"),CONCATENATE("R6C",'Mapa de Riesgos'!$O$49),"")</f>
        <v/>
      </c>
      <c r="AA51" s="69" t="str">
        <f>IF(AND('Mapa de Riesgos'!$Y$50="Muy Baja",'Mapa de Riesgos'!$AA$50="Moderado"),CONCATENATE("R6C",'Mapa de Riesgos'!$O$50),"")</f>
        <v/>
      </c>
      <c r="AB51" s="52" t="str">
        <f>IF(AND('Mapa de Riesgos'!$Y$45="Muy Baja",'Mapa de Riesgos'!$AA$45="Mayor"),CONCATENATE("R6C",'Mapa de Riesgos'!$O$45),"")</f>
        <v/>
      </c>
      <c r="AC51" s="53" t="str">
        <f>IF(AND('Mapa de Riesgos'!$Y$46="Muy Baja",'Mapa de Riesgos'!$AA$46="Mayor"),CONCATENATE("R6C",'Mapa de Riesgos'!$O$46),"")</f>
        <v/>
      </c>
      <c r="AD51" s="53" t="str">
        <f>IF(AND('Mapa de Riesgos'!$Y$47="Muy Baja",'Mapa de Riesgos'!$AA$47="Mayor"),CONCATENATE("R6C",'Mapa de Riesgos'!$O$47),"")</f>
        <v/>
      </c>
      <c r="AE51" s="53" t="str">
        <f>IF(AND('Mapa de Riesgos'!$Y$48="Muy Baja",'Mapa de Riesgos'!$AA$48="Mayor"),CONCATENATE("R6C",'Mapa de Riesgos'!$O$48),"")</f>
        <v/>
      </c>
      <c r="AF51" s="53" t="str">
        <f>IF(AND('Mapa de Riesgos'!$Y$49="Muy Baja",'Mapa de Riesgos'!$AA$49="Mayor"),CONCATENATE("R6C",'Mapa de Riesgos'!$O$49),"")</f>
        <v/>
      </c>
      <c r="AG51" s="54" t="str">
        <f>IF(AND('Mapa de Riesgos'!$Y$50="Muy Baja",'Mapa de Riesgos'!$AA$50="Mayor"),CONCATENATE("R6C",'Mapa de Riesgos'!$O$50),"")</f>
        <v/>
      </c>
      <c r="AH51" s="55" t="str">
        <f>IF(AND('Mapa de Riesgos'!$Y$45="Muy Baja",'Mapa de Riesgos'!$AA$45="Catastrófico"),CONCATENATE("R6C",'Mapa de Riesgos'!$O$45),"")</f>
        <v/>
      </c>
      <c r="AI51" s="56" t="str">
        <f>IF(AND('Mapa de Riesgos'!$Y$46="Muy Baja",'Mapa de Riesgos'!$AA$46="Catastrófico"),CONCATENATE("R6C",'Mapa de Riesgos'!$O$46),"")</f>
        <v/>
      </c>
      <c r="AJ51" s="56" t="str">
        <f>IF(AND('Mapa de Riesgos'!$Y$47="Muy Baja",'Mapa de Riesgos'!$AA$47="Catastrófico"),CONCATENATE("R6C",'Mapa de Riesgos'!$O$47),"")</f>
        <v/>
      </c>
      <c r="AK51" s="56" t="str">
        <f>IF(AND('Mapa de Riesgos'!$Y$48="Muy Baja",'Mapa de Riesgos'!$AA$48="Catastrófico"),CONCATENATE("R6C",'Mapa de Riesgos'!$O$48),"")</f>
        <v/>
      </c>
      <c r="AL51" s="56" t="str">
        <f>IF(AND('Mapa de Riesgos'!$Y$49="Muy Baja",'Mapa de Riesgos'!$AA$49="Catastrófico"),CONCATENATE("R6C",'Mapa de Riesgos'!$O$49),"")</f>
        <v/>
      </c>
      <c r="AM51" s="57" t="str">
        <f>IF(AND('Mapa de Riesgos'!$Y$50="Muy Baja",'Mapa de Riesgos'!$AA$50="Catastrófico"),CONCATENATE("R6C",'Mapa de Riesgos'!$O$50),"")</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500"/>
      <c r="C52" s="500"/>
      <c r="D52" s="501"/>
      <c r="E52" s="541"/>
      <c r="F52" s="542"/>
      <c r="G52" s="542"/>
      <c r="H52" s="542"/>
      <c r="I52" s="543"/>
      <c r="J52" s="76" t="str">
        <f>IF(AND('Mapa de Riesgos'!$Y$51="Muy Baja",'Mapa de Riesgos'!$AA$51="Leve"),CONCATENATE("R7C",'Mapa de Riesgos'!$O$51),"")</f>
        <v/>
      </c>
      <c r="K52" s="77" t="str">
        <f>IF(AND('Mapa de Riesgos'!$Y$52="Muy Baja",'Mapa de Riesgos'!$AA$52="Leve"),CONCATENATE("R7C",'Mapa de Riesgos'!$O$52),"")</f>
        <v/>
      </c>
      <c r="L52" s="77" t="str">
        <f>IF(AND('Mapa de Riesgos'!$Y$53="Muy Baja",'Mapa de Riesgos'!$AA$53="Leve"),CONCATENATE("R7C",'Mapa de Riesgos'!$O$53),"")</f>
        <v/>
      </c>
      <c r="M52" s="77" t="str">
        <f>IF(AND('Mapa de Riesgos'!$Y$54="Muy Baja",'Mapa de Riesgos'!$AA$54="Leve"),CONCATENATE("R7C",'Mapa de Riesgos'!$O$54),"")</f>
        <v/>
      </c>
      <c r="N52" s="77" t="str">
        <f>IF(AND('Mapa de Riesgos'!$Y$55="Muy Baja",'Mapa de Riesgos'!$AA$55="Leve"),CONCATENATE("R7C",'Mapa de Riesgos'!$O$55),"")</f>
        <v/>
      </c>
      <c r="O52" s="78" t="str">
        <f>IF(AND('Mapa de Riesgos'!$Y$56="Muy Baja",'Mapa de Riesgos'!$AA$56="Leve"),CONCATENATE("R7C",'Mapa de Riesgos'!$O$56),"")</f>
        <v/>
      </c>
      <c r="P52" s="76" t="str">
        <f>IF(AND('Mapa de Riesgos'!$Y$51="Muy Baja",'Mapa de Riesgos'!$AA$51="Menor"),CONCATENATE("R7C",'Mapa de Riesgos'!$O$51),"")</f>
        <v/>
      </c>
      <c r="Q52" s="77" t="str">
        <f>IF(AND('Mapa de Riesgos'!$Y$52="Muy Baja",'Mapa de Riesgos'!$AA$52="Menor"),CONCATENATE("R7C",'Mapa de Riesgos'!$O$52),"")</f>
        <v/>
      </c>
      <c r="R52" s="77" t="str">
        <f>IF(AND('Mapa de Riesgos'!$Y$53="Muy Baja",'Mapa de Riesgos'!$AA$53="Menor"),CONCATENATE("R7C",'Mapa de Riesgos'!$O$53),"")</f>
        <v/>
      </c>
      <c r="S52" s="77" t="str">
        <f>IF(AND('Mapa de Riesgos'!$Y$54="Muy Baja",'Mapa de Riesgos'!$AA$54="Menor"),CONCATENATE("R7C",'Mapa de Riesgos'!$O$54),"")</f>
        <v/>
      </c>
      <c r="T52" s="77" t="str">
        <f>IF(AND('Mapa de Riesgos'!$Y$55="Muy Baja",'Mapa de Riesgos'!$AA$55="Menor"),CONCATENATE("R7C",'Mapa de Riesgos'!$O$55),"")</f>
        <v/>
      </c>
      <c r="U52" s="78" t="str">
        <f>IF(AND('Mapa de Riesgos'!$Y$56="Muy Baja",'Mapa de Riesgos'!$AA$56="Menor"),CONCATENATE("R7C",'Mapa de Riesgos'!$O$56),"")</f>
        <v/>
      </c>
      <c r="V52" s="67" t="str">
        <f>IF(AND('Mapa de Riesgos'!$Y$51="Muy Baja",'Mapa de Riesgos'!$AA$51="Moderado"),CONCATENATE("R7C",'Mapa de Riesgos'!$O$51),"")</f>
        <v/>
      </c>
      <c r="W52" s="68" t="str">
        <f>IF(AND('Mapa de Riesgos'!$Y$52="Muy Baja",'Mapa de Riesgos'!$AA$52="Moderado"),CONCATENATE("R7C",'Mapa de Riesgos'!$O$52),"")</f>
        <v/>
      </c>
      <c r="X52" s="68" t="str">
        <f>IF(AND('Mapa de Riesgos'!$Y$53="Muy Baja",'Mapa de Riesgos'!$AA$53="Moderado"),CONCATENATE("R7C",'Mapa de Riesgos'!$O$53),"")</f>
        <v/>
      </c>
      <c r="Y52" s="68" t="str">
        <f>IF(AND('Mapa de Riesgos'!$Y$54="Muy Baja",'Mapa de Riesgos'!$AA$54="Moderado"),CONCATENATE("R7C",'Mapa de Riesgos'!$O$54),"")</f>
        <v/>
      </c>
      <c r="Z52" s="68" t="str">
        <f>IF(AND('Mapa de Riesgos'!$Y$55="Muy Baja",'Mapa de Riesgos'!$AA$55="Moderado"),CONCATENATE("R7C",'Mapa de Riesgos'!$O$55),"")</f>
        <v/>
      </c>
      <c r="AA52" s="69" t="str">
        <f>IF(AND('Mapa de Riesgos'!$Y$56="Muy Baja",'Mapa de Riesgos'!$AA$56="Moderado"),CONCATENATE("R7C",'Mapa de Riesgos'!$O$56),"")</f>
        <v/>
      </c>
      <c r="AB52" s="52" t="str">
        <f>IF(AND('Mapa de Riesgos'!$Y$51="Muy Baja",'Mapa de Riesgos'!$AA$51="Mayor"),CONCATENATE("R7C",'Mapa de Riesgos'!$O$51),"")</f>
        <v/>
      </c>
      <c r="AC52" s="53" t="str">
        <f>IF(AND('Mapa de Riesgos'!$Y$52="Muy Baja",'Mapa de Riesgos'!$AA$52="Mayor"),CONCATENATE("R7C",'Mapa de Riesgos'!$O$52),"")</f>
        <v/>
      </c>
      <c r="AD52" s="53" t="str">
        <f>IF(AND('Mapa de Riesgos'!$Y$53="Muy Baja",'Mapa de Riesgos'!$AA$53="Mayor"),CONCATENATE("R7C",'Mapa de Riesgos'!$O$53),"")</f>
        <v/>
      </c>
      <c r="AE52" s="53" t="str">
        <f>IF(AND('Mapa de Riesgos'!$Y$54="Muy Baja",'Mapa de Riesgos'!$AA$54="Mayor"),CONCATENATE("R7C",'Mapa de Riesgos'!$O$54),"")</f>
        <v/>
      </c>
      <c r="AF52" s="53" t="str">
        <f>IF(AND('Mapa de Riesgos'!$Y$55="Muy Baja",'Mapa de Riesgos'!$AA$55="Mayor"),CONCATENATE("R7C",'Mapa de Riesgos'!$O$55),"")</f>
        <v/>
      </c>
      <c r="AG52" s="54" t="str">
        <f>IF(AND('Mapa de Riesgos'!$Y$56="Muy Baja",'Mapa de Riesgos'!$AA$56="Mayor"),CONCATENATE("R7C",'Mapa de Riesgos'!$O$56),"")</f>
        <v/>
      </c>
      <c r="AH52" s="55" t="str">
        <f>IF(AND('Mapa de Riesgos'!$Y$51="Muy Baja",'Mapa de Riesgos'!$AA$51="Catastrófico"),CONCATENATE("R7C",'Mapa de Riesgos'!$O$51),"")</f>
        <v/>
      </c>
      <c r="AI52" s="56" t="str">
        <f>IF(AND('Mapa de Riesgos'!$Y$52="Muy Baja",'Mapa de Riesgos'!$AA$52="Catastrófico"),CONCATENATE("R7C",'Mapa de Riesgos'!$O$52),"")</f>
        <v/>
      </c>
      <c r="AJ52" s="56" t="str">
        <f>IF(AND('Mapa de Riesgos'!$Y$53="Muy Baja",'Mapa de Riesgos'!$AA$53="Catastrófico"),CONCATENATE("R7C",'Mapa de Riesgos'!$O$53),"")</f>
        <v/>
      </c>
      <c r="AK52" s="56" t="str">
        <f>IF(AND('Mapa de Riesgos'!$Y$54="Muy Baja",'Mapa de Riesgos'!$AA$54="Catastrófico"),CONCATENATE("R7C",'Mapa de Riesgos'!$O$54),"")</f>
        <v/>
      </c>
      <c r="AL52" s="56" t="str">
        <f>IF(AND('Mapa de Riesgos'!$Y$55="Muy Baja",'Mapa de Riesgos'!$AA$55="Catastrófico"),CONCATENATE("R7C",'Mapa de Riesgos'!$O$55),"")</f>
        <v/>
      </c>
      <c r="AM52" s="57" t="str">
        <f>IF(AND('Mapa de Riesgos'!$Y$56="Muy Baja",'Mapa de Riesgos'!$AA$56="Catastrófico"),CONCATENATE("R7C",'Mapa de Riesgos'!$O$56),"")</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500"/>
      <c r="C53" s="500"/>
      <c r="D53" s="501"/>
      <c r="E53" s="541"/>
      <c r="F53" s="542"/>
      <c r="G53" s="542"/>
      <c r="H53" s="542"/>
      <c r="I53" s="543"/>
      <c r="J53" s="76" t="str">
        <f>IF(AND('Mapa de Riesgos'!$Y$57="Muy Baja",'Mapa de Riesgos'!$AA$57="Leve"),CONCATENATE("R8C",'Mapa de Riesgos'!$O$57),"")</f>
        <v/>
      </c>
      <c r="K53" s="77" t="str">
        <f>IF(AND('Mapa de Riesgos'!$Y$58="Muy Baja",'Mapa de Riesgos'!$AA$58="Leve"),CONCATENATE("R8C",'Mapa de Riesgos'!$O$58),"")</f>
        <v/>
      </c>
      <c r="L53" s="77" t="str">
        <f>IF(AND('Mapa de Riesgos'!$Y$59="Muy Baja",'Mapa de Riesgos'!$AA$59="Leve"),CONCATENATE("R8C",'Mapa de Riesgos'!$O$59),"")</f>
        <v/>
      </c>
      <c r="M53" s="77" t="str">
        <f>IF(AND('Mapa de Riesgos'!$Y$60="Muy Baja",'Mapa de Riesgos'!$AA$60="Leve"),CONCATENATE("R8C",'Mapa de Riesgos'!$O$60),"")</f>
        <v/>
      </c>
      <c r="N53" s="77" t="str">
        <f>IF(AND('Mapa de Riesgos'!$Y$61="Muy Baja",'Mapa de Riesgos'!$AA$61="Leve"),CONCATENATE("R8C",'Mapa de Riesgos'!$O$61),"")</f>
        <v/>
      </c>
      <c r="O53" s="78" t="str">
        <f>IF(AND('Mapa de Riesgos'!$Y$62="Muy Baja",'Mapa de Riesgos'!$AA$62="Leve"),CONCATENATE("R8C",'Mapa de Riesgos'!$O$62),"")</f>
        <v/>
      </c>
      <c r="P53" s="76" t="str">
        <f>IF(AND('Mapa de Riesgos'!$Y$57="Muy Baja",'Mapa de Riesgos'!$AA$57="Menor"),CONCATENATE("R8C",'Mapa de Riesgos'!$O$57),"")</f>
        <v/>
      </c>
      <c r="Q53" s="77" t="str">
        <f>IF(AND('Mapa de Riesgos'!$Y$58="Muy Baja",'Mapa de Riesgos'!$AA$58="Menor"),CONCATENATE("R8C",'Mapa de Riesgos'!$O$58),"")</f>
        <v/>
      </c>
      <c r="R53" s="77" t="str">
        <f>IF(AND('Mapa de Riesgos'!$Y$59="Muy Baja",'Mapa de Riesgos'!$AA$59="Menor"),CONCATENATE("R8C",'Mapa de Riesgos'!$O$59),"")</f>
        <v/>
      </c>
      <c r="S53" s="77" t="str">
        <f>IF(AND('Mapa de Riesgos'!$Y$60="Muy Baja",'Mapa de Riesgos'!$AA$60="Menor"),CONCATENATE("R8C",'Mapa de Riesgos'!$O$60),"")</f>
        <v/>
      </c>
      <c r="T53" s="77" t="str">
        <f>IF(AND('Mapa de Riesgos'!$Y$61="Muy Baja",'Mapa de Riesgos'!$AA$61="Menor"),CONCATENATE("R8C",'Mapa de Riesgos'!$O$61),"")</f>
        <v/>
      </c>
      <c r="U53" s="78" t="str">
        <f>IF(AND('Mapa de Riesgos'!$Y$62="Muy Baja",'Mapa de Riesgos'!$AA$62="Menor"),CONCATENATE("R8C",'Mapa de Riesgos'!$O$62),"")</f>
        <v/>
      </c>
      <c r="V53" s="67" t="str">
        <f>IF(AND('Mapa de Riesgos'!$Y$57="Muy Baja",'Mapa de Riesgos'!$AA$57="Moderado"),CONCATENATE("R8C",'Mapa de Riesgos'!$O$57),"")</f>
        <v/>
      </c>
      <c r="W53" s="68" t="str">
        <f>IF(AND('Mapa de Riesgos'!$Y$58="Muy Baja",'Mapa de Riesgos'!$AA$58="Moderado"),CONCATENATE("R8C",'Mapa de Riesgos'!$O$58),"")</f>
        <v/>
      </c>
      <c r="X53" s="68" t="str">
        <f>IF(AND('Mapa de Riesgos'!$Y$59="Muy Baja",'Mapa de Riesgos'!$AA$59="Moderado"),CONCATENATE("R8C",'Mapa de Riesgos'!$O$59),"")</f>
        <v/>
      </c>
      <c r="Y53" s="68" t="str">
        <f>IF(AND('Mapa de Riesgos'!$Y$60="Muy Baja",'Mapa de Riesgos'!$AA$60="Moderado"),CONCATENATE("R8C",'Mapa de Riesgos'!$O$60),"")</f>
        <v/>
      </c>
      <c r="Z53" s="68" t="str">
        <f>IF(AND('Mapa de Riesgos'!$Y$61="Muy Baja",'Mapa de Riesgos'!$AA$61="Moderado"),CONCATENATE("R8C",'Mapa de Riesgos'!$O$61),"")</f>
        <v/>
      </c>
      <c r="AA53" s="69" t="str">
        <f>IF(AND('Mapa de Riesgos'!$Y$62="Muy Baja",'Mapa de Riesgos'!$AA$62="Moderado"),CONCATENATE("R8C",'Mapa de Riesgos'!$O$62),"")</f>
        <v/>
      </c>
      <c r="AB53" s="52" t="str">
        <f>IF(AND('Mapa de Riesgos'!$Y$57="Muy Baja",'Mapa de Riesgos'!$AA$57="Mayor"),CONCATENATE("R8C",'Mapa de Riesgos'!$O$57),"")</f>
        <v/>
      </c>
      <c r="AC53" s="53" t="str">
        <f>IF(AND('Mapa de Riesgos'!$Y$58="Muy Baja",'Mapa de Riesgos'!$AA$58="Mayor"),CONCATENATE("R8C",'Mapa de Riesgos'!$O$58),"")</f>
        <v/>
      </c>
      <c r="AD53" s="53" t="str">
        <f>IF(AND('Mapa de Riesgos'!$Y$59="Muy Baja",'Mapa de Riesgos'!$AA$59="Mayor"),CONCATENATE("R8C",'Mapa de Riesgos'!$O$59),"")</f>
        <v/>
      </c>
      <c r="AE53" s="53" t="str">
        <f>IF(AND('Mapa de Riesgos'!$Y$60="Muy Baja",'Mapa de Riesgos'!$AA$60="Mayor"),CONCATENATE("R8C",'Mapa de Riesgos'!$O$60),"")</f>
        <v/>
      </c>
      <c r="AF53" s="53" t="str">
        <f>IF(AND('Mapa de Riesgos'!$Y$61="Muy Baja",'Mapa de Riesgos'!$AA$61="Mayor"),CONCATENATE("R8C",'Mapa de Riesgos'!$O$61),"")</f>
        <v/>
      </c>
      <c r="AG53" s="54" t="str">
        <f>IF(AND('Mapa de Riesgos'!$Y$62="Muy Baja",'Mapa de Riesgos'!$AA$62="Mayor"),CONCATENATE("R8C",'Mapa de Riesgos'!$O$62),"")</f>
        <v/>
      </c>
      <c r="AH53" s="55" t="str">
        <f>IF(AND('Mapa de Riesgos'!$Y$57="Muy Baja",'Mapa de Riesgos'!$AA$57="Catastrófico"),CONCATENATE("R8C",'Mapa de Riesgos'!$O$57),"")</f>
        <v/>
      </c>
      <c r="AI53" s="56" t="str">
        <f>IF(AND('Mapa de Riesgos'!$Y$58="Muy Baja",'Mapa de Riesgos'!$AA$58="Catastrófico"),CONCATENATE("R8C",'Mapa de Riesgos'!$O$58),"")</f>
        <v/>
      </c>
      <c r="AJ53" s="56" t="str">
        <f>IF(AND('Mapa de Riesgos'!$Y$59="Muy Baja",'Mapa de Riesgos'!$AA$59="Catastrófico"),CONCATENATE("R8C",'Mapa de Riesgos'!$O$59),"")</f>
        <v/>
      </c>
      <c r="AK53" s="56" t="str">
        <f>IF(AND('Mapa de Riesgos'!$Y$60="Muy Baja",'Mapa de Riesgos'!$AA$60="Catastrófico"),CONCATENATE("R8C",'Mapa de Riesgos'!$O$60),"")</f>
        <v/>
      </c>
      <c r="AL53" s="56" t="str">
        <f>IF(AND('Mapa de Riesgos'!$Y$61="Muy Baja",'Mapa de Riesgos'!$AA$61="Catastrófico"),CONCATENATE("R8C",'Mapa de Riesgos'!$O$61),"")</f>
        <v/>
      </c>
      <c r="AM53" s="57" t="str">
        <f>IF(AND('Mapa de Riesgos'!$Y$62="Muy Baja",'Mapa de Riesgos'!$AA$62="Catastrófico"),CONCATENATE("R8C",'Mapa de Riesgos'!$O$62),"")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500"/>
      <c r="C54" s="500"/>
      <c r="D54" s="501"/>
      <c r="E54" s="541"/>
      <c r="F54" s="542"/>
      <c r="G54" s="542"/>
      <c r="H54" s="542"/>
      <c r="I54" s="543"/>
      <c r="J54" s="76" t="str">
        <f>IF(AND('Mapa de Riesgos'!$Y$63="Muy Baja",'Mapa de Riesgos'!$AA$63="Leve"),CONCATENATE("R9C",'Mapa de Riesgos'!$O$63),"")</f>
        <v/>
      </c>
      <c r="K54" s="77" t="str">
        <f>IF(AND('Mapa de Riesgos'!$Y$64="Muy Baja",'Mapa de Riesgos'!$AA$64="Leve"),CONCATENATE("R9C",'Mapa de Riesgos'!$O$64),"")</f>
        <v/>
      </c>
      <c r="L54" s="77" t="str">
        <f>IF(AND('Mapa de Riesgos'!$Y$65="Muy Baja",'Mapa de Riesgos'!$AA$65="Leve"),CONCATENATE("R9C",'Mapa de Riesgos'!$O$65),"")</f>
        <v/>
      </c>
      <c r="M54" s="77" t="str">
        <f>IF(AND('Mapa de Riesgos'!$Y$66="Muy Baja",'Mapa de Riesgos'!$AA$66="Leve"),CONCATENATE("R9C",'Mapa de Riesgos'!$O$66),"")</f>
        <v/>
      </c>
      <c r="N54" s="77" t="str">
        <f>IF(AND('Mapa de Riesgos'!$Y$67="Muy Baja",'Mapa de Riesgos'!$AA$67="Leve"),CONCATENATE("R9C",'Mapa de Riesgos'!$O$67),"")</f>
        <v/>
      </c>
      <c r="O54" s="78" t="str">
        <f>IF(AND('Mapa de Riesgos'!$Y$68="Muy Baja",'Mapa de Riesgos'!$AA$68="Leve"),CONCATENATE("R9C",'Mapa de Riesgos'!$O$68),"")</f>
        <v/>
      </c>
      <c r="P54" s="76" t="str">
        <f>IF(AND('Mapa de Riesgos'!$Y$63="Muy Baja",'Mapa de Riesgos'!$AA$63="Menor"),CONCATENATE("R9C",'Mapa de Riesgos'!$O$63),"")</f>
        <v/>
      </c>
      <c r="Q54" s="77" t="str">
        <f>IF(AND('Mapa de Riesgos'!$Y$64="Muy Baja",'Mapa de Riesgos'!$AA$64="Menor"),CONCATENATE("R9C",'Mapa de Riesgos'!$O$64),"")</f>
        <v/>
      </c>
      <c r="R54" s="77" t="str">
        <f>IF(AND('Mapa de Riesgos'!$Y$65="Muy Baja",'Mapa de Riesgos'!$AA$65="Menor"),CONCATENATE("R9C",'Mapa de Riesgos'!$O$65),"")</f>
        <v/>
      </c>
      <c r="S54" s="77" t="str">
        <f>IF(AND('Mapa de Riesgos'!$Y$66="Muy Baja",'Mapa de Riesgos'!$AA$66="Menor"),CONCATENATE("R9C",'Mapa de Riesgos'!$O$66),"")</f>
        <v/>
      </c>
      <c r="T54" s="77" t="str">
        <f>IF(AND('Mapa de Riesgos'!$Y$67="Muy Baja",'Mapa de Riesgos'!$AA$67="Menor"),CONCATENATE("R9C",'Mapa de Riesgos'!$O$67),"")</f>
        <v/>
      </c>
      <c r="U54" s="78" t="str">
        <f>IF(AND('Mapa de Riesgos'!$Y$68="Muy Baja",'Mapa de Riesgos'!$AA$68="Menor"),CONCATENATE("R9C",'Mapa de Riesgos'!$O$68),"")</f>
        <v/>
      </c>
      <c r="V54" s="67" t="str">
        <f>IF(AND('Mapa de Riesgos'!$Y$63="Muy Baja",'Mapa de Riesgos'!$AA$63="Moderado"),CONCATENATE("R9C",'Mapa de Riesgos'!$O$63),"")</f>
        <v/>
      </c>
      <c r="W54" s="68" t="str">
        <f>IF(AND('Mapa de Riesgos'!$Y$64="Muy Baja",'Mapa de Riesgos'!$AA$64="Moderado"),CONCATENATE("R9C",'Mapa de Riesgos'!$O$64),"")</f>
        <v/>
      </c>
      <c r="X54" s="68" t="str">
        <f>IF(AND('Mapa de Riesgos'!$Y$65="Muy Baja",'Mapa de Riesgos'!$AA$65="Moderado"),CONCATENATE("R9C",'Mapa de Riesgos'!$O$65),"")</f>
        <v/>
      </c>
      <c r="Y54" s="68" t="str">
        <f>IF(AND('Mapa de Riesgos'!$Y$66="Muy Baja",'Mapa de Riesgos'!$AA$66="Moderado"),CONCATENATE("R9C",'Mapa de Riesgos'!$O$66),"")</f>
        <v/>
      </c>
      <c r="Z54" s="68" t="str">
        <f>IF(AND('Mapa de Riesgos'!$Y$67="Muy Baja",'Mapa de Riesgos'!$AA$67="Moderado"),CONCATENATE("R9C",'Mapa de Riesgos'!$O$67),"")</f>
        <v/>
      </c>
      <c r="AA54" s="69" t="str">
        <f>IF(AND('Mapa de Riesgos'!$Y$68="Muy Baja",'Mapa de Riesgos'!$AA$68="Moderado"),CONCATENATE("R9C",'Mapa de Riesgos'!$O$68),"")</f>
        <v/>
      </c>
      <c r="AB54" s="52" t="str">
        <f>IF(AND('Mapa de Riesgos'!$Y$63="Muy Baja",'Mapa de Riesgos'!$AA$63="Mayor"),CONCATENATE("R9C",'Mapa de Riesgos'!$O$63),"")</f>
        <v/>
      </c>
      <c r="AC54" s="53" t="str">
        <f>IF(AND('Mapa de Riesgos'!$Y$64="Muy Baja",'Mapa de Riesgos'!$AA$64="Mayor"),CONCATENATE("R9C",'Mapa de Riesgos'!$O$64),"")</f>
        <v/>
      </c>
      <c r="AD54" s="53" t="str">
        <f>IF(AND('Mapa de Riesgos'!$Y$65="Muy Baja",'Mapa de Riesgos'!$AA$65="Mayor"),CONCATENATE("R9C",'Mapa de Riesgos'!$O$65),"")</f>
        <v/>
      </c>
      <c r="AE54" s="53" t="str">
        <f>IF(AND('Mapa de Riesgos'!$Y$66="Muy Baja",'Mapa de Riesgos'!$AA$66="Mayor"),CONCATENATE("R9C",'Mapa de Riesgos'!$O$66),"")</f>
        <v/>
      </c>
      <c r="AF54" s="53" t="str">
        <f>IF(AND('Mapa de Riesgos'!$Y$67="Muy Baja",'Mapa de Riesgos'!$AA$67="Mayor"),CONCATENATE("R9C",'Mapa de Riesgos'!$O$67),"")</f>
        <v/>
      </c>
      <c r="AG54" s="54" t="str">
        <f>IF(AND('Mapa de Riesgos'!$Y$68="Muy Baja",'Mapa de Riesgos'!$AA$68="Mayor"),CONCATENATE("R9C",'Mapa de Riesgos'!$O$68),"")</f>
        <v/>
      </c>
      <c r="AH54" s="55" t="str">
        <f>IF(AND('Mapa de Riesgos'!$Y$63="Muy Baja",'Mapa de Riesgos'!$AA$63="Catastrófico"),CONCATENATE("R9C",'Mapa de Riesgos'!$O$63),"")</f>
        <v/>
      </c>
      <c r="AI54" s="56" t="str">
        <f>IF(AND('Mapa de Riesgos'!$Y$64="Muy Baja",'Mapa de Riesgos'!$AA$64="Catastrófico"),CONCATENATE("R9C",'Mapa de Riesgos'!$O$64),"")</f>
        <v/>
      </c>
      <c r="AJ54" s="56" t="str">
        <f>IF(AND('Mapa de Riesgos'!$Y$65="Muy Baja",'Mapa de Riesgos'!$AA$65="Catastrófico"),CONCATENATE("R9C",'Mapa de Riesgos'!$O$65),"")</f>
        <v/>
      </c>
      <c r="AK54" s="56" t="str">
        <f>IF(AND('Mapa de Riesgos'!$Y$66="Muy Baja",'Mapa de Riesgos'!$AA$66="Catastrófico"),CONCATENATE("R9C",'Mapa de Riesgos'!$O$66),"")</f>
        <v/>
      </c>
      <c r="AL54" s="56" t="str">
        <f>IF(AND('Mapa de Riesgos'!$Y$67="Muy Baja",'Mapa de Riesgos'!$AA$67="Catastrófico"),CONCATENATE("R9C",'Mapa de Riesgos'!$O$67),"")</f>
        <v/>
      </c>
      <c r="AM54" s="57" t="str">
        <f>IF(AND('Mapa de Riesgos'!$Y$68="Muy Baja",'Mapa de Riesgos'!$AA$68="Catastrófico"),CONCATENATE("R9C",'Mapa de Riesgos'!$O$68),"")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500"/>
      <c r="C55" s="500"/>
      <c r="D55" s="501"/>
      <c r="E55" s="544"/>
      <c r="F55" s="545"/>
      <c r="G55" s="545"/>
      <c r="H55" s="545"/>
      <c r="I55" s="546"/>
      <c r="J55" s="79" t="str">
        <f>IF(AND('Mapa de Riesgos'!$Y$69="Muy Baja",'Mapa de Riesgos'!$AA$69="Leve"),CONCATENATE("R10C",'Mapa de Riesgos'!$O$69),"")</f>
        <v/>
      </c>
      <c r="K55" s="80" t="str">
        <f>IF(AND('Mapa de Riesgos'!$Y$70="Muy Baja",'Mapa de Riesgos'!$AA$70="Leve"),CONCATENATE("R10C",'Mapa de Riesgos'!$O$70),"")</f>
        <v/>
      </c>
      <c r="L55" s="80" t="str">
        <f>IF(AND('Mapa de Riesgos'!$Y$71="Muy Baja",'Mapa de Riesgos'!$AA$71="Leve"),CONCATENATE("R10C",'Mapa de Riesgos'!$O$71),"")</f>
        <v/>
      </c>
      <c r="M55" s="80" t="str">
        <f>IF(AND('Mapa de Riesgos'!$Y$72="Muy Baja",'Mapa de Riesgos'!$AA$72="Leve"),CONCATENATE("R10C",'Mapa de Riesgos'!$O$72),"")</f>
        <v/>
      </c>
      <c r="N55" s="80" t="str">
        <f>IF(AND('Mapa de Riesgos'!$Y$73="Muy Baja",'Mapa de Riesgos'!$AA$73="Leve"),CONCATENATE("R10C",'Mapa de Riesgos'!$O$73),"")</f>
        <v/>
      </c>
      <c r="O55" s="81" t="str">
        <f>IF(AND('Mapa de Riesgos'!$Y$74="Muy Baja",'Mapa de Riesgos'!$AA$74="Leve"),CONCATENATE("R10C",'Mapa de Riesgos'!$O$74),"")</f>
        <v/>
      </c>
      <c r="P55" s="79" t="str">
        <f>IF(AND('Mapa de Riesgos'!$Y$69="Muy Baja",'Mapa de Riesgos'!$AA$69="Menor"),CONCATENATE("R10C",'Mapa de Riesgos'!$O$69),"")</f>
        <v/>
      </c>
      <c r="Q55" s="80" t="str">
        <f>IF(AND('Mapa de Riesgos'!$Y$70="Muy Baja",'Mapa de Riesgos'!$AA$70="Menor"),CONCATENATE("R10C",'Mapa de Riesgos'!$O$70),"")</f>
        <v/>
      </c>
      <c r="R55" s="80" t="str">
        <f>IF(AND('Mapa de Riesgos'!$Y$71="Muy Baja",'Mapa de Riesgos'!$AA$71="Menor"),CONCATENATE("R10C",'Mapa de Riesgos'!$O$71),"")</f>
        <v/>
      </c>
      <c r="S55" s="80" t="str">
        <f>IF(AND('Mapa de Riesgos'!$Y$72="Muy Baja",'Mapa de Riesgos'!$AA$72="Menor"),CONCATENATE("R10C",'Mapa de Riesgos'!$O$72),"")</f>
        <v/>
      </c>
      <c r="T55" s="80" t="str">
        <f>IF(AND('Mapa de Riesgos'!$Y$73="Muy Baja",'Mapa de Riesgos'!$AA$73="Menor"),CONCATENATE("R10C",'Mapa de Riesgos'!$O$73),"")</f>
        <v/>
      </c>
      <c r="U55" s="81" t="str">
        <f>IF(AND('Mapa de Riesgos'!$Y$74="Muy Baja",'Mapa de Riesgos'!$AA$74="Menor"),CONCATENATE("R10C",'Mapa de Riesgos'!$O$74),"")</f>
        <v/>
      </c>
      <c r="V55" s="70" t="str">
        <f>IF(AND('Mapa de Riesgos'!$Y$69="Muy Baja",'Mapa de Riesgos'!$AA$69="Moderado"),CONCATENATE("R10C",'Mapa de Riesgos'!$O$69),"")</f>
        <v/>
      </c>
      <c r="W55" s="71" t="str">
        <f>IF(AND('Mapa de Riesgos'!$Y$70="Muy Baja",'Mapa de Riesgos'!$AA$70="Moderado"),CONCATENATE("R10C",'Mapa de Riesgos'!$O$70),"")</f>
        <v/>
      </c>
      <c r="X55" s="71" t="str">
        <f>IF(AND('Mapa de Riesgos'!$Y$71="Muy Baja",'Mapa de Riesgos'!$AA$71="Moderado"),CONCATENATE("R10C",'Mapa de Riesgos'!$O$71),"")</f>
        <v/>
      </c>
      <c r="Y55" s="71" t="str">
        <f>IF(AND('Mapa de Riesgos'!$Y$72="Muy Baja",'Mapa de Riesgos'!$AA$72="Moderado"),CONCATENATE("R10C",'Mapa de Riesgos'!$O$72),"")</f>
        <v/>
      </c>
      <c r="Z55" s="71" t="str">
        <f>IF(AND('Mapa de Riesgos'!$Y$73="Muy Baja",'Mapa de Riesgos'!$AA$73="Moderado"),CONCATENATE("R10C",'Mapa de Riesgos'!$O$73),"")</f>
        <v/>
      </c>
      <c r="AA55" s="72" t="str">
        <f>IF(AND('Mapa de Riesgos'!$Y$74="Muy Baja",'Mapa de Riesgos'!$AA$74="Moderado"),CONCATENATE("R10C",'Mapa de Riesgos'!$O$74),"")</f>
        <v/>
      </c>
      <c r="AB55" s="58" t="str">
        <f>IF(AND('Mapa de Riesgos'!$Y$69="Muy Baja",'Mapa de Riesgos'!$AA$69="Mayor"),CONCATENATE("R10C",'Mapa de Riesgos'!$O$69),"")</f>
        <v/>
      </c>
      <c r="AC55" s="59" t="str">
        <f>IF(AND('Mapa de Riesgos'!$Y$70="Muy Baja",'Mapa de Riesgos'!$AA$70="Mayor"),CONCATENATE("R10C",'Mapa de Riesgos'!$O$70),"")</f>
        <v/>
      </c>
      <c r="AD55" s="59" t="str">
        <f>IF(AND('Mapa de Riesgos'!$Y$71="Muy Baja",'Mapa de Riesgos'!$AA$71="Mayor"),CONCATENATE("R10C",'Mapa de Riesgos'!$O$71),"")</f>
        <v/>
      </c>
      <c r="AE55" s="59" t="str">
        <f>IF(AND('Mapa de Riesgos'!$Y$72="Muy Baja",'Mapa de Riesgos'!$AA$72="Mayor"),CONCATENATE("R10C",'Mapa de Riesgos'!$O$72),"")</f>
        <v/>
      </c>
      <c r="AF55" s="59" t="str">
        <f>IF(AND('Mapa de Riesgos'!$Y$73="Muy Baja",'Mapa de Riesgos'!$AA$73="Mayor"),CONCATENATE("R10C",'Mapa de Riesgos'!$O$73),"")</f>
        <v/>
      </c>
      <c r="AG55" s="60" t="str">
        <f>IF(AND('Mapa de Riesgos'!$Y$74="Muy Baja",'Mapa de Riesgos'!$AA$74="Mayor"),CONCATENATE("R10C",'Mapa de Riesgos'!$O$74),"")</f>
        <v/>
      </c>
      <c r="AH55" s="61" t="str">
        <f>IF(AND('Mapa de Riesgos'!$Y$69="Muy Baja",'Mapa de Riesgos'!$AA$69="Catastrófico"),CONCATENATE("R10C",'Mapa de Riesgos'!$O$69),"")</f>
        <v/>
      </c>
      <c r="AI55" s="62" t="str">
        <f>IF(AND('Mapa de Riesgos'!$Y$70="Muy Baja",'Mapa de Riesgos'!$AA$70="Catastrófico"),CONCATENATE("R10C",'Mapa de Riesgos'!$O$70),"")</f>
        <v/>
      </c>
      <c r="AJ55" s="62" t="str">
        <f>IF(AND('Mapa de Riesgos'!$Y$71="Muy Baja",'Mapa de Riesgos'!$AA$71="Catastrófico"),CONCATENATE("R10C",'Mapa de Riesgos'!$O$71),"")</f>
        <v/>
      </c>
      <c r="AK55" s="62" t="str">
        <f>IF(AND('Mapa de Riesgos'!$Y$72="Muy Baja",'Mapa de Riesgos'!$AA$72="Catastrófico"),CONCATENATE("R10C",'Mapa de Riesgos'!$O$72),"")</f>
        <v/>
      </c>
      <c r="AL55" s="62" t="str">
        <f>IF(AND('Mapa de Riesgos'!$Y$73="Muy Baja",'Mapa de Riesgos'!$AA$73="Catastrófico"),CONCATENATE("R10C",'Mapa de Riesgos'!$O$73),"")</f>
        <v/>
      </c>
      <c r="AM55" s="63" t="str">
        <f>IF(AND('Mapa de Riesgos'!$Y$74="Muy Baja",'Mapa de Riesgos'!$AA$74="Catastrófico"),CONCATENATE("R10C",'Mapa de Riesgos'!$O$74),"")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8" t="s">
        <v>218</v>
      </c>
      <c r="K56" s="539"/>
      <c r="L56" s="539"/>
      <c r="M56" s="539"/>
      <c r="N56" s="539"/>
      <c r="O56" s="540"/>
      <c r="P56" s="538" t="s">
        <v>219</v>
      </c>
      <c r="Q56" s="539"/>
      <c r="R56" s="539"/>
      <c r="S56" s="539"/>
      <c r="T56" s="539"/>
      <c r="U56" s="540"/>
      <c r="V56" s="538" t="s">
        <v>220</v>
      </c>
      <c r="W56" s="539"/>
      <c r="X56" s="539"/>
      <c r="Y56" s="539"/>
      <c r="Z56" s="539"/>
      <c r="AA56" s="540"/>
      <c r="AB56" s="538" t="s">
        <v>221</v>
      </c>
      <c r="AC56" s="547"/>
      <c r="AD56" s="539"/>
      <c r="AE56" s="539"/>
      <c r="AF56" s="539"/>
      <c r="AG56" s="540"/>
      <c r="AH56" s="538" t="s">
        <v>222</v>
      </c>
      <c r="AI56" s="539"/>
      <c r="AJ56" s="539"/>
      <c r="AK56" s="539"/>
      <c r="AL56" s="539"/>
      <c r="AM56" s="540"/>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1"/>
      <c r="K57" s="542"/>
      <c r="L57" s="542"/>
      <c r="M57" s="542"/>
      <c r="N57" s="542"/>
      <c r="O57" s="543"/>
      <c r="P57" s="541"/>
      <c r="Q57" s="542"/>
      <c r="R57" s="542"/>
      <c r="S57" s="542"/>
      <c r="T57" s="542"/>
      <c r="U57" s="543"/>
      <c r="V57" s="541"/>
      <c r="W57" s="542"/>
      <c r="X57" s="542"/>
      <c r="Y57" s="542"/>
      <c r="Z57" s="542"/>
      <c r="AA57" s="543"/>
      <c r="AB57" s="541"/>
      <c r="AC57" s="542"/>
      <c r="AD57" s="542"/>
      <c r="AE57" s="542"/>
      <c r="AF57" s="542"/>
      <c r="AG57" s="543"/>
      <c r="AH57" s="541"/>
      <c r="AI57" s="542"/>
      <c r="AJ57" s="542"/>
      <c r="AK57" s="542"/>
      <c r="AL57" s="542"/>
      <c r="AM57" s="54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1"/>
      <c r="K58" s="542"/>
      <c r="L58" s="542"/>
      <c r="M58" s="542"/>
      <c r="N58" s="542"/>
      <c r="O58" s="543"/>
      <c r="P58" s="541"/>
      <c r="Q58" s="542"/>
      <c r="R58" s="542"/>
      <c r="S58" s="542"/>
      <c r="T58" s="542"/>
      <c r="U58" s="543"/>
      <c r="V58" s="541"/>
      <c r="W58" s="542"/>
      <c r="X58" s="542"/>
      <c r="Y58" s="542"/>
      <c r="Z58" s="542"/>
      <c r="AA58" s="543"/>
      <c r="AB58" s="541"/>
      <c r="AC58" s="542"/>
      <c r="AD58" s="542"/>
      <c r="AE58" s="542"/>
      <c r="AF58" s="542"/>
      <c r="AG58" s="543"/>
      <c r="AH58" s="541"/>
      <c r="AI58" s="542"/>
      <c r="AJ58" s="542"/>
      <c r="AK58" s="542"/>
      <c r="AL58" s="542"/>
      <c r="AM58" s="54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1"/>
      <c r="K59" s="542"/>
      <c r="L59" s="542"/>
      <c r="M59" s="542"/>
      <c r="N59" s="542"/>
      <c r="O59" s="543"/>
      <c r="P59" s="541"/>
      <c r="Q59" s="542"/>
      <c r="R59" s="542"/>
      <c r="S59" s="542"/>
      <c r="T59" s="542"/>
      <c r="U59" s="543"/>
      <c r="V59" s="541"/>
      <c r="W59" s="542"/>
      <c r="X59" s="542"/>
      <c r="Y59" s="542"/>
      <c r="Z59" s="542"/>
      <c r="AA59" s="543"/>
      <c r="AB59" s="541"/>
      <c r="AC59" s="542"/>
      <c r="AD59" s="542"/>
      <c r="AE59" s="542"/>
      <c r="AF59" s="542"/>
      <c r="AG59" s="543"/>
      <c r="AH59" s="541"/>
      <c r="AI59" s="542"/>
      <c r="AJ59" s="542"/>
      <c r="AK59" s="542"/>
      <c r="AL59" s="542"/>
      <c r="AM59" s="54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1"/>
      <c r="K60" s="542"/>
      <c r="L60" s="542"/>
      <c r="M60" s="542"/>
      <c r="N60" s="542"/>
      <c r="O60" s="543"/>
      <c r="P60" s="541"/>
      <c r="Q60" s="542"/>
      <c r="R60" s="542"/>
      <c r="S60" s="542"/>
      <c r="T60" s="542"/>
      <c r="U60" s="543"/>
      <c r="V60" s="541"/>
      <c r="W60" s="542"/>
      <c r="X60" s="542"/>
      <c r="Y60" s="542"/>
      <c r="Z60" s="542"/>
      <c r="AA60" s="543"/>
      <c r="AB60" s="541"/>
      <c r="AC60" s="542"/>
      <c r="AD60" s="542"/>
      <c r="AE60" s="542"/>
      <c r="AF60" s="542"/>
      <c r="AG60" s="543"/>
      <c r="AH60" s="541"/>
      <c r="AI60" s="542"/>
      <c r="AJ60" s="542"/>
      <c r="AK60" s="542"/>
      <c r="AL60" s="542"/>
      <c r="AM60" s="54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4"/>
      <c r="K61" s="545"/>
      <c r="L61" s="545"/>
      <c r="M61" s="545"/>
      <c r="N61" s="545"/>
      <c r="O61" s="546"/>
      <c r="P61" s="544"/>
      <c r="Q61" s="545"/>
      <c r="R61" s="545"/>
      <c r="S61" s="545"/>
      <c r="T61" s="545"/>
      <c r="U61" s="546"/>
      <c r="V61" s="544"/>
      <c r="W61" s="545"/>
      <c r="X61" s="545"/>
      <c r="Y61" s="545"/>
      <c r="Z61" s="545"/>
      <c r="AA61" s="546"/>
      <c r="AB61" s="544"/>
      <c r="AC61" s="545"/>
      <c r="AD61" s="545"/>
      <c r="AE61" s="545"/>
      <c r="AF61" s="545"/>
      <c r="AG61" s="546"/>
      <c r="AH61" s="544"/>
      <c r="AI61" s="545"/>
      <c r="AJ61" s="545"/>
      <c r="AK61" s="545"/>
      <c r="AL61" s="545"/>
      <c r="AM61" s="546"/>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7" t="s">
        <v>224</v>
      </c>
      <c r="C1" s="587"/>
      <c r="D1" s="58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225</v>
      </c>
      <c r="D3" s="12" t="s">
        <v>208</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226</v>
      </c>
      <c r="C4" s="14" t="s">
        <v>227</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228</v>
      </c>
      <c r="C5" s="17" t="s">
        <v>229</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230</v>
      </c>
      <c r="C6" s="17" t="s">
        <v>231</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232</v>
      </c>
      <c r="C7" s="17" t="s">
        <v>233</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234</v>
      </c>
      <c r="C8" s="17" t="s">
        <v>235</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8" t="s">
        <v>236</v>
      </c>
      <c r="C1" s="588"/>
      <c r="D1" s="58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237</v>
      </c>
      <c r="D3" s="36" t="s">
        <v>238</v>
      </c>
      <c r="E3" s="83"/>
      <c r="F3" s="83"/>
      <c r="G3" s="83"/>
      <c r="H3" s="83"/>
      <c r="I3" s="83"/>
      <c r="J3" s="83"/>
      <c r="K3" s="83"/>
      <c r="L3" s="83"/>
      <c r="M3" s="83"/>
      <c r="N3" s="83"/>
      <c r="O3" s="83"/>
      <c r="P3" s="83"/>
      <c r="Q3" s="83"/>
      <c r="R3" s="83"/>
      <c r="S3" s="83"/>
      <c r="T3" s="83"/>
      <c r="U3" s="83"/>
    </row>
    <row r="4" spans="1:21" ht="33.75" x14ac:dyDescent="0.25">
      <c r="A4" s="100" t="s">
        <v>239</v>
      </c>
      <c r="B4" s="39" t="s">
        <v>240</v>
      </c>
      <c r="C4" s="44" t="s">
        <v>241</v>
      </c>
      <c r="D4" s="37" t="s">
        <v>242</v>
      </c>
      <c r="E4" s="83"/>
      <c r="F4" s="83"/>
      <c r="G4" s="83"/>
      <c r="H4" s="83"/>
      <c r="I4" s="83"/>
      <c r="J4" s="83"/>
      <c r="K4" s="83"/>
      <c r="L4" s="83"/>
      <c r="M4" s="83"/>
      <c r="N4" s="83"/>
      <c r="O4" s="83"/>
      <c r="P4" s="83"/>
      <c r="Q4" s="83"/>
      <c r="R4" s="83"/>
      <c r="S4" s="83"/>
      <c r="T4" s="83"/>
      <c r="U4" s="83"/>
    </row>
    <row r="5" spans="1:21" ht="67.5" x14ac:dyDescent="0.25">
      <c r="A5" s="100" t="s">
        <v>243</v>
      </c>
      <c r="B5" s="40" t="s">
        <v>244</v>
      </c>
      <c r="C5" s="45" t="s">
        <v>245</v>
      </c>
      <c r="D5" s="38" t="s">
        <v>246</v>
      </c>
      <c r="E5" s="83"/>
      <c r="F5" s="83"/>
      <c r="G5" s="83"/>
      <c r="H5" s="83"/>
      <c r="I5" s="83"/>
      <c r="J5" s="83"/>
      <c r="K5" s="83"/>
      <c r="L5" s="83"/>
      <c r="M5" s="83"/>
      <c r="N5" s="83"/>
      <c r="O5" s="83"/>
      <c r="P5" s="83"/>
      <c r="Q5" s="83"/>
      <c r="R5" s="83"/>
      <c r="S5" s="83"/>
      <c r="T5" s="83"/>
      <c r="U5" s="83"/>
    </row>
    <row r="6" spans="1:21" ht="67.5" x14ac:dyDescent="0.25">
      <c r="A6" s="100" t="s">
        <v>214</v>
      </c>
      <c r="B6" s="41" t="s">
        <v>247</v>
      </c>
      <c r="C6" s="45" t="s">
        <v>248</v>
      </c>
      <c r="D6" s="38" t="s">
        <v>249</v>
      </c>
      <c r="E6" s="83"/>
      <c r="F6" s="83"/>
      <c r="G6" s="83"/>
      <c r="H6" s="83"/>
      <c r="I6" s="83"/>
      <c r="J6" s="83"/>
      <c r="K6" s="83"/>
      <c r="L6" s="83"/>
      <c r="M6" s="83"/>
      <c r="N6" s="83"/>
      <c r="O6" s="83"/>
      <c r="P6" s="83"/>
      <c r="Q6" s="83"/>
      <c r="R6" s="83"/>
      <c r="S6" s="83"/>
      <c r="T6" s="83"/>
      <c r="U6" s="83"/>
    </row>
    <row r="7" spans="1:21" ht="101.25" x14ac:dyDescent="0.25">
      <c r="A7" s="100" t="s">
        <v>250</v>
      </c>
      <c r="B7" s="42" t="s">
        <v>251</v>
      </c>
      <c r="C7" s="45" t="s">
        <v>252</v>
      </c>
      <c r="D7" s="38" t="s">
        <v>253</v>
      </c>
      <c r="E7" s="83"/>
      <c r="F7" s="83"/>
      <c r="G7" s="83"/>
      <c r="H7" s="83"/>
      <c r="I7" s="83"/>
      <c r="J7" s="83"/>
      <c r="K7" s="83"/>
      <c r="L7" s="83"/>
      <c r="M7" s="83"/>
      <c r="N7" s="83"/>
      <c r="O7" s="83"/>
      <c r="P7" s="83"/>
      <c r="Q7" s="83"/>
      <c r="R7" s="83"/>
      <c r="S7" s="83"/>
      <c r="T7" s="83"/>
      <c r="U7" s="83"/>
    </row>
    <row r="8" spans="1:21" ht="67.5" x14ac:dyDescent="0.25">
      <c r="A8" s="100" t="s">
        <v>254</v>
      </c>
      <c r="B8" s="43" t="s">
        <v>255</v>
      </c>
      <c r="C8" s="45" t="s">
        <v>256</v>
      </c>
      <c r="D8" s="38" t="s">
        <v>257</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258</v>
      </c>
      <c r="C11" s="100" t="s">
        <v>259</v>
      </c>
      <c r="D11" s="100" t="s">
        <v>260</v>
      </c>
      <c r="E11" s="83"/>
      <c r="F11" s="83"/>
      <c r="G11" s="83"/>
      <c r="H11" s="83"/>
      <c r="I11" s="83"/>
      <c r="J11" s="83"/>
      <c r="K11" s="83"/>
      <c r="L11" s="83"/>
      <c r="M11" s="83"/>
      <c r="N11" s="83"/>
      <c r="O11" s="83"/>
      <c r="P11" s="83"/>
      <c r="Q11" s="83"/>
      <c r="R11" s="83"/>
      <c r="S11" s="83"/>
      <c r="T11" s="83"/>
      <c r="U11" s="83"/>
    </row>
    <row r="12" spans="1:21" x14ac:dyDescent="0.25">
      <c r="A12" s="100"/>
      <c r="B12" s="100" t="s">
        <v>261</v>
      </c>
      <c r="C12" s="100" t="s">
        <v>204</v>
      </c>
      <c r="D12" s="100" t="s">
        <v>196</v>
      </c>
      <c r="E12" s="83"/>
      <c r="F12" s="83"/>
      <c r="G12" s="83"/>
      <c r="H12" s="83"/>
      <c r="I12" s="83"/>
      <c r="J12" s="83"/>
      <c r="K12" s="83"/>
      <c r="L12" s="83"/>
      <c r="M12" s="83"/>
      <c r="N12" s="83"/>
      <c r="O12" s="83"/>
      <c r="P12" s="83"/>
      <c r="Q12" s="83"/>
      <c r="R12" s="83"/>
      <c r="S12" s="83"/>
      <c r="T12" s="83"/>
      <c r="U12" s="83"/>
    </row>
    <row r="13" spans="1:21" x14ac:dyDescent="0.25">
      <c r="A13" s="100"/>
      <c r="B13" s="100"/>
      <c r="C13" s="100" t="s">
        <v>262</v>
      </c>
      <c r="D13" s="100" t="s">
        <v>169</v>
      </c>
      <c r="E13" s="83"/>
      <c r="F13" s="83"/>
      <c r="G13" s="83"/>
      <c r="H13" s="83"/>
      <c r="I13" s="83"/>
      <c r="J13" s="83"/>
      <c r="K13" s="83"/>
      <c r="L13" s="83"/>
      <c r="M13" s="83"/>
      <c r="N13" s="83"/>
      <c r="O13" s="83"/>
      <c r="P13" s="83"/>
      <c r="Q13" s="83"/>
      <c r="R13" s="83"/>
      <c r="S13" s="83"/>
      <c r="T13" s="83"/>
      <c r="U13" s="83"/>
    </row>
    <row r="14" spans="1:21" x14ac:dyDescent="0.25">
      <c r="A14" s="100"/>
      <c r="B14" s="100"/>
      <c r="C14" s="100" t="s">
        <v>263</v>
      </c>
      <c r="D14" s="100" t="s">
        <v>185</v>
      </c>
      <c r="E14" s="83"/>
      <c r="F14" s="83"/>
      <c r="G14" s="83"/>
      <c r="H14" s="83"/>
      <c r="I14" s="83"/>
      <c r="J14" s="83"/>
      <c r="K14" s="83"/>
      <c r="L14" s="83"/>
      <c r="M14" s="83"/>
      <c r="N14" s="83"/>
      <c r="O14" s="83"/>
      <c r="P14" s="83"/>
      <c r="Q14" s="83"/>
      <c r="R14" s="83"/>
      <c r="S14" s="83"/>
      <c r="T14" s="83"/>
      <c r="U14" s="83"/>
    </row>
    <row r="15" spans="1:21" x14ac:dyDescent="0.25">
      <c r="A15" s="100"/>
      <c r="B15" s="100"/>
      <c r="C15" s="100" t="s">
        <v>264</v>
      </c>
      <c r="D15" s="100" t="s">
        <v>265</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266</v>
      </c>
      <c r="C209" s="30" t="s">
        <v>267</v>
      </c>
      <c r="D209" s="33" t="s">
        <v>266</v>
      </c>
      <c r="E209" s="33" t="s">
        <v>267</v>
      </c>
    </row>
    <row r="210" spans="1:8" ht="21" x14ac:dyDescent="0.35">
      <c r="A210" s="83"/>
      <c r="B210" s="31" t="s">
        <v>268</v>
      </c>
      <c r="C210" s="31" t="s">
        <v>269</v>
      </c>
      <c r="D210" t="s">
        <v>268</v>
      </c>
      <c r="F210" t="str">
        <f>IF(NOT(ISBLANK(D210)),D210,IF(NOT(ISBLANK(E210)),"     "&amp;E210,FALSE))</f>
        <v>Afectación Económica o presupuestal</v>
      </c>
      <c r="G210" t="s">
        <v>268</v>
      </c>
      <c r="H210" t="str">
        <f>IF(NOT(ISERROR(MATCH(G210,_xlfn.ANCHORARRAY(B221),0))),F223&amp;"Por favor no seleccionar los criterios de impacto",G210)</f>
        <v>❌Por favor no seleccionar los criterios de impacto</v>
      </c>
    </row>
    <row r="211" spans="1:8" ht="21" x14ac:dyDescent="0.35">
      <c r="A211" s="83"/>
      <c r="B211" s="31" t="s">
        <v>268</v>
      </c>
      <c r="C211" s="31" t="s">
        <v>245</v>
      </c>
      <c r="E211" t="s">
        <v>269</v>
      </c>
      <c r="F211" t="str">
        <f t="shared" ref="F211:F221" si="0">IF(NOT(ISBLANK(D211)),D211,IF(NOT(ISBLANK(E211)),"     "&amp;E211,FALSE))</f>
        <v xml:space="preserve">     Afectación menor a 10 SMLMV .</v>
      </c>
    </row>
    <row r="212" spans="1:8" ht="21" x14ac:dyDescent="0.35">
      <c r="A212" s="83"/>
      <c r="B212" s="31" t="s">
        <v>268</v>
      </c>
      <c r="C212" s="31" t="s">
        <v>248</v>
      </c>
      <c r="E212" t="s">
        <v>245</v>
      </c>
      <c r="F212" t="str">
        <f t="shared" si="0"/>
        <v xml:space="preserve">     Entre 10 y 50 SMLMV </v>
      </c>
    </row>
    <row r="213" spans="1:8" ht="21" x14ac:dyDescent="0.35">
      <c r="A213" s="83"/>
      <c r="B213" s="31" t="s">
        <v>268</v>
      </c>
      <c r="C213" s="31" t="s">
        <v>252</v>
      </c>
      <c r="E213" t="s">
        <v>248</v>
      </c>
      <c r="F213" t="str">
        <f t="shared" si="0"/>
        <v xml:space="preserve">     Entre 50 y 100 SMLMV </v>
      </c>
    </row>
    <row r="214" spans="1:8" ht="21" x14ac:dyDescent="0.35">
      <c r="A214" s="83"/>
      <c r="B214" s="31" t="s">
        <v>268</v>
      </c>
      <c r="C214" s="31" t="s">
        <v>256</v>
      </c>
      <c r="E214" t="s">
        <v>252</v>
      </c>
      <c r="F214" t="str">
        <f t="shared" si="0"/>
        <v xml:space="preserve">     Entre 100 y 500 SMLMV </v>
      </c>
    </row>
    <row r="215" spans="1:8" ht="21" x14ac:dyDescent="0.35">
      <c r="A215" s="83"/>
      <c r="B215" s="31" t="s">
        <v>238</v>
      </c>
      <c r="C215" s="31" t="s">
        <v>242</v>
      </c>
      <c r="E215" t="s">
        <v>256</v>
      </c>
      <c r="F215" t="str">
        <f t="shared" si="0"/>
        <v xml:space="preserve">     Mayor a 500 SMLMV </v>
      </c>
    </row>
    <row r="216" spans="1:8" ht="21" x14ac:dyDescent="0.35">
      <c r="A216" s="83"/>
      <c r="B216" s="31" t="s">
        <v>238</v>
      </c>
      <c r="C216" s="31" t="s">
        <v>246</v>
      </c>
      <c r="D216" t="s">
        <v>238</v>
      </c>
      <c r="F216" t="str">
        <f t="shared" si="0"/>
        <v>Pérdida Reputacional</v>
      </c>
    </row>
    <row r="217" spans="1:8" ht="21" x14ac:dyDescent="0.35">
      <c r="A217" s="83"/>
      <c r="B217" s="31" t="s">
        <v>238</v>
      </c>
      <c r="C217" s="31" t="s">
        <v>249</v>
      </c>
      <c r="E217" t="s">
        <v>242</v>
      </c>
      <c r="F217" t="str">
        <f t="shared" si="0"/>
        <v xml:space="preserve">     El riesgo afecta la imagen de alguna área de la organización</v>
      </c>
    </row>
    <row r="218" spans="1:8" ht="21" x14ac:dyDescent="0.35">
      <c r="A218" s="83"/>
      <c r="B218" s="31" t="s">
        <v>238</v>
      </c>
      <c r="C218" s="31" t="s">
        <v>253</v>
      </c>
      <c r="E218" t="s">
        <v>246</v>
      </c>
      <c r="F218" t="str">
        <f t="shared" si="0"/>
        <v xml:space="preserve">     El riesgo afecta la imagen de la entidad internamente, de conocimiento general, nivel interno, de junta dircetiva y accionistas y/o de provedores</v>
      </c>
    </row>
    <row r="219" spans="1:8" ht="21" x14ac:dyDescent="0.35">
      <c r="A219" s="83"/>
      <c r="B219" s="31" t="s">
        <v>238</v>
      </c>
      <c r="C219" s="31" t="s">
        <v>257</v>
      </c>
      <c r="E219" t="s">
        <v>249</v>
      </c>
      <c r="F219" t="str">
        <f t="shared" si="0"/>
        <v xml:space="preserve">     El riesgo afecta la imagen de la entidad con algunos usuarios de relevancia frente al logro de los objetivos</v>
      </c>
    </row>
    <row r="220" spans="1:8" x14ac:dyDescent="0.25">
      <c r="A220" s="83"/>
      <c r="B220" s="32"/>
      <c r="C220" s="32"/>
      <c r="E220" t="s">
        <v>253</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257</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270</v>
      </c>
    </row>
    <row r="224" spans="1:8" x14ac:dyDescent="0.25">
      <c r="B224" s="22"/>
      <c r="C224" s="22"/>
      <c r="F224" s="35" t="s">
        <v>271</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9" t="s">
        <v>272</v>
      </c>
      <c r="C1" s="590"/>
      <c r="D1" s="590"/>
      <c r="E1" s="590"/>
      <c r="F1" s="591"/>
    </row>
    <row r="2" spans="2:6" ht="16.5" thickBot="1" x14ac:dyDescent="0.3">
      <c r="B2" s="86"/>
      <c r="C2" s="86"/>
      <c r="D2" s="86"/>
      <c r="E2" s="86"/>
      <c r="F2" s="86"/>
    </row>
    <row r="3" spans="2:6" ht="16.5" thickBot="1" x14ac:dyDescent="0.25">
      <c r="B3" s="593" t="s">
        <v>273</v>
      </c>
      <c r="C3" s="594"/>
      <c r="D3" s="594"/>
      <c r="E3" s="98" t="s">
        <v>274</v>
      </c>
      <c r="F3" s="99" t="s">
        <v>275</v>
      </c>
    </row>
    <row r="4" spans="2:6" ht="31.5" x14ac:dyDescent="0.2">
      <c r="B4" s="595" t="s">
        <v>276</v>
      </c>
      <c r="C4" s="597" t="s">
        <v>158</v>
      </c>
      <c r="D4" s="87" t="s">
        <v>171</v>
      </c>
      <c r="E4" s="88" t="s">
        <v>277</v>
      </c>
      <c r="F4" s="89">
        <v>0.25</v>
      </c>
    </row>
    <row r="5" spans="2:6" ht="47.25" x14ac:dyDescent="0.2">
      <c r="B5" s="596"/>
      <c r="C5" s="598"/>
      <c r="D5" s="90" t="s">
        <v>186</v>
      </c>
      <c r="E5" s="91" t="s">
        <v>278</v>
      </c>
      <c r="F5" s="92">
        <v>0.15</v>
      </c>
    </row>
    <row r="6" spans="2:6" ht="47.25" x14ac:dyDescent="0.2">
      <c r="B6" s="596"/>
      <c r="C6" s="598"/>
      <c r="D6" s="90" t="s">
        <v>279</v>
      </c>
      <c r="E6" s="91" t="s">
        <v>280</v>
      </c>
      <c r="F6" s="92">
        <v>0.1</v>
      </c>
    </row>
    <row r="7" spans="2:6" ht="63" x14ac:dyDescent="0.2">
      <c r="B7" s="596"/>
      <c r="C7" s="598" t="s">
        <v>159</v>
      </c>
      <c r="D7" s="90" t="s">
        <v>281</v>
      </c>
      <c r="E7" s="91" t="s">
        <v>282</v>
      </c>
      <c r="F7" s="92">
        <v>0.25</v>
      </c>
    </row>
    <row r="8" spans="2:6" ht="31.5" x14ac:dyDescent="0.2">
      <c r="B8" s="596"/>
      <c r="C8" s="598"/>
      <c r="D8" s="90" t="s">
        <v>172</v>
      </c>
      <c r="E8" s="91" t="s">
        <v>283</v>
      </c>
      <c r="F8" s="92">
        <v>0.15</v>
      </c>
    </row>
    <row r="9" spans="2:6" ht="47.25" x14ac:dyDescent="0.2">
      <c r="B9" s="596" t="s">
        <v>284</v>
      </c>
      <c r="C9" s="598" t="s">
        <v>161</v>
      </c>
      <c r="D9" s="90" t="s">
        <v>173</v>
      </c>
      <c r="E9" s="91" t="s">
        <v>285</v>
      </c>
      <c r="F9" s="93" t="s">
        <v>286</v>
      </c>
    </row>
    <row r="10" spans="2:6" ht="63" x14ac:dyDescent="0.2">
      <c r="B10" s="596"/>
      <c r="C10" s="598"/>
      <c r="D10" s="90" t="s">
        <v>287</v>
      </c>
      <c r="E10" s="91" t="s">
        <v>288</v>
      </c>
      <c r="F10" s="93" t="s">
        <v>286</v>
      </c>
    </row>
    <row r="11" spans="2:6" ht="47.25" x14ac:dyDescent="0.2">
      <c r="B11" s="596"/>
      <c r="C11" s="598" t="s">
        <v>162</v>
      </c>
      <c r="D11" s="90" t="s">
        <v>174</v>
      </c>
      <c r="E11" s="91" t="s">
        <v>289</v>
      </c>
      <c r="F11" s="93" t="s">
        <v>286</v>
      </c>
    </row>
    <row r="12" spans="2:6" ht="47.25" x14ac:dyDescent="0.2">
      <c r="B12" s="596"/>
      <c r="C12" s="598"/>
      <c r="D12" s="90" t="s">
        <v>290</v>
      </c>
      <c r="E12" s="91" t="s">
        <v>291</v>
      </c>
      <c r="F12" s="93" t="s">
        <v>286</v>
      </c>
    </row>
    <row r="13" spans="2:6" ht="31.5" x14ac:dyDescent="0.2">
      <c r="B13" s="596"/>
      <c r="C13" s="598" t="s">
        <v>163</v>
      </c>
      <c r="D13" s="90" t="s">
        <v>175</v>
      </c>
      <c r="E13" s="91" t="s">
        <v>292</v>
      </c>
      <c r="F13" s="93" t="s">
        <v>286</v>
      </c>
    </row>
    <row r="14" spans="2:6" ht="32.25" thickBot="1" x14ac:dyDescent="0.25">
      <c r="B14" s="599"/>
      <c r="C14" s="600"/>
      <c r="D14" s="94" t="s">
        <v>293</v>
      </c>
      <c r="E14" s="95" t="s">
        <v>294</v>
      </c>
      <c r="F14" s="96" t="s">
        <v>286</v>
      </c>
    </row>
    <row r="15" spans="2:6" ht="49.5" customHeight="1" x14ac:dyDescent="0.2">
      <c r="B15" s="592" t="s">
        <v>295</v>
      </c>
      <c r="C15" s="592"/>
      <c r="D15" s="592"/>
      <c r="E15" s="592"/>
      <c r="F15" s="59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296</v>
      </c>
      <c r="E2" t="s">
        <v>297</v>
      </c>
    </row>
    <row r="3" spans="2:5" x14ac:dyDescent="0.25">
      <c r="B3" t="s">
        <v>298</v>
      </c>
      <c r="E3" t="s">
        <v>164</v>
      </c>
    </row>
    <row r="4" spans="2:5" x14ac:dyDescent="0.25">
      <c r="B4" t="s">
        <v>299</v>
      </c>
      <c r="E4" t="s">
        <v>180</v>
      </c>
    </row>
    <row r="5" spans="2:5" x14ac:dyDescent="0.25">
      <c r="B5" t="s">
        <v>176</v>
      </c>
    </row>
    <row r="8" spans="2:5" x14ac:dyDescent="0.25">
      <c r="B8" t="s">
        <v>300</v>
      </c>
    </row>
    <row r="9" spans="2:5" x14ac:dyDescent="0.25">
      <c r="B9" t="s">
        <v>301</v>
      </c>
    </row>
    <row r="10" spans="2:5" x14ac:dyDescent="0.25">
      <c r="B10" t="s">
        <v>302</v>
      </c>
    </row>
    <row r="13" spans="2:5" x14ac:dyDescent="0.25">
      <c r="B13" t="s">
        <v>303</v>
      </c>
    </row>
    <row r="14" spans="2:5" x14ac:dyDescent="0.25">
      <c r="B14" t="s">
        <v>168</v>
      </c>
    </row>
    <row r="15" spans="2:5" x14ac:dyDescent="0.25">
      <c r="B15" t="s">
        <v>304</v>
      </c>
    </row>
    <row r="16" spans="2:5" x14ac:dyDescent="0.25">
      <c r="B16" t="s">
        <v>305</v>
      </c>
    </row>
    <row r="17" spans="2:2" x14ac:dyDescent="0.25">
      <c r="B17" t="s">
        <v>306</v>
      </c>
    </row>
    <row r="18" spans="2:2" x14ac:dyDescent="0.25">
      <c r="B18" t="s">
        <v>307</v>
      </c>
    </row>
    <row r="19" spans="2:2" x14ac:dyDescent="0.25">
      <c r="B19" t="s">
        <v>184</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2024-04-05T15:43:13Z</dcterms:modified>
  <cp:category/>
  <cp:contentStatus/>
</cp:coreProperties>
</file>