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MRG 2024 APROBADOS CICCI\"/>
    </mc:Choice>
  </mc:AlternateContent>
  <xr:revisionPtr revIDLastSave="0" documentId="13_ncr:1_{6A66555A-56B9-4C99-B161-C6D26B6340CF}" xr6:coauthVersionLast="47" xr6:coauthVersionMax="47" xr10:uidLastSave="{00000000-0000-0000-0000-000000000000}"/>
  <bookViews>
    <workbookView xWindow="-120" yWindow="-120" windowWidth="20730" windowHeight="11040" tabRatio="88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2" i="1" l="1"/>
  <c r="Q71" i="1"/>
  <c r="H71" i="1"/>
  <c r="I72" i="1" l="1"/>
  <c r="I71" i="1"/>
  <c r="Q64" i="1" l="1"/>
  <c r="T70" i="1"/>
  <c r="T71" i="1"/>
  <c r="T72" i="1"/>
  <c r="T73" i="1"/>
  <c r="T74" i="1"/>
  <c r="T75" i="1"/>
  <c r="Q70" i="1"/>
  <c r="Q58" i="1"/>
  <c r="T46" i="1"/>
  <c r="Q46" i="1"/>
  <c r="T39" i="1"/>
  <c r="Q39" i="1"/>
  <c r="H39" i="1"/>
  <c r="T33" i="1"/>
  <c r="H64" i="1"/>
  <c r="I64" i="1" s="1"/>
  <c r="T64" i="1"/>
  <c r="K65" i="1"/>
  <c r="Q65" i="1"/>
  <c r="T65" i="1"/>
  <c r="K66" i="1"/>
  <c r="Q66" i="1"/>
  <c r="T66" i="1"/>
  <c r="K67" i="1"/>
  <c r="Q67" i="1"/>
  <c r="T67" i="1"/>
  <c r="K68" i="1"/>
  <c r="Q68" i="1"/>
  <c r="T68" i="1"/>
  <c r="K69" i="1"/>
  <c r="Q69" i="1"/>
  <c r="T69" i="1"/>
  <c r="H70" i="1"/>
  <c r="I70" i="1" s="1"/>
  <c r="K71" i="1"/>
  <c r="L71" i="1" s="1"/>
  <c r="K72" i="1"/>
  <c r="L72" i="1" s="1"/>
  <c r="Q72" i="1"/>
  <c r="K73" i="1"/>
  <c r="Q73" i="1"/>
  <c r="K74" i="1"/>
  <c r="Q74" i="1"/>
  <c r="K75" i="1"/>
  <c r="Q75" i="1"/>
  <c r="M72" i="1" l="1"/>
  <c r="N72" i="1"/>
  <c r="M71" i="1"/>
  <c r="N71" i="1"/>
  <c r="AB68" i="1"/>
  <c r="AA68" i="1" s="1"/>
  <c r="AB67" i="1"/>
  <c r="AA67" i="1" s="1"/>
  <c r="X70" i="1"/>
  <c r="X66" i="1"/>
  <c r="Z66" i="1" s="1"/>
  <c r="X75" i="1"/>
  <c r="X69" i="1"/>
  <c r="X67" i="1"/>
  <c r="X74" i="1"/>
  <c r="X68" i="1"/>
  <c r="X73" i="1"/>
  <c r="X64" i="1"/>
  <c r="AB74" i="1"/>
  <c r="AA74" i="1" s="1"/>
  <c r="AB66" i="1"/>
  <c r="AA66" i="1" s="1"/>
  <c r="AB75" i="1"/>
  <c r="AA75" i="1" s="1"/>
  <c r="AB73" i="1"/>
  <c r="AA73" i="1" s="1"/>
  <c r="AB65" i="1"/>
  <c r="AA65" i="1" s="1"/>
  <c r="AB69" i="1"/>
  <c r="AA69" i="1" s="1"/>
  <c r="X65" i="1"/>
  <c r="Y70" i="1" l="1"/>
  <c r="Z70" i="1"/>
  <c r="X71" i="1" s="1"/>
  <c r="Z71" i="1" s="1"/>
  <c r="X72" i="1" s="1"/>
  <c r="Z72" i="1" s="1"/>
  <c r="Z67" i="1"/>
  <c r="Y67" i="1"/>
  <c r="AC67" i="1" s="1"/>
  <c r="Y75" i="1"/>
  <c r="AC75" i="1" s="1"/>
  <c r="Z75" i="1"/>
  <c r="Z73" i="1"/>
  <c r="Y73" i="1"/>
  <c r="AC73" i="1" s="1"/>
  <c r="Y68" i="1"/>
  <c r="AC68" i="1" s="1"/>
  <c r="Z68" i="1"/>
  <c r="Y74" i="1"/>
  <c r="AC74" i="1" s="1"/>
  <c r="Z74" i="1"/>
  <c r="Z69" i="1"/>
  <c r="Y69" i="1"/>
  <c r="AC69" i="1" s="1"/>
  <c r="Y66" i="1"/>
  <c r="AC66" i="1" s="1"/>
  <c r="Y64" i="1"/>
  <c r="Z64" i="1"/>
  <c r="Y65" i="1"/>
  <c r="AC65" i="1" s="1"/>
  <c r="Z65" i="1"/>
  <c r="Y72" i="1" l="1"/>
  <c r="Y71" i="1"/>
  <c r="T25" i="1"/>
  <c r="T12" i="1" l="1"/>
  <c r="Q12" i="1"/>
  <c r="H12" i="1" l="1"/>
  <c r="I12" i="1" s="1"/>
  <c r="K63" i="1"/>
  <c r="K36" i="1"/>
  <c r="K20" i="1"/>
  <c r="K34" i="1"/>
  <c r="K55" i="1"/>
  <c r="K60" i="1"/>
  <c r="K35" i="1"/>
  <c r="K44" i="1"/>
  <c r="K54" i="1"/>
  <c r="K32" i="1"/>
  <c r="K41" i="1"/>
  <c r="K53" i="1"/>
  <c r="K62" i="1"/>
  <c r="K45" i="1"/>
  <c r="K29" i="1"/>
  <c r="K56" i="1"/>
  <c r="K43" i="1"/>
  <c r="K47" i="1"/>
  <c r="K24" i="1"/>
  <c r="K22" i="1"/>
  <c r="K61" i="1"/>
  <c r="K21" i="1"/>
  <c r="K37" i="1"/>
  <c r="K31" i="1"/>
  <c r="K38" i="1"/>
  <c r="K48" i="1"/>
  <c r="K23" i="1"/>
  <c r="K42" i="1"/>
  <c r="K28" i="1"/>
  <c r="K59" i="1"/>
  <c r="K49" i="1"/>
  <c r="K30" i="1"/>
  <c r="K57" i="1"/>
  <c r="K50" i="1"/>
  <c r="K51" i="1"/>
  <c r="F221" i="13" l="1"/>
  <c r="F211" i="13"/>
  <c r="F212" i="13"/>
  <c r="F213" i="13"/>
  <c r="F214" i="13"/>
  <c r="F215" i="13"/>
  <c r="F216" i="13"/>
  <c r="F217" i="13"/>
  <c r="F218" i="13"/>
  <c r="F219" i="13"/>
  <c r="F220" i="13"/>
  <c r="F210" i="13"/>
  <c r="K17" i="1"/>
  <c r="K16" i="1"/>
  <c r="K13" i="1"/>
  <c r="K14" i="1"/>
  <c r="B221" i="13" a="1"/>
  <c r="K15" i="1"/>
  <c r="B221" i="13" l="1"/>
  <c r="Q53" i="1"/>
  <c r="Q47" i="1"/>
  <c r="K70" i="1" l="1"/>
  <c r="L70" i="1" s="1"/>
  <c r="K64" i="1"/>
  <c r="L64"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N64" i="1" l="1"/>
  <c r="M64" i="1"/>
  <c r="AB64" i="1" s="1"/>
  <c r="AA64" i="1" s="1"/>
  <c r="AC64" i="1" s="1"/>
  <c r="M70" i="1"/>
  <c r="AB70" i="1" s="1"/>
  <c r="N70" i="1"/>
  <c r="T63" i="1"/>
  <c r="Q63" i="1"/>
  <c r="T62" i="1"/>
  <c r="Q62" i="1"/>
  <c r="T61" i="1"/>
  <c r="Q61" i="1"/>
  <c r="T60" i="1"/>
  <c r="Q60" i="1"/>
  <c r="T59" i="1"/>
  <c r="Q59" i="1"/>
  <c r="T58" i="1"/>
  <c r="H58" i="1"/>
  <c r="I58" i="1" s="1"/>
  <c r="T57" i="1"/>
  <c r="Q57" i="1"/>
  <c r="T56" i="1"/>
  <c r="Q56" i="1"/>
  <c r="T55" i="1"/>
  <c r="Q55" i="1"/>
  <c r="T54" i="1"/>
  <c r="Q54" i="1"/>
  <c r="T53" i="1"/>
  <c r="T52" i="1"/>
  <c r="Q52" i="1"/>
  <c r="H52" i="1"/>
  <c r="I52" i="1" s="1"/>
  <c r="T51" i="1"/>
  <c r="Q51" i="1"/>
  <c r="T50" i="1"/>
  <c r="Q50" i="1"/>
  <c r="T49" i="1"/>
  <c r="Q49" i="1"/>
  <c r="T48" i="1"/>
  <c r="Q48" i="1"/>
  <c r="T47" i="1"/>
  <c r="H46" i="1"/>
  <c r="I46" i="1" s="1"/>
  <c r="T45" i="1"/>
  <c r="Q45" i="1"/>
  <c r="T44" i="1"/>
  <c r="Q44" i="1"/>
  <c r="T43" i="1"/>
  <c r="Q43" i="1"/>
  <c r="T42" i="1"/>
  <c r="Q42" i="1"/>
  <c r="I39" i="1"/>
  <c r="T38" i="1"/>
  <c r="Q38" i="1"/>
  <c r="T37" i="1"/>
  <c r="Q37" i="1"/>
  <c r="T36" i="1"/>
  <c r="Q36" i="1"/>
  <c r="T35" i="1"/>
  <c r="Q35" i="1"/>
  <c r="T34" i="1"/>
  <c r="Q34" i="1"/>
  <c r="Q33" i="1"/>
  <c r="H33" i="1"/>
  <c r="I33" i="1" s="1"/>
  <c r="T32" i="1"/>
  <c r="Q32" i="1"/>
  <c r="T31" i="1"/>
  <c r="Q31" i="1"/>
  <c r="T30" i="1"/>
  <c r="Q30" i="1"/>
  <c r="Q25" i="1"/>
  <c r="H25" i="1"/>
  <c r="I25" i="1" s="1"/>
  <c r="H19" i="1"/>
  <c r="Q17" i="1"/>
  <c r="Q16" i="1"/>
  <c r="T24" i="1"/>
  <c r="Q24" i="1"/>
  <c r="T23" i="1"/>
  <c r="Q23" i="1"/>
  <c r="T22" i="1"/>
  <c r="Q22" i="1"/>
  <c r="T21" i="1"/>
  <c r="Q21" i="1"/>
  <c r="T18" i="1"/>
  <c r="Q18" i="1"/>
  <c r="AA70" i="1" l="1"/>
  <c r="AC70" i="1" s="1"/>
  <c r="AB71" i="1"/>
  <c r="X58" i="1"/>
  <c r="X30" i="1"/>
  <c r="X42" i="1"/>
  <c r="X50" i="1"/>
  <c r="X62" i="1"/>
  <c r="X35" i="1"/>
  <c r="X32" i="1"/>
  <c r="X44" i="1"/>
  <c r="X56" i="1"/>
  <c r="X38" i="1"/>
  <c r="X37" i="1"/>
  <c r="X36" i="1"/>
  <c r="AB59" i="1"/>
  <c r="X60" i="1"/>
  <c r="X59" i="1"/>
  <c r="X34" i="1"/>
  <c r="X33" i="1"/>
  <c r="X55" i="1"/>
  <c r="X54" i="1"/>
  <c r="X57" i="1"/>
  <c r="X61" i="1"/>
  <c r="X63" i="1"/>
  <c r="X27" i="1"/>
  <c r="X29" i="1"/>
  <c r="X31" i="1"/>
  <c r="X41" i="1"/>
  <c r="X40" i="1"/>
  <c r="X43" i="1"/>
  <c r="X45" i="1"/>
  <c r="X49" i="1"/>
  <c r="X48" i="1"/>
  <c r="X51" i="1"/>
  <c r="AB47" i="1"/>
  <c r="X47" i="1"/>
  <c r="X46" i="1"/>
  <c r="X52" i="1"/>
  <c r="AB34" i="1"/>
  <c r="AB56" i="1"/>
  <c r="AA56" i="1" s="1"/>
  <c r="AB57" i="1"/>
  <c r="AA57" i="1" s="1"/>
  <c r="I19" i="1"/>
  <c r="X19" i="1" s="1"/>
  <c r="AA71" i="1" l="1"/>
  <c r="AC71" i="1" s="1"/>
  <c r="AB72" i="1"/>
  <c r="AA72" i="1" s="1"/>
  <c r="AC72" i="1" s="1"/>
  <c r="Y58" i="1"/>
  <c r="Z58" i="1"/>
  <c r="Z59" i="1" s="1"/>
  <c r="Y57" i="1"/>
  <c r="Z57" i="1"/>
  <c r="Y56" i="1"/>
  <c r="Z56" i="1"/>
  <c r="Y52" i="1"/>
  <c r="Z52" i="1"/>
  <c r="X53" i="1" s="1"/>
  <c r="Y46" i="1"/>
  <c r="Z46" i="1"/>
  <c r="Z47" i="1" s="1"/>
  <c r="Y39" i="1"/>
  <c r="Z39" i="1"/>
  <c r="Y33" i="1"/>
  <c r="Z33" i="1"/>
  <c r="Z34" i="1" s="1"/>
  <c r="Y35" i="1" s="1"/>
  <c r="Y25" i="1"/>
  <c r="Z25" i="1"/>
  <c r="Y18" i="1"/>
  <c r="Z18" i="1"/>
  <c r="X20" i="1" s="1"/>
  <c r="X28" i="1" l="1"/>
  <c r="Y59" i="1"/>
  <c r="Y47" i="1"/>
  <c r="Y34" i="1"/>
  <c r="Y48" i="1"/>
  <c r="Z48" i="1"/>
  <c r="Z60" i="1"/>
  <c r="Y60" i="1"/>
  <c r="Z3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6" i="1"/>
  <c r="AC57" i="1"/>
  <c r="T13" i="1"/>
  <c r="T16" i="1"/>
  <c r="T17" i="1"/>
  <c r="Y61" i="1" l="1"/>
  <c r="Z61" i="1"/>
  <c r="Z30" i="1"/>
  <c r="Y54" i="1"/>
  <c r="Z54" i="1"/>
  <c r="Y53" i="1"/>
  <c r="Z53" i="1"/>
  <c r="Y42" i="1"/>
  <c r="Y37" i="1"/>
  <c r="X21" i="1"/>
  <c r="Y21" i="1" s="1"/>
  <c r="Z42" i="1" l="1"/>
  <c r="Z43" i="1" s="1"/>
  <c r="Y62" i="1"/>
  <c r="Z62" i="1"/>
  <c r="Y30" i="1"/>
  <c r="Y49" i="1"/>
  <c r="Z49" i="1"/>
  <c r="Y50" i="1" s="1"/>
  <c r="Y43" i="1"/>
  <c r="Y55" i="1"/>
  <c r="Z55" i="1"/>
  <c r="Y36" i="1"/>
  <c r="Z36" i="1"/>
  <c r="Z37" i="1"/>
  <c r="Z21" i="1"/>
  <c r="X22" i="1" s="1"/>
  <c r="Y22" i="1" s="1"/>
  <c r="Y63" i="1" l="1"/>
  <c r="Z63" i="1"/>
  <c r="Z50" i="1"/>
  <c r="Y51" i="1" s="1"/>
  <c r="Z44" i="1"/>
  <c r="Y44" i="1"/>
  <c r="Y31" i="1"/>
  <c r="Z31" i="1"/>
  <c r="Y32" i="1" s="1"/>
  <c r="Y38" i="1"/>
  <c r="Z38" i="1"/>
  <c r="Z22" i="1"/>
  <c r="X23" i="1" s="1"/>
  <c r="Z23" i="1" s="1"/>
  <c r="X24" i="1" s="1"/>
  <c r="X12" i="1"/>
  <c r="Y12" i="1" s="1"/>
  <c r="Y45" i="1" l="1"/>
  <c r="Z45" i="1"/>
  <c r="Z51" i="1"/>
  <c r="Z32" i="1"/>
  <c r="Y23" i="1"/>
  <c r="Y24" i="1"/>
  <c r="Z24" i="1"/>
  <c r="Q13" i="1"/>
  <c r="Z12" i="1" l="1"/>
  <c r="X13" i="1" s="1"/>
  <c r="Y13" i="1" l="1"/>
  <c r="Z13" i="1" l="1"/>
  <c r="X16" i="1" l="1"/>
  <c r="Y16" i="1" l="1"/>
  <c r="Z16" i="1"/>
  <c r="X17" i="1" s="1"/>
  <c r="Y17" i="1" l="1"/>
  <c r="Z17" i="1"/>
  <c r="K46" i="1" l="1"/>
  <c r="L46" i="1" s="1"/>
  <c r="K33" i="1"/>
  <c r="L33" i="1" s="1"/>
  <c r="K27" i="1"/>
  <c r="L25" i="1" s="1"/>
  <c r="K58" i="1"/>
  <c r="L58" i="1" s="1"/>
  <c r="K52" i="1"/>
  <c r="L52" i="1" s="1"/>
  <c r="K40" i="1"/>
  <c r="L39" i="1" s="1"/>
  <c r="K12" i="1"/>
  <c r="L12" i="1" s="1"/>
  <c r="K19" i="1"/>
  <c r="L19"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8" i="1"/>
  <c r="AJ42" i="18"/>
  <c r="AJ18" i="18"/>
  <c r="AD26" i="18"/>
  <c r="L10" i="18"/>
  <c r="AD10" i="18"/>
  <c r="X18" i="18"/>
  <c r="AD42" i="18"/>
  <c r="L18" i="18"/>
  <c r="R10" i="18"/>
  <c r="N58"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5" i="1"/>
  <c r="T14" i="18"/>
  <c r="T22" i="18"/>
  <c r="N6" i="18"/>
  <c r="AL30" i="18"/>
  <c r="Z22" i="18"/>
  <c r="Z14" i="18"/>
  <c r="M25" i="1"/>
  <c r="Z30" i="18"/>
  <c r="AL38" i="18"/>
  <c r="AL14" i="18"/>
  <c r="AF6" i="18"/>
  <c r="AL22" i="18"/>
  <c r="T30" i="18"/>
  <c r="Z38" i="18"/>
  <c r="AF14" i="18"/>
  <c r="N30" i="18"/>
  <c r="N14" i="18"/>
  <c r="N22" i="18"/>
  <c r="AF38" i="18"/>
  <c r="T6" i="18"/>
  <c r="M39" i="1"/>
  <c r="X32" i="18"/>
  <c r="AD32" i="18"/>
  <c r="AJ8" i="18"/>
  <c r="L16" i="18"/>
  <c r="R32" i="18"/>
  <c r="AJ32" i="18"/>
  <c r="N39" i="1"/>
  <c r="R40" i="18"/>
  <c r="AJ40" i="18"/>
  <c r="AD24" i="18"/>
  <c r="AJ24" i="18"/>
  <c r="R24" i="18"/>
  <c r="AJ16" i="18"/>
  <c r="AD8" i="18"/>
  <c r="L32" i="18"/>
  <c r="L40" i="18"/>
  <c r="R16" i="18"/>
  <c r="L24" i="18"/>
  <c r="AD16" i="18"/>
  <c r="L8" i="18"/>
  <c r="R8" i="18"/>
  <c r="X40" i="18"/>
  <c r="X8" i="18"/>
  <c r="X16" i="18"/>
  <c r="AD40" i="18"/>
  <c r="X24" i="18"/>
  <c r="M33" i="1"/>
  <c r="J40" i="18"/>
  <c r="J16" i="18"/>
  <c r="P16" i="18"/>
  <c r="V8" i="18"/>
  <c r="J8" i="18"/>
  <c r="J24" i="18"/>
  <c r="AH16" i="18"/>
  <c r="AB16" i="18"/>
  <c r="AB40" i="18"/>
  <c r="P32" i="18"/>
  <c r="P40" i="18"/>
  <c r="AH24" i="18"/>
  <c r="AB32" i="18"/>
  <c r="J32" i="18"/>
  <c r="V16" i="18"/>
  <c r="V40" i="18"/>
  <c r="AH32" i="18"/>
  <c r="V24" i="18"/>
  <c r="V32" i="18"/>
  <c r="AH8" i="18"/>
  <c r="AB8" i="18"/>
  <c r="P8" i="18"/>
  <c r="N33" i="1"/>
  <c r="AH40" i="18"/>
  <c r="AB24" i="18"/>
  <c r="P24" i="18"/>
  <c r="AD38" i="18"/>
  <c r="L30" i="18"/>
  <c r="AD30" i="18"/>
  <c r="AJ6" i="18"/>
  <c r="L14" i="18"/>
  <c r="L22" i="18"/>
  <c r="X6" i="18"/>
  <c r="L6" i="18"/>
  <c r="N19" i="1"/>
  <c r="R38" i="18"/>
  <c r="AJ38" i="18"/>
  <c r="L38" i="18"/>
  <c r="AD6" i="18"/>
  <c r="R6" i="18"/>
  <c r="AJ30" i="18"/>
  <c r="R30" i="18"/>
  <c r="AD22" i="18"/>
  <c r="AJ14" i="18"/>
  <c r="AJ22" i="18"/>
  <c r="AD14" i="18"/>
  <c r="X38" i="18"/>
  <c r="X14" i="18"/>
  <c r="R22" i="18"/>
  <c r="X22" i="18"/>
  <c r="M19"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52" i="1"/>
  <c r="AH34" i="18"/>
  <c r="AH42" i="18"/>
  <c r="AH18" i="18"/>
  <c r="AB10" i="18"/>
  <c r="J26" i="18"/>
  <c r="V18" i="18"/>
  <c r="V42" i="18"/>
  <c r="J42" i="18"/>
  <c r="P10" i="18"/>
  <c r="AB26" i="18"/>
  <c r="J34" i="18"/>
  <c r="J18" i="18"/>
  <c r="AH10" i="18"/>
  <c r="AB34" i="18"/>
  <c r="P26" i="18"/>
  <c r="P34" i="18"/>
  <c r="V34" i="18"/>
  <c r="AH26" i="18"/>
  <c r="J10" i="18"/>
  <c r="N52" i="1"/>
  <c r="P18" i="18"/>
  <c r="AB42" i="18"/>
  <c r="V10" i="18"/>
  <c r="AB18" i="18"/>
  <c r="P42" i="18"/>
  <c r="V26" i="18"/>
  <c r="Z32" i="18"/>
  <c r="N24" i="18"/>
  <c r="AL32" i="18"/>
  <c r="AL40" i="18"/>
  <c r="N8" i="18"/>
  <c r="AF24" i="18"/>
  <c r="Z40" i="18"/>
  <c r="Z16" i="18"/>
  <c r="N32" i="18"/>
  <c r="T32" i="18"/>
  <c r="N40" i="18"/>
  <c r="T8" i="18"/>
  <c r="M46" i="1"/>
  <c r="AF32" i="18"/>
  <c r="AL8" i="18"/>
  <c r="T24" i="18"/>
  <c r="N16" i="18"/>
  <c r="T16" i="18"/>
  <c r="Z24" i="18"/>
  <c r="AF16" i="18"/>
  <c r="N46" i="1"/>
  <c r="T40" i="18"/>
  <c r="AF8" i="18"/>
  <c r="AL24" i="18"/>
  <c r="Z8" i="18"/>
  <c r="AF40" i="18"/>
  <c r="AL16" i="18"/>
  <c r="AB33" i="1" l="1"/>
  <c r="AA33" i="1" s="1"/>
  <c r="AB46" i="1"/>
  <c r="AA46" i="1" s="1"/>
  <c r="AB58" i="1"/>
  <c r="AA58" i="1" s="1"/>
  <c r="AA12" i="1"/>
  <c r="AB18" i="1"/>
  <c r="AB25" i="1"/>
  <c r="AB52" i="1"/>
  <c r="AB39" i="1"/>
  <c r="AA39" i="1" s="1"/>
  <c r="AA52" i="1" l="1"/>
  <c r="V22" i="19" s="1"/>
  <c r="AB53" i="1"/>
  <c r="AA53" i="1" s="1"/>
  <c r="AA25" i="1"/>
  <c r="P18" i="19" s="1"/>
  <c r="AA18" i="1"/>
  <c r="J47" i="19" s="1"/>
  <c r="AB21" i="1"/>
  <c r="J40" i="19"/>
  <c r="V30" i="19"/>
  <c r="AH20" i="19"/>
  <c r="J30" i="19"/>
  <c r="V20" i="19"/>
  <c r="AH10" i="19"/>
  <c r="P10" i="19"/>
  <c r="AB50" i="19"/>
  <c r="J50" i="19"/>
  <c r="AB40" i="19"/>
  <c r="P30" i="19"/>
  <c r="V50" i="19"/>
  <c r="P50" i="19"/>
  <c r="AB10" i="19"/>
  <c r="AH30" i="19"/>
  <c r="AH40" i="19"/>
  <c r="J10" i="19"/>
  <c r="AB20" i="19"/>
  <c r="AH50" i="19"/>
  <c r="AC39" i="1"/>
  <c r="V10" i="19"/>
  <c r="P20" i="19"/>
  <c r="J20" i="19"/>
  <c r="P40" i="19"/>
  <c r="V40" i="19"/>
  <c r="AB30" i="19"/>
  <c r="J11" i="19"/>
  <c r="V11" i="19"/>
  <c r="AB21" i="19"/>
  <c r="P31" i="19"/>
  <c r="J31" i="19"/>
  <c r="AB41" i="19"/>
  <c r="AC46"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H17" i="19"/>
  <c r="AC58"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3"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5" i="1"/>
  <c r="AH8" i="19"/>
  <c r="AB28" i="19"/>
  <c r="P38" i="19"/>
  <c r="J28" i="19"/>
  <c r="V38" i="19"/>
  <c r="AH38" i="19"/>
  <c r="V8" i="19"/>
  <c r="AH28" i="19"/>
  <c r="P48" i="19"/>
  <c r="V28" i="19"/>
  <c r="AB38" i="19"/>
  <c r="AB18" i="19"/>
  <c r="AH18" i="19"/>
  <c r="V48" i="19"/>
  <c r="J8" i="19"/>
  <c r="P28" i="19"/>
  <c r="P8" i="19"/>
  <c r="J18" i="19"/>
  <c r="J38" i="19"/>
  <c r="AA13" i="1"/>
  <c r="AB42" i="1"/>
  <c r="AA47" i="1"/>
  <c r="AB48" i="1"/>
  <c r="AA48" i="1" s="1"/>
  <c r="AB49" i="1"/>
  <c r="AB54" i="1"/>
  <c r="AA54" i="1" s="1"/>
  <c r="AB55" i="1"/>
  <c r="AA55" i="1" s="1"/>
  <c r="AA59" i="1"/>
  <c r="AB60" i="1"/>
  <c r="AA34" i="1"/>
  <c r="AB35" i="1"/>
  <c r="V18" i="19" l="1"/>
  <c r="AH48" i="19"/>
  <c r="AB48" i="19"/>
  <c r="AB8" i="19"/>
  <c r="J48" i="19"/>
  <c r="P47" i="19"/>
  <c r="V27" i="19"/>
  <c r="P7" i="19"/>
  <c r="V37" i="19"/>
  <c r="J7" i="19"/>
  <c r="AB17" i="19"/>
  <c r="P17" i="19"/>
  <c r="AH32" i="19"/>
  <c r="AB52" i="19"/>
  <c r="J32" i="19"/>
  <c r="V12" i="19"/>
  <c r="J42" i="19"/>
  <c r="J12" i="19"/>
  <c r="J22" i="19"/>
  <c r="AB12" i="19"/>
  <c r="AC52"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W27" i="19"/>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7"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4" i="1"/>
  <c r="AD12" i="19"/>
  <c r="AD32" i="19"/>
  <c r="AD22" i="19"/>
  <c r="X52" i="19"/>
  <c r="AD52" i="19"/>
  <c r="L42" i="19"/>
  <c r="R42" i="19"/>
  <c r="AJ21" i="19"/>
  <c r="AD31" i="19"/>
  <c r="R21" i="19"/>
  <c r="AD41" i="19"/>
  <c r="AJ11" i="19"/>
  <c r="AJ51" i="19"/>
  <c r="AC48" i="1"/>
  <c r="L41" i="19"/>
  <c r="AD11" i="19"/>
  <c r="L21" i="19"/>
  <c r="L11" i="19"/>
  <c r="X51" i="19"/>
  <c r="X21" i="19"/>
  <c r="R11" i="19"/>
  <c r="R31" i="19"/>
  <c r="AJ41" i="19"/>
  <c r="L31" i="19"/>
  <c r="R51" i="19"/>
  <c r="X31" i="19"/>
  <c r="X11" i="19"/>
  <c r="X41" i="19"/>
  <c r="AJ31" i="19"/>
  <c r="AD51" i="19"/>
  <c r="R41" i="19"/>
  <c r="AD21" i="19"/>
  <c r="L51" i="19"/>
  <c r="AB22" i="1"/>
  <c r="AA21" i="1"/>
  <c r="AA35" i="1"/>
  <c r="AB36" i="1"/>
  <c r="AA60" i="1"/>
  <c r="AB61" i="1"/>
  <c r="K42" i="19"/>
  <c r="AC32" i="19"/>
  <c r="W42" i="19"/>
  <c r="AI52" i="19"/>
  <c r="K22" i="19"/>
  <c r="Q32" i="19"/>
  <c r="AI12" i="19"/>
  <c r="AC52" i="19"/>
  <c r="Q42" i="19"/>
  <c r="AC42" i="19"/>
  <c r="K12" i="19"/>
  <c r="Q22" i="19"/>
  <c r="W52" i="19"/>
  <c r="AI42" i="19"/>
  <c r="W32" i="19"/>
  <c r="AI22" i="19"/>
  <c r="W12" i="19"/>
  <c r="AI32" i="19"/>
  <c r="AC12" i="19"/>
  <c r="Q12" i="19"/>
  <c r="Q52" i="19"/>
  <c r="AC53"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30" i="1"/>
  <c r="K39" i="19"/>
  <c r="AC39" i="19"/>
  <c r="W29" i="19"/>
  <c r="AI49" i="19"/>
  <c r="W9" i="19"/>
  <c r="AC19" i="19"/>
  <c r="Q49" i="19"/>
  <c r="W49" i="19"/>
  <c r="AC9" i="19"/>
  <c r="AI9" i="19"/>
  <c r="Q29" i="19"/>
  <c r="W39" i="19"/>
  <c r="Q39" i="19"/>
  <c r="AC34"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9" i="1"/>
  <c r="Q33" i="19"/>
  <c r="AI23" i="19"/>
  <c r="K53" i="19"/>
  <c r="AC23" i="19"/>
  <c r="AC13" i="19"/>
  <c r="W23" i="19"/>
  <c r="W33" i="19"/>
  <c r="Q13" i="19"/>
  <c r="W13" i="19"/>
  <c r="AI13" i="19"/>
  <c r="Q43" i="19"/>
  <c r="Q23" i="19"/>
  <c r="W53" i="19"/>
  <c r="M12" i="19"/>
  <c r="AK42" i="19"/>
  <c r="AE32" i="19"/>
  <c r="AC55" i="1"/>
  <c r="M52" i="19"/>
  <c r="S12" i="19"/>
  <c r="M32" i="19"/>
  <c r="S52" i="19"/>
  <c r="Y52" i="19"/>
  <c r="Y42" i="19"/>
  <c r="AK12" i="19"/>
  <c r="S22" i="19"/>
  <c r="AE12" i="19"/>
  <c r="Y22" i="19"/>
  <c r="S32" i="19"/>
  <c r="AK52" i="19"/>
  <c r="M22" i="19"/>
  <c r="AK32" i="19"/>
  <c r="AE22" i="19"/>
  <c r="AE42" i="19"/>
  <c r="Y32" i="19"/>
  <c r="M42" i="19"/>
  <c r="Y12" i="19"/>
  <c r="AE52" i="19"/>
  <c r="AK22" i="19"/>
  <c r="S42" i="19"/>
  <c r="AA49" i="1"/>
  <c r="AB51" i="1"/>
  <c r="AA51" i="1" s="1"/>
  <c r="AB50" i="1"/>
  <c r="AA50" i="1" s="1"/>
  <c r="AA42" i="1"/>
  <c r="AB43"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W7" i="19"/>
  <c r="Q47" i="19"/>
  <c r="Q37" i="19"/>
  <c r="AC47" i="19"/>
  <c r="W17" i="19"/>
  <c r="AA16" i="1"/>
  <c r="AB17" i="1"/>
  <c r="AA17" i="1" s="1"/>
  <c r="R40" i="19"/>
  <c r="AD10" i="19"/>
  <c r="X40" i="19"/>
  <c r="AJ10" i="19"/>
  <c r="R50" i="19"/>
  <c r="X10" i="19"/>
  <c r="R30" i="19"/>
  <c r="AC42" i="1"/>
  <c r="L10" i="19"/>
  <c r="L50" i="19"/>
  <c r="AJ20" i="19"/>
  <c r="AJ40" i="19"/>
  <c r="AD30" i="19"/>
  <c r="R20" i="19"/>
  <c r="AD50" i="19"/>
  <c r="AJ30" i="19"/>
  <c r="AJ50" i="19"/>
  <c r="X30" i="19"/>
  <c r="AD20" i="19"/>
  <c r="L40" i="19"/>
  <c r="X50" i="19"/>
  <c r="X20" i="19"/>
  <c r="AD40" i="19"/>
  <c r="R10" i="19"/>
  <c r="L30" i="19"/>
  <c r="L20" i="19"/>
  <c r="AA61" i="1"/>
  <c r="AB62" i="1"/>
  <c r="AD47" i="19"/>
  <c r="AJ27" i="19"/>
  <c r="AD27" i="19"/>
  <c r="AJ7" i="19"/>
  <c r="AJ37" i="19"/>
  <c r="L27" i="19"/>
  <c r="AD17" i="19"/>
  <c r="L37" i="19"/>
  <c r="R17" i="19"/>
  <c r="AJ17" i="19"/>
  <c r="X7" i="19"/>
  <c r="X47" i="19"/>
  <c r="L7" i="19"/>
  <c r="L17" i="19"/>
  <c r="R27" i="19"/>
  <c r="X27" i="19"/>
  <c r="R7" i="19"/>
  <c r="X17" i="19"/>
  <c r="AJ47" i="19"/>
  <c r="L47" i="19"/>
  <c r="R37" i="19"/>
  <c r="AD7" i="19"/>
  <c r="X37" i="19"/>
  <c r="AC21" i="1"/>
  <c r="R47" i="19"/>
  <c r="AD37" i="19"/>
  <c r="AB31" i="1"/>
  <c r="AA31" i="1" s="1"/>
  <c r="AA30" i="1"/>
  <c r="AB32" i="1"/>
  <c r="AA32" i="1" s="1"/>
  <c r="AJ43" i="19"/>
  <c r="AD33" i="19"/>
  <c r="X33" i="19"/>
  <c r="X13" i="19"/>
  <c r="AD43" i="19"/>
  <c r="L43" i="19"/>
  <c r="AC60" i="1"/>
  <c r="X23" i="19"/>
  <c r="R33" i="19"/>
  <c r="R43" i="19"/>
  <c r="AD53" i="19"/>
  <c r="AJ13" i="19"/>
  <c r="R23" i="19"/>
  <c r="R13" i="19"/>
  <c r="AJ53" i="19"/>
  <c r="L33" i="19"/>
  <c r="L23" i="19"/>
  <c r="X43" i="19"/>
  <c r="X53" i="19"/>
  <c r="AD13" i="19"/>
  <c r="L53" i="19"/>
  <c r="L13" i="19"/>
  <c r="AD23" i="19"/>
  <c r="AJ33" i="19"/>
  <c r="AJ23" i="19"/>
  <c r="R53" i="19"/>
  <c r="AA22" i="1"/>
  <c r="AB23"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50"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51" i="1"/>
  <c r="AG11" i="19"/>
  <c r="AM41" i="19"/>
  <c r="AA21" i="19"/>
  <c r="AA51" i="19"/>
  <c r="U51" i="19"/>
  <c r="U31" i="19"/>
  <c r="AA11" i="19"/>
  <c r="AG21" i="19"/>
  <c r="O31" i="19"/>
  <c r="AA36" i="1"/>
  <c r="AB37" i="1"/>
  <c r="AA37" i="1" s="1"/>
  <c r="AB38" i="1"/>
  <c r="AA38"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3" i="1"/>
  <c r="AB44" i="1"/>
  <c r="AE11" i="19"/>
  <c r="Y41" i="19"/>
  <c r="M41" i="19"/>
  <c r="Y21" i="19"/>
  <c r="AK41" i="19"/>
  <c r="S31" i="19"/>
  <c r="M31" i="19"/>
  <c r="M51" i="19"/>
  <c r="Y51" i="19"/>
  <c r="AK21" i="19"/>
  <c r="AK31" i="19"/>
  <c r="Y11" i="19"/>
  <c r="AE41" i="19"/>
  <c r="AE21" i="19"/>
  <c r="S51" i="19"/>
  <c r="AE51" i="19"/>
  <c r="AK51" i="19"/>
  <c r="M21" i="19"/>
  <c r="AE31" i="19"/>
  <c r="AC49"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5" i="1"/>
  <c r="AD9" i="19"/>
  <c r="AJ49" i="19"/>
  <c r="L39" i="19"/>
  <c r="R19" i="19"/>
  <c r="AJ39" i="19"/>
  <c r="AJ29" i="19"/>
  <c r="AJ19" i="19"/>
  <c r="AJ9" i="19"/>
  <c r="AD49" i="19"/>
  <c r="L19" i="19"/>
  <c r="L29" i="19"/>
  <c r="R49" i="19"/>
  <c r="AA44" i="1" l="1"/>
  <c r="AB45" i="1"/>
  <c r="AA45" i="1" s="1"/>
  <c r="AG39" i="19"/>
  <c r="AG29" i="19"/>
  <c r="AM19" i="19"/>
  <c r="O39" i="19"/>
  <c r="AC38"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30"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3"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7" i="1"/>
  <c r="T19" i="19"/>
  <c r="AL49" i="19"/>
  <c r="T29" i="19"/>
  <c r="AF29" i="19"/>
  <c r="T18" i="19"/>
  <c r="N48" i="19"/>
  <c r="N8" i="19"/>
  <c r="T28" i="19"/>
  <c r="AF38" i="19"/>
  <c r="Z28" i="19"/>
  <c r="Z18" i="19"/>
  <c r="AF8" i="19"/>
  <c r="AC31"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6" i="1"/>
  <c r="M9" i="19"/>
  <c r="Y29" i="19"/>
  <c r="AA62" i="1"/>
  <c r="AB63" i="1"/>
  <c r="AA63"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4" i="1"/>
  <c r="AA24" i="1" s="1"/>
  <c r="AA23" i="1"/>
  <c r="O8" i="19"/>
  <c r="AA48" i="19"/>
  <c r="AM38" i="19"/>
  <c r="U48" i="19"/>
  <c r="AA18" i="19"/>
  <c r="AG18" i="19"/>
  <c r="AG48" i="19"/>
  <c r="AM18" i="19"/>
  <c r="AA28" i="19"/>
  <c r="AG28" i="19"/>
  <c r="AA8" i="19"/>
  <c r="U18" i="19"/>
  <c r="AG38" i="19"/>
  <c r="U38" i="19"/>
  <c r="AM8" i="19"/>
  <c r="AA38" i="19"/>
  <c r="AM48" i="19"/>
  <c r="U28" i="19"/>
  <c r="O38" i="19"/>
  <c r="U8" i="19"/>
  <c r="AG8" i="19"/>
  <c r="AC32"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1"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3"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2" i="1"/>
  <c r="T53" i="19"/>
  <c r="AL33" i="19"/>
  <c r="T13" i="19"/>
  <c r="Z33" i="19"/>
  <c r="Z47" i="19"/>
  <c r="T7" i="19"/>
  <c r="AL37" i="19"/>
  <c r="T17" i="19"/>
  <c r="Z17" i="19"/>
  <c r="AF7" i="19"/>
  <c r="AF37" i="19"/>
  <c r="N17" i="19"/>
  <c r="AF27" i="19"/>
  <c r="AC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5"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4" i="1"/>
  <c r="AA17" i="19"/>
  <c r="O7" i="19"/>
  <c r="AA37" i="19"/>
  <c r="AA27" i="19"/>
  <c r="AM27" i="19"/>
  <c r="U17" i="19"/>
  <c r="U47" i="19"/>
  <c r="AG17" i="19"/>
  <c r="O47" i="19"/>
  <c r="Z40" i="19"/>
  <c r="AC44"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<sst xmlns="http://schemas.openxmlformats.org/spreadsheetml/2006/main" count="567" uniqueCount="350">
  <si>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</si>
  <si>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</si>
  <si>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</si>
  <si>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</si>
  <si>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</si>
  <si>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</si>
  <si>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</si>
  <si>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</si>
  <si>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</si>
  <si>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</si>
  <si>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</si>
  <si>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</si>
  <si>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</si>
  <si>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</si>
  <si>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</si>
  <si>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</si>
  <si>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</si>
  <si>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</si>
  <si>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</si>
  <si>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</si>
  <si>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</si>
  <si>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</si>
  <si>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</si>
  <si>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</si>
  <si>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</si>
  <si>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</si>
  <si>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</si>
  <si>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</si>
  <si>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</si>
  <si>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</si>
  <si>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</si>
  <si>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</si>
  <si>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</si>
  <si>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</si>
  <si>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</si>
  <si>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</si>
  <si>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</si>
  <si>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</si>
  <si>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</si>
  <si>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</si>
  <si>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</si>
  <si>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</si>
  <si>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</si>
  <si>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</si>
  <si>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</si>
  <si>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</si>
  <si>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</si>
  <si>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</si>
  <si>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</si>
  <si>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</si>
  <si>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</si>
  <si>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</si>
  <si>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</si>
  <si>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</si>
  <si>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</si>
  <si>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</si>
  <si>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</si>
  <si>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</si>
  <si>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</si>
  <si>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</si>
  <si>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</si>
  <si>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</si>
  <si>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</si>
  <si>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</si>
  <si>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</si>
  <si>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</si>
  <si>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</si>
  <si>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</si>
  <si>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</si>
  <si>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</si>
  <si>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</si>
  <si>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</si>
  <si>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</si>
  <si>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</si>
  <si>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28-2021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</si>
  <si>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</si>
  <si>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</si>
  <si>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</si>
  <si>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 xml:space="preserve">GESTIÓN Y DESARROLLO DE LA INFRAESTRUCTURA </t>
  </si>
  <si>
    <t>ALCANCE:</t>
  </si>
  <si>
    <t>Inicia con gestión transparente en la contratación y termina en ejecución de obras que contribuyan al mejoramiento de la calidad de vida de los ciudadanos. n de  informes  de seguimiento  y  su retroalimentación a  todos los procesos, y finaliza con el tratamiento de Acciones Correctivas, Preventivas y de Mejora, y Planes de Mejoramiento planteados y/o actualizados</t>
  </si>
  <si>
    <t>OBJETIVOS ESTRATÉGICOS</t>
  </si>
  <si>
    <t>OBJETIVO DEL PROCESO</t>
  </si>
  <si>
    <t>PLANEACIÓN INSTITUCIONAL</t>
  </si>
  <si>
    <t>PUNTOS DE RIESGO EN LA CADENA DE VALOR</t>
  </si>
  <si>
    <t xml:space="preserve">Diseñar, construir y mantener la infraestructura del municipio de Bucaramanga, a través de la gestión transparente en la contratación y ejecución de obras, que contribuya al mejoramiento de la calidad de vida de los ciudadanos  </t>
  </si>
  <si>
    <t xml:space="preserve">Estudios y diseños
Obras en construcción 
Mantenimientos realizados 
Servicio de alumbrado público 
</t>
  </si>
  <si>
    <t xml:space="preserve">Estudios y diseños
Procesos de contratación de obras públicas
 </t>
  </si>
  <si>
    <t>MATRIZ DOFA</t>
  </si>
  <si>
    <t>DEBILIDADES</t>
  </si>
  <si>
    <t>AMENAZAS</t>
  </si>
  <si>
    <t>La pérdida de la curva de aprendizaje por la no continuidad del personal contratista</t>
  </si>
  <si>
    <t xml:space="preserve">Crisis económica </t>
  </si>
  <si>
    <t>Pérdida de confianza por parte de la comunidad, hacía la institución</t>
  </si>
  <si>
    <t>Emergencias sanitarias</t>
  </si>
  <si>
    <t xml:space="preserve">Falta de un sistema eficaz que optimice  la trazabilidad y respuesta oportuna de las PQRSD </t>
  </si>
  <si>
    <t xml:space="preserve">Diferencias políticas con veedurías ciudadanas y entes de control </t>
  </si>
  <si>
    <t xml:space="preserve">Falta de un sistema que distinga y especifique los proyectos de infraestructura existentes en tiempo real </t>
  </si>
  <si>
    <t xml:space="preserve">Cambios constantes en la normatividad legal vigente </t>
  </si>
  <si>
    <t>FORTALEZAS</t>
  </si>
  <si>
    <t>OPORTUNIDADES</t>
  </si>
  <si>
    <t>Experiencia y compromisos de los servidores públicos vinculados al proceso</t>
  </si>
  <si>
    <t xml:space="preserve">La participación de la comunidad en el desarrollo y estructuración de los proyectos de infraestructura </t>
  </si>
  <si>
    <t>Cumplimiento en el seguimiento al Plan de Desarrollo en sus líneas de acción</t>
  </si>
  <si>
    <t xml:space="preserve">Gestión en habilidades comportamentales o conductuales para los servidores públicos. </t>
  </si>
  <si>
    <t xml:space="preserve">Fortalecimiento de los servicios públicos rurales </t>
  </si>
  <si>
    <t xml:space="preserve">Reactivación económica por medio de obras de infraestructura </t>
  </si>
  <si>
    <t xml:space="preserve">Inversión y mejoramiento del alumbrado público </t>
  </si>
  <si>
    <t xml:space="preserve">Equipo de defensa en acciones constitucionales </t>
  </si>
  <si>
    <t>Matriz Mapa Riesgos de Gestión</t>
  </si>
  <si>
    <t>Código: F-DPM-1210-238,37-013</t>
  </si>
  <si>
    <t>Versión: 3.0</t>
  </si>
  <si>
    <t>Fecha Aprobación: Octubre-19-2021</t>
  </si>
  <si>
    <t xml:space="preserve">Página: 1 de 1 </t>
  </si>
  <si>
    <t>Proceso:</t>
  </si>
  <si>
    <t xml:space="preserve">GESTION Y DESARROLLO DE LA INFRAESTRUCTURA </t>
  </si>
  <si>
    <t>Objetivo:</t>
  </si>
  <si>
    <t>Diseñar, construir y mantener la infraestructura del municipio de Bucaramanga, a través de la gestión transparente en la contratación y ejecución de obras, que contribuya al mejoramiento de la calidad de vida de los ciudadanos</t>
  </si>
  <si>
    <t>Alcance:</t>
  </si>
  <si>
    <t>Inicia con gestión transparente en la contratación y termina en ejecución de obras que contribuya al mejoramiento de la calidad de vida de los ciudadanos</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</si>
  <si>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</si>
  <si>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</si>
  <si>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</si>
  <si>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</si>
  <si>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</si>
  <si>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</si>
  <si>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</si>
  <si>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</si>
  <si>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</si>
  <si>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</si>
  <si>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</si>
  <si>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</si>
  <si>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</si>
  <si>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</si>
  <si>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</si>
  <si>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</si>
  <si>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</si>
  <si>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</si>
  <si>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</si>
  <si>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</si>
  <si>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</si>
  <si>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</si>
  <si>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</si>
  <si>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</si>
  <si>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</si>
  <si>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</si>
  <si>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</si>
  <si>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</si>
  <si>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</si>
  <si>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 y Reputacional</t>
  </si>
  <si>
    <t>Investigaciones disciplinarias y fiscales promovidas por  entes de control</t>
  </si>
  <si>
    <t>Inadecuada planeación y diseños de las obras para beneficio de la comunidad y entrega tardía de los servicios..</t>
  </si>
  <si>
    <t xml:space="preserve">Posibilidad de afectación económica y  reputacional por posibles  investigaciones disciplinarias y fiscales promovidas por entes de control debido a la inadecuada planeación y diseños de las obras para beneficio de la comunidad y entrega tardía de los servicios . </t>
  </si>
  <si>
    <t>Ejecucion y Administracion de procesos</t>
  </si>
  <si>
    <t xml:space="preserve">     El riesgo afecta la imagen de de la entidad con efecto publicitario sostenido a nivel de sector administrativo, nivel departamental o municipal</t>
  </si>
  <si>
    <t>El Secretario de Infraestructura realiza el seguimiento al equipo de diseño en la aplicación de los lineamientos e instrucciones necesarias para el desarrollo de los estudios y diseños de los proyectos de infraestructura a contratar.</t>
  </si>
  <si>
    <t>Preventivo</t>
  </si>
  <si>
    <t>Manual</t>
  </si>
  <si>
    <t>Documentado</t>
  </si>
  <si>
    <t>Continua</t>
  </si>
  <si>
    <t>Con Registro</t>
  </si>
  <si>
    <t>Reducir (mitigar)</t>
  </si>
  <si>
    <t>Realizar dos (2) reuniones por trimestre de acompañamiento al equipo de diseño en la aplicación  de los  lineamientos para tener en cuenta durante el desarrollo de los diseños de obra.</t>
  </si>
  <si>
    <t>El Secretario de Infraestructura junto con el personal asignado al taller de arquitectura y supervisores realizan seguimiento y verificación para que los estudios y diseños estén acordes a las necesidades de la comunidad y en cumplimiento con la normatividad vigente y los objetivos institucionales.</t>
  </si>
  <si>
    <t>Realizar un (1) informe trimestral de seguimiento a los estudios y diseños en construcción</t>
  </si>
  <si>
    <t>16/12/204</t>
  </si>
  <si>
    <t xml:space="preserve">Posibles investigaciones, sanciones y/o condenas promovidas por entes de control </t>
  </si>
  <si>
    <t xml:space="preserve">Inadecuada aplicación del PROCEDIMIENTO PARA APROBACIÓN Y AMPLIACIÓN DE GARANTIAS P-GDI -5000-170-011 en el proceso de contratación y ejecución </t>
  </si>
  <si>
    <t xml:space="preserve">Posibilidad de afectación económica y reputacional, por posibles investigaciones, sanciones y/o condenas promovidas por entes de control, debido a la inadecuada aplicación del PROCEDIMIENTO PARA APROBACIÓN Y AMPLIACIÓN DE GARANTIAS P-GDI -5000-170-011 en el proceso de contratación y ejecución </t>
  </si>
  <si>
    <t xml:space="preserve">     El riesgo afecta la imagen de la entidad con algunos usuarios de relevancia frente al logro de los objetivos</t>
  </si>
  <si>
    <t>El Secretario de Infraestructura da las directrices para la aplicación del PROCEDIMIENTO PARA APROBACIÓN Y AMPLIACIÓN DE GARANTIAS P-GDI -5000-170-011 en el proceso de contratación de la Dependencia</t>
  </si>
  <si>
    <t>Emitir una (1) circular dirigida al personal encargado del proceso de contratación de la Secretaría de Infraestructura y socializar la aplicación del PROCEDIMIENTO PARA APROBACIÓN Y AMPLIACIÓN DE GARANTIAS P-GDI -5000-170-011</t>
  </si>
  <si>
    <t>Secretario de Infraestructura -
Líder de Contratación</t>
  </si>
  <si>
    <t>Realizar un (1) seguimiento semestral aleatorio a la aplicación del PROCEDIMIENTO PARA APROBACIÓN Y AMPLIACIÓN DE GARANTIAS P-GDI -5000-170-011 al 50% de los contratos suscritos por la Secretaría de Infraestructura.</t>
  </si>
  <si>
    <t>Secretario de Infraestructura -
Profesional designado</t>
  </si>
  <si>
    <t>Investigaciones disciplinarias y fiscales promovidas por entes de control</t>
  </si>
  <si>
    <t xml:space="preserve">Suscripción de contratos sin haber surtido el proceso de registro y/o actualización del proyecto de inversión </t>
  </si>
  <si>
    <t>Posibilidad de afectación económica y reputacional, por posibles investigaciones disciplinarias y fiscales promovidas por entes de control, debido a la suscripción de contratos sin haber surtido el proceso de registro y/o actualización del proyecto de inversión.</t>
  </si>
  <si>
    <t xml:space="preserve">     Entre 100 y 500 SMLMV </t>
  </si>
  <si>
    <t>El Secretario de Infraestructura impartirá directrices al personal responsable de presupuesto y formuladores de proyectos de inversión, sobre los requerimientos para surtir el proceso de registro y/o actualización de proyectos en el marco de las normas vigentes.</t>
  </si>
  <si>
    <t>Emitir una (1) circular que contenga los lineamientos de articulación del equipo de presupuesto y formuladores de proyectos de inversión con el fin de surtir el proceso de registro y/o actualización de proyectos en el marco de las normas vigentes, previo a la expedición del CDP.</t>
  </si>
  <si>
    <t>Secretario de Infraestructura -
Subsecretaria</t>
  </si>
  <si>
    <t xml:space="preserve">Realizar una socialización semestral, relacionada con la circular emitida con los lineamientos de articulación del equipo de presupuesto y formuladores de proyectos de inversión, para surtir el proceso de registros y actualización de proyectos. </t>
  </si>
  <si>
    <t>Subsecretaria de Infraestructura -
Profesional designado</t>
  </si>
  <si>
    <t>Realizar un (1) informe trimestral de seguimiento aleatorio al 20% de los contratos suscritos por la Secretaría de Infraestructura, que cumplan con el proceso de registro y/o actualización del proyecto de inversión, en el Banco de Proyectos.</t>
  </si>
  <si>
    <t xml:space="preserve">Secretario de Infraestructura -
Personal designado </t>
  </si>
  <si>
    <t>Investigaciones disciplinarias y sanciones por entes de control.</t>
  </si>
  <si>
    <t>Incumplimiento de la normatividad archivística en los documentos emanados por  la Secretaría de Infraestructura</t>
  </si>
  <si>
    <t>Posibilidad de afectación económica y reputacional por posibles investigaciones y sanciones disciplinarias por entes de control, debido al incumplimiento de la Ley 594 del 2000 en los documentos emanados por la Secretaría de Infraestructura.</t>
  </si>
  <si>
    <t>El profesional asignado del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vigentes y las directrices del Archivo General de la Nación</t>
  </si>
  <si>
    <t>Realizar las Transferencias documentales de la Secretaría de Infraestructura en los tiempos establecidos en el cronograma del Archivo Central.</t>
  </si>
  <si>
    <t>Profesional Asignado</t>
  </si>
  <si>
    <t>Investigaciones  y sanciones disciplinarias por entes de control</t>
  </si>
  <si>
    <t>Inconsistencias en el cumplimiento de la norma NTC 6047 respecto a accesibilidad de los parques construidos, escenarios deportivos y proyectos de intervención al espacio público en fases de diseño o licitación</t>
  </si>
  <si>
    <t>Posibilidad de afectación económica y reputacional por posibles investigaciones y sanciones disciplinarias por entes de control debido a inconsistencias en el cumplimiento de la norma NTC 6047 respecto a accesibilidad de los parques construidos, escenarios deportivos y proyectos de intervención al espacio público en fases de diseño o licitación, esto por la inapropiada implementación de los principios de diseño universal e indebida aplicación de la normatividad vigente y actualizada sobre la temática.</t>
  </si>
  <si>
    <t xml:space="preserve">     Mayor a 500 SMLMV </t>
  </si>
  <si>
    <t>El Secretario de Infraestructura y el equipo del taller de arquitectura realizan seguimiento y verificación para que los estudios y diseños de los proyectos de obra estén acordes a los lineamientos de diseño en cumplimiento a las NTCs vigentes y a los objetivos institucionales.</t>
  </si>
  <si>
    <t>Realizar una (1) socialización semestral dirigidas al personal del taller de arquitectura, supervisores e interventores en la norma NTC 6047 y demás normas vigentes de accesibilidad al medio físico, para mejorar los estudios y diseños de los proyectos de obra y cumplimiento de requisitos de accesibilidad.</t>
  </si>
  <si>
    <t>Secretario de Infraestructura -
Equipo Taller Arquitectura</t>
  </si>
  <si>
    <t>Sanciones e investigaciones disciplinarias  de entes de control y deficiente  inversión de  los recursos en la Administración Central.</t>
  </si>
  <si>
    <t>mala planeación al momento de realizar la contratación sin tener en cuenta los tiempos de la ejecución del mismo, constituyendo reservas presupuestales</t>
  </si>
  <si>
    <t>Posibilidad de afectación económica y reputacional por sanciones e investigaciones disciplinarias  de entes de control y deficiente inversión de  los recursos en la Administración Central debido a la mala planeación al momento de realizar la contratación sin tener en cuenta los tiempos de la ejecución del mismo, constituyendo reservas presupuestales</t>
  </si>
  <si>
    <t xml:space="preserve">El ordenador del gasto, el profesional designado área de contratación y el profesional responsable del presupuesto en la Secretaría de Infraestructura, verifican que el presupuesto de contratación esté conforme al principio de planeación con el fin de evitar la constitución de reservas presupuestales a través del sistema financiero </t>
  </si>
  <si>
    <t>Realizar 1 seguimiento trimestral a la planeación contractual de proyectos de obra antes de que estos salgan a concurso o liquidación, con el fin de evitar adicionales y dar cumplimiento efectivo, aplicando la lista de chequeo en la cual se incluye: Alcance, Objeto, Especificaciones técnicas, Condiciones reales del sitio de implantación del proyecto y Evaluación de posibles imprevistos</t>
  </si>
  <si>
    <t xml:space="preserve">Sanciones e investigaciones disciplinarias de entes de control </t>
  </si>
  <si>
    <t>inadecuada aplicabilidad de la normatividad utilizada en lo referente a las depuraciones de pasivos exigibles y/o vigencias expiradas de acuerdo con la resolución 193 de 2016 de la Contaduría General de la Nación</t>
  </si>
  <si>
    <t>Posibilidad de afectación económica y reputacional por sanciones e investigaciones disciplinarias  de entes de control debido a la inadecuada aplicabilidad de la normatividad utilizada en lo referente a las depuraciones de pasivos exigibles y/o vigencias expiradas de acuerdo con la resolución 193 de 2016 de la Contaduría General de la Nación</t>
  </si>
  <si>
    <t xml:space="preserve">La persona encargada identifica los pasivos exigibles y/o vigencias expiradas de la Secretaría de Infraestructura, y verifica el cumplimentó de la Resolución193 de 2016 de la Contaduría General de la Nación, para realizar la acción de depuración </t>
  </si>
  <si>
    <t xml:space="preserve">Realizar un informe semestral de seguimiento a los pasivos exigibles y/o vigencias expiradas para su identificación y respectiva acción de depuración acorde a la normatividad vigente </t>
  </si>
  <si>
    <t xml:space="preserve">Profesional encargado </t>
  </si>
  <si>
    <t>Investigaciones disciplinarias y sanciones por entes de control</t>
  </si>
  <si>
    <t>debilidades en el seguimiento y control en la ejecución de los proyectos de presupuestos participativos</t>
  </si>
  <si>
    <t>Posibilidad de afectación económica y reputacional por investigaciones disciplinarias y sanciones por entes de control debido a las debilidades en el seguimiento y control de los requisitos mínimos en la presentación y ejecución de proyectos de presupuestos participativos</t>
  </si>
  <si>
    <t>Los profesionales del equipo facilitador de Presupuestos Participativos verifican el estado de avance físico y presupuestal de la ejecución del proyecto mediante la herramienta de seguimiento y control de la Estrategia de Presupuestos Participativos de la administración municipal</t>
  </si>
  <si>
    <t>Realizar 4 seguimientos al cumplimiento de la ejecución de la Estrategia de Presupuestos Participativos de la administración municipal de acuerdo con la herramienta elaborada por el equipo de Presupuestos Participativos</t>
  </si>
  <si>
    <t xml:space="preserve">Profesional asignado de  Presupuestos Participativos </t>
  </si>
  <si>
    <t>Incumplimiento en las normas vigentes en las diferentes etapas de la contratación (precontractual, contractual y postcontractual) que puedan afectar la obtención y cumplimiento del objeto contractual</t>
  </si>
  <si>
    <t>Posibilidad de afectación económica y reputacional por investigaciones disciplinarias y sanciones por entes de control, debido al incumplimiento en las normas vigentes en las diferentes etapas de la contratación (precontractual, contractual y postcontractual) que puedan afectar la obtención y cumplimiento del objeto contractual.</t>
  </si>
  <si>
    <t>El profesional encargado de la contratación cada vez que se celebre un contrato o convenio, revisa y valida a través de las plataformas SECOP y SIA OBSERVA la documentación generada en las etapas precontractual, contractual y postcontractual en los tiempos establecidos en la ley</t>
  </si>
  <si>
    <t>Realizar seguimiento semestral a una muestra aleatoria del 25% de los procesos contractuales suscritos por la Secretaría de Infraestructura con el fin de verificar la documentación generada en las etapas precontractual, contractual y postcontractual en las plataformas del SECOP y SIA OBSERVA en los tiempos establecidos en la ley</t>
  </si>
  <si>
    <t xml:space="preserve">Profesional de Contratación </t>
  </si>
  <si>
    <t>Investigaciones disciplinarias y sanciones por entes de control por la adición en tiempo sin haber ejecutado el 50% del contrato inicial</t>
  </si>
  <si>
    <t>A causa de las deficiencias en la planeación en la etapa precontractual</t>
  </si>
  <si>
    <t xml:space="preserve">
El ordenador del gasto y el supervisor designado ejercerán el control a las solicitudes de adición en tiempo por parte del contratista e interventor del contrato, previo cumplimiento del 50% de ejecución y demás requisitos normativos.</t>
  </si>
  <si>
    <t xml:space="preserve">Realizar una socialización semestral, de la Guía Práctica para el Ejercicio de la Función de Supervisión e interventoría de Contratos y Convenios, a supervisores de la Secretaría Infraestructura  </t>
  </si>
  <si>
    <t>El Ordenador del Gasto - Supervisor Designado</t>
  </si>
  <si>
    <t xml:space="preserve"> Investigaciones disciplinarias y sanciones por entes de control por el incumplimiento a la ejecución de los planes de mejoramiento</t>
  </si>
  <si>
    <t>A causa de la falta de seguimiento de las acciones formuladas.</t>
  </si>
  <si>
    <t>Posibilidad de afectación económica y reputacional por investigaciones disciplinarias y sanciones por entes de control por el incumplimiento a la ejecución de los planes de mejoramiento, a causa de la falta de seguimiento de las acciones formuladas.</t>
  </si>
  <si>
    <t xml:space="preserve">     El riesgo afecta la imagen de alguna área de la organización</t>
  </si>
  <si>
    <t>El ordenador del gasto y profesional asignado ejercerá el control y seguimiento a las acciones formuladas del plan de mejoramiento, derivadas de las auditorias internas y externas</t>
  </si>
  <si>
    <t xml:space="preserve">Implementar una matriz de seguimiento, para ejercer el control trimestral a las acciones formuladas en los planes de mejoramiento, con el fin de generar alertas antes de la fecha de vencimiento. </t>
  </si>
  <si>
    <t>El Ordenador del Gasto - Profesional Asignado</t>
  </si>
  <si>
    <t>Vencimiento de PQRS alumbrado público que lleguen a la Secretaría de Infraestructura</t>
  </si>
  <si>
    <t>Intermedio de las plataformas digitales o en físico acarreando sanciones disciplinarias o administrativas que involucren a la Secretaría de Infraestructura y sus funcionarios.</t>
  </si>
  <si>
    <t xml:space="preserve">Posibilidad de afectación económica y reputacional por Vencimiento de PQRS alumbrado público que lleguen a la Secretaría de Infraestructura por intermedio de las plataformas digitales o en físico acarreando sanciones disciplinarias o administrativas que involucren a la Secretaría de Infraestructura y sus funcionarios.
</t>
  </si>
  <si>
    <t>El ordenador del gasto y profesional asignado ejercerá el control y seguimiento a las acciones formuladas en el cumplimiento y actualización de las respuestas oportunas de PQRS.</t>
  </si>
  <si>
    <t xml:space="preserve">Realizar seguimiento mensual a los requerimientos mediante el cual se le informa a los funcionarios que deben responder a tiempo los requerimientos y de esta manera no dejar vencer las solicitudes.
</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</si>
  <si>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</si>
  <si>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</si>
  <si>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</si>
  <si>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</si>
  <si>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</si>
  <si>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</si>
  <si>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</si>
  <si>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</si>
  <si>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</si>
  <si>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</si>
  <si>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</si>
  <si>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</si>
  <si>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</si>
  <si>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</si>
  <si>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</si>
  <si>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</si>
  <si>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</si>
  <si>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</si>
  <si>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</si>
  <si>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</si>
  <si>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</si>
  <si>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</si>
  <si>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</si>
  <si>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</si>
  <si>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</si>
  <si>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</si>
  <si>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</si>
  <si>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</si>
  <si>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</si>
  <si>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</si>
  <si>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</si>
  <si>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</si>
  <si>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</si>
  <si>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</si>
  <si>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</si>
  <si>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</si>
  <si>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</si>
  <si>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</si>
  <si>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</si>
  <si>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</si>
  <si>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</si>
  <si>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</si>
  <si>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</si>
  <si>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</si>
  <si>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</si>
  <si>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</si>
  <si>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</si>
  <si>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</si>
  <si>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</si>
  <si>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</si>
  <si>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</si>
  <si>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</si>
  <si>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</si>
  <si>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</si>
  <si>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</si>
  <si>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</si>
  <si>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</si>
  <si>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</si>
  <si>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</si>
  <si>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</si>
  <si>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</si>
  <si>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</si>
  <si>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</si>
  <si>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</si>
  <si>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</si>
  <si>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</si>
  <si>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</si>
  <si>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</si>
  <si>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</si>
  <si>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</si>
  <si>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</si>
  <si>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</si>
  <si>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</si>
  <si>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</si>
  <si>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</si>
  <si>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</si>
  <si>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</si>
  <si>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</si>
  <si>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</si>
  <si>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</si>
  <si>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</si>
  <si>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</si>
  <si>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</si>
  <si>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</si>
  <si>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</si>
  <si>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</si>
  <si>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</si>
  <si>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</si>
  <si>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</si>
  <si>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</si>
  <si>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</si>
  <si>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</si>
  <si>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</si>
  <si>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</si>
  <si>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</si>
  <si>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</si>
  <si>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</si>
  <si>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</si>
  <si>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</si>
  <si>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</si>
  <si>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</si>
  <si>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</si>
  <si>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</si>
  <si>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</si>
  <si>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</si>
  <si>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</si>
  <si>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</si>
  <si>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</si>
  <si>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</si>
  <si>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 xml:space="preserve">Realizar un (1) informe semestral de seguimiento aleatorio al 20% de los estudios y diseños de los proyectos de obra a ejecutar por la Secretaría de Infraestructura </t>
  </si>
  <si>
    <t xml:space="preserve">Secretario de Infraestructura -
Profesional encargado </t>
  </si>
  <si>
    <t>Posibilidad de afectación económica y reputacional por investigaciones disciplinarias y sanciones por entes de control por la adición en tiempo sin haber ejecutado el 50% del contrato inicial, a causa de las deficiencias en la planeación en la etapa precontractual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</si>
</sst>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2"/>
      <color rgb="FFFF0000"/>
      <name val="Arial Narrow"/>
      <family val="2"/>
    </font>
    <font>
      <sz val="11"/>
      <color rgb="FFFF0000"/>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29">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dashed">
        <color theme="9" tint="-0.24994659260841701"/>
      </left>
      <right style="dashed">
        <color theme="9" tint="-0.24994659260841701"/>
      </right>
      <top style="hair">
        <color theme="9"/>
      </top>
      <bottom/>
      <diagonal/>
    </border>
    <border>
      <left style="dashed">
        <color theme="9" tint="-0.24994659260841701"/>
      </left>
      <right style="dashed">
        <color theme="9" tint="-0.24994659260841701"/>
      </right>
      <top style="dashed">
        <color theme="9" tint="-0.24994659260841701"/>
      </top>
      <bottom style="hair">
        <color theme="9"/>
      </bottom>
      <diagonal/>
    </border>
    <border>
      <left style="dashed">
        <color theme="9" tint="-0.24994659260841701"/>
      </left>
      <right style="dashed">
        <color theme="9" tint="-0.24994659260841701"/>
      </right>
      <top style="hair">
        <color theme="9"/>
      </top>
      <bottom style="hair">
        <color theme="9"/>
      </bottom>
      <diagonal/>
    </border>
    <border>
      <left style="dashed">
        <color theme="9" tint="-0.24994659260841701"/>
      </left>
      <right style="hair">
        <color theme="9"/>
      </right>
      <top/>
      <bottom/>
      <diagonal/>
    </border>
    <border>
      <left style="dashed">
        <color theme="9" tint="-0.24994659260841701"/>
      </left>
      <right style="dashed">
        <color theme="9" tint="-0.24994659260841701"/>
      </right>
      <top/>
      <bottom style="hair">
        <color theme="9"/>
      </bottom>
      <diagonal/>
    </border>
    <border>
      <left style="hair">
        <color theme="9"/>
      </left>
      <right style="dashed">
        <color theme="9" tint="-0.24994659260841701"/>
      </right>
      <top style="hair">
        <color theme="9"/>
      </top>
      <bottom style="hair">
        <color theme="9"/>
      </bottom>
      <diagonal/>
    </border>
    <border>
      <left style="dashed">
        <color theme="9" tint="-0.24994659260841701"/>
      </left>
      <right style="hair">
        <color theme="9"/>
      </right>
      <top style="hair">
        <color theme="9"/>
      </top>
      <bottom/>
      <diagonal/>
    </border>
    <border>
      <left/>
      <right style="dashed">
        <color theme="9" tint="-0.24994659260841701"/>
      </right>
      <top style="hair">
        <color theme="9"/>
      </top>
      <bottom style="hair">
        <color theme="9"/>
      </bottom>
      <diagonal/>
    </border>
    <border>
      <left style="dashed">
        <color theme="9" tint="-0.24994659260841701"/>
      </left>
      <right style="dashed">
        <color theme="9" tint="-0.24994659260841701"/>
      </right>
      <top style="hair">
        <color theme="9"/>
      </top>
      <bottom style="dashed">
        <color theme="9" tint="-0.24994659260841701"/>
      </bottom>
      <diagonal/>
    </border>
    <border>
      <left style="hair">
        <color theme="9"/>
      </left>
      <right/>
      <top style="dashed">
        <color theme="9" tint="-0.24994659260841701"/>
      </top>
      <bottom style="dashed">
        <color theme="9" tint="-0.24994659260841701"/>
      </bottom>
      <diagonal/>
    </border>
    <border>
      <left style="dashed">
        <color theme="9" tint="-0.24994659260841701"/>
      </left>
      <right style="hair">
        <color theme="9"/>
      </right>
      <top style="dashed">
        <color theme="9" tint="-0.24994659260841701"/>
      </top>
      <bottom style="dashed">
        <color theme="9" tint="-0.24994659260841701"/>
      </bottom>
      <diagonal/>
    </border>
    <border>
      <left style="hair">
        <color theme="9"/>
      </left>
      <right style="dashed">
        <color theme="9" tint="-0.24994659260841701"/>
      </right>
      <top style="dashed">
        <color theme="9" tint="-0.24994659260841701"/>
      </top>
      <bottom style="dashed">
        <color theme="9" tint="-0.24994659260841701"/>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5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36" fillId="0" borderId="2" xfId="0" applyFont="1" applyBorder="1" applyAlignment="1" applyProtection="1">
      <alignment horizontal="center" vertical="top" wrapText="1"/>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3" fillId="0" borderId="0" xfId="0" applyFont="1" applyAlignment="1">
      <alignment horizontal="center" vertical="center" wrapText="1"/>
    </xf>
    <xf numFmtId="0" fontId="64"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104" xfId="0" applyFont="1" applyFill="1" applyBorder="1" applyAlignment="1">
      <alignment horizontal="center" vertical="center" wrapText="1"/>
    </xf>
    <xf numFmtId="0" fontId="58" fillId="17" borderId="47" xfId="0" applyFont="1" applyFill="1" applyBorder="1" applyAlignment="1">
      <alignment horizontal="center" vertical="center" wrapText="1"/>
    </xf>
    <xf numFmtId="0" fontId="59" fillId="0" borderId="45" xfId="0" applyFont="1" applyBorder="1" applyAlignment="1">
      <alignment horizontal="center" vertical="center" wrapText="1"/>
    </xf>
    <xf numFmtId="0" fontId="59" fillId="0" borderId="104" xfId="0" applyFont="1" applyBorder="1" applyAlignment="1">
      <alignment horizontal="center" vertical="center" wrapText="1"/>
    </xf>
    <xf numFmtId="0" fontId="59" fillId="0" borderId="47" xfId="0" applyFont="1" applyBorder="1" applyAlignment="1">
      <alignment horizontal="center" vertical="center" wrapText="1"/>
    </xf>
    <xf numFmtId="0" fontId="62" fillId="0" borderId="0" xfId="0" applyFont="1" applyAlignment="1">
      <alignment horizontal="center" vertical="center"/>
    </xf>
    <xf numFmtId="0" fontId="65" fillId="0" borderId="0" xfId="0" applyFont="1" applyAlignment="1">
      <alignment horizontal="center" vertical="center"/>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36" fillId="0" borderId="2" xfId="0" applyFont="1" applyBorder="1" applyAlignment="1" applyProtection="1">
      <alignment horizontal="center" vertical="center"/>
      <protection locked="0"/>
    </xf>
    <xf numFmtId="14" fontId="36" fillId="0" borderId="2" xfId="0" applyNumberFormat="1" applyFont="1" applyBorder="1" applyAlignment="1" applyProtection="1">
      <alignment horizontal="center" vertical="center"/>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1" fillId="3" borderId="2" xfId="0" applyNumberFormat="1" applyFont="1" applyFill="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14" fontId="2" fillId="0" borderId="2" xfId="0" applyNumberFormat="1" applyFont="1" applyBorder="1" applyAlignment="1" applyProtection="1">
      <alignment horizontal="center" vertical="center"/>
      <protection locked="0"/>
    </xf>
    <xf numFmtId="0" fontId="1" fillId="0" borderId="8" xfId="0" applyFont="1" applyBorder="1" applyAlignment="1" applyProtection="1">
      <alignment vertical="top" wrapText="1"/>
      <protection locked="0"/>
    </xf>
    <xf numFmtId="0" fontId="1" fillId="0" borderId="5"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69" fillId="0" borderId="8" xfId="0" applyFont="1" applyBorder="1" applyAlignment="1" applyProtection="1">
      <alignment vertical="top"/>
      <protection locked="0"/>
    </xf>
    <xf numFmtId="0" fontId="4" fillId="0" borderId="5" xfId="0" applyFont="1" applyBorder="1" applyAlignment="1" applyProtection="1">
      <alignment vertical="top" wrapText="1"/>
      <protection hidden="1"/>
    </xf>
    <xf numFmtId="9" fontId="1" fillId="0" borderId="8" xfId="0" applyNumberFormat="1" applyFont="1" applyBorder="1" applyAlignment="1" applyProtection="1">
      <alignment vertical="top" wrapText="1"/>
      <protection hidden="1"/>
    </xf>
    <xf numFmtId="9" fontId="1" fillId="0" borderId="4" xfId="0" applyNumberFormat="1" applyFont="1" applyBorder="1" applyAlignment="1" applyProtection="1">
      <alignment horizontal="left" vertical="center" wrapText="1"/>
      <protection locked="0"/>
    </xf>
    <xf numFmtId="0" fontId="1" fillId="0" borderId="117" xfId="0" applyFont="1" applyBorder="1" applyAlignment="1" applyProtection="1">
      <alignment vertical="top" wrapText="1"/>
      <protection locked="0"/>
    </xf>
    <xf numFmtId="0" fontId="4" fillId="0" borderId="117" xfId="0" applyFont="1" applyBorder="1" applyAlignment="1" applyProtection="1">
      <alignment vertical="top" wrapText="1"/>
      <protection hidden="1"/>
    </xf>
    <xf numFmtId="0" fontId="1" fillId="0" borderId="119" xfId="0" applyFont="1" applyBorder="1" applyAlignment="1" applyProtection="1">
      <alignment vertical="top" wrapText="1"/>
      <protection locked="0"/>
    </xf>
    <xf numFmtId="0" fontId="1" fillId="0" borderId="120" xfId="0" applyFont="1" applyBorder="1" applyAlignment="1">
      <alignment vertical="center"/>
    </xf>
    <xf numFmtId="0" fontId="1" fillId="0" borderId="122" xfId="0" applyFont="1" applyBorder="1" applyAlignment="1" applyProtection="1">
      <alignment vertical="top" wrapText="1"/>
      <protection locked="0"/>
    </xf>
    <xf numFmtId="0" fontId="1" fillId="0" borderId="124" xfId="0" applyFont="1" applyBorder="1" applyAlignment="1" applyProtection="1">
      <alignment vertical="top" wrapText="1"/>
      <protection locked="0"/>
    </xf>
    <xf numFmtId="0" fontId="1" fillId="0" borderId="123" xfId="0" applyFont="1" applyBorder="1" applyAlignment="1">
      <alignment vertical="center"/>
    </xf>
    <xf numFmtId="0" fontId="1" fillId="0" borderId="125" xfId="0" applyFont="1" applyBorder="1" applyAlignment="1">
      <alignment vertical="center"/>
    </xf>
    <xf numFmtId="0" fontId="1" fillId="0" borderId="121" xfId="0" applyFont="1" applyBorder="1" applyAlignment="1" applyProtection="1">
      <alignment vertical="top" wrapText="1"/>
      <protection locked="0"/>
    </xf>
    <xf numFmtId="0" fontId="2" fillId="0" borderId="117" xfId="0" applyFont="1" applyBorder="1" applyAlignment="1" applyProtection="1">
      <alignment vertical="top" wrapText="1"/>
      <protection locked="0"/>
    </xf>
    <xf numFmtId="0" fontId="2" fillId="0" borderId="125" xfId="0" applyFont="1" applyBorder="1" applyAlignment="1" applyProtection="1">
      <alignment vertical="top" wrapText="1"/>
      <protection locked="0"/>
    </xf>
    <xf numFmtId="0" fontId="1" fillId="0" borderId="125" xfId="0" applyFont="1" applyBorder="1" applyAlignment="1" applyProtection="1">
      <alignment vertical="top" wrapText="1"/>
      <protection locked="0"/>
    </xf>
    <xf numFmtId="0" fontId="69" fillId="0" borderId="125" xfId="0" applyFont="1" applyBorder="1" applyAlignment="1" applyProtection="1">
      <alignment vertical="top"/>
      <protection locked="0"/>
    </xf>
    <xf numFmtId="0" fontId="69" fillId="0" borderId="119" xfId="0" applyFont="1" applyBorder="1" applyAlignment="1" applyProtection="1">
      <alignment vertical="top"/>
      <protection locked="0"/>
    </xf>
    <xf numFmtId="0" fontId="4" fillId="0" borderId="119" xfId="0" applyFont="1" applyBorder="1" applyAlignment="1" applyProtection="1">
      <alignment vertical="top" wrapText="1"/>
      <protection hidden="1"/>
    </xf>
    <xf numFmtId="9" fontId="1" fillId="0" borderId="125" xfId="0" applyNumberFormat="1" applyFont="1" applyBorder="1" applyAlignment="1" applyProtection="1">
      <alignment vertical="top" wrapText="1"/>
      <protection hidden="1"/>
    </xf>
    <xf numFmtId="9" fontId="1" fillId="0" borderId="119" xfId="0" applyNumberFormat="1" applyFont="1" applyBorder="1" applyAlignment="1" applyProtection="1">
      <alignment vertical="top" wrapText="1"/>
      <protection hidden="1"/>
    </xf>
    <xf numFmtId="14" fontId="1" fillId="0" borderId="126" xfId="0" applyNumberFormat="1" applyFont="1" applyBorder="1" applyAlignment="1">
      <alignment horizontal="center" vertical="center"/>
    </xf>
    <xf numFmtId="14" fontId="1" fillId="0" borderId="128" xfId="0" applyNumberFormat="1" applyFont="1" applyBorder="1" applyAlignment="1">
      <alignment horizontal="center" vertical="center"/>
    </xf>
    <xf numFmtId="0" fontId="1" fillId="0" borderId="127" xfId="0" applyFont="1" applyBorder="1" applyAlignment="1">
      <alignment vertical="center" wrapText="1"/>
    </xf>
    <xf numFmtId="0" fontId="1" fillId="0" borderId="121" xfId="0" applyFont="1" applyBorder="1" applyAlignment="1" applyProtection="1">
      <alignment horizontal="center" vertical="center"/>
      <protection locked="0"/>
    </xf>
    <xf numFmtId="0" fontId="1" fillId="0" borderId="8" xfId="0" applyFont="1" applyBorder="1" applyAlignment="1">
      <alignment horizontal="center" vertical="center"/>
    </xf>
    <xf numFmtId="0" fontId="1" fillId="0" borderId="5" xfId="0" applyFont="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protection locked="0"/>
    </xf>
    <xf numFmtId="0" fontId="58" fillId="0" borderId="8" xfId="0" applyFont="1" applyBorder="1" applyAlignment="1" applyProtection="1">
      <alignment horizontal="center" vertical="center" wrapText="1"/>
      <protection hidden="1"/>
    </xf>
    <xf numFmtId="0" fontId="59" fillId="0" borderId="8" xfId="0" applyFont="1" applyBorder="1" applyAlignment="1" applyProtection="1">
      <alignment horizontal="center" vertical="center" wrapText="1"/>
      <protection locked="0"/>
    </xf>
    <xf numFmtId="0" fontId="58" fillId="0" borderId="8" xfId="0" applyFont="1" applyBorder="1" applyAlignment="1" applyProtection="1">
      <alignment horizontal="center" vertical="center"/>
      <protection hidden="1"/>
    </xf>
    <xf numFmtId="9" fontId="36" fillId="0" borderId="8"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protection hidden="1"/>
    </xf>
    <xf numFmtId="0" fontId="55" fillId="15" borderId="76"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7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66" fillId="3" borderId="37" xfId="0" applyFont="1" applyFill="1" applyBorder="1" applyAlignment="1">
      <alignment horizontal="left" wrapText="1"/>
    </xf>
    <xf numFmtId="0" fontId="66" fillId="3" borderId="33" xfId="0" applyFont="1" applyFill="1" applyBorder="1" applyAlignment="1">
      <alignment horizontal="left" wrapText="1"/>
    </xf>
    <xf numFmtId="0" fontId="66" fillId="3" borderId="38" xfId="0" applyFont="1" applyFill="1" applyBorder="1" applyAlignment="1">
      <alignment horizontal="left" wrapText="1"/>
    </xf>
    <xf numFmtId="0" fontId="66" fillId="0" borderId="107" xfId="0" applyFont="1" applyBorder="1" applyAlignment="1">
      <alignment horizontal="left" vertical="center" wrapText="1"/>
    </xf>
    <xf numFmtId="0" fontId="66" fillId="0" borderId="38" xfId="0" applyFont="1" applyBorder="1" applyAlignment="1">
      <alignment horizontal="left" vertical="center" wrapText="1"/>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2" fillId="0" borderId="12" xfId="0" applyFont="1" applyBorder="1" applyAlignment="1">
      <alignment horizontal="center" vertical="center" wrapText="1"/>
    </xf>
    <xf numFmtId="0" fontId="62" fillId="0" borderId="19"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8" xfId="0" applyFont="1" applyBorder="1" applyAlignment="1">
      <alignment horizontal="center" vertical="center" wrapText="1"/>
    </xf>
    <xf numFmtId="0" fontId="45" fillId="18" borderId="99" xfId="0" applyFont="1" applyFill="1" applyBorder="1" applyAlignment="1">
      <alignment horizontal="left" vertical="center" wrapText="1" indent="1"/>
    </xf>
    <xf numFmtId="0" fontId="45" fillId="18" borderId="49" xfId="0" applyFont="1" applyFill="1" applyBorder="1" applyAlignment="1">
      <alignment horizontal="left" vertical="center" wrapText="1" indent="1"/>
    </xf>
    <xf numFmtId="0" fontId="45" fillId="18" borderId="50" xfId="0" applyFont="1" applyFill="1" applyBorder="1" applyAlignment="1">
      <alignment horizontal="left" vertical="center" wrapText="1" indent="1"/>
    </xf>
    <xf numFmtId="0" fontId="59" fillId="18" borderId="101" xfId="0" applyFont="1" applyFill="1" applyBorder="1" applyAlignment="1">
      <alignment horizontal="left" vertical="center" wrapText="1" indent="1"/>
    </xf>
    <xf numFmtId="0" fontId="59" fillId="18" borderId="102" xfId="0" applyFont="1" applyFill="1" applyBorder="1" applyAlignment="1">
      <alignment horizontal="left" vertical="center" wrapText="1" indent="1"/>
    </xf>
    <xf numFmtId="0" fontId="59" fillId="18" borderId="103" xfId="0" applyFont="1" applyFill="1" applyBorder="1" applyAlignment="1">
      <alignment horizontal="left" vertical="center" wrapText="1" indent="1"/>
    </xf>
    <xf numFmtId="0" fontId="38" fillId="19"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63" fillId="0" borderId="0" xfId="0" applyFont="1" applyAlignment="1">
      <alignment horizontal="center"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66" fillId="0" borderId="105" xfId="0" applyFont="1" applyBorder="1" applyAlignment="1">
      <alignment horizontal="left" vertical="center"/>
    </xf>
    <xf numFmtId="0" fontId="66" fillId="0" borderId="106" xfId="0" applyFont="1" applyBorder="1" applyAlignment="1">
      <alignment horizontal="left" vertical="center"/>
    </xf>
    <xf numFmtId="0" fontId="1" fillId="0" borderId="107" xfId="0" applyFont="1" applyBorder="1" applyAlignment="1">
      <alignment horizontal="left" vertical="center" wrapText="1"/>
    </xf>
    <xf numFmtId="0" fontId="1" fillId="0" borderId="38" xfId="0" applyFont="1" applyBorder="1" applyAlignment="1">
      <alignment horizontal="left" vertical="center" wrapText="1"/>
    </xf>
    <xf numFmtId="0" fontId="1" fillId="0" borderId="37" xfId="0" applyFont="1" applyBorder="1" applyAlignment="1">
      <alignment horizontal="left" vertical="center" wrapText="1"/>
    </xf>
    <xf numFmtId="0" fontId="1" fillId="0" borderId="33" xfId="0" applyFont="1" applyBorder="1" applyAlignment="1">
      <alignment horizontal="left" vertical="center" wrapText="1"/>
    </xf>
    <xf numFmtId="0" fontId="1" fillId="0" borderId="107" xfId="0" applyFont="1" applyBorder="1" applyAlignment="1">
      <alignment horizontal="left" vertical="center"/>
    </xf>
    <xf numFmtId="0" fontId="1" fillId="0" borderId="38" xfId="0" applyFont="1" applyBorder="1" applyAlignment="1">
      <alignment horizontal="left" vertical="center"/>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66" fillId="0" borderId="107" xfId="0" applyFont="1" applyBorder="1" applyAlignment="1">
      <alignment horizontal="left" vertical="center"/>
    </xf>
    <xf numFmtId="0" fontId="66" fillId="0" borderId="38" xfId="0" applyFont="1" applyBorder="1" applyAlignment="1">
      <alignment horizontal="left" vertical="center"/>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6" fillId="0" borderId="108" xfId="0" applyFont="1" applyBorder="1" applyAlignment="1">
      <alignment horizontal="left" wrapText="1"/>
    </xf>
    <xf numFmtId="0" fontId="66" fillId="0" borderId="41" xfId="0" applyFont="1" applyBorder="1" applyAlignment="1">
      <alignment horizontal="left"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35"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1" fillId="0" borderId="111" xfId="0" applyFont="1" applyBorder="1" applyAlignment="1">
      <alignment horizontal="left" vertical="center" wrapText="1"/>
    </xf>
    <xf numFmtId="0" fontId="1" fillId="0" borderId="112" xfId="0" applyFont="1" applyBorder="1" applyAlignment="1">
      <alignment horizontal="left" vertical="center" wrapText="1"/>
    </xf>
    <xf numFmtId="0" fontId="1" fillId="0" borderId="113" xfId="0" applyFont="1" applyBorder="1" applyAlignment="1">
      <alignment horizontal="left" vertical="center" wrapText="1"/>
    </xf>
    <xf numFmtId="0" fontId="66" fillId="0" borderId="111" xfId="0" applyFont="1" applyBorder="1" applyAlignment="1">
      <alignment horizontal="left" wrapText="1"/>
    </xf>
    <xf numFmtId="0" fontId="66" fillId="0" borderId="114" xfId="0" applyFont="1" applyBorder="1" applyAlignment="1">
      <alignment horizontal="left" wrapText="1"/>
    </xf>
    <xf numFmtId="0" fontId="1" fillId="0" borderId="115" xfId="0" applyFont="1" applyBorder="1" applyAlignment="1">
      <alignment horizontal="left" vertical="center" wrapText="1"/>
    </xf>
    <xf numFmtId="0" fontId="1" fillId="0" borderId="81" xfId="0" applyFont="1" applyBorder="1" applyAlignment="1">
      <alignment horizontal="left" vertical="center" wrapText="1"/>
    </xf>
    <xf numFmtId="0" fontId="1" fillId="0" borderId="115" xfId="0" applyFont="1" applyBorder="1" applyAlignment="1">
      <alignment horizontal="left"/>
    </xf>
    <xf numFmtId="0" fontId="1" fillId="0" borderId="116" xfId="0" applyFont="1" applyBorder="1" applyAlignment="1">
      <alignment horizontal="left"/>
    </xf>
    <xf numFmtId="0" fontId="66" fillId="0" borderId="115" xfId="0" applyFont="1" applyBorder="1" applyAlignment="1">
      <alignment horizontal="left" wrapText="1"/>
    </xf>
    <xf numFmtId="0" fontId="66" fillId="0" borderId="116" xfId="0" applyFont="1" applyBorder="1" applyAlignment="1">
      <alignment horizontal="left" wrapText="1"/>
    </xf>
    <xf numFmtId="0" fontId="66" fillId="0" borderId="37" xfId="0" applyFont="1" applyBorder="1" applyAlignment="1">
      <alignment horizontal="left" vertical="center" wrapText="1"/>
    </xf>
    <xf numFmtId="0" fontId="66" fillId="0" borderId="33" xfId="0" applyFont="1" applyBorder="1" applyAlignment="1">
      <alignment horizontal="left" vertical="center" wrapText="1"/>
    </xf>
    <xf numFmtId="0" fontId="66" fillId="0" borderId="39" xfId="0" applyFont="1" applyBorder="1" applyAlignment="1">
      <alignment horizontal="left" vertical="center" wrapText="1"/>
    </xf>
    <xf numFmtId="0" fontId="66" fillId="0" borderId="40" xfId="0" applyFont="1" applyBorder="1" applyAlignment="1">
      <alignment horizontal="left" vertical="center" wrapText="1"/>
    </xf>
    <xf numFmtId="0" fontId="66" fillId="0" borderId="41" xfId="0" applyFont="1" applyBorder="1" applyAlignment="1">
      <alignment horizontal="left" vertical="center" wrapText="1"/>
    </xf>
    <xf numFmtId="0" fontId="1" fillId="0" borderId="109" xfId="0" applyFont="1" applyBorder="1" applyAlignment="1">
      <alignment horizontal="left"/>
    </xf>
    <xf numFmtId="0" fontId="1" fillId="0" borderId="103" xfId="0" applyFont="1" applyBorder="1" applyAlignment="1">
      <alignment horizontal="left"/>
    </xf>
    <xf numFmtId="0" fontId="1" fillId="0" borderId="105" xfId="0" applyFont="1" applyBorder="1" applyAlignment="1">
      <alignment horizontal="left"/>
    </xf>
    <xf numFmtId="0" fontId="1" fillId="0" borderId="79" xfId="0" applyFont="1" applyBorder="1" applyAlignment="1">
      <alignment horizontal="left"/>
    </xf>
    <xf numFmtId="0" fontId="1" fillId="0" borderId="106" xfId="0" applyFont="1" applyBorder="1" applyAlignment="1">
      <alignment horizontal="left"/>
    </xf>
    <xf numFmtId="0" fontId="4" fillId="0" borderId="4"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 fillId="0" borderId="8" xfId="0" applyFont="1" applyBorder="1" applyAlignment="1" applyProtection="1">
      <alignment horizontal="center" vertical="center" textRotation="90"/>
      <protection locked="0"/>
    </xf>
    <xf numFmtId="9" fontId="1" fillId="0" borderId="8" xfId="0" applyNumberFormat="1"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4" fillId="0" borderId="8"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wrapText="1"/>
      <protection hidden="1"/>
    </xf>
    <xf numFmtId="0" fontId="36" fillId="0" borderId="4"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0" fontId="59" fillId="0" borderId="4" xfId="0" applyFont="1" applyBorder="1" applyAlignment="1" applyProtection="1">
      <alignment horizontal="center" vertical="center" wrapText="1"/>
      <protection locked="0"/>
    </xf>
    <xf numFmtId="0" fontId="59" fillId="0" borderId="8" xfId="0" applyFont="1" applyBorder="1" applyAlignment="1" applyProtection="1">
      <alignment horizontal="center" vertical="center" wrapText="1"/>
      <protection locked="0"/>
    </xf>
    <xf numFmtId="0" fontId="59" fillId="0" borderId="5" xfId="0" applyFont="1" applyBorder="1" applyAlignment="1" applyProtection="1">
      <alignment horizontal="center" vertical="center" wrapText="1"/>
      <protection locked="0"/>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locked="0"/>
    </xf>
    <xf numFmtId="9" fontId="36" fillId="0" borderId="8" xfId="0" applyNumberFormat="1" applyFont="1" applyBorder="1" applyAlignment="1" applyProtection="1">
      <alignment horizontal="center" vertical="center" wrapText="1"/>
      <protection locked="0"/>
    </xf>
    <xf numFmtId="9" fontId="36"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5" fillId="2" borderId="6" xfId="0" applyFont="1" applyFill="1" applyBorder="1" applyAlignment="1">
      <alignment horizontal="left" vertical="center"/>
    </xf>
    <xf numFmtId="0" fontId="68" fillId="2" borderId="7" xfId="0" applyFont="1" applyFill="1" applyBorder="1" applyAlignment="1">
      <alignment horizontal="left" vertical="center"/>
    </xf>
    <xf numFmtId="0" fontId="45" fillId="2" borderId="7" xfId="0" applyFont="1" applyFill="1" applyBorder="1" applyAlignment="1">
      <alignment horizontal="left" vertical="center"/>
    </xf>
    <xf numFmtId="0" fontId="58" fillId="2" borderId="6" xfId="0" applyFont="1" applyFill="1" applyBorder="1" applyAlignment="1">
      <alignment horizontal="left" vertical="center"/>
    </xf>
    <xf numFmtId="0" fontId="58" fillId="2" borderId="7" xfId="0" applyFont="1" applyFill="1" applyBorder="1" applyAlignment="1">
      <alignment horizontal="left" vertical="center"/>
    </xf>
    <xf numFmtId="0" fontId="67" fillId="2" borderId="28" xfId="0" applyFont="1" applyFill="1" applyBorder="1" applyAlignment="1">
      <alignment horizontal="center" vertical="center" wrapText="1"/>
    </xf>
    <xf numFmtId="0" fontId="67" fillId="2" borderId="29" xfId="0" applyFont="1" applyFill="1" applyBorder="1" applyAlignment="1">
      <alignment horizontal="center" vertical="center" wrapText="1"/>
    </xf>
    <xf numFmtId="0" fontId="67" fillId="2" borderId="30" xfId="0" applyFont="1" applyFill="1" applyBorder="1" applyAlignment="1">
      <alignment horizontal="center" vertical="center" wrapText="1"/>
    </xf>
    <xf numFmtId="0" fontId="67" fillId="2" borderId="9" xfId="0" applyFont="1" applyFill="1" applyBorder="1" applyAlignment="1">
      <alignment horizontal="center" vertical="center" wrapText="1"/>
    </xf>
    <xf numFmtId="0" fontId="67" fillId="2" borderId="0" xfId="0" applyFont="1" applyFill="1" applyAlignment="1">
      <alignment horizontal="center" vertical="center" wrapText="1"/>
    </xf>
    <xf numFmtId="0" fontId="67" fillId="2" borderId="110" xfId="0" applyFont="1" applyFill="1" applyBorder="1" applyAlignment="1">
      <alignment horizontal="center" vertical="center" wrapText="1"/>
    </xf>
    <xf numFmtId="0" fontId="67" fillId="2" borderId="3" xfId="0" applyFont="1" applyFill="1" applyBorder="1" applyAlignment="1">
      <alignment horizontal="center" vertical="center" wrapText="1"/>
    </xf>
    <xf numFmtId="0" fontId="67" fillId="2" borderId="31" xfId="0" applyFont="1" applyFill="1" applyBorder="1" applyAlignment="1">
      <alignment horizontal="center" vertical="center" wrapText="1"/>
    </xf>
    <xf numFmtId="0" fontId="67" fillId="2" borderId="32" xfId="0" applyFont="1" applyFill="1" applyBorder="1" applyAlignment="1">
      <alignment horizontal="center" vertical="center" wrapText="1"/>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10"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3" borderId="0" xfId="0" applyFont="1" applyFill="1" applyAlignment="1">
      <alignment horizontal="left" vertical="center"/>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6" fillId="0" borderId="5" xfId="0" applyFont="1" applyBorder="1" applyAlignment="1" applyProtection="1">
      <alignment vertical="center" wrapText="1"/>
      <protection locked="0"/>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0" fontId="4" fillId="0" borderId="5" xfId="0" applyFont="1" applyBorder="1" applyAlignment="1" applyProtection="1">
      <alignment vertical="center"/>
      <protection hidden="1"/>
    </xf>
    <xf numFmtId="9" fontId="1" fillId="0" borderId="8" xfId="0" applyNumberFormat="1" applyFont="1" applyBorder="1" applyAlignment="1" applyProtection="1">
      <alignment vertical="center" wrapText="1"/>
      <protection hidden="1"/>
    </xf>
    <xf numFmtId="9" fontId="1" fillId="0" borderId="8" xfId="0" applyNumberFormat="1" applyFont="1" applyBorder="1" applyAlignment="1" applyProtection="1">
      <alignment vertical="center" wrapText="1"/>
      <protection locked="0"/>
    </xf>
    <xf numFmtId="0" fontId="69" fillId="0" borderId="2" xfId="0" applyFont="1" applyBorder="1" applyAlignment="1" applyProtection="1">
      <alignment horizontal="center" vertical="center" wrapText="1"/>
      <protection locked="0"/>
    </xf>
    <xf numFmtId="0" fontId="1" fillId="0" borderId="4" xfId="0" applyFont="1" applyBorder="1" applyAlignment="1" applyProtection="1">
      <alignment horizontal="justify" vertical="center" wrapText="1"/>
      <protection locked="0"/>
    </xf>
    <xf numFmtId="0" fontId="1" fillId="0" borderId="5"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wrapText="1"/>
      <protection locked="0"/>
    </xf>
    <xf numFmtId="0" fontId="1" fillId="0" borderId="118" xfId="0" applyFont="1" applyBorder="1" applyAlignment="1" applyProtection="1">
      <alignment horizontal="center" vertical="center" wrapText="1"/>
      <protection locked="0"/>
    </xf>
    <xf numFmtId="0" fontId="2" fillId="0" borderId="118" xfId="0" applyFont="1" applyBorder="1" applyAlignment="1" applyProtection="1">
      <alignment horizontal="center" vertical="center" wrapText="1"/>
      <protection locked="0"/>
    </xf>
    <xf numFmtId="0" fontId="1" fillId="0" borderId="119" xfId="0" applyFont="1" applyBorder="1" applyAlignment="1" applyProtection="1">
      <alignment horizontal="center" vertical="center" wrapText="1"/>
      <protection locked="0"/>
    </xf>
    <xf numFmtId="0" fontId="1" fillId="0" borderId="117" xfId="0" applyFont="1" applyBorder="1" applyAlignment="1" applyProtection="1">
      <alignment horizontal="center" vertical="center" wrapText="1"/>
      <protection locked="0"/>
    </xf>
    <xf numFmtId="0" fontId="2" fillId="0" borderId="119" xfId="0" applyFont="1" applyBorder="1" applyAlignment="1" applyProtection="1">
      <alignment horizontal="center" vertical="center" wrapText="1"/>
      <protection locked="0"/>
    </xf>
    <xf numFmtId="9" fontId="1" fillId="0" borderId="117" xfId="0" applyNumberFormat="1" applyFont="1" applyBorder="1" applyAlignment="1" applyProtection="1">
      <alignment vertical="center" wrapText="1"/>
      <protection locked="0"/>
    </xf>
    <xf numFmtId="0" fontId="4" fillId="0" borderId="118" xfId="0" applyFont="1" applyBorder="1" applyAlignment="1" applyProtection="1">
      <alignment horizontal="center" vertical="center"/>
      <protection hidden="1"/>
    </xf>
    <xf numFmtId="0" fontId="2" fillId="0" borderId="118" xfId="0" applyFont="1" applyBorder="1" applyAlignment="1" applyProtection="1">
      <alignment horizontal="center" vertical="center"/>
      <protection locked="0"/>
    </xf>
    <xf numFmtId="0" fontId="2" fillId="0" borderId="119" xfId="0" applyFont="1" applyBorder="1" applyAlignment="1" applyProtection="1">
      <alignment horizontal="center" vertical="center"/>
      <protection locked="0"/>
    </xf>
    <xf numFmtId="0" fontId="1" fillId="0" borderId="118" xfId="0" applyFont="1" applyBorder="1" applyAlignment="1">
      <alignment horizontal="center" vertical="center"/>
    </xf>
    <xf numFmtId="0" fontId="1" fillId="0" borderId="119" xfId="0" applyFont="1" applyBorder="1" applyAlignment="1">
      <alignment horizontal="center" vertical="center"/>
    </xf>
    <xf numFmtId="9" fontId="1" fillId="0" borderId="119" xfId="0" applyNumberFormat="1" applyFont="1" applyBorder="1" applyAlignment="1" applyProtection="1">
      <alignment vertical="center" wrapText="1"/>
      <protection locked="0"/>
    </xf>
    <xf numFmtId="0" fontId="4" fillId="0" borderId="117" xfId="0" applyFont="1" applyBorder="1" applyAlignment="1" applyProtection="1">
      <alignment vertical="center" wrapText="1"/>
      <protection hidden="1"/>
    </xf>
    <xf numFmtId="9" fontId="1" fillId="0" borderId="119" xfId="0" applyNumberFormat="1" applyFont="1" applyBorder="1" applyAlignment="1" applyProtection="1">
      <alignment vertical="center" wrapText="1"/>
      <protection hidden="1"/>
    </xf>
    <xf numFmtId="0" fontId="4" fillId="0" borderId="119" xfId="0" applyFont="1" applyBorder="1" applyAlignment="1" applyProtection="1">
      <alignment vertical="center"/>
      <protection hidden="1"/>
    </xf>
    <xf numFmtId="9" fontId="1" fillId="0" borderId="125" xfId="0" applyNumberFormat="1" applyFont="1" applyBorder="1" applyAlignment="1" applyProtection="1">
      <alignment vertical="center" wrapText="1"/>
      <protection locked="0"/>
    </xf>
    <xf numFmtId="0" fontId="4" fillId="0" borderId="125" xfId="0" applyFont="1" applyBorder="1" applyAlignment="1" applyProtection="1">
      <alignment vertical="center" wrapText="1"/>
      <protection hidden="1"/>
    </xf>
    <xf numFmtId="9" fontId="1" fillId="0" borderId="125" xfId="0" applyNumberFormat="1" applyFont="1" applyBorder="1" applyAlignment="1" applyProtection="1">
      <alignment vertical="center" wrapText="1"/>
      <protection hidden="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08" dataDxfId="107">
  <autoFilter ref="B209:C219" xr:uid="{00000000-0009-0000-0100-000001000000}"/>
  <tableColumns count="2">
    <tableColumn id="1" xr3:uid="{00000000-0010-0000-0000-000001000000}" name="Criterios" dataDxfId="106"/>
    <tableColumn id="2" xr3:uid="{00000000-0010-0000-0000-000002000000}" name="Subcriterios" dataDxfId="105"/>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A1:H56"/>
  <sheetViews>
    <sheetView topLeftCell="C1" zoomScale="120" zoomScaleNormal="120" workbookViewId="0">
      <selection activeCell="B7" sqref="B7:H7"/>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39" t="s">
        <v>0</v>
      </c>
      <c r="C2" s="240"/>
      <c r="D2" s="240"/>
      <c r="E2" s="240"/>
      <c r="F2" s="240"/>
      <c r="G2" s="240"/>
      <c r="H2" s="241"/>
    </row>
    <row r="3" spans="1:8" x14ac:dyDescent="0.25">
      <c r="B3" s="120"/>
      <c r="C3" s="121"/>
      <c r="D3" s="121"/>
      <c r="E3" s="121"/>
      <c r="F3" s="121"/>
      <c r="G3" s="121"/>
      <c r="H3" s="122"/>
    </row>
    <row r="4" spans="1:8" ht="63" customHeight="1" x14ac:dyDescent="0.25">
      <c r="B4" s="242" t="s">
        <v>1</v>
      </c>
      <c r="C4" s="243"/>
      <c r="D4" s="243"/>
      <c r="E4" s="243"/>
      <c r="F4" s="243"/>
      <c r="G4" s="243"/>
      <c r="H4" s="244"/>
    </row>
    <row r="5" spans="1:8" ht="63" customHeight="1" x14ac:dyDescent="0.25">
      <c r="B5" s="245"/>
      <c r="C5" s="246"/>
      <c r="D5" s="246"/>
      <c r="E5" s="246"/>
      <c r="F5" s="246"/>
      <c r="G5" s="246"/>
      <c r="H5" s="247"/>
    </row>
    <row r="6" spans="1:8" ht="16.5" x14ac:dyDescent="0.25">
      <c r="A6" s="123"/>
      <c r="B6" s="248" t="s">
        <v>2</v>
      </c>
      <c r="C6" s="249"/>
      <c r="D6" s="249"/>
      <c r="E6" s="249"/>
      <c r="F6" s="249"/>
      <c r="G6" s="249"/>
      <c r="H6" s="250"/>
    </row>
    <row r="7" spans="1:8" ht="95.25" customHeight="1" x14ac:dyDescent="0.25">
      <c r="A7" s="123"/>
      <c r="B7" s="251" t="s">
        <v>3</v>
      </c>
      <c r="C7" s="251"/>
      <c r="D7" s="251"/>
      <c r="E7" s="251"/>
      <c r="F7" s="251"/>
      <c r="G7" s="251"/>
      <c r="H7" s="252"/>
    </row>
    <row r="8" spans="1:8" ht="16.5" x14ac:dyDescent="0.25">
      <c r="A8" s="123"/>
      <c r="B8" s="124"/>
      <c r="C8" s="125"/>
      <c r="D8" s="125"/>
      <c r="E8" s="125"/>
      <c r="F8" s="125"/>
      <c r="G8" s="125"/>
      <c r="H8" s="126"/>
    </row>
    <row r="9" spans="1:8" ht="16.5" customHeight="1" x14ac:dyDescent="0.25">
      <c r="A9" s="123"/>
      <c r="B9" s="253" t="s">
        <v>4</v>
      </c>
      <c r="C9" s="253"/>
      <c r="D9" s="253"/>
      <c r="E9" s="253"/>
      <c r="F9" s="253"/>
      <c r="G9" s="253"/>
      <c r="H9" s="254"/>
    </row>
    <row r="10" spans="1:8" ht="16.5" customHeight="1" x14ac:dyDescent="0.25">
      <c r="A10" s="123"/>
      <c r="B10" s="253"/>
      <c r="C10" s="253"/>
      <c r="D10" s="253"/>
      <c r="E10" s="253"/>
      <c r="F10" s="253"/>
      <c r="G10" s="253"/>
      <c r="H10" s="254"/>
    </row>
    <row r="11" spans="1:8" ht="11.65" customHeight="1" x14ac:dyDescent="0.25">
      <c r="A11" s="123"/>
      <c r="B11" s="253"/>
      <c r="C11" s="253"/>
      <c r="D11" s="253"/>
      <c r="E11" s="253"/>
      <c r="F11" s="253"/>
      <c r="G11" s="253"/>
      <c r="H11" s="254"/>
    </row>
    <row r="12" spans="1:8" ht="11.65" customHeight="1" thickBot="1" x14ac:dyDescent="0.3">
      <c r="A12" s="123"/>
      <c r="B12" s="127"/>
      <c r="C12" s="127"/>
      <c r="D12" s="127"/>
      <c r="E12" s="127"/>
      <c r="F12" s="127"/>
      <c r="G12" s="127"/>
      <c r="H12" s="128"/>
    </row>
    <row r="13" spans="1:8" ht="15.4" customHeight="1" thickTop="1" x14ac:dyDescent="0.25">
      <c r="A13" s="123"/>
      <c r="B13" s="127"/>
      <c r="C13" s="235" t="s">
        <v>5</v>
      </c>
      <c r="D13" s="236"/>
      <c r="E13" s="237" t="s">
        <v>6</v>
      </c>
      <c r="F13" s="238"/>
      <c r="G13" s="127"/>
      <c r="H13" s="128"/>
    </row>
    <row r="14" spans="1:8" ht="11.65" customHeight="1" x14ac:dyDescent="0.25">
      <c r="A14" s="123"/>
      <c r="B14" s="127"/>
      <c r="C14" s="255" t="s">
        <v>7</v>
      </c>
      <c r="D14" s="256"/>
      <c r="E14" s="257" t="s">
        <v>8</v>
      </c>
      <c r="F14" s="258"/>
      <c r="G14" s="127"/>
      <c r="H14" s="128"/>
    </row>
    <row r="15" spans="1:8" ht="11.65" customHeight="1" x14ac:dyDescent="0.25">
      <c r="A15" s="123"/>
      <c r="B15" s="127"/>
      <c r="C15" s="255" t="s">
        <v>9</v>
      </c>
      <c r="D15" s="256"/>
      <c r="E15" s="257" t="s">
        <v>10</v>
      </c>
      <c r="F15" s="258"/>
      <c r="G15" s="127"/>
      <c r="H15" s="128"/>
    </row>
    <row r="16" spans="1:8" ht="11.65" customHeight="1" x14ac:dyDescent="0.25">
      <c r="A16" s="123"/>
      <c r="B16" s="127"/>
      <c r="C16" s="255" t="s">
        <v>11</v>
      </c>
      <c r="D16" s="256"/>
      <c r="E16" s="257" t="s">
        <v>12</v>
      </c>
      <c r="F16" s="258"/>
      <c r="G16" s="127"/>
      <c r="H16" s="128"/>
    </row>
    <row r="17" spans="1:8" ht="13.5" customHeight="1" x14ac:dyDescent="0.25">
      <c r="A17" s="123"/>
      <c r="B17" s="127"/>
      <c r="C17" s="255" t="s">
        <v>13</v>
      </c>
      <c r="D17" s="256"/>
      <c r="E17" s="257" t="s">
        <v>14</v>
      </c>
      <c r="F17" s="258"/>
      <c r="G17" s="127"/>
      <c r="H17" s="129"/>
    </row>
    <row r="18" spans="1:8" ht="12.4" customHeight="1" x14ac:dyDescent="0.25">
      <c r="A18" s="123"/>
      <c r="B18" s="127"/>
      <c r="C18" s="255" t="s">
        <v>15</v>
      </c>
      <c r="D18" s="256"/>
      <c r="E18" s="262" t="s">
        <v>16</v>
      </c>
      <c r="F18" s="258"/>
      <c r="G18" s="127"/>
      <c r="H18" s="128"/>
    </row>
    <row r="19" spans="1:8" ht="24" customHeight="1" thickBot="1" x14ac:dyDescent="0.3">
      <c r="A19" s="123"/>
      <c r="B19" s="127"/>
      <c r="C19" s="263" t="s">
        <v>17</v>
      </c>
      <c r="D19" s="264"/>
      <c r="E19" s="265" t="s">
        <v>18</v>
      </c>
      <c r="F19" s="266"/>
      <c r="G19" s="127"/>
      <c r="H19" s="128"/>
    </row>
    <row r="20" spans="1:8" ht="11.65" customHeight="1" thickTop="1" x14ac:dyDescent="0.25">
      <c r="A20" s="123"/>
      <c r="B20" s="127"/>
      <c r="C20" s="130"/>
      <c r="D20" s="130"/>
      <c r="E20" s="130"/>
      <c r="F20" s="130"/>
      <c r="G20" s="127"/>
      <c r="H20" s="128"/>
    </row>
    <row r="21" spans="1:8" ht="27.4" customHeight="1" thickBot="1" x14ac:dyDescent="0.3">
      <c r="A21" s="123"/>
      <c r="B21" s="267" t="s">
        <v>19</v>
      </c>
      <c r="C21" s="268"/>
      <c r="D21" s="268"/>
      <c r="E21" s="268"/>
      <c r="F21" s="268"/>
      <c r="G21" s="268"/>
      <c r="H21" s="269"/>
    </row>
    <row r="22" spans="1:8" ht="15.75" thickTop="1" x14ac:dyDescent="0.25">
      <c r="A22" s="123"/>
      <c r="B22" s="131"/>
      <c r="C22" s="270" t="s">
        <v>5</v>
      </c>
      <c r="D22" s="236"/>
      <c r="E22" s="237" t="s">
        <v>6</v>
      </c>
      <c r="F22" s="238"/>
      <c r="G22" s="130"/>
      <c r="H22" s="132"/>
    </row>
    <row r="23" spans="1:8" ht="13.5" customHeight="1" x14ac:dyDescent="0.25">
      <c r="A23" s="123"/>
      <c r="B23" s="133"/>
      <c r="C23" s="271" t="s">
        <v>7</v>
      </c>
      <c r="D23" s="272"/>
      <c r="E23" s="273" t="s">
        <v>8</v>
      </c>
      <c r="F23" s="274"/>
      <c r="G23" s="134"/>
      <c r="H23" s="135"/>
    </row>
    <row r="24" spans="1:8" ht="13.5" customHeight="1" x14ac:dyDescent="0.25">
      <c r="A24" s="123"/>
      <c r="B24" s="133"/>
      <c r="C24" s="259" t="s">
        <v>20</v>
      </c>
      <c r="D24" s="260"/>
      <c r="E24" s="261" t="s">
        <v>14</v>
      </c>
      <c r="F24" s="258"/>
      <c r="G24" s="134"/>
      <c r="H24" s="135"/>
    </row>
    <row r="25" spans="1:8" ht="13.5" customHeight="1" x14ac:dyDescent="0.25">
      <c r="A25" s="123"/>
      <c r="B25" s="133"/>
      <c r="C25" s="259" t="s">
        <v>9</v>
      </c>
      <c r="D25" s="260"/>
      <c r="E25" s="261" t="s">
        <v>10</v>
      </c>
      <c r="F25" s="258"/>
      <c r="G25" s="134"/>
      <c r="H25" s="135"/>
    </row>
    <row r="26" spans="1:8" ht="22.9" customHeight="1" x14ac:dyDescent="0.25">
      <c r="A26" s="123"/>
      <c r="B26" s="133"/>
      <c r="C26" s="259" t="s">
        <v>21</v>
      </c>
      <c r="D26" s="260"/>
      <c r="E26" s="275" t="s">
        <v>22</v>
      </c>
      <c r="F26" s="276"/>
      <c r="G26" s="134"/>
      <c r="H26" s="135"/>
    </row>
    <row r="27" spans="1:8" ht="69.75" customHeight="1" x14ac:dyDescent="0.25">
      <c r="A27" s="123"/>
      <c r="B27" s="133"/>
      <c r="C27" s="277" t="s">
        <v>23</v>
      </c>
      <c r="D27" s="278"/>
      <c r="E27" s="279" t="s">
        <v>24</v>
      </c>
      <c r="F27" s="280"/>
      <c r="G27" s="134"/>
      <c r="H27" s="136"/>
    </row>
    <row r="28" spans="1:8" ht="34.5" customHeight="1" x14ac:dyDescent="0.25">
      <c r="B28" s="137"/>
      <c r="C28" s="281" t="s">
        <v>25</v>
      </c>
      <c r="D28" s="278"/>
      <c r="E28" s="279" t="s">
        <v>26</v>
      </c>
      <c r="F28" s="280"/>
      <c r="G28" s="134"/>
      <c r="H28" s="136"/>
    </row>
    <row r="29" spans="1:8" ht="27.75" customHeight="1" x14ac:dyDescent="0.25">
      <c r="B29" s="137"/>
      <c r="C29" s="281" t="s">
        <v>27</v>
      </c>
      <c r="D29" s="278"/>
      <c r="E29" s="279" t="s">
        <v>28</v>
      </c>
      <c r="F29" s="280"/>
      <c r="G29" s="134"/>
      <c r="H29" s="136"/>
    </row>
    <row r="30" spans="1:8" ht="28.5" customHeight="1" x14ac:dyDescent="0.25">
      <c r="B30" s="137"/>
      <c r="C30" s="281" t="s">
        <v>29</v>
      </c>
      <c r="D30" s="278"/>
      <c r="E30" s="279" t="s">
        <v>30</v>
      </c>
      <c r="F30" s="280"/>
      <c r="G30" s="134"/>
      <c r="H30" s="136"/>
    </row>
    <row r="31" spans="1:8" ht="72.75" customHeight="1" x14ac:dyDescent="0.25">
      <c r="B31" s="137"/>
      <c r="C31" s="281" t="s">
        <v>31</v>
      </c>
      <c r="D31" s="278"/>
      <c r="E31" s="279" t="s">
        <v>32</v>
      </c>
      <c r="F31" s="280"/>
      <c r="G31" s="134"/>
      <c r="H31" s="136"/>
    </row>
    <row r="32" spans="1:8" ht="64.5" customHeight="1" x14ac:dyDescent="0.25">
      <c r="B32" s="137"/>
      <c r="C32" s="281" t="s">
        <v>33</v>
      </c>
      <c r="D32" s="278"/>
      <c r="E32" s="279" t="s">
        <v>34</v>
      </c>
      <c r="F32" s="280"/>
      <c r="G32" s="134"/>
      <c r="H32" s="136"/>
    </row>
    <row r="33" spans="2:8" ht="71.25" customHeight="1" x14ac:dyDescent="0.25">
      <c r="B33" s="137"/>
      <c r="C33" s="282" t="s">
        <v>35</v>
      </c>
      <c r="D33" s="277"/>
      <c r="E33" s="279" t="s">
        <v>36</v>
      </c>
      <c r="F33" s="280"/>
      <c r="G33" s="134"/>
      <c r="H33" s="136"/>
    </row>
    <row r="34" spans="2:8" ht="55.5" customHeight="1" x14ac:dyDescent="0.25">
      <c r="B34" s="137"/>
      <c r="C34" s="282" t="s">
        <v>37</v>
      </c>
      <c r="D34" s="277"/>
      <c r="E34" s="279" t="s">
        <v>38</v>
      </c>
      <c r="F34" s="280"/>
      <c r="G34" s="134"/>
      <c r="H34" s="136"/>
    </row>
    <row r="35" spans="2:8" ht="42" customHeight="1" x14ac:dyDescent="0.25">
      <c r="B35" s="137"/>
      <c r="C35" s="282" t="s">
        <v>39</v>
      </c>
      <c r="D35" s="277"/>
      <c r="E35" s="279" t="s">
        <v>40</v>
      </c>
      <c r="F35" s="280"/>
      <c r="G35" s="134"/>
      <c r="H35" s="136"/>
    </row>
    <row r="36" spans="2:8" ht="59.25" customHeight="1" x14ac:dyDescent="0.25">
      <c r="B36" s="137"/>
      <c r="C36" s="282" t="s">
        <v>41</v>
      </c>
      <c r="D36" s="277"/>
      <c r="E36" s="279" t="s">
        <v>42</v>
      </c>
      <c r="F36" s="280"/>
      <c r="G36" s="134"/>
      <c r="H36" s="136"/>
    </row>
    <row r="37" spans="2:8" ht="23.25" customHeight="1" x14ac:dyDescent="0.25">
      <c r="B37" s="137"/>
      <c r="C37" s="282" t="s">
        <v>43</v>
      </c>
      <c r="D37" s="277"/>
      <c r="E37" s="279" t="s">
        <v>44</v>
      </c>
      <c r="F37" s="280"/>
      <c r="G37" s="134"/>
      <c r="H37" s="136"/>
    </row>
    <row r="38" spans="2:8" ht="30.75" customHeight="1" x14ac:dyDescent="0.25">
      <c r="B38" s="137"/>
      <c r="C38" s="282" t="s">
        <v>45</v>
      </c>
      <c r="D38" s="277"/>
      <c r="E38" s="279" t="s">
        <v>46</v>
      </c>
      <c r="F38" s="280"/>
      <c r="G38" s="134"/>
      <c r="H38" s="136"/>
    </row>
    <row r="39" spans="2:8" ht="35.25" customHeight="1" x14ac:dyDescent="0.25">
      <c r="B39" s="137"/>
      <c r="C39" s="282" t="s">
        <v>45</v>
      </c>
      <c r="D39" s="277"/>
      <c r="E39" s="279" t="s">
        <v>46</v>
      </c>
      <c r="F39" s="280"/>
      <c r="G39" s="134"/>
      <c r="H39" s="136"/>
    </row>
    <row r="40" spans="2:8" ht="33" customHeight="1" x14ac:dyDescent="0.25">
      <c r="B40" s="137"/>
      <c r="C40" s="282" t="s">
        <v>47</v>
      </c>
      <c r="D40" s="277"/>
      <c r="E40" s="279" t="s">
        <v>48</v>
      </c>
      <c r="F40" s="280"/>
      <c r="G40" s="134"/>
      <c r="H40" s="136"/>
    </row>
    <row r="41" spans="2:8" ht="30" customHeight="1" x14ac:dyDescent="0.25">
      <c r="B41" s="137"/>
      <c r="C41" s="282" t="s">
        <v>49</v>
      </c>
      <c r="D41" s="277"/>
      <c r="E41" s="279" t="s">
        <v>50</v>
      </c>
      <c r="F41" s="280"/>
      <c r="G41" s="134"/>
      <c r="H41" s="136"/>
    </row>
    <row r="42" spans="2:8" ht="35.25" customHeight="1" x14ac:dyDescent="0.25">
      <c r="B42" s="137"/>
      <c r="C42" s="282" t="s">
        <v>51</v>
      </c>
      <c r="D42" s="277"/>
      <c r="E42" s="279" t="s">
        <v>52</v>
      </c>
      <c r="F42" s="280"/>
      <c r="G42" s="134"/>
      <c r="H42" s="136"/>
    </row>
    <row r="43" spans="2:8" ht="31.5" customHeight="1" x14ac:dyDescent="0.25">
      <c r="B43" s="137"/>
      <c r="C43" s="282" t="s">
        <v>53</v>
      </c>
      <c r="D43" s="277"/>
      <c r="E43" s="279" t="s">
        <v>54</v>
      </c>
      <c r="F43" s="280"/>
      <c r="G43" s="134"/>
      <c r="H43" s="136"/>
    </row>
    <row r="44" spans="2:8" ht="54" customHeight="1" x14ac:dyDescent="0.25">
      <c r="B44" s="137"/>
      <c r="C44" s="282" t="s">
        <v>55</v>
      </c>
      <c r="D44" s="277"/>
      <c r="E44" s="279" t="s">
        <v>56</v>
      </c>
      <c r="F44" s="280"/>
      <c r="G44" s="134"/>
      <c r="H44" s="136"/>
    </row>
    <row r="45" spans="2:8" ht="59.25" customHeight="1" x14ac:dyDescent="0.25">
      <c r="B45" s="137"/>
      <c r="C45" s="282" t="s">
        <v>57</v>
      </c>
      <c r="D45" s="277"/>
      <c r="E45" s="279" t="s">
        <v>58</v>
      </c>
      <c r="F45" s="280"/>
      <c r="G45" s="134"/>
      <c r="H45" s="136"/>
    </row>
    <row r="46" spans="2:8" ht="84" customHeight="1" x14ac:dyDescent="0.25">
      <c r="B46" s="137"/>
      <c r="C46" s="282" t="s">
        <v>59</v>
      </c>
      <c r="D46" s="277"/>
      <c r="E46" s="279" t="s">
        <v>60</v>
      </c>
      <c r="F46" s="280"/>
      <c r="G46" s="134"/>
      <c r="H46" s="136"/>
    </row>
    <row r="47" spans="2:8" ht="82.5" customHeight="1" x14ac:dyDescent="0.25">
      <c r="B47" s="137"/>
      <c r="C47" s="282" t="s">
        <v>61</v>
      </c>
      <c r="D47" s="277"/>
      <c r="E47" s="279" t="s">
        <v>62</v>
      </c>
      <c r="F47" s="280"/>
      <c r="G47" s="134"/>
      <c r="H47" s="136"/>
    </row>
    <row r="48" spans="2:8" ht="46.5" customHeight="1" thickBot="1" x14ac:dyDescent="0.3">
      <c r="B48" s="137"/>
      <c r="C48" s="283"/>
      <c r="D48" s="284"/>
      <c r="E48" s="285"/>
      <c r="F48" s="286"/>
      <c r="G48" s="134"/>
      <c r="H48" s="136"/>
    </row>
    <row r="49" spans="2:8" ht="6.75" customHeight="1" thickTop="1" x14ac:dyDescent="0.25">
      <c r="B49" s="137"/>
      <c r="C49" s="138"/>
      <c r="D49" s="138"/>
      <c r="E49" s="139"/>
      <c r="F49" s="139"/>
      <c r="G49" s="134"/>
      <c r="H49" s="136"/>
    </row>
    <row r="50" spans="2:8" x14ac:dyDescent="0.25">
      <c r="B50" s="137"/>
      <c r="C50" s="140"/>
      <c r="D50" s="140"/>
      <c r="E50" s="140"/>
      <c r="F50" s="140"/>
      <c r="G50" s="134"/>
      <c r="H50" s="136"/>
    </row>
    <row r="51" spans="2:8" ht="21" customHeight="1" x14ac:dyDescent="0.25">
      <c r="B51" s="141" t="s">
        <v>63</v>
      </c>
      <c r="C51" s="140"/>
      <c r="D51" s="140"/>
      <c r="E51" s="140"/>
      <c r="F51" s="140"/>
      <c r="G51" s="140"/>
      <c r="H51" s="142"/>
    </row>
    <row r="52" spans="2:8" ht="20.25" customHeight="1" x14ac:dyDescent="0.25">
      <c r="B52" s="141" t="s">
        <v>64</v>
      </c>
      <c r="C52" s="140"/>
      <c r="D52" s="140"/>
      <c r="E52" s="140"/>
      <c r="F52" s="140"/>
      <c r="G52" s="140"/>
      <c r="H52" s="142"/>
    </row>
    <row r="53" spans="2:8" ht="20.25" customHeight="1" x14ac:dyDescent="0.25">
      <c r="B53" s="141" t="s">
        <v>65</v>
      </c>
      <c r="C53" s="140"/>
      <c r="D53" s="140"/>
      <c r="E53" s="140"/>
      <c r="F53" s="140"/>
      <c r="G53" s="140"/>
      <c r="H53" s="142"/>
    </row>
    <row r="54" spans="2:8" ht="20.25" customHeight="1" x14ac:dyDescent="0.25">
      <c r="B54" s="141" t="s">
        <v>66</v>
      </c>
      <c r="C54" s="140"/>
      <c r="D54" s="140"/>
      <c r="E54" s="140"/>
      <c r="F54" s="140"/>
      <c r="G54" s="140"/>
      <c r="H54" s="142"/>
    </row>
    <row r="55" spans="2:8" ht="14.65" customHeight="1" x14ac:dyDescent="0.25">
      <c r="B55" s="141" t="s">
        <v>67</v>
      </c>
      <c r="C55" s="140"/>
      <c r="D55" s="140"/>
      <c r="E55" s="140"/>
      <c r="F55" s="140"/>
      <c r="G55" s="140"/>
      <c r="H55" s="142"/>
    </row>
    <row r="56" spans="2:8" ht="15.75" thickBot="1" x14ac:dyDescent="0.3">
      <c r="B56" s="143"/>
      <c r="C56" s="144"/>
      <c r="D56" s="144"/>
      <c r="E56" s="144"/>
      <c r="F56" s="144"/>
      <c r="G56" s="144"/>
      <c r="H56" s="145"/>
    </row>
  </sheetData>
  <mergeCells count="74">
    <mergeCell ref="C46:D46"/>
    <mergeCell ref="E46:F46"/>
    <mergeCell ref="C47:D47"/>
    <mergeCell ref="E47:F47"/>
    <mergeCell ref="C48:D48"/>
    <mergeCell ref="E48:F48"/>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156</v>
      </c>
    </row>
    <row r="4" spans="1:1" x14ac:dyDescent="0.2">
      <c r="A4" s="10" t="s">
        <v>310</v>
      </c>
    </row>
    <row r="5" spans="1:1" x14ac:dyDescent="0.2">
      <c r="A5" s="10" t="s">
        <v>312</v>
      </c>
    </row>
    <row r="6" spans="1:1" x14ac:dyDescent="0.2">
      <c r="A6" s="10" t="s">
        <v>314</v>
      </c>
    </row>
    <row r="7" spans="1:1" x14ac:dyDescent="0.2">
      <c r="A7" s="10" t="s">
        <v>157</v>
      </c>
    </row>
    <row r="8" spans="1:1" x14ac:dyDescent="0.2">
      <c r="A8" s="10" t="s">
        <v>158</v>
      </c>
    </row>
    <row r="9" spans="1:1" x14ac:dyDescent="0.2">
      <c r="A9" s="10" t="s">
        <v>320</v>
      </c>
    </row>
    <row r="10" spans="1:1" x14ac:dyDescent="0.2">
      <c r="A10" s="10" t="s">
        <v>159</v>
      </c>
    </row>
    <row r="11" spans="1:1" x14ac:dyDescent="0.2">
      <c r="A11" s="10" t="s">
        <v>323</v>
      </c>
    </row>
    <row r="12" spans="1:1" x14ac:dyDescent="0.2">
      <c r="A12" s="10" t="s">
        <v>343</v>
      </c>
    </row>
    <row r="13" spans="1:1" x14ac:dyDescent="0.2">
      <c r="A13" s="10" t="s">
        <v>344</v>
      </c>
    </row>
    <row r="14" spans="1:1" x14ac:dyDescent="0.2">
      <c r="A14" s="10" t="s">
        <v>345</v>
      </c>
    </row>
    <row r="16" spans="1:1" x14ac:dyDescent="0.2">
      <c r="A16" s="10" t="s">
        <v>346</v>
      </c>
    </row>
    <row r="17" spans="1:1" x14ac:dyDescent="0.2">
      <c r="A17" s="10" t="s">
        <v>329</v>
      </c>
    </row>
    <row r="18" spans="1:1" x14ac:dyDescent="0.2">
      <c r="A18" s="10" t="s">
        <v>331</v>
      </c>
    </row>
    <row r="20" spans="1:1" x14ac:dyDescent="0.2">
      <c r="A20" s="10" t="s">
        <v>335</v>
      </c>
    </row>
    <row r="21" spans="1:1" x14ac:dyDescent="0.2">
      <c r="A21" s="10" t="s">
        <v>336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21DA-876D-4571-800D-8528FF91467F}">
  <sheetPr>
    <tabColor theme="6" tint="0.39997558519241921"/>
  </sheetPr>
  <dimension ref="B1:AZ43"/>
  <sheetViews>
    <sheetView showGridLines="0" topLeftCell="A26" zoomScale="91" zoomScaleNormal="91" workbookViewId="0">
      <selection activeCell="B33" sqref="B33:F37"/>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6" t="s">
        <v>68</v>
      </c>
    </row>
    <row r="2" spans="2:52" ht="18" customHeight="1" thickBot="1" x14ac:dyDescent="0.3">
      <c r="B2" s="292"/>
      <c r="C2" s="295" t="s">
        <v>69</v>
      </c>
      <c r="D2" s="296"/>
      <c r="E2" s="296"/>
      <c r="F2" s="147" t="s">
        <v>70</v>
      </c>
      <c r="AZ2" s="146" t="s">
        <v>71</v>
      </c>
    </row>
    <row r="3" spans="2:52" ht="18" customHeight="1" thickBot="1" x14ac:dyDescent="0.3">
      <c r="B3" s="293"/>
      <c r="C3" s="297"/>
      <c r="D3" s="298"/>
      <c r="E3" s="298"/>
      <c r="F3" s="148" t="s">
        <v>72</v>
      </c>
      <c r="AZ3" s="146" t="s">
        <v>73</v>
      </c>
    </row>
    <row r="4" spans="2:52" ht="18" customHeight="1" thickBot="1" x14ac:dyDescent="0.3">
      <c r="B4" s="293"/>
      <c r="C4" s="297"/>
      <c r="D4" s="298"/>
      <c r="E4" s="298"/>
      <c r="F4" s="148" t="s">
        <v>74</v>
      </c>
      <c r="AZ4" s="146" t="s">
        <v>75</v>
      </c>
    </row>
    <row r="5" spans="2:52" ht="18" customHeight="1" thickBot="1" x14ac:dyDescent="0.3">
      <c r="B5" s="294"/>
      <c r="C5" s="299"/>
      <c r="D5" s="300"/>
      <c r="E5" s="300"/>
      <c r="F5" s="148" t="s">
        <v>76</v>
      </c>
      <c r="AZ5" s="149"/>
    </row>
    <row r="6" spans="2:52" ht="18" customHeight="1" thickBot="1" x14ac:dyDescent="0.3">
      <c r="B6" s="150"/>
      <c r="C6" s="151"/>
      <c r="D6" s="151"/>
      <c r="E6" s="151"/>
      <c r="F6" s="152"/>
      <c r="AZ6" s="149"/>
    </row>
    <row r="7" spans="2:52" ht="33.4" customHeight="1" x14ac:dyDescent="0.25">
      <c r="B7" s="153" t="s">
        <v>77</v>
      </c>
      <c r="C7" s="301" t="s">
        <v>78</v>
      </c>
      <c r="D7" s="302"/>
      <c r="E7" s="302"/>
      <c r="F7" s="303"/>
      <c r="AZ7" s="149"/>
    </row>
    <row r="8" spans="2:52" ht="25.9" customHeight="1" thickBot="1" x14ac:dyDescent="0.3">
      <c r="B8" s="154" t="s">
        <v>79</v>
      </c>
      <c r="C8" s="304" t="s">
        <v>80</v>
      </c>
      <c r="D8" s="305"/>
      <c r="E8" s="305"/>
      <c r="F8" s="306"/>
      <c r="AZ8" s="149"/>
    </row>
    <row r="9" spans="2:52" ht="16.5" thickBot="1" x14ac:dyDescent="0.3">
      <c r="B9" s="307"/>
      <c r="C9" s="307"/>
      <c r="D9" s="307"/>
      <c r="E9" s="307"/>
      <c r="F9" s="307"/>
    </row>
    <row r="10" spans="2:52" ht="15.6" customHeight="1" thickBot="1" x14ac:dyDescent="0.3">
      <c r="B10" s="308" t="s">
        <v>69</v>
      </c>
      <c r="C10" s="309"/>
      <c r="D10" s="309"/>
      <c r="E10" s="309"/>
      <c r="F10" s="310"/>
    </row>
    <row r="11" spans="2:52" ht="32.25" thickBot="1" x14ac:dyDescent="0.3">
      <c r="B11" s="311" t="s">
        <v>81</v>
      </c>
      <c r="C11" s="312"/>
      <c r="D11" s="155" t="s">
        <v>82</v>
      </c>
      <c r="E11" s="155" t="s">
        <v>83</v>
      </c>
      <c r="F11" s="156" t="s">
        <v>84</v>
      </c>
    </row>
    <row r="12" spans="2:52" ht="188.25" customHeight="1" thickBot="1" x14ac:dyDescent="0.3">
      <c r="B12" s="313" t="s">
        <v>71</v>
      </c>
      <c r="C12" s="314"/>
      <c r="D12" s="157" t="s">
        <v>85</v>
      </c>
      <c r="E12" s="158" t="s">
        <v>86</v>
      </c>
      <c r="F12" s="159" t="s">
        <v>87</v>
      </c>
    </row>
    <row r="14" spans="2:52" ht="18" x14ac:dyDescent="0.25">
      <c r="B14" s="315" t="s">
        <v>88</v>
      </c>
      <c r="C14" s="315"/>
      <c r="D14" s="315"/>
      <c r="E14" s="315"/>
      <c r="F14" s="315"/>
    </row>
    <row r="15" spans="2:52" ht="15.75" x14ac:dyDescent="0.25">
      <c r="B15" s="160"/>
    </row>
    <row r="16" spans="2:52" ht="15.75" thickBot="1" x14ac:dyDescent="0.3">
      <c r="B16" s="161"/>
    </row>
    <row r="17" spans="2:6" ht="15.75" x14ac:dyDescent="0.25">
      <c r="B17" s="316" t="s">
        <v>89</v>
      </c>
      <c r="C17" s="317"/>
      <c r="D17" s="318"/>
      <c r="E17" s="316" t="s">
        <v>90</v>
      </c>
      <c r="F17" s="318"/>
    </row>
    <row r="18" spans="2:6" ht="15" customHeight="1" x14ac:dyDescent="0.3">
      <c r="B18" s="287" t="s">
        <v>91</v>
      </c>
      <c r="C18" s="288"/>
      <c r="D18" s="289"/>
      <c r="E18" s="290" t="s">
        <v>92</v>
      </c>
      <c r="F18" s="291"/>
    </row>
    <row r="19" spans="2:6" ht="15" customHeight="1" x14ac:dyDescent="0.25">
      <c r="B19" s="319" t="s">
        <v>93</v>
      </c>
      <c r="C19" s="320"/>
      <c r="D19" s="321"/>
      <c r="E19" s="322" t="s">
        <v>94</v>
      </c>
      <c r="F19" s="323"/>
    </row>
    <row r="20" spans="2:6" ht="15" customHeight="1" x14ac:dyDescent="0.25">
      <c r="B20" s="319" t="s">
        <v>95</v>
      </c>
      <c r="C20" s="320"/>
      <c r="D20" s="321"/>
      <c r="E20" s="290" t="s">
        <v>96</v>
      </c>
      <c r="F20" s="291"/>
    </row>
    <row r="21" spans="2:6" ht="15" customHeight="1" x14ac:dyDescent="0.3">
      <c r="B21" s="287" t="s">
        <v>97</v>
      </c>
      <c r="C21" s="288"/>
      <c r="D21" s="289"/>
      <c r="E21" s="290" t="s">
        <v>98</v>
      </c>
      <c r="F21" s="291"/>
    </row>
    <row r="22" spans="2:6" ht="15" customHeight="1" x14ac:dyDescent="0.3">
      <c r="B22" s="287"/>
      <c r="C22" s="288"/>
      <c r="D22" s="289"/>
      <c r="E22" s="324"/>
      <c r="F22" s="325"/>
    </row>
    <row r="23" spans="2:6" ht="15" customHeight="1" x14ac:dyDescent="0.3">
      <c r="B23" s="287"/>
      <c r="C23" s="288"/>
      <c r="D23" s="289"/>
      <c r="E23" s="324"/>
      <c r="F23" s="325"/>
    </row>
    <row r="24" spans="2:6" ht="15" customHeight="1" x14ac:dyDescent="0.25">
      <c r="B24" s="319"/>
      <c r="C24" s="320"/>
      <c r="D24" s="321"/>
      <c r="E24" s="290"/>
      <c r="F24" s="291"/>
    </row>
    <row r="25" spans="2:6" ht="15.75" customHeight="1" x14ac:dyDescent="0.25">
      <c r="B25" s="326"/>
      <c r="C25" s="327"/>
      <c r="D25" s="325"/>
      <c r="E25" s="324"/>
      <c r="F25" s="325"/>
    </row>
    <row r="26" spans="2:6" ht="16.5" x14ac:dyDescent="0.25">
      <c r="B26" s="319"/>
      <c r="C26" s="320"/>
      <c r="D26" s="321"/>
      <c r="E26" s="328"/>
      <c r="F26" s="329"/>
    </row>
    <row r="27" spans="2:6" ht="15" customHeight="1" x14ac:dyDescent="0.25">
      <c r="B27" s="330"/>
      <c r="C27" s="331"/>
      <c r="D27" s="332"/>
      <c r="E27" s="333"/>
      <c r="F27" s="334"/>
    </row>
    <row r="28" spans="2:6" ht="15" customHeight="1" x14ac:dyDescent="0.25">
      <c r="B28" s="319"/>
      <c r="C28" s="320"/>
      <c r="D28" s="321"/>
      <c r="E28" s="333"/>
      <c r="F28" s="334"/>
    </row>
    <row r="29" spans="2:6" ht="15" customHeight="1" x14ac:dyDescent="0.25">
      <c r="B29" s="319"/>
      <c r="C29" s="320"/>
      <c r="D29" s="321"/>
      <c r="E29" s="333"/>
      <c r="F29" s="334"/>
    </row>
    <row r="30" spans="2:6" ht="15" customHeight="1" x14ac:dyDescent="0.25">
      <c r="B30" s="319"/>
      <c r="C30" s="320"/>
      <c r="D30" s="321"/>
      <c r="E30" s="322"/>
      <c r="F30" s="323"/>
    </row>
    <row r="31" spans="2:6" ht="15" customHeight="1" thickBot="1" x14ac:dyDescent="0.35">
      <c r="B31" s="335"/>
      <c r="C31" s="336"/>
      <c r="D31" s="337"/>
      <c r="E31" s="338"/>
      <c r="F31" s="339"/>
    </row>
    <row r="32" spans="2:6" ht="15" customHeight="1" thickBot="1" x14ac:dyDescent="0.3">
      <c r="B32" s="340" t="s">
        <v>99</v>
      </c>
      <c r="C32" s="341"/>
      <c r="D32" s="341"/>
      <c r="E32" s="342" t="s">
        <v>100</v>
      </c>
      <c r="F32" s="343"/>
    </row>
    <row r="33" spans="2:6" ht="15.75" customHeight="1" x14ac:dyDescent="0.3">
      <c r="B33" s="344" t="s">
        <v>101</v>
      </c>
      <c r="C33" s="345"/>
      <c r="D33" s="346"/>
      <c r="E33" s="347" t="s">
        <v>102</v>
      </c>
      <c r="F33" s="348"/>
    </row>
    <row r="34" spans="2:6" ht="16.5" x14ac:dyDescent="0.3">
      <c r="B34" s="349" t="s">
        <v>103</v>
      </c>
      <c r="C34" s="327"/>
      <c r="D34" s="350"/>
      <c r="E34" s="351" t="s">
        <v>104</v>
      </c>
      <c r="F34" s="352"/>
    </row>
    <row r="35" spans="2:6" ht="16.5" x14ac:dyDescent="0.3">
      <c r="B35" s="349" t="s">
        <v>105</v>
      </c>
      <c r="C35" s="327"/>
      <c r="D35" s="350"/>
      <c r="E35" s="353" t="s">
        <v>106</v>
      </c>
      <c r="F35" s="354"/>
    </row>
    <row r="36" spans="2:6" ht="16.5" x14ac:dyDescent="0.3">
      <c r="B36" s="349" t="s">
        <v>107</v>
      </c>
      <c r="C36" s="327"/>
      <c r="D36" s="350"/>
      <c r="E36" s="353"/>
      <c r="F36" s="354"/>
    </row>
    <row r="37" spans="2:6" ht="16.5" x14ac:dyDescent="0.3">
      <c r="B37" s="349" t="s">
        <v>108</v>
      </c>
      <c r="C37" s="327"/>
      <c r="D37" s="350"/>
      <c r="E37" s="353"/>
      <c r="F37" s="354"/>
    </row>
    <row r="38" spans="2:6" ht="16.5" x14ac:dyDescent="0.25">
      <c r="B38" s="355"/>
      <c r="C38" s="356"/>
      <c r="D38" s="291"/>
      <c r="E38" s="355"/>
      <c r="F38" s="291"/>
    </row>
    <row r="39" spans="2:6" ht="16.5" x14ac:dyDescent="0.25">
      <c r="B39" s="355"/>
      <c r="C39" s="356"/>
      <c r="D39" s="291"/>
      <c r="E39" s="326"/>
      <c r="F39" s="325"/>
    </row>
    <row r="40" spans="2:6" ht="16.5" x14ac:dyDescent="0.25">
      <c r="B40" s="355"/>
      <c r="C40" s="356"/>
      <c r="D40" s="291"/>
      <c r="E40" s="326"/>
      <c r="F40" s="325"/>
    </row>
    <row r="41" spans="2:6" ht="16.5" x14ac:dyDescent="0.25">
      <c r="B41" s="326"/>
      <c r="C41" s="327"/>
      <c r="D41" s="325"/>
      <c r="E41" s="326"/>
      <c r="F41" s="325"/>
    </row>
    <row r="42" spans="2:6" ht="16.5" x14ac:dyDescent="0.3">
      <c r="B42" s="362"/>
      <c r="C42" s="363"/>
      <c r="D42" s="364"/>
      <c r="E42" s="362"/>
      <c r="F42" s="364"/>
    </row>
    <row r="43" spans="2:6" ht="17.25" thickBot="1" x14ac:dyDescent="0.35">
      <c r="B43" s="357"/>
      <c r="C43" s="358"/>
      <c r="D43" s="359"/>
      <c r="E43" s="360"/>
      <c r="F43" s="361"/>
    </row>
  </sheetData>
  <mergeCells count="63">
    <mergeCell ref="B43:D43"/>
    <mergeCell ref="E43:F43"/>
    <mergeCell ref="B40:D40"/>
    <mergeCell ref="E40:F40"/>
    <mergeCell ref="B41:D41"/>
    <mergeCell ref="E41:F41"/>
    <mergeCell ref="B42:D42"/>
    <mergeCell ref="E42:F42"/>
    <mergeCell ref="B37:D37"/>
    <mergeCell ref="E37:F37"/>
    <mergeCell ref="B38:D38"/>
    <mergeCell ref="E38:F38"/>
    <mergeCell ref="B39:D39"/>
    <mergeCell ref="E39:F39"/>
    <mergeCell ref="B34:D34"/>
    <mergeCell ref="E34:F34"/>
    <mergeCell ref="B35:D35"/>
    <mergeCell ref="E35:F35"/>
    <mergeCell ref="B36:D36"/>
    <mergeCell ref="E36:F36"/>
    <mergeCell ref="B31:D31"/>
    <mergeCell ref="E31:F31"/>
    <mergeCell ref="B32:D32"/>
    <mergeCell ref="E32:F32"/>
    <mergeCell ref="B33:D33"/>
    <mergeCell ref="E33:F33"/>
    <mergeCell ref="B28:D28"/>
    <mergeCell ref="E28:F28"/>
    <mergeCell ref="B29:D29"/>
    <mergeCell ref="E29:F29"/>
    <mergeCell ref="B30:D30"/>
    <mergeCell ref="E30:F30"/>
    <mergeCell ref="B25:D25"/>
    <mergeCell ref="E25:F25"/>
    <mergeCell ref="B26:D26"/>
    <mergeCell ref="E26:F26"/>
    <mergeCell ref="B27:D27"/>
    <mergeCell ref="E27:F27"/>
    <mergeCell ref="B22:D22"/>
    <mergeCell ref="E22:F22"/>
    <mergeCell ref="B23:D23"/>
    <mergeCell ref="E23:F23"/>
    <mergeCell ref="B24:D24"/>
    <mergeCell ref="E24:F24"/>
    <mergeCell ref="B19:D19"/>
    <mergeCell ref="E19:F19"/>
    <mergeCell ref="B20:D20"/>
    <mergeCell ref="E20:F20"/>
    <mergeCell ref="B21:D21"/>
    <mergeCell ref="E21:F21"/>
    <mergeCell ref="B18:D18"/>
    <mergeCell ref="E18:F18"/>
    <mergeCell ref="B2:B5"/>
    <mergeCell ref="C2:E5"/>
    <mergeCell ref="C7:F7"/>
    <mergeCell ref="C8:F8"/>
    <mergeCell ref="B9:F9"/>
    <mergeCell ref="B10:F10"/>
    <mergeCell ref="B11:C11"/>
    <mergeCell ref="B12:C12"/>
    <mergeCell ref="B14:F14"/>
    <mergeCell ref="B17:D17"/>
    <mergeCell ref="E17:F17"/>
  </mergeCells>
  <dataValidations count="1">
    <dataValidation type="list" allowBlank="1" showInputMessage="1" showErrorMessage="1" sqref="B12:C12" xr:uid="{A16C5ED0-9534-496E-A4AB-A498EEA48C5C}">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8"/>
  <sheetViews>
    <sheetView tabSelected="1" zoomScaleNormal="100" workbookViewId="0">
      <selection activeCell="AE13" sqref="AE13"/>
    </sheetView>
  </sheetViews>
  <sheetFormatPr baseColWidth="10" defaultColWidth="11.42578125" defaultRowHeight="16.5" x14ac:dyDescent="0.3"/>
  <cols>
    <col min="1" max="1" width="4" style="2" bestFit="1" customWidth="1"/>
    <col min="2" max="2" width="14.140625" style="2" customWidth="1"/>
    <col min="3" max="3" width="28.140625" style="2" customWidth="1"/>
    <col min="4" max="4" width="25.28515625" style="2" customWidth="1"/>
    <col min="5" max="5" width="36.8554687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7.140625" style="188"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7.28515625" style="1" customWidth="1"/>
    <col min="27" max="27" width="9.28515625" style="1" customWidth="1"/>
    <col min="28" max="28" width="7.140625" style="1" customWidth="1"/>
    <col min="29" max="29" width="8.42578125" style="1" customWidth="1"/>
    <col min="30" max="30" width="7.28515625" style="1" customWidth="1"/>
    <col min="31" max="31" width="48.85546875" style="1" customWidth="1"/>
    <col min="32" max="32" width="22.140625" style="1" customWidth="1"/>
    <col min="33" max="34" width="14.5703125" style="1" customWidth="1"/>
    <col min="35" max="35" width="14.85546875" style="1" customWidth="1"/>
    <col min="36" max="36" width="18.5703125" style="1" customWidth="1"/>
    <col min="37" max="37" width="21" style="1" customWidth="1"/>
    <col min="38" max="16384" width="11.42578125" style="1"/>
  </cols>
  <sheetData>
    <row r="1" spans="1:69" ht="15" customHeight="1" x14ac:dyDescent="0.3">
      <c r="A1" s="465"/>
      <c r="B1" s="466"/>
      <c r="C1" s="466"/>
      <c r="D1" s="467"/>
      <c r="E1" s="456" t="s">
        <v>109</v>
      </c>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s="458"/>
      <c r="AJ1" s="449" t="s">
        <v>110</v>
      </c>
      <c r="AK1" s="450"/>
    </row>
    <row r="2" spans="1:69" ht="15" customHeight="1" x14ac:dyDescent="0.3">
      <c r="A2" s="468"/>
      <c r="B2" s="469"/>
      <c r="C2" s="469"/>
      <c r="D2" s="470"/>
      <c r="E2" s="459"/>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1"/>
      <c r="AJ2" s="451" t="s">
        <v>111</v>
      </c>
      <c r="AK2" s="452"/>
    </row>
    <row r="3" spans="1:69" ht="15" customHeight="1" x14ac:dyDescent="0.3">
      <c r="A3" s="468"/>
      <c r="B3" s="469"/>
      <c r="C3" s="469"/>
      <c r="D3" s="470"/>
      <c r="E3" s="459"/>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1"/>
      <c r="AJ3" s="451" t="s">
        <v>112</v>
      </c>
      <c r="AK3" s="453"/>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5" customHeight="1" x14ac:dyDescent="0.3">
      <c r="A4" s="471"/>
      <c r="B4" s="472"/>
      <c r="C4" s="472"/>
      <c r="D4" s="473"/>
      <c r="E4" s="462"/>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4"/>
      <c r="AJ4" s="454" t="s">
        <v>113</v>
      </c>
      <c r="AK4" s="455"/>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x14ac:dyDescent="0.3">
      <c r="A5" s="28"/>
      <c r="B5" s="29"/>
      <c r="C5" s="28"/>
      <c r="D5" s="28"/>
      <c r="E5" s="8"/>
      <c r="F5" s="27"/>
      <c r="G5" s="8"/>
      <c r="H5" s="8"/>
      <c r="I5" s="8"/>
      <c r="J5" s="8"/>
      <c r="K5" s="8"/>
      <c r="L5" s="8"/>
      <c r="M5" s="8"/>
      <c r="N5" s="8"/>
      <c r="O5" s="8"/>
      <c r="P5" s="18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6.25" customHeight="1" x14ac:dyDescent="0.3">
      <c r="A6" s="415" t="s">
        <v>114</v>
      </c>
      <c r="B6" s="416"/>
      <c r="C6" s="474" t="s">
        <v>115</v>
      </c>
      <c r="D6" s="475"/>
      <c r="E6" s="475"/>
      <c r="F6" s="475"/>
      <c r="G6" s="475"/>
      <c r="H6" s="475"/>
      <c r="I6" s="475"/>
      <c r="J6" s="475"/>
      <c r="K6" s="475"/>
      <c r="L6" s="475"/>
      <c r="M6" s="475"/>
      <c r="N6" s="476"/>
      <c r="O6" s="480"/>
      <c r="P6" s="480"/>
      <c r="Q6" s="480"/>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45" customHeight="1" x14ac:dyDescent="0.3">
      <c r="A7" s="415" t="s">
        <v>116</v>
      </c>
      <c r="B7" s="416"/>
      <c r="C7" s="422" t="s">
        <v>117</v>
      </c>
      <c r="D7" s="423"/>
      <c r="E7" s="423"/>
      <c r="F7" s="423"/>
      <c r="G7" s="423"/>
      <c r="H7" s="423"/>
      <c r="I7" s="423"/>
      <c r="J7" s="423"/>
      <c r="K7" s="423"/>
      <c r="L7" s="423"/>
      <c r="M7" s="423"/>
      <c r="N7" s="424"/>
      <c r="O7" s="8"/>
      <c r="P7" s="187"/>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45" customHeight="1" x14ac:dyDescent="0.3">
      <c r="A8" s="415" t="s">
        <v>118</v>
      </c>
      <c r="B8" s="416"/>
      <c r="C8" s="422" t="s">
        <v>119</v>
      </c>
      <c r="D8" s="423"/>
      <c r="E8" s="423"/>
      <c r="F8" s="423"/>
      <c r="G8" s="423"/>
      <c r="H8" s="423"/>
      <c r="I8" s="423"/>
      <c r="J8" s="423"/>
      <c r="K8" s="423"/>
      <c r="L8" s="423"/>
      <c r="M8" s="423"/>
      <c r="N8" s="424"/>
      <c r="O8" s="8"/>
      <c r="P8" s="187"/>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x14ac:dyDescent="0.3">
      <c r="A9" s="477" t="s">
        <v>120</v>
      </c>
      <c r="B9" s="478"/>
      <c r="C9" s="478"/>
      <c r="D9" s="478"/>
      <c r="E9" s="478"/>
      <c r="F9" s="478"/>
      <c r="G9" s="479"/>
      <c r="H9" s="477" t="s">
        <v>121</v>
      </c>
      <c r="I9" s="478"/>
      <c r="J9" s="478"/>
      <c r="K9" s="478"/>
      <c r="L9" s="478"/>
      <c r="M9" s="478"/>
      <c r="N9" s="479"/>
      <c r="O9" s="477" t="s">
        <v>122</v>
      </c>
      <c r="P9" s="478"/>
      <c r="Q9" s="478"/>
      <c r="R9" s="478"/>
      <c r="S9" s="478"/>
      <c r="T9" s="478"/>
      <c r="U9" s="478"/>
      <c r="V9" s="478"/>
      <c r="W9" s="479"/>
      <c r="X9" s="477" t="s">
        <v>123</v>
      </c>
      <c r="Y9" s="478"/>
      <c r="Z9" s="478"/>
      <c r="AA9" s="478"/>
      <c r="AB9" s="478"/>
      <c r="AC9" s="478"/>
      <c r="AD9" s="479"/>
      <c r="AE9" s="477" t="s">
        <v>124</v>
      </c>
      <c r="AF9" s="478"/>
      <c r="AG9" s="478"/>
      <c r="AH9" s="478"/>
      <c r="AI9" s="478"/>
      <c r="AJ9" s="478"/>
      <c r="AK9" s="479"/>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x14ac:dyDescent="0.3">
      <c r="A10" s="417" t="s">
        <v>125</v>
      </c>
      <c r="B10" s="413" t="s">
        <v>23</v>
      </c>
      <c r="C10" s="407" t="s">
        <v>25</v>
      </c>
      <c r="D10" s="407" t="s">
        <v>27</v>
      </c>
      <c r="E10" s="419" t="s">
        <v>29</v>
      </c>
      <c r="F10" s="414" t="s">
        <v>31</v>
      </c>
      <c r="G10" s="407" t="s">
        <v>126</v>
      </c>
      <c r="H10" s="409" t="s">
        <v>127</v>
      </c>
      <c r="I10" s="410" t="s">
        <v>128</v>
      </c>
      <c r="J10" s="414" t="s">
        <v>129</v>
      </c>
      <c r="K10" s="414" t="s">
        <v>130</v>
      </c>
      <c r="L10" s="412" t="s">
        <v>131</v>
      </c>
      <c r="M10" s="410" t="s">
        <v>128</v>
      </c>
      <c r="N10" s="407" t="s">
        <v>37</v>
      </c>
      <c r="O10" s="420" t="s">
        <v>132</v>
      </c>
      <c r="P10" s="408" t="s">
        <v>39</v>
      </c>
      <c r="Q10" s="414" t="s">
        <v>41</v>
      </c>
      <c r="R10" s="408" t="s">
        <v>133</v>
      </c>
      <c r="S10" s="408"/>
      <c r="T10" s="408"/>
      <c r="U10" s="408"/>
      <c r="V10" s="408"/>
      <c r="W10" s="408"/>
      <c r="X10" s="406" t="s">
        <v>134</v>
      </c>
      <c r="Y10" s="406" t="s">
        <v>135</v>
      </c>
      <c r="Z10" s="406" t="s">
        <v>128</v>
      </c>
      <c r="AA10" s="406" t="s">
        <v>136</v>
      </c>
      <c r="AB10" s="406" t="s">
        <v>128</v>
      </c>
      <c r="AC10" s="406" t="s">
        <v>137</v>
      </c>
      <c r="AD10" s="420" t="s">
        <v>57</v>
      </c>
      <c r="AE10" s="408" t="s">
        <v>124</v>
      </c>
      <c r="AF10" s="408" t="s">
        <v>138</v>
      </c>
      <c r="AG10" s="408" t="s">
        <v>139</v>
      </c>
      <c r="AH10" s="414" t="s">
        <v>140</v>
      </c>
      <c r="AI10" s="408" t="s">
        <v>141</v>
      </c>
      <c r="AJ10" s="408" t="s">
        <v>142</v>
      </c>
      <c r="AK10" s="408" t="s">
        <v>61</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x14ac:dyDescent="0.25">
      <c r="A11" s="418"/>
      <c r="B11" s="413"/>
      <c r="C11" s="408"/>
      <c r="D11" s="408"/>
      <c r="E11" s="413"/>
      <c r="F11" s="407"/>
      <c r="G11" s="408"/>
      <c r="H11" s="407"/>
      <c r="I11" s="411"/>
      <c r="J11" s="407"/>
      <c r="K11" s="407"/>
      <c r="L11" s="411"/>
      <c r="M11" s="411"/>
      <c r="N11" s="408"/>
      <c r="O11" s="421"/>
      <c r="P11" s="408"/>
      <c r="Q11" s="407"/>
      <c r="R11" s="7" t="s">
        <v>143</v>
      </c>
      <c r="S11" s="7" t="s">
        <v>144</v>
      </c>
      <c r="T11" s="7" t="s">
        <v>145</v>
      </c>
      <c r="U11" s="7" t="s">
        <v>146</v>
      </c>
      <c r="V11" s="7" t="s">
        <v>147</v>
      </c>
      <c r="W11" s="7" t="s">
        <v>148</v>
      </c>
      <c r="X11" s="406"/>
      <c r="Y11" s="406"/>
      <c r="Z11" s="406"/>
      <c r="AA11" s="406"/>
      <c r="AB11" s="406"/>
      <c r="AC11" s="406"/>
      <c r="AD11" s="421"/>
      <c r="AE11" s="408"/>
      <c r="AF11" s="408"/>
      <c r="AG11" s="408"/>
      <c r="AH11" s="407"/>
      <c r="AI11" s="408"/>
      <c r="AJ11" s="408"/>
      <c r="AK11" s="408"/>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row>
    <row r="12" spans="1:69" s="3" customFormat="1" ht="79.5" customHeight="1" x14ac:dyDescent="0.25">
      <c r="A12" s="380">
        <v>1</v>
      </c>
      <c r="B12" s="385" t="s">
        <v>149</v>
      </c>
      <c r="C12" s="385" t="s">
        <v>150</v>
      </c>
      <c r="D12" s="385" t="s">
        <v>151</v>
      </c>
      <c r="E12" s="394" t="s">
        <v>152</v>
      </c>
      <c r="F12" s="385" t="s">
        <v>153</v>
      </c>
      <c r="G12" s="388">
        <v>100</v>
      </c>
      <c r="H12" s="391" t="str">
        <f>IF(G12&lt;=0,"",IF(G12&lt;=2,"Muy Baja",IF(G12&lt;=24,"Baja",IF(G12&lt;=500,"Media",IF(G12&lt;=5000,"Alta","Muy Alta")))))</f>
        <v>Media</v>
      </c>
      <c r="I12" s="400">
        <f>IF(H12="","",IF(H12="Muy Baja",0.2,IF(H12="Baja",0.4,IF(H12="Media",0.6,IF(H12="Alta",0.8,IF(H12="Muy Alta",1,))))))</f>
        <v>0.6</v>
      </c>
      <c r="J12" s="403" t="s">
        <v>154</v>
      </c>
      <c r="K12" s="400" t="str">
        <f>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391" t="str">
        <f>IF(OR(K12='Tabla Impacto'!$C$11,K12='Tabla Impacto'!$D$11),"Leve",IF(OR(K12='Tabla Impacto'!$C$12,K12='Tabla Impacto'!$D$12),"Menor",IF(OR(K12='Tabla Impacto'!$C$13,K12='Tabla Impacto'!$D$13),"Moderado",IF(OR(K12='Tabla Impacto'!$C$14,K12='Tabla Impacto'!$D$14),"Mayor",IF(OR(K12='Tabla Impacto'!$C$15,K12='Tabla Impacto'!$D$15),"Catastrófico","")))))</f>
        <v>Mayor</v>
      </c>
      <c r="M12" s="400">
        <f>IF(L12="","",IF(L12="Leve",0.2,IF(L12="Menor",0.4,IF(L12="Moderado",0.6,IF(L12="Mayor",0.8,IF(L12="Catastrófico",1,))))))</f>
        <v>0.8</v>
      </c>
      <c r="N12" s="397"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184" t="s">
        <v>155</v>
      </c>
      <c r="Q12" s="167" t="str">
        <f>IF(OR(R12="Preventivo",R12="Detectivo"),"Probabilidad",IF(R12="Correctivo","Impacto",""))</f>
        <v>Probabilidad</v>
      </c>
      <c r="R12" s="162" t="s">
        <v>156</v>
      </c>
      <c r="S12" s="162" t="s">
        <v>157</v>
      </c>
      <c r="T12" s="163" t="str">
        <f>IF(AND(R12="Preventivo",S12="Automático"),"50%",IF(AND(R12="Preventivo",S12="Manual"),"40%",IF(AND(R12="Detectivo",S12="Automático"),"40%",IF(AND(R12="Detectivo",S12="Manual"),"30%",IF(AND(R12="Correctivo",S12="Automático"),"35%",IF(AND(R12="Correctivo",S12="Manual"),"25%",""))))))</f>
        <v>40%</v>
      </c>
      <c r="U12" s="162" t="s">
        <v>158</v>
      </c>
      <c r="V12" s="162" t="s">
        <v>159</v>
      </c>
      <c r="W12" s="162" t="s">
        <v>160</v>
      </c>
      <c r="X12" s="164">
        <f>IFERROR(IF(Q12="Probabilidad",(I12-(+I12*T12)),IF(Q12="Impacto",I12,"")),"")</f>
        <v>0.36</v>
      </c>
      <c r="Y12" s="165" t="str">
        <f>IFERROR(IF(X12="","",IF(X12&lt;=0.2,"Muy Baja",IF(X12&lt;=0.4,"Baja",IF(X12&lt;=0.6,"Media",IF(X12&lt;=0.8,"Alta","Muy Alta"))))),"")</f>
        <v>Baja</v>
      </c>
      <c r="Z12" s="166">
        <f>+X12</f>
        <v>0.36</v>
      </c>
      <c r="AA12" s="165" t="str">
        <f>IFERROR(IF(AB12="","",IF(AB12&lt;=0.2,"Leve",IF(AB12&lt;=0.4,"Menor",IF(AB12&lt;=0.6,"Moderado",IF(AB12&lt;=0.8,"Mayor","Catastrófico"))))),"")</f>
        <v>Mayor</v>
      </c>
      <c r="AB12" s="166">
        <f>IFERROR(IF(Q12="Impacto",(M12-(+M12*T12)),IF(Q12="Probabilidad",M12,"")),"")</f>
        <v>0.8</v>
      </c>
      <c r="AC12" s="171"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68" t="s">
        <v>161</v>
      </c>
      <c r="AE12" s="172" t="s">
        <v>162</v>
      </c>
      <c r="AF12" s="174">
        <v>45321</v>
      </c>
      <c r="AG12" s="174">
        <v>45642</v>
      </c>
      <c r="AH12" s="182"/>
      <c r="AI12" s="170"/>
      <c r="AJ12" s="119"/>
      <c r="AK12" s="169"/>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row>
    <row r="13" spans="1:69" ht="87" customHeight="1" x14ac:dyDescent="0.3">
      <c r="A13" s="381"/>
      <c r="B13" s="386"/>
      <c r="C13" s="386"/>
      <c r="D13" s="386"/>
      <c r="E13" s="395"/>
      <c r="F13" s="386"/>
      <c r="G13" s="389"/>
      <c r="H13" s="392"/>
      <c r="I13" s="401"/>
      <c r="J13" s="404"/>
      <c r="K13" s="401">
        <f>IF(NOT(ISERROR(MATCH(J13,_xlfn.ANCHORARRAY(E25),0))),I29&amp;"Por favor no seleccionar los criterios de impacto",J13)</f>
        <v>0</v>
      </c>
      <c r="L13" s="392"/>
      <c r="M13" s="401"/>
      <c r="N13" s="398"/>
      <c r="O13" s="6">
        <v>2</v>
      </c>
      <c r="P13" s="184" t="s">
        <v>163</v>
      </c>
      <c r="Q13" s="167" t="str">
        <f>IF(OR(R13="Preventivo",R13="Detectivo"),"Probabilidad",IF(R13="Correctivo","Impacto",""))</f>
        <v>Probabilidad</v>
      </c>
      <c r="R13" s="162" t="s">
        <v>156</v>
      </c>
      <c r="S13" s="162" t="s">
        <v>157</v>
      </c>
      <c r="T13" s="163" t="str">
        <f t="shared" ref="T13:T17" si="0">IF(AND(R13="Preventivo",S13="Automático"),"50%",IF(AND(R13="Preventivo",S13="Manual"),"40%",IF(AND(R13="Detectivo",S13="Automático"),"40%",IF(AND(R13="Detectivo",S13="Manual"),"30%",IF(AND(R13="Correctivo",S13="Automático"),"35%",IF(AND(R13="Correctivo",S13="Manual"),"25%",""))))))</f>
        <v>40%</v>
      </c>
      <c r="U13" s="162" t="s">
        <v>158</v>
      </c>
      <c r="V13" s="162" t="s">
        <v>159</v>
      </c>
      <c r="W13" s="162" t="s">
        <v>160</v>
      </c>
      <c r="X13" s="164">
        <f>IFERROR(IF(AND(Q12="Probabilidad",Q13="Probabilidad"),(Z12-(+Z12*T13)),IF(Q13="Probabilidad",(I12-(+I12*T13)),IF(Q13="Impacto",Z12,""))),"")</f>
        <v>0.216</v>
      </c>
      <c r="Y13" s="165" t="str">
        <f t="shared" ref="Y13:Y75" si="1">IFERROR(IF(X13="","",IF(X13&lt;=0.2,"Muy Baja",IF(X13&lt;=0.4,"Baja",IF(X13&lt;=0.6,"Media",IF(X13&lt;=0.8,"Alta","Muy Alta"))))),"")</f>
        <v>Baja</v>
      </c>
      <c r="Z13" s="166">
        <f t="shared" ref="Z13:Z17" si="2">+X13</f>
        <v>0.216</v>
      </c>
      <c r="AA13" s="165" t="str">
        <f t="shared" ref="AA13:AA75" si="3">IFERROR(IF(AB13="","",IF(AB13&lt;=0.2,"Leve",IF(AB13&lt;=0.4,"Menor",IF(AB13&lt;=0.6,"Moderado",IF(AB13&lt;=0.8,"Mayor","Catastrófico"))))),"")</f>
        <v>Mayor</v>
      </c>
      <c r="AB13" s="166">
        <f>IFERROR(IF(AND(Q12="Impacto",Q13="Impacto"),(AB12-(+AB12*T13)),IF(Q13="Impacto",(M12-(+M12*T13)),IF(Q13="Probabilidad",AB12,""))),"")</f>
        <v>0.8</v>
      </c>
      <c r="AC13" s="171"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Alto</v>
      </c>
      <c r="AD13" s="168" t="s">
        <v>161</v>
      </c>
      <c r="AE13" s="172" t="s">
        <v>164</v>
      </c>
      <c r="AF13" s="174">
        <v>45321</v>
      </c>
      <c r="AG13" s="174" t="s">
        <v>165</v>
      </c>
      <c r="AH13" s="182"/>
      <c r="AI13" s="174"/>
      <c r="AJ13" s="115"/>
      <c r="AK13" s="173"/>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row>
    <row r="14" spans="1:69" ht="18" customHeight="1" x14ac:dyDescent="0.3">
      <c r="A14" s="381"/>
      <c r="B14" s="386"/>
      <c r="C14" s="386"/>
      <c r="D14" s="386"/>
      <c r="E14" s="395"/>
      <c r="F14" s="386"/>
      <c r="G14" s="389"/>
      <c r="H14" s="392"/>
      <c r="I14" s="401"/>
      <c r="J14" s="404"/>
      <c r="K14" s="401">
        <f>IF(NOT(ISERROR(MATCH(J14,_xlfn.ANCHORARRAY(E28),0))),I30&amp;"Por favor no seleccionar los criterios de impacto",J14)</f>
        <v>0</v>
      </c>
      <c r="L14" s="392"/>
      <c r="M14" s="401"/>
      <c r="N14" s="398"/>
      <c r="O14" s="106">
        <v>3</v>
      </c>
      <c r="P14" s="185"/>
      <c r="Q14" s="107"/>
      <c r="R14" s="108"/>
      <c r="S14" s="108"/>
      <c r="T14" s="109"/>
      <c r="U14" s="118"/>
      <c r="V14" s="118"/>
      <c r="W14" s="118"/>
      <c r="X14" s="110"/>
      <c r="Y14" s="111"/>
      <c r="Z14" s="112"/>
      <c r="AA14" s="111"/>
      <c r="AB14" s="112"/>
      <c r="AC14" s="113"/>
      <c r="AD14" s="114"/>
      <c r="AE14" s="115"/>
      <c r="AF14" s="116"/>
      <c r="AG14" s="117"/>
      <c r="AH14" s="117"/>
      <c r="AI14" s="117"/>
      <c r="AJ14" s="115"/>
      <c r="AK14" s="116"/>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row>
    <row r="15" spans="1:69" ht="18" customHeight="1" x14ac:dyDescent="0.3">
      <c r="A15" s="381"/>
      <c r="B15" s="386"/>
      <c r="C15" s="386"/>
      <c r="D15" s="386"/>
      <c r="E15" s="395"/>
      <c r="F15" s="386"/>
      <c r="G15" s="389"/>
      <c r="H15" s="392"/>
      <c r="I15" s="401"/>
      <c r="J15" s="404"/>
      <c r="K15" s="401">
        <f>IF(NOT(ISERROR(MATCH(J15,_xlfn.ANCHORARRAY(E29),0))),I31&amp;"Por favor no seleccionar los criterios de impacto",J15)</f>
        <v>0</v>
      </c>
      <c r="L15" s="392"/>
      <c r="M15" s="401"/>
      <c r="N15" s="398"/>
      <c r="O15" s="106">
        <v>4</v>
      </c>
      <c r="P15" s="184"/>
      <c r="Q15" s="107"/>
      <c r="R15" s="108"/>
      <c r="S15" s="108"/>
      <c r="T15" s="109"/>
      <c r="U15" s="108"/>
      <c r="V15" s="108"/>
      <c r="W15" s="108"/>
      <c r="X15" s="110"/>
      <c r="Y15" s="111"/>
      <c r="Z15" s="112"/>
      <c r="AA15" s="111"/>
      <c r="AB15" s="112"/>
      <c r="AC15" s="113"/>
      <c r="AD15" s="114"/>
      <c r="AE15" s="115"/>
      <c r="AF15" s="116"/>
      <c r="AG15" s="117"/>
      <c r="AH15" s="117"/>
      <c r="AI15" s="117"/>
      <c r="AJ15" s="115"/>
      <c r="AK15" s="116"/>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69" ht="18" customHeight="1" x14ac:dyDescent="0.3">
      <c r="A16" s="381"/>
      <c r="B16" s="386"/>
      <c r="C16" s="386"/>
      <c r="D16" s="386"/>
      <c r="E16" s="395"/>
      <c r="F16" s="386"/>
      <c r="G16" s="389"/>
      <c r="H16" s="392"/>
      <c r="I16" s="401"/>
      <c r="J16" s="404"/>
      <c r="K16" s="401">
        <f>IF(NOT(ISERROR(MATCH(J16,_xlfn.ANCHORARRAY(E30),0))),I32&amp;"Por favor no seleccionar los criterios de impacto",J16)</f>
        <v>0</v>
      </c>
      <c r="L16" s="392"/>
      <c r="M16" s="401"/>
      <c r="N16" s="398"/>
      <c r="O16" s="106">
        <v>5</v>
      </c>
      <c r="P16" s="184"/>
      <c r="Q16" s="107" t="str">
        <f t="shared" ref="Q16:Q17" si="5">IF(OR(R16="Preventivo",R16="Detectivo"),"Probabilidad",IF(R16="Correctivo","Impacto",""))</f>
        <v/>
      </c>
      <c r="R16" s="108"/>
      <c r="S16" s="108"/>
      <c r="T16" s="109" t="str">
        <f t="shared" si="0"/>
        <v/>
      </c>
      <c r="U16" s="108"/>
      <c r="V16" s="108"/>
      <c r="W16" s="108"/>
      <c r="X16" s="110" t="str">
        <f t="shared" ref="X16:X17" si="6">IFERROR(IF(AND(Q15="Probabilidad",Q16="Probabilidad"),(Z15-(+Z15*T16)),IF(AND(Q15="Impacto",Q16="Probabilidad"),(Z14-(+Z14*T16)),IF(Q16="Impacto",Z15,""))),"")</f>
        <v/>
      </c>
      <c r="Y16" s="111" t="str">
        <f t="shared" si="1"/>
        <v/>
      </c>
      <c r="Z16" s="112" t="str">
        <f t="shared" si="2"/>
        <v/>
      </c>
      <c r="AA16" s="111" t="str">
        <f t="shared" si="3"/>
        <v/>
      </c>
      <c r="AB16" s="112" t="str">
        <f t="shared" ref="AB16:AB17" si="7">IFERROR(IF(AND(Q15="Impacto",Q16="Impacto"),(AB15-(+AB15*T16)),IF(AND(Q15="Probabilidad",Q16="Impacto"),(AB14-(+AB14*T16)),IF(Q16="Probabilidad",AB15,""))),"")</f>
        <v/>
      </c>
      <c r="AC16" s="113" t="str">
        <f t="shared" si="4"/>
        <v/>
      </c>
      <c r="AD16" s="114"/>
      <c r="AE16" s="115"/>
      <c r="AF16" s="116"/>
      <c r="AG16" s="117"/>
      <c r="AH16" s="117"/>
      <c r="AI16" s="117"/>
      <c r="AJ16" s="115"/>
      <c r="AK16" s="116"/>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ht="18" customHeight="1" x14ac:dyDescent="0.3">
      <c r="A17" s="382"/>
      <c r="B17" s="387"/>
      <c r="C17" s="387"/>
      <c r="D17" s="387"/>
      <c r="E17" s="396"/>
      <c r="F17" s="387"/>
      <c r="G17" s="390"/>
      <c r="H17" s="393"/>
      <c r="I17" s="402"/>
      <c r="J17" s="405"/>
      <c r="K17" s="402">
        <f>IF(NOT(ISERROR(MATCH(J17,_xlfn.ANCHORARRAY(E31),0))),I33&amp;"Por favor no seleccionar los criterios de impacto",J17)</f>
        <v>0</v>
      </c>
      <c r="L17" s="393"/>
      <c r="M17" s="402"/>
      <c r="N17" s="399"/>
      <c r="O17" s="106">
        <v>6</v>
      </c>
      <c r="P17" s="184"/>
      <c r="Q17" s="107" t="str">
        <f t="shared" si="5"/>
        <v/>
      </c>
      <c r="R17" s="108"/>
      <c r="S17" s="108"/>
      <c r="T17" s="109" t="str">
        <f t="shared" si="0"/>
        <v/>
      </c>
      <c r="U17" s="108"/>
      <c r="V17" s="108"/>
      <c r="W17" s="108"/>
      <c r="X17" s="110" t="str">
        <f t="shared" si="6"/>
        <v/>
      </c>
      <c r="Y17" s="111" t="str">
        <f t="shared" si="1"/>
        <v/>
      </c>
      <c r="Z17" s="112" t="str">
        <f t="shared" si="2"/>
        <v/>
      </c>
      <c r="AA17" s="111" t="str">
        <f t="shared" si="3"/>
        <v/>
      </c>
      <c r="AB17" s="112" t="str">
        <f t="shared" si="7"/>
        <v/>
      </c>
      <c r="AC17" s="113" t="str">
        <f t="shared" si="4"/>
        <v/>
      </c>
      <c r="AD17" s="114"/>
      <c r="AE17" s="115"/>
      <c r="AF17" s="116"/>
      <c r="AG17" s="117"/>
      <c r="AH17" s="117"/>
      <c r="AI17" s="117"/>
      <c r="AJ17" s="115"/>
      <c r="AK17" s="116"/>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77.25" customHeight="1" x14ac:dyDescent="0.3">
      <c r="A18" s="220"/>
      <c r="B18" s="227"/>
      <c r="C18" s="227"/>
      <c r="D18" s="227"/>
      <c r="E18" s="230"/>
      <c r="F18" s="227"/>
      <c r="G18" s="228"/>
      <c r="H18" s="229"/>
      <c r="I18" s="232"/>
      <c r="J18" s="233"/>
      <c r="K18" s="232"/>
      <c r="L18" s="229"/>
      <c r="M18" s="232"/>
      <c r="N18" s="231"/>
      <c r="O18" s="380">
        <v>1</v>
      </c>
      <c r="P18" s="631" t="s">
        <v>170</v>
      </c>
      <c r="Q18" s="375" t="str">
        <f>IF(OR(R18="Preventivo",R18="Detectivo"),"Probabilidad",IF(R18="Correctivo","Impacto",""))</f>
        <v>Probabilidad</v>
      </c>
      <c r="R18" s="371" t="s">
        <v>156</v>
      </c>
      <c r="S18" s="371" t="s">
        <v>157</v>
      </c>
      <c r="T18" s="367" t="str">
        <f>IF(AND(R18="Preventivo",S18="Automático"),"50%",IF(AND(R18="Preventivo",S18="Manual"),"40%",IF(AND(R18="Detectivo",S18="Automático"),"40%",IF(AND(R18="Detectivo",S18="Manual"),"30%",IF(AND(R18="Correctivo",S18="Automático"),"35%",IF(AND(R18="Correctivo",S18="Manual"),"25%",""))))))</f>
        <v>40%</v>
      </c>
      <c r="U18" s="371" t="s">
        <v>158</v>
      </c>
      <c r="V18" s="371" t="s">
        <v>159</v>
      </c>
      <c r="W18" s="371" t="s">
        <v>160</v>
      </c>
      <c r="X18" s="110"/>
      <c r="Y18" s="365" t="str">
        <f>IFERROR(IF(X19="","",IF(X19&lt;=0.2,"Muy Baja",IF(X19&lt;=0.4,"Baja",IF(X19&lt;=0.6,"Media",IF(X19&lt;=0.8,"Alta","Muy Alta"))))),"")</f>
        <v>Baja</v>
      </c>
      <c r="Z18" s="367">
        <f>+X19</f>
        <v>0.36</v>
      </c>
      <c r="AA18" s="365" t="str">
        <f>IFERROR(IF(AB18="","",IF(AB18&lt;=0.2,"Leve",IF(AB18&lt;=0.4,"Menor",IF(AB18&lt;=0.6,"Moderado",IF(AB18&lt;=0.8,"Mayor","Catastrófico"))))),"")</f>
        <v>Moderado</v>
      </c>
      <c r="AB18" s="367">
        <f>IFERROR(IF(Q18="Impacto",(M19-(+M19*T18)),IF(Q18="Probabilidad",M19,"")),"")</f>
        <v>0.6</v>
      </c>
      <c r="AC18" s="369"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371" t="s">
        <v>161</v>
      </c>
      <c r="AE18" s="181" t="s">
        <v>171</v>
      </c>
      <c r="AF18" s="172" t="s">
        <v>172</v>
      </c>
      <c r="AG18" s="174">
        <v>45321</v>
      </c>
      <c r="AH18" s="174">
        <v>45642</v>
      </c>
      <c r="AI18" s="117"/>
      <c r="AJ18" s="115"/>
      <c r="AK18" s="116"/>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ht="83.25" customHeight="1" x14ac:dyDescent="0.3">
      <c r="A19" s="380">
        <v>2</v>
      </c>
      <c r="B19" s="431" t="s">
        <v>149</v>
      </c>
      <c r="C19" s="431" t="s">
        <v>166</v>
      </c>
      <c r="D19" s="431" t="s">
        <v>167</v>
      </c>
      <c r="E19" s="434" t="s">
        <v>168</v>
      </c>
      <c r="F19" s="431" t="s">
        <v>153</v>
      </c>
      <c r="G19" s="437">
        <v>40</v>
      </c>
      <c r="H19" s="440" t="str">
        <f>IF(G19&lt;=0,"",IF(G19&lt;=2,"Muy Baja",IF(G19&lt;=24,"Baja",IF(G19&lt;=500,"Media",IF(G19&lt;=5000,"Alta","Muy Alta")))))</f>
        <v>Media</v>
      </c>
      <c r="I19" s="425">
        <f>IF(H19="","",IF(H19="Muy Baja",0.2,IF(H19="Baja",0.4,IF(H19="Media",0.6,IF(H19="Alta",0.8,IF(H19="Muy Alta",1,))))))</f>
        <v>0.6</v>
      </c>
      <c r="J19" s="443" t="s">
        <v>169</v>
      </c>
      <c r="K19" s="425" t="str">
        <f>IF(NOT(ISERROR(MATCH(J19,'Tabla Impacto'!$B$221:$B$223,0))),'Tabla Impacto'!$F$223&amp;"Por favor no seleccionar los criterios de impacto(Afectación Económica o presupuestal y Pérdida Reputacional)",J19)</f>
        <v xml:space="preserve">     El riesgo afecta la imagen de la entidad con algunos usuarios de relevancia frente al logro de los objetivos</v>
      </c>
      <c r="L19" s="440" t="str">
        <f>IF(OR(K19='Tabla Impacto'!$C$11,K19='Tabla Impacto'!$D$11),"Leve",IF(OR(K19='Tabla Impacto'!$C$12,K19='Tabla Impacto'!$D$12),"Menor",IF(OR(K19='Tabla Impacto'!$C$13,K19='Tabla Impacto'!$D$13),"Moderado",IF(OR(K19='Tabla Impacto'!$C$14,K19='Tabla Impacto'!$D$14),"Mayor",IF(OR(K19='Tabla Impacto'!$C$15,K19='Tabla Impacto'!$D$15),"Catastrófico","")))))</f>
        <v>Moderado</v>
      </c>
      <c r="M19" s="425">
        <f>IF(L19="","",IF(L19="Leve",0.2,IF(L19="Menor",0.4,IF(L19="Moderado",0.6,IF(L19="Mayor",0.8,IF(L19="Catastrófico",1,))))))</f>
        <v>0.6</v>
      </c>
      <c r="N19" s="428" t="str">
        <f>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Moderado</v>
      </c>
      <c r="O19" s="381"/>
      <c r="P19" s="632"/>
      <c r="Q19" s="379"/>
      <c r="R19" s="377"/>
      <c r="S19" s="377"/>
      <c r="T19" s="378"/>
      <c r="U19" s="377"/>
      <c r="V19" s="377"/>
      <c r="W19" s="377"/>
      <c r="X19" s="164">
        <f>IFERROR(IF(Q18="Probabilidad",(I19-(+I19*T18)),IF(Q18="Impacto",I19,"")),"")</f>
        <v>0.36</v>
      </c>
      <c r="Y19" s="384"/>
      <c r="Z19" s="378"/>
      <c r="AA19" s="384"/>
      <c r="AB19" s="378"/>
      <c r="AC19" s="383"/>
      <c r="AD19" s="377"/>
      <c r="AE19" s="181" t="s">
        <v>173</v>
      </c>
      <c r="AF19" s="172" t="s">
        <v>174</v>
      </c>
      <c r="AG19" s="174">
        <v>45321</v>
      </c>
      <c r="AH19" s="174">
        <v>45642</v>
      </c>
      <c r="AI19" s="117"/>
      <c r="AJ19" s="115"/>
      <c r="AK19" s="116"/>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1:69" ht="18" customHeight="1" x14ac:dyDescent="0.3">
      <c r="A20" s="381"/>
      <c r="B20" s="432"/>
      <c r="C20" s="432"/>
      <c r="D20" s="432"/>
      <c r="E20" s="435"/>
      <c r="F20" s="432"/>
      <c r="G20" s="438"/>
      <c r="H20" s="441"/>
      <c r="I20" s="426"/>
      <c r="J20" s="444"/>
      <c r="K20" s="426">
        <f>IF(NOT(ISERROR(MATCH(J20,_xlfn.ANCHORARRAY(E33),0))),I35&amp;"Por favor no seleccionar los criterios de impacto",J20)</f>
        <v>0</v>
      </c>
      <c r="L20" s="441"/>
      <c r="M20" s="426"/>
      <c r="N20" s="429"/>
      <c r="O20" s="106">
        <v>2</v>
      </c>
      <c r="P20" s="186"/>
      <c r="Q20" s="186"/>
      <c r="R20" s="186"/>
      <c r="S20" s="186"/>
      <c r="T20" s="186"/>
      <c r="U20" s="186"/>
      <c r="V20" s="186"/>
      <c r="W20" s="186"/>
      <c r="X20" s="186" t="str">
        <f>IFERROR(IF(AND(Q18="Probabilidad",Q20="Probabilidad"),(Z18-(+Z18*T20)),IF(Q20="Probabilidad",(I19-(+I19*T20)),IF(Q20="Impacto",Z18,""))),"")</f>
        <v/>
      </c>
      <c r="Y20" s="186"/>
      <c r="Z20" s="186"/>
      <c r="AA20" s="186"/>
      <c r="AB20" s="186"/>
      <c r="AC20" s="186"/>
      <c r="AD20" s="186"/>
      <c r="AE20" s="186"/>
      <c r="AF20" s="172"/>
      <c r="AG20" s="174"/>
      <c r="AH20" s="174"/>
      <c r="AI20" s="117"/>
      <c r="AJ20" s="115"/>
      <c r="AK20" s="116"/>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row>
    <row r="21" spans="1:69" ht="18" customHeight="1" x14ac:dyDescent="0.3">
      <c r="A21" s="381"/>
      <c r="B21" s="432"/>
      <c r="C21" s="432"/>
      <c r="D21" s="432"/>
      <c r="E21" s="435"/>
      <c r="F21" s="432"/>
      <c r="G21" s="438"/>
      <c r="H21" s="441"/>
      <c r="I21" s="426"/>
      <c r="J21" s="444"/>
      <c r="K21" s="426">
        <f>IF(NOT(ISERROR(MATCH(J21,_xlfn.ANCHORARRAY(E34),0))),I36&amp;"Por favor no seleccionar los criterios de impacto",J21)</f>
        <v>0</v>
      </c>
      <c r="L21" s="441"/>
      <c r="M21" s="426"/>
      <c r="N21" s="429"/>
      <c r="O21" s="106">
        <v>3</v>
      </c>
      <c r="P21" s="186"/>
      <c r="Q21" s="167" t="str">
        <f>IF(OR(R21="Preventivo",R21="Detectivo"),"Probabilidad",IF(R21="Correctivo","Impacto",""))</f>
        <v/>
      </c>
      <c r="R21" s="175"/>
      <c r="S21" s="175"/>
      <c r="T21" s="176" t="str">
        <f t="shared" ref="T21:T24" si="8">IF(AND(R21="Preventivo",S21="Automático"),"50%",IF(AND(R21="Preventivo",S21="Manual"),"40%",IF(AND(R21="Detectivo",S21="Automático"),"40%",IF(AND(R21="Detectivo",S21="Manual"),"30%",IF(AND(R21="Correctivo",S21="Automático"),"35%",IF(AND(R21="Correctivo",S21="Manual"),"25%",""))))))</f>
        <v/>
      </c>
      <c r="U21" s="175"/>
      <c r="V21" s="175"/>
      <c r="W21" s="175"/>
      <c r="X21" s="164" t="str">
        <f>IFERROR(IF(AND(Q20="Probabilidad",Q21="Probabilidad"),(Z20-(+Z20*T21)),IF(AND(Q20="Impacto",Q21="Probabilidad"),(Z18-(+Z18*T21)),IF(Q21="Impacto",Z20,""))),"")</f>
        <v/>
      </c>
      <c r="Y21" s="177" t="str">
        <f t="shared" si="1"/>
        <v/>
      </c>
      <c r="Z21" s="178" t="str">
        <f t="shared" ref="Z21:Z24" si="9">+X21</f>
        <v/>
      </c>
      <c r="AA21" s="177" t="str">
        <f t="shared" si="3"/>
        <v/>
      </c>
      <c r="AB21" s="178" t="str">
        <f>IFERROR(IF(AND(Q20="Impacto",Q21="Impacto"),(AB20-(+AB20*T21)),IF(AND(Q20="Probabilidad",Q21="Impacto"),(AB18-(+AB18*T21)),IF(Q21="Probabilidad",AB20,""))),"")</f>
        <v/>
      </c>
      <c r="AC21" s="179" t="str">
        <f t="shared" ref="AC21" si="10">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80"/>
      <c r="AE21" s="181"/>
      <c r="AF21" s="183"/>
      <c r="AG21" s="182"/>
      <c r="AH21" s="182"/>
      <c r="AI21" s="117"/>
      <c r="AJ21" s="115"/>
      <c r="AK21" s="116"/>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1:69" ht="18" customHeight="1" x14ac:dyDescent="0.3">
      <c r="A22" s="381"/>
      <c r="B22" s="432"/>
      <c r="C22" s="432"/>
      <c r="D22" s="432"/>
      <c r="E22" s="435"/>
      <c r="F22" s="432"/>
      <c r="G22" s="438"/>
      <c r="H22" s="441"/>
      <c r="I22" s="426"/>
      <c r="J22" s="444"/>
      <c r="K22" s="426">
        <f>IF(NOT(ISERROR(MATCH(J22,_xlfn.ANCHORARRAY(E35),0))),I37&amp;"Por favor no seleccionar los criterios de impacto",J22)</f>
        <v>0</v>
      </c>
      <c r="L22" s="441"/>
      <c r="M22" s="426"/>
      <c r="N22" s="429"/>
      <c r="O22" s="106">
        <v>4</v>
      </c>
      <c r="P22" s="184"/>
      <c r="Q22" s="107" t="str">
        <f t="shared" ref="Q22:Q24" si="11">IF(OR(R22="Preventivo",R22="Detectivo"),"Probabilidad",IF(R22="Correctivo","Impacto",""))</f>
        <v/>
      </c>
      <c r="R22" s="108"/>
      <c r="S22" s="108"/>
      <c r="T22" s="109" t="str">
        <f t="shared" si="8"/>
        <v/>
      </c>
      <c r="U22" s="108"/>
      <c r="V22" s="108"/>
      <c r="W22" s="108"/>
      <c r="X22" s="110" t="str">
        <f t="shared" ref="X22:X24" si="12">IFERROR(IF(AND(Q21="Probabilidad",Q22="Probabilidad"),(Z21-(+Z21*T22)),IF(AND(Q21="Impacto",Q22="Probabilidad"),(Z20-(+Z20*T22)),IF(Q22="Impacto",Z21,""))),"")</f>
        <v/>
      </c>
      <c r="Y22" s="111" t="str">
        <f t="shared" si="1"/>
        <v/>
      </c>
      <c r="Z22" s="112" t="str">
        <f t="shared" si="9"/>
        <v/>
      </c>
      <c r="AA22" s="111" t="str">
        <f t="shared" si="3"/>
        <v/>
      </c>
      <c r="AB22" s="112" t="str">
        <f t="shared" ref="AB22:AB24" si="13">IFERROR(IF(AND(Q21="Impacto",Q22="Impacto"),(AB21-(+AB21*T22)),IF(AND(Q21="Probabilidad",Q22="Impacto"),(AB20-(+AB20*T22)),IF(Q22="Probabilidad",AB21,""))),"")</f>
        <v/>
      </c>
      <c r="AC22" s="11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4"/>
      <c r="AE22" s="115"/>
      <c r="AF22" s="116"/>
      <c r="AG22" s="117"/>
      <c r="AH22" s="117"/>
      <c r="AI22" s="117"/>
      <c r="AJ22" s="115"/>
      <c r="AK22" s="116"/>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69" ht="18" customHeight="1" x14ac:dyDescent="0.3">
      <c r="A23" s="381"/>
      <c r="B23" s="432"/>
      <c r="C23" s="432"/>
      <c r="D23" s="432"/>
      <c r="E23" s="435"/>
      <c r="F23" s="432"/>
      <c r="G23" s="438"/>
      <c r="H23" s="441"/>
      <c r="I23" s="426"/>
      <c r="J23" s="444"/>
      <c r="K23" s="426">
        <f>IF(NOT(ISERROR(MATCH(J23,_xlfn.ANCHORARRAY(E36),0))),I38&amp;"Por favor no seleccionar los criterios de impacto",J23)</f>
        <v>0</v>
      </c>
      <c r="L23" s="441"/>
      <c r="M23" s="426"/>
      <c r="N23" s="429"/>
      <c r="O23" s="106">
        <v>5</v>
      </c>
      <c r="P23" s="184"/>
      <c r="Q23" s="107" t="str">
        <f t="shared" si="11"/>
        <v/>
      </c>
      <c r="R23" s="108"/>
      <c r="S23" s="108"/>
      <c r="T23" s="109" t="str">
        <f t="shared" si="8"/>
        <v/>
      </c>
      <c r="U23" s="108"/>
      <c r="V23" s="108"/>
      <c r="W23" s="108"/>
      <c r="X23" s="110" t="str">
        <f t="shared" si="12"/>
        <v/>
      </c>
      <c r="Y23" s="111" t="str">
        <f t="shared" si="1"/>
        <v/>
      </c>
      <c r="Z23" s="112" t="str">
        <f t="shared" si="9"/>
        <v/>
      </c>
      <c r="AA23" s="111" t="str">
        <f t="shared" si="3"/>
        <v/>
      </c>
      <c r="AB23" s="112" t="str">
        <f t="shared" si="13"/>
        <v/>
      </c>
      <c r="AC23" s="113" t="str">
        <f t="shared" ref="AC23:AC24" si="14">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14"/>
      <c r="AE23" s="115"/>
      <c r="AF23" s="116"/>
      <c r="AG23" s="117"/>
      <c r="AH23" s="117"/>
      <c r="AI23" s="117"/>
      <c r="AJ23" s="115"/>
      <c r="AK23" s="116"/>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69" ht="18" customHeight="1" x14ac:dyDescent="0.3">
      <c r="A24" s="382"/>
      <c r="B24" s="433"/>
      <c r="C24" s="433"/>
      <c r="D24" s="433"/>
      <c r="E24" s="436"/>
      <c r="F24" s="433"/>
      <c r="G24" s="439"/>
      <c r="H24" s="442"/>
      <c r="I24" s="427"/>
      <c r="J24" s="445"/>
      <c r="K24" s="427">
        <f>IF(NOT(ISERROR(MATCH(J24,_xlfn.ANCHORARRAY(E37),0))),I39&amp;"Por favor no seleccionar los criterios de impacto",J24)</f>
        <v>0</v>
      </c>
      <c r="L24" s="442"/>
      <c r="M24" s="427"/>
      <c r="N24" s="430"/>
      <c r="O24" s="106">
        <v>6</v>
      </c>
      <c r="P24" s="184"/>
      <c r="Q24" s="107" t="str">
        <f t="shared" si="11"/>
        <v/>
      </c>
      <c r="R24" s="108"/>
      <c r="S24" s="108"/>
      <c r="T24" s="109" t="str">
        <f t="shared" si="8"/>
        <v/>
      </c>
      <c r="U24" s="108"/>
      <c r="V24" s="108"/>
      <c r="W24" s="108"/>
      <c r="X24" s="110" t="str">
        <f t="shared" si="12"/>
        <v/>
      </c>
      <c r="Y24" s="111" t="str">
        <f t="shared" si="1"/>
        <v/>
      </c>
      <c r="Z24" s="112" t="str">
        <f t="shared" si="9"/>
        <v/>
      </c>
      <c r="AA24" s="111" t="str">
        <f t="shared" si="3"/>
        <v/>
      </c>
      <c r="AB24" s="112" t="str">
        <f t="shared" si="13"/>
        <v/>
      </c>
      <c r="AC24" s="113" t="str">
        <f t="shared" si="14"/>
        <v/>
      </c>
      <c r="AD24" s="114"/>
      <c r="AE24" s="115"/>
      <c r="AF24" s="116"/>
      <c r="AG24" s="117"/>
      <c r="AH24" s="117"/>
      <c r="AI24" s="117"/>
      <c r="AJ24" s="115"/>
      <c r="AK24" s="116"/>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69" ht="78.75" customHeight="1" x14ac:dyDescent="0.3">
      <c r="A25" s="220"/>
      <c r="B25" s="431" t="s">
        <v>149</v>
      </c>
      <c r="C25" s="431" t="s">
        <v>175</v>
      </c>
      <c r="D25" s="431" t="s">
        <v>176</v>
      </c>
      <c r="E25" s="434" t="s">
        <v>177</v>
      </c>
      <c r="F25" s="431" t="s">
        <v>153</v>
      </c>
      <c r="G25" s="437">
        <v>150</v>
      </c>
      <c r="H25" s="440" t="str">
        <f>IF(G25&lt;=0,"",IF(G25&lt;=2,"Muy Baja",IF(G25&lt;=24,"Baja",IF(G25&lt;=500,"Media",IF(G25&lt;=5000,"Alta","Muy Alta")))))</f>
        <v>Media</v>
      </c>
      <c r="I25" s="425">
        <f>IF(H25="","",IF(H25="Muy Baja",0.2,IF(H25="Baja",0.4,IF(H25="Media",0.6,IF(H25="Alta",0.8,IF(H25="Muy Alta",1,))))))</f>
        <v>0.6</v>
      </c>
      <c r="J25" s="443" t="s">
        <v>178</v>
      </c>
      <c r="K25" s="223"/>
      <c r="L25" s="440" t="str">
        <f>IF(OR(K27='Tabla Impacto'!$C$11,K27='Tabla Impacto'!$D$11),"Leve",IF(OR(K27='Tabla Impacto'!$C$12,K27='Tabla Impacto'!$D$12),"Menor",IF(OR(K27='Tabla Impacto'!$C$13,K27='Tabla Impacto'!$D$13),"Moderado",IF(OR(K27='Tabla Impacto'!$C$14,K27='Tabla Impacto'!$D$14),"Mayor",IF(OR(K27='Tabla Impacto'!$C$15,K27='Tabla Impacto'!$D$15),"Catastrófico","")))))</f>
        <v>Mayor</v>
      </c>
      <c r="M25" s="425">
        <f>IF(L25="","",IF(L25="Leve",0.2,IF(L25="Menor",0.4,IF(L25="Moderado",0.6,IF(L25="Mayor",0.8,IF(L25="Catastrófico",1,))))))</f>
        <v>0.8</v>
      </c>
      <c r="N25" s="428" t="str">
        <f>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Alto</v>
      </c>
      <c r="O25" s="380">
        <v>1</v>
      </c>
      <c r="P25" s="631" t="s">
        <v>179</v>
      </c>
      <c r="Q25" s="375" t="str">
        <f>IF(OR(R25="Preventivo",R25="Detectivo"),"Probabilidad",IF(R25="Correctivo","Impacto",""))</f>
        <v>Probabilidad</v>
      </c>
      <c r="R25" s="371" t="s">
        <v>156</v>
      </c>
      <c r="S25" s="371" t="s">
        <v>157</v>
      </c>
      <c r="T25" s="367" t="str">
        <f>IF(AND(R25="Preventivo",S25="Automático"),"50%",IF(AND(R25="Preventivo",S25="Manual"),"40%",IF(AND(R25="Detectivo",S25="Automático"),"40%",IF(AND(R25="Detectivo",S25="Manual"),"30%",IF(AND(R25="Correctivo",S25="Automático"),"35%",IF(AND(R25="Correctivo",S25="Manual"),"25%",""))))))</f>
        <v>40%</v>
      </c>
      <c r="U25" s="371" t="s">
        <v>158</v>
      </c>
      <c r="V25" s="371" t="s">
        <v>159</v>
      </c>
      <c r="W25" s="371" t="s">
        <v>160</v>
      </c>
      <c r="X25" s="110"/>
      <c r="Y25" s="365" t="str">
        <f>IFERROR(IF(X27="","",IF(X27&lt;=0.2,"Muy Baja",IF(X27&lt;=0.4,"Baja",IF(X27&lt;=0.6,"Media",IF(X27&lt;=0.8,"Alta","Muy Alta"))))),"")</f>
        <v>Baja</v>
      </c>
      <c r="Z25" s="367">
        <f>+X27</f>
        <v>0.36</v>
      </c>
      <c r="AA25" s="365" t="str">
        <f>IFERROR(IF(AB25="","",IF(AB25&lt;=0.2,"Leve",IF(AB25&lt;=0.4,"Menor",IF(AB25&lt;=0.6,"Moderado",IF(AB25&lt;=0.8,"Mayor","Catastrófico"))))),"")</f>
        <v>Mayor</v>
      </c>
      <c r="AB25" s="367">
        <f>IFERROR(IF(Q25="Impacto",(M25-(+M25*T25)),IF(Q25="Probabilidad",M25,"")),"")</f>
        <v>0.8</v>
      </c>
      <c r="AC25" s="369"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Alto</v>
      </c>
      <c r="AD25" s="371" t="s">
        <v>161</v>
      </c>
      <c r="AE25" s="181" t="s">
        <v>180</v>
      </c>
      <c r="AF25" s="172" t="s">
        <v>181</v>
      </c>
      <c r="AG25" s="174">
        <v>45321</v>
      </c>
      <c r="AH25" s="174">
        <v>45642</v>
      </c>
      <c r="AI25" s="117"/>
      <c r="AJ25" s="115"/>
      <c r="AK25" s="116"/>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69" ht="73.5" customHeight="1" x14ac:dyDescent="0.3">
      <c r="A26" s="220"/>
      <c r="B26" s="432"/>
      <c r="C26" s="432"/>
      <c r="D26" s="432"/>
      <c r="E26" s="435"/>
      <c r="F26" s="432"/>
      <c r="G26" s="438"/>
      <c r="H26" s="441"/>
      <c r="I26" s="426"/>
      <c r="J26" s="444"/>
      <c r="K26" s="223"/>
      <c r="L26" s="441"/>
      <c r="M26" s="426"/>
      <c r="N26" s="429"/>
      <c r="O26" s="381"/>
      <c r="P26" s="632"/>
      <c r="Q26" s="379"/>
      <c r="R26" s="377"/>
      <c r="S26" s="377"/>
      <c r="T26" s="378"/>
      <c r="U26" s="377"/>
      <c r="V26" s="377"/>
      <c r="W26" s="377"/>
      <c r="X26" s="110"/>
      <c r="Y26" s="384"/>
      <c r="Z26" s="378"/>
      <c r="AA26" s="384"/>
      <c r="AB26" s="378"/>
      <c r="AC26" s="383"/>
      <c r="AD26" s="377"/>
      <c r="AE26" s="181" t="s">
        <v>182</v>
      </c>
      <c r="AF26" s="172" t="s">
        <v>183</v>
      </c>
      <c r="AG26" s="174">
        <v>45321</v>
      </c>
      <c r="AH26" s="174">
        <v>45642</v>
      </c>
      <c r="AI26" s="117"/>
      <c r="AJ26" s="115"/>
      <c r="AK26" s="116"/>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row>
    <row r="27" spans="1:69" ht="79.5" customHeight="1" x14ac:dyDescent="0.3">
      <c r="A27" s="380">
        <v>3</v>
      </c>
      <c r="B27" s="432"/>
      <c r="C27" s="432"/>
      <c r="D27" s="432"/>
      <c r="E27" s="435"/>
      <c r="F27" s="432"/>
      <c r="G27" s="438"/>
      <c r="H27" s="441"/>
      <c r="I27" s="426"/>
      <c r="J27" s="444"/>
      <c r="K27" s="425" t="str">
        <f>IF(NOT(ISERROR(MATCH(J25,'Tabla Impacto'!$B$221:$B$223,0))),'Tabla Impacto'!$F$223&amp;"Por favor no seleccionar los criterios de impacto(Afectación Económica o presupuestal y Pérdida Reputacional)",J25)</f>
        <v xml:space="preserve">     Entre 100 y 500 SMLMV </v>
      </c>
      <c r="L27" s="441"/>
      <c r="M27" s="426"/>
      <c r="N27" s="429"/>
      <c r="O27" s="382"/>
      <c r="P27" s="633"/>
      <c r="Q27" s="376"/>
      <c r="R27" s="372"/>
      <c r="S27" s="372"/>
      <c r="T27" s="368"/>
      <c r="U27" s="372"/>
      <c r="V27" s="372"/>
      <c r="W27" s="372"/>
      <c r="X27" s="164">
        <f>IFERROR(IF(Q25="Probabilidad",(I25-(+I25*T25)),IF(Q25="Impacto",I25,"")),"")</f>
        <v>0.36</v>
      </c>
      <c r="Y27" s="366"/>
      <c r="Z27" s="368"/>
      <c r="AA27" s="366"/>
      <c r="AB27" s="368"/>
      <c r="AC27" s="370"/>
      <c r="AD27" s="372"/>
      <c r="AE27" s="181" t="s">
        <v>184</v>
      </c>
      <c r="AF27" s="172" t="s">
        <v>185</v>
      </c>
      <c r="AG27" s="174">
        <v>45321</v>
      </c>
      <c r="AH27" s="174">
        <v>45642</v>
      </c>
      <c r="AI27" s="117"/>
      <c r="AJ27" s="115"/>
      <c r="AK27" s="116"/>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row>
    <row r="28" spans="1:69" ht="18" customHeight="1" x14ac:dyDescent="0.3">
      <c r="A28" s="381"/>
      <c r="B28" s="432"/>
      <c r="C28" s="432"/>
      <c r="D28" s="432"/>
      <c r="E28" s="435"/>
      <c r="F28" s="432"/>
      <c r="G28" s="438"/>
      <c r="H28" s="441"/>
      <c r="I28" s="426"/>
      <c r="J28" s="444"/>
      <c r="K28" s="426">
        <f>IF(NOT(ISERROR(MATCH(J28,_xlfn.ANCHORARRAY(E39),0))),I42&amp;"Por favor no seleccionar los criterios de impacto",J28)</f>
        <v>0</v>
      </c>
      <c r="L28" s="441"/>
      <c r="M28" s="426"/>
      <c r="N28" s="429"/>
      <c r="O28" s="106">
        <v>2</v>
      </c>
      <c r="P28" s="184"/>
      <c r="Q28" s="184"/>
      <c r="R28" s="184"/>
      <c r="S28" s="184"/>
      <c r="T28" s="184"/>
      <c r="U28" s="184"/>
      <c r="V28" s="184"/>
      <c r="W28" s="184"/>
      <c r="X28" s="184" t="str">
        <f>IFERROR(IF(AND(Q25="Probabilidad",Q28="Probabilidad"),(Z25-(+Z25*T28)),IF(Q28="Probabilidad",(I25-(+I25*T28)),IF(Q28="Impacto",Z25,""))),"")</f>
        <v/>
      </c>
      <c r="Y28" s="184"/>
      <c r="Z28" s="184"/>
      <c r="AA28" s="184"/>
      <c r="AB28" s="184"/>
      <c r="AC28" s="184"/>
      <c r="AD28" s="184"/>
      <c r="AE28" s="184"/>
      <c r="AF28" s="115"/>
      <c r="AG28" s="115"/>
      <c r="AH28" s="115"/>
      <c r="AI28" s="117"/>
      <c r="AJ28" s="115"/>
      <c r="AK28" s="116"/>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row>
    <row r="29" spans="1:69" ht="18" customHeight="1" x14ac:dyDescent="0.3">
      <c r="A29" s="381"/>
      <c r="B29" s="432"/>
      <c r="C29" s="432"/>
      <c r="D29" s="432"/>
      <c r="E29" s="435"/>
      <c r="F29" s="432"/>
      <c r="G29" s="438"/>
      <c r="H29" s="441"/>
      <c r="I29" s="426"/>
      <c r="J29" s="444"/>
      <c r="K29" s="426">
        <f>IF(NOT(ISERROR(MATCH(J29,_xlfn.ANCHORARRAY(E41),0))),I43&amp;"Por favor no seleccionar los criterios de impacto",J29)</f>
        <v>0</v>
      </c>
      <c r="L29" s="441"/>
      <c r="M29" s="426"/>
      <c r="N29" s="429"/>
      <c r="O29" s="106">
        <v>3</v>
      </c>
      <c r="P29" s="184"/>
      <c r="Q29" s="184"/>
      <c r="R29" s="184"/>
      <c r="S29" s="184"/>
      <c r="T29" s="184"/>
      <c r="U29" s="184"/>
      <c r="V29" s="184"/>
      <c r="W29" s="184"/>
      <c r="X29" s="184" t="str">
        <f>IFERROR(IF(AND(Q28="Probabilidad",Q29="Probabilidad"),(Z28-(+Z28*T29)),IF(AND(Q28="Impacto",Q29="Probabilidad"),(Z25-(+Z25*T29)),IF(Q29="Impacto",Z28,""))),"")</f>
        <v/>
      </c>
      <c r="Y29" s="184"/>
      <c r="Z29" s="184"/>
      <c r="AA29" s="184"/>
      <c r="AB29" s="184"/>
      <c r="AC29" s="184"/>
      <c r="AD29" s="184"/>
      <c r="AE29" s="184"/>
      <c r="AF29" s="115"/>
      <c r="AG29" s="115"/>
      <c r="AH29" s="115"/>
      <c r="AI29" s="117"/>
      <c r="AJ29" s="115"/>
      <c r="AK29" s="116"/>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row>
    <row r="30" spans="1:69" ht="18" customHeight="1" x14ac:dyDescent="0.3">
      <c r="A30" s="381"/>
      <c r="B30" s="432"/>
      <c r="C30" s="432"/>
      <c r="D30" s="432"/>
      <c r="E30" s="435"/>
      <c r="F30" s="432"/>
      <c r="G30" s="438"/>
      <c r="H30" s="441"/>
      <c r="I30" s="426"/>
      <c r="J30" s="444"/>
      <c r="K30" s="426">
        <f>IF(NOT(ISERROR(MATCH(J30,_xlfn.ANCHORARRAY(E42),0))),I44&amp;"Por favor no seleccionar los criterios de impacto",J30)</f>
        <v>0</v>
      </c>
      <c r="L30" s="441"/>
      <c r="M30" s="426"/>
      <c r="N30" s="429"/>
      <c r="O30" s="106">
        <v>4</v>
      </c>
      <c r="P30" s="184"/>
      <c r="Q30" s="107" t="str">
        <f t="shared" ref="Q30:Q32" si="15">IF(OR(R30="Preventivo",R30="Detectivo"),"Probabilidad",IF(R30="Correctivo","Impacto",""))</f>
        <v/>
      </c>
      <c r="R30" s="108"/>
      <c r="S30" s="108"/>
      <c r="T30" s="109" t="str">
        <f t="shared" ref="T30:T33" si="16">IF(AND(R30="Preventivo",S30="Automático"),"50%",IF(AND(R30="Preventivo",S30="Manual"),"40%",IF(AND(R30="Detectivo",S30="Automático"),"40%",IF(AND(R30="Detectivo",S30="Manual"),"30%",IF(AND(R30="Correctivo",S30="Automático"),"35%",IF(AND(R30="Correctivo",S30="Manual"),"25%",""))))))</f>
        <v/>
      </c>
      <c r="U30" s="108"/>
      <c r="V30" s="108"/>
      <c r="W30" s="108"/>
      <c r="X30" s="110" t="str">
        <f t="shared" ref="X30:X32" si="17">IFERROR(IF(AND(Q29="Probabilidad",Q30="Probabilidad"),(Z29-(+Z29*T30)),IF(AND(Q29="Impacto",Q30="Probabilidad"),(Z28-(+Z28*T30)),IF(Q30="Impacto",Z29,""))),"")</f>
        <v/>
      </c>
      <c r="Y30" s="111" t="str">
        <f t="shared" si="1"/>
        <v/>
      </c>
      <c r="Z30" s="112" t="str">
        <f t="shared" ref="Z30:Z32" si="18">+X30</f>
        <v/>
      </c>
      <c r="AA30" s="111" t="str">
        <f t="shared" si="3"/>
        <v/>
      </c>
      <c r="AB30" s="112" t="str">
        <f t="shared" ref="AB30:AB32" si="19">IFERROR(IF(AND(Q29="Impacto",Q30="Impacto"),(AB29-(+AB29*T30)),IF(AND(Q29="Probabilidad",Q30="Impacto"),(AB28-(+AB28*T30)),IF(Q30="Probabilidad",AB29,""))),"")</f>
        <v/>
      </c>
      <c r="AC30" s="113"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14"/>
      <c r="AE30" s="115"/>
      <c r="AF30" s="116"/>
      <c r="AG30" s="117"/>
      <c r="AH30" s="117"/>
      <c r="AI30" s="117"/>
      <c r="AJ30" s="115"/>
      <c r="AK30" s="116"/>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row>
    <row r="31" spans="1:69" ht="18" customHeight="1" x14ac:dyDescent="0.3">
      <c r="A31" s="381"/>
      <c r="B31" s="432"/>
      <c r="C31" s="432"/>
      <c r="D31" s="432"/>
      <c r="E31" s="435"/>
      <c r="F31" s="432"/>
      <c r="G31" s="438"/>
      <c r="H31" s="441"/>
      <c r="I31" s="426"/>
      <c r="J31" s="444"/>
      <c r="K31" s="426">
        <f>IF(NOT(ISERROR(MATCH(J31,_xlfn.ANCHORARRAY(E43),0))),I45&amp;"Por favor no seleccionar los criterios de impacto",J31)</f>
        <v>0</v>
      </c>
      <c r="L31" s="441"/>
      <c r="M31" s="426"/>
      <c r="N31" s="429"/>
      <c r="O31" s="106">
        <v>5</v>
      </c>
      <c r="P31" s="184"/>
      <c r="Q31" s="107" t="str">
        <f t="shared" si="15"/>
        <v/>
      </c>
      <c r="R31" s="108"/>
      <c r="S31" s="108"/>
      <c r="T31" s="109" t="str">
        <f t="shared" si="16"/>
        <v/>
      </c>
      <c r="U31" s="108"/>
      <c r="V31" s="108"/>
      <c r="W31" s="108"/>
      <c r="X31" s="110" t="str">
        <f t="shared" si="17"/>
        <v/>
      </c>
      <c r="Y31" s="111" t="str">
        <f t="shared" si="1"/>
        <v/>
      </c>
      <c r="Z31" s="112" t="str">
        <f t="shared" si="18"/>
        <v/>
      </c>
      <c r="AA31" s="111" t="str">
        <f t="shared" si="3"/>
        <v/>
      </c>
      <c r="AB31" s="112" t="str">
        <f t="shared" si="19"/>
        <v/>
      </c>
      <c r="AC31" s="113" t="str">
        <f t="shared" ref="AC31:AC32" si="20">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14"/>
      <c r="AE31" s="115"/>
      <c r="AF31" s="116"/>
      <c r="AG31" s="117"/>
      <c r="AH31" s="117"/>
      <c r="AI31" s="117"/>
      <c r="AJ31" s="115"/>
      <c r="AK31" s="116"/>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row>
    <row r="32" spans="1:69" ht="18" customHeight="1" x14ac:dyDescent="0.3">
      <c r="A32" s="382"/>
      <c r="B32" s="433"/>
      <c r="C32" s="433"/>
      <c r="D32" s="433"/>
      <c r="E32" s="436"/>
      <c r="F32" s="433"/>
      <c r="G32" s="439"/>
      <c r="H32" s="442"/>
      <c r="I32" s="427"/>
      <c r="J32" s="445"/>
      <c r="K32" s="427">
        <f>IF(NOT(ISERROR(MATCH(J32,_xlfn.ANCHORARRAY(E44),0))),I46&amp;"Por favor no seleccionar los criterios de impacto",J32)</f>
        <v>0</v>
      </c>
      <c r="L32" s="442"/>
      <c r="M32" s="427"/>
      <c r="N32" s="430"/>
      <c r="O32" s="106">
        <v>6</v>
      </c>
      <c r="P32" s="184"/>
      <c r="Q32" s="107" t="str">
        <f t="shared" si="15"/>
        <v/>
      </c>
      <c r="R32" s="108"/>
      <c r="S32" s="108"/>
      <c r="T32" s="109" t="str">
        <f t="shared" si="16"/>
        <v/>
      </c>
      <c r="U32" s="108"/>
      <c r="V32" s="108"/>
      <c r="W32" s="108"/>
      <c r="X32" s="110" t="str">
        <f t="shared" si="17"/>
        <v/>
      </c>
      <c r="Y32" s="111" t="str">
        <f t="shared" si="1"/>
        <v/>
      </c>
      <c r="Z32" s="112" t="str">
        <f t="shared" si="18"/>
        <v/>
      </c>
      <c r="AA32" s="111" t="str">
        <f t="shared" si="3"/>
        <v/>
      </c>
      <c r="AB32" s="112" t="str">
        <f t="shared" si="19"/>
        <v/>
      </c>
      <c r="AC32" s="113" t="str">
        <f t="shared" si="20"/>
        <v/>
      </c>
      <c r="AD32" s="114"/>
      <c r="AE32" s="115"/>
      <c r="AF32" s="116"/>
      <c r="AG32" s="117"/>
      <c r="AH32" s="117"/>
      <c r="AI32" s="117"/>
      <c r="AJ32" s="115"/>
      <c r="AK32" s="116"/>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row>
    <row r="33" spans="1:69" ht="138" customHeight="1" x14ac:dyDescent="0.3">
      <c r="A33" s="380">
        <v>4</v>
      </c>
      <c r="B33" s="431" t="s">
        <v>149</v>
      </c>
      <c r="C33" s="431" t="s">
        <v>186</v>
      </c>
      <c r="D33" s="431" t="s">
        <v>187</v>
      </c>
      <c r="E33" s="434" t="s">
        <v>188</v>
      </c>
      <c r="F33" s="431" t="s">
        <v>153</v>
      </c>
      <c r="G33" s="437">
        <v>360</v>
      </c>
      <c r="H33" s="440" t="str">
        <f>IF(G33&lt;=0,"",IF(G33&lt;=2,"Muy Baja",IF(G33&lt;=24,"Baja",IF(G33&lt;=500,"Media",IF(G33&lt;=5000,"Alta","Muy Alta")))))</f>
        <v>Media</v>
      </c>
      <c r="I33" s="425">
        <f>IF(H33="","",IF(H33="Muy Baja",0.2,IF(H33="Baja",0.4,IF(H33="Media",0.6,IF(H33="Alta",0.8,IF(H33="Muy Alta",1,))))))</f>
        <v>0.6</v>
      </c>
      <c r="J33" s="443" t="s">
        <v>169</v>
      </c>
      <c r="K33" s="425" t="str">
        <f>IF(NOT(ISERROR(MATCH(J33,'Tabla Impacto'!$B$221:$B$223,0))),'Tabla Impacto'!$F$223&amp;"Por favor no seleccionar los criterios de impacto(Afectación Económica o presupuestal y Pérdida Reputacional)",J33)</f>
        <v xml:space="preserve">     El riesgo afecta la imagen de la entidad con algunos usuarios de relevancia frente al logro de los objetivos</v>
      </c>
      <c r="L33" s="440" t="str">
        <f>IF(OR(K33='Tabla Impacto'!$C$11,K33='Tabla Impacto'!$D$11),"Leve",IF(OR(K33='Tabla Impacto'!$C$12,K33='Tabla Impacto'!$D$12),"Menor",IF(OR(K33='Tabla Impacto'!$C$13,K33='Tabla Impacto'!$D$13),"Moderado",IF(OR(K33='Tabla Impacto'!$C$14,K33='Tabla Impacto'!$D$14),"Mayor",IF(OR(K33='Tabla Impacto'!$C$15,K33='Tabla Impacto'!$D$15),"Catastrófico","")))))</f>
        <v>Moderado</v>
      </c>
      <c r="M33" s="425">
        <f>IF(L33="","",IF(L33="Leve",0.2,IF(L33="Menor",0.4,IF(L33="Moderado",0.6,IF(L33="Mayor",0.8,IF(L33="Catastrófico",1,))))))</f>
        <v>0.6</v>
      </c>
      <c r="N33" s="428"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Moderado</v>
      </c>
      <c r="O33" s="106">
        <v>1</v>
      </c>
      <c r="P33" s="184" t="s">
        <v>189</v>
      </c>
      <c r="Q33" s="167" t="str">
        <f>IF(OR(R33="Preventivo",R33="Detectivo"),"Probabilidad",IF(R33="Correctivo","Impacto",""))</f>
        <v>Probabilidad</v>
      </c>
      <c r="R33" s="175" t="s">
        <v>156</v>
      </c>
      <c r="S33" s="175" t="s">
        <v>157</v>
      </c>
      <c r="T33" s="176" t="str">
        <f t="shared" si="16"/>
        <v>40%</v>
      </c>
      <c r="U33" s="175" t="s">
        <v>158</v>
      </c>
      <c r="V33" s="175" t="s">
        <v>159</v>
      </c>
      <c r="W33" s="175" t="s">
        <v>160</v>
      </c>
      <c r="X33" s="164">
        <f>IFERROR(IF(Q33="Probabilidad",(I33-(+I33*T33)),IF(Q33="Impacto",I33,"")),"")</f>
        <v>0.36</v>
      </c>
      <c r="Y33" s="177" t="str">
        <f>IFERROR(IF(X33="","",IF(X33&lt;=0.2,"Muy Baja",IF(X33&lt;=0.4,"Baja",IF(X33&lt;=0.6,"Media",IF(X33&lt;=0.8,"Alta","Muy Alta"))))),"")</f>
        <v>Baja</v>
      </c>
      <c r="Z33" s="178">
        <f>+X33</f>
        <v>0.36</v>
      </c>
      <c r="AA33" s="177" t="str">
        <f>IFERROR(IF(AB33="","",IF(AB33&lt;=0.2,"Leve",IF(AB33&lt;=0.4,"Menor",IF(AB33&lt;=0.6,"Moderado",IF(AB33&lt;=0.8,"Mayor","Catastrófico"))))),"")</f>
        <v>Moderado</v>
      </c>
      <c r="AB33" s="178">
        <f>IFERROR(IF(Q33="Impacto",(M33-(+M33*T33)),IF(Q33="Probabilidad",M33,"")),"")</f>
        <v>0.6</v>
      </c>
      <c r="AC33" s="17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Moderado</v>
      </c>
      <c r="AD33" s="180" t="s">
        <v>161</v>
      </c>
      <c r="AE33" s="172" t="s">
        <v>190</v>
      </c>
      <c r="AF33" s="172" t="s">
        <v>191</v>
      </c>
      <c r="AG33" s="174">
        <v>45373</v>
      </c>
      <c r="AH33" s="174">
        <v>45473</v>
      </c>
      <c r="AI33" s="117"/>
      <c r="AJ33" s="115"/>
      <c r="AK33" s="116"/>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row>
    <row r="34" spans="1:69" ht="18" customHeight="1" x14ac:dyDescent="0.3">
      <c r="A34" s="381"/>
      <c r="B34" s="432"/>
      <c r="C34" s="432"/>
      <c r="D34" s="432"/>
      <c r="E34" s="435"/>
      <c r="F34" s="432"/>
      <c r="G34" s="438"/>
      <c r="H34" s="441"/>
      <c r="I34" s="426"/>
      <c r="J34" s="444"/>
      <c r="K34" s="426">
        <f>IF(NOT(ISERROR(MATCH(J34,_xlfn.ANCHORARRAY(E46),0))),I48&amp;"Por favor no seleccionar los criterios de impacto",J34)</f>
        <v>0</v>
      </c>
      <c r="L34" s="441"/>
      <c r="M34" s="426"/>
      <c r="N34" s="429"/>
      <c r="O34" s="106">
        <v>2</v>
      </c>
      <c r="P34" s="184"/>
      <c r="Q34" s="107" t="str">
        <f>IF(OR(R34="Preventivo",R34="Detectivo"),"Probabilidad",IF(R34="Correctivo","Impacto",""))</f>
        <v/>
      </c>
      <c r="R34" s="108"/>
      <c r="S34" s="108"/>
      <c r="T34" s="109" t="str">
        <f t="shared" ref="T34:T38" si="21">IF(AND(R34="Preventivo",S34="Automático"),"50%",IF(AND(R34="Preventivo",S34="Manual"),"40%",IF(AND(R34="Detectivo",S34="Automático"),"40%",IF(AND(R34="Detectivo",S34="Manual"),"30%",IF(AND(R34="Correctivo",S34="Automático"),"35%",IF(AND(R34="Correctivo",S34="Manual"),"25%",""))))))</f>
        <v/>
      </c>
      <c r="U34" s="108"/>
      <c r="V34" s="108"/>
      <c r="W34" s="108"/>
      <c r="X34" s="110" t="str">
        <f>IFERROR(IF(AND(Q33="Probabilidad",Q34="Probabilidad"),(Z33-(+Z33*T34)),IF(Q34="Probabilidad",(I33-(+I33*T34)),IF(Q34="Impacto",Z33,""))),"")</f>
        <v/>
      </c>
      <c r="Y34" s="111" t="str">
        <f t="shared" si="1"/>
        <v/>
      </c>
      <c r="Z34" s="112" t="str">
        <f t="shared" ref="Z34:Z38" si="22">+X34</f>
        <v/>
      </c>
      <c r="AA34" s="111" t="str">
        <f t="shared" si="3"/>
        <v/>
      </c>
      <c r="AB34" s="112" t="str">
        <f>IFERROR(IF(AND(Q33="Impacto",Q34="Impacto"),(AB33-(+AB33*T34)),IF(Q34="Impacto",(M33-(+M33*T34)),IF(Q34="Probabilidad",AB33,""))),"")</f>
        <v/>
      </c>
      <c r="AC34" s="113" t="str">
        <f t="shared" ref="AC34:AC35" si="23">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4"/>
      <c r="AE34" s="115"/>
      <c r="AF34" s="116"/>
      <c r="AG34" s="117"/>
      <c r="AH34" s="117"/>
      <c r="AI34" s="117"/>
      <c r="AJ34" s="115"/>
      <c r="AK34" s="116"/>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row>
    <row r="35" spans="1:69" ht="18" customHeight="1" x14ac:dyDescent="0.3">
      <c r="A35" s="381"/>
      <c r="B35" s="432"/>
      <c r="C35" s="432"/>
      <c r="D35" s="432"/>
      <c r="E35" s="435"/>
      <c r="F35" s="432"/>
      <c r="G35" s="438"/>
      <c r="H35" s="441"/>
      <c r="I35" s="426"/>
      <c r="J35" s="444"/>
      <c r="K35" s="426">
        <f>IF(NOT(ISERROR(MATCH(J35,_xlfn.ANCHORARRAY(E47),0))),I49&amp;"Por favor no seleccionar los criterios de impacto",J35)</f>
        <v>0</v>
      </c>
      <c r="L35" s="441"/>
      <c r="M35" s="426"/>
      <c r="N35" s="429"/>
      <c r="O35" s="106">
        <v>3</v>
      </c>
      <c r="P35" s="185"/>
      <c r="Q35" s="107" t="str">
        <f>IF(OR(R35="Preventivo",R35="Detectivo"),"Probabilidad",IF(R35="Correctivo","Impacto",""))</f>
        <v/>
      </c>
      <c r="R35" s="108"/>
      <c r="S35" s="108"/>
      <c r="T35" s="109" t="str">
        <f t="shared" si="21"/>
        <v/>
      </c>
      <c r="U35" s="108"/>
      <c r="V35" s="108"/>
      <c r="W35" s="108"/>
      <c r="X35" s="110" t="str">
        <f>IFERROR(IF(AND(Q34="Probabilidad",Q35="Probabilidad"),(Z34-(+Z34*T35)),IF(AND(Q34="Impacto",Q35="Probabilidad"),(Z33-(+Z33*T35)),IF(Q35="Impacto",Z34,""))),"")</f>
        <v/>
      </c>
      <c r="Y35" s="111" t="str">
        <f t="shared" si="1"/>
        <v/>
      </c>
      <c r="Z35" s="112" t="str">
        <f t="shared" si="22"/>
        <v/>
      </c>
      <c r="AA35" s="111" t="str">
        <f t="shared" si="3"/>
        <v/>
      </c>
      <c r="AB35" s="112" t="str">
        <f>IFERROR(IF(AND(Q34="Impacto",Q35="Impacto"),(AB34-(+AB34*T35)),IF(AND(Q34="Probabilidad",Q35="Impacto"),(AB33-(+AB33*T35)),IF(Q35="Probabilidad",AB34,""))),"")</f>
        <v/>
      </c>
      <c r="AC35" s="113" t="str">
        <f t="shared" si="23"/>
        <v/>
      </c>
      <c r="AD35" s="114"/>
      <c r="AE35" s="115"/>
      <c r="AF35" s="116"/>
      <c r="AG35" s="117"/>
      <c r="AH35" s="117"/>
      <c r="AI35" s="117"/>
      <c r="AJ35" s="115"/>
      <c r="AK35" s="116"/>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row>
    <row r="36" spans="1:69" ht="18" customHeight="1" x14ac:dyDescent="0.3">
      <c r="A36" s="381"/>
      <c r="B36" s="432"/>
      <c r="C36" s="432"/>
      <c r="D36" s="432"/>
      <c r="E36" s="435"/>
      <c r="F36" s="432"/>
      <c r="G36" s="438"/>
      <c r="H36" s="441"/>
      <c r="I36" s="426"/>
      <c r="J36" s="444"/>
      <c r="K36" s="426">
        <f>IF(NOT(ISERROR(MATCH(J36,_xlfn.ANCHORARRAY(E48),0))),I50&amp;"Por favor no seleccionar los criterios de impacto",J36)</f>
        <v>0</v>
      </c>
      <c r="L36" s="441"/>
      <c r="M36" s="426"/>
      <c r="N36" s="429"/>
      <c r="O36" s="106">
        <v>4</v>
      </c>
      <c r="P36" s="184"/>
      <c r="Q36" s="107" t="str">
        <f t="shared" ref="Q36:Q38" si="24">IF(OR(R36="Preventivo",R36="Detectivo"),"Probabilidad",IF(R36="Correctivo","Impacto",""))</f>
        <v/>
      </c>
      <c r="R36" s="108"/>
      <c r="S36" s="108"/>
      <c r="T36" s="109" t="str">
        <f t="shared" si="21"/>
        <v/>
      </c>
      <c r="U36" s="108"/>
      <c r="V36" s="108"/>
      <c r="W36" s="108"/>
      <c r="X36" s="110" t="str">
        <f t="shared" ref="X36:X38" si="25">IFERROR(IF(AND(Q35="Probabilidad",Q36="Probabilidad"),(Z35-(+Z35*T36)),IF(AND(Q35="Impacto",Q36="Probabilidad"),(Z34-(+Z34*T36)),IF(Q36="Impacto",Z35,""))),"")</f>
        <v/>
      </c>
      <c r="Y36" s="111" t="str">
        <f t="shared" si="1"/>
        <v/>
      </c>
      <c r="Z36" s="112" t="str">
        <f t="shared" si="22"/>
        <v/>
      </c>
      <c r="AA36" s="111" t="str">
        <f t="shared" si="3"/>
        <v/>
      </c>
      <c r="AB36" s="112" t="str">
        <f t="shared" ref="AB36:AB38" si="26">IFERROR(IF(AND(Q35="Impacto",Q36="Impacto"),(AB35-(+AB35*T36)),IF(AND(Q35="Probabilidad",Q36="Impacto"),(AB34-(+AB34*T36)),IF(Q36="Probabilidad",AB35,""))),"")</f>
        <v/>
      </c>
      <c r="AC36" s="113"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14"/>
      <c r="AE36" s="115"/>
      <c r="AF36" s="116"/>
      <c r="AG36" s="117"/>
      <c r="AH36" s="117"/>
      <c r="AI36" s="117"/>
      <c r="AJ36" s="115"/>
      <c r="AK36" s="116"/>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1:69" ht="18" customHeight="1" x14ac:dyDescent="0.3">
      <c r="A37" s="381"/>
      <c r="B37" s="432"/>
      <c r="C37" s="432"/>
      <c r="D37" s="432"/>
      <c r="E37" s="435"/>
      <c r="F37" s="432"/>
      <c r="G37" s="438"/>
      <c r="H37" s="441"/>
      <c r="I37" s="426"/>
      <c r="J37" s="444"/>
      <c r="K37" s="426">
        <f>IF(NOT(ISERROR(MATCH(J37,_xlfn.ANCHORARRAY(E49),0))),I51&amp;"Por favor no seleccionar los criterios de impacto",J37)</f>
        <v>0</v>
      </c>
      <c r="L37" s="441"/>
      <c r="M37" s="426"/>
      <c r="N37" s="429"/>
      <c r="O37" s="106">
        <v>5</v>
      </c>
      <c r="P37" s="184"/>
      <c r="Q37" s="107" t="str">
        <f t="shared" si="24"/>
        <v/>
      </c>
      <c r="R37" s="108"/>
      <c r="S37" s="108"/>
      <c r="T37" s="109" t="str">
        <f t="shared" si="21"/>
        <v/>
      </c>
      <c r="U37" s="108"/>
      <c r="V37" s="108"/>
      <c r="W37" s="108"/>
      <c r="X37" s="110" t="str">
        <f t="shared" si="25"/>
        <v/>
      </c>
      <c r="Y37" s="111" t="str">
        <f>IFERROR(IF(X37="","",IF(X37&lt;=0.2,"Muy Baja",IF(X37&lt;=0.4,"Baja",IF(X37&lt;=0.6,"Media",IF(X37&lt;=0.8,"Alta","Muy Alta"))))),"")</f>
        <v/>
      </c>
      <c r="Z37" s="112" t="str">
        <f t="shared" si="22"/>
        <v/>
      </c>
      <c r="AA37" s="111" t="str">
        <f t="shared" si="3"/>
        <v/>
      </c>
      <c r="AB37" s="112" t="str">
        <f t="shared" si="26"/>
        <v/>
      </c>
      <c r="AC37" s="113" t="str">
        <f t="shared" ref="AC37:AC38" si="27">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14"/>
      <c r="AE37" s="115"/>
      <c r="AF37" s="116"/>
      <c r="AG37" s="117"/>
      <c r="AH37" s="117"/>
      <c r="AI37" s="117"/>
      <c r="AJ37" s="115"/>
      <c r="AK37" s="116"/>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row>
    <row r="38" spans="1:69" ht="18" customHeight="1" x14ac:dyDescent="0.3">
      <c r="A38" s="382"/>
      <c r="B38" s="433"/>
      <c r="C38" s="433"/>
      <c r="D38" s="433"/>
      <c r="E38" s="436"/>
      <c r="F38" s="433"/>
      <c r="G38" s="439"/>
      <c r="H38" s="442"/>
      <c r="I38" s="427"/>
      <c r="J38" s="445"/>
      <c r="K38" s="427">
        <f>IF(NOT(ISERROR(MATCH(J38,_xlfn.ANCHORARRAY(E50),0))),I52&amp;"Por favor no seleccionar los criterios de impacto",J38)</f>
        <v>0</v>
      </c>
      <c r="L38" s="442"/>
      <c r="M38" s="427"/>
      <c r="N38" s="430"/>
      <c r="O38" s="106">
        <v>6</v>
      </c>
      <c r="P38" s="184"/>
      <c r="Q38" s="107" t="str">
        <f t="shared" si="24"/>
        <v/>
      </c>
      <c r="R38" s="108"/>
      <c r="S38" s="108"/>
      <c r="T38" s="109" t="str">
        <f t="shared" si="21"/>
        <v/>
      </c>
      <c r="U38" s="108"/>
      <c r="V38" s="108"/>
      <c r="W38" s="108"/>
      <c r="X38" s="110" t="str">
        <f t="shared" si="25"/>
        <v/>
      </c>
      <c r="Y38" s="111" t="str">
        <f t="shared" si="1"/>
        <v/>
      </c>
      <c r="Z38" s="112" t="str">
        <f t="shared" si="22"/>
        <v/>
      </c>
      <c r="AA38" s="111" t="str">
        <f t="shared" si="3"/>
        <v/>
      </c>
      <c r="AB38" s="112" t="str">
        <f t="shared" si="26"/>
        <v/>
      </c>
      <c r="AC38" s="113" t="str">
        <f t="shared" si="27"/>
        <v/>
      </c>
      <c r="AD38" s="114"/>
      <c r="AE38" s="115"/>
      <c r="AF38" s="116"/>
      <c r="AG38" s="117"/>
      <c r="AH38" s="117"/>
      <c r="AI38" s="117"/>
      <c r="AJ38" s="115"/>
      <c r="AK38" s="116"/>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row>
    <row r="39" spans="1:69" ht="104.25" customHeight="1" x14ac:dyDescent="0.3">
      <c r="A39" s="380">
        <v>5</v>
      </c>
      <c r="B39" s="431" t="s">
        <v>149</v>
      </c>
      <c r="C39" s="431" t="s">
        <v>192</v>
      </c>
      <c r="D39" s="431" t="s">
        <v>193</v>
      </c>
      <c r="E39" s="434" t="s">
        <v>194</v>
      </c>
      <c r="F39" s="431" t="s">
        <v>153</v>
      </c>
      <c r="G39" s="437">
        <v>360</v>
      </c>
      <c r="H39" s="440" t="str">
        <f>IF(G39&lt;=0,"",IF(G39&lt;=2,"Muy Baja",IF(G39&lt;=24,"Baja",IF(G39&lt;=500,"Media",IF(G39&lt;=5000,"Alta","Muy Alta")))))</f>
        <v>Media</v>
      </c>
      <c r="I39" s="425">
        <f>IF(H39="","",IF(H39="Muy Baja",0.2,IF(H39="Baja",0.4,IF(H39="Media",0.6,IF(H39="Alta",0.8,IF(H39="Muy Alta",1,))))))</f>
        <v>0.6</v>
      </c>
      <c r="J39" s="443" t="s">
        <v>195</v>
      </c>
      <c r="K39" s="223"/>
      <c r="L39" s="440" t="str">
        <f>IF(OR(K40='Tabla Impacto'!$C$11,K40='Tabla Impacto'!$D$11),"Leve",IF(OR(K40='Tabla Impacto'!$C$12,K40='Tabla Impacto'!$D$12),"Menor",IF(OR(K40='Tabla Impacto'!$C$13,K40='Tabla Impacto'!$D$13),"Moderado",IF(OR(K40='Tabla Impacto'!$C$14,K40='Tabla Impacto'!$D$14),"Mayor",IF(OR(K40='Tabla Impacto'!$C$15,K40='Tabla Impacto'!$D$15),"Catastrófico","")))))</f>
        <v>Catastrófico</v>
      </c>
      <c r="M39" s="425">
        <f>IF(L39="","",IF(L39="Leve",0.2,IF(L39="Menor",0.4,IF(L39="Moderado",0.6,IF(L39="Mayor",0.8,IF(L39="Catastrófico",1,))))))</f>
        <v>1</v>
      </c>
      <c r="N39" s="428"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Extremo</v>
      </c>
      <c r="O39" s="373">
        <v>1</v>
      </c>
      <c r="P39" s="638" t="s">
        <v>196</v>
      </c>
      <c r="Q39" s="375" t="str">
        <f>IF(OR(R39="Preventivo",R39="Detectivo"),"Probabilidad",IF(R39="Correctivo","Impacto",""))</f>
        <v>Probabilidad</v>
      </c>
      <c r="R39" s="371" t="s">
        <v>156</v>
      </c>
      <c r="S39" s="371" t="s">
        <v>157</v>
      </c>
      <c r="T39" s="367" t="str">
        <f>IF(AND(R39="Preventivo",S39="Automático"),"50%",IF(AND(R39="Preventivo",S39="Manual"),"40%",IF(AND(R39="Detectivo",S39="Automático"),"40%",IF(AND(R39="Detectivo",S39="Manual"),"30%",IF(AND(R39="Correctivo",S39="Automático"),"35%",IF(AND(R39="Correctivo",S39="Manual"),"25%",""))))))</f>
        <v>40%</v>
      </c>
      <c r="U39" s="371" t="s">
        <v>158</v>
      </c>
      <c r="V39" s="371" t="s">
        <v>159</v>
      </c>
      <c r="W39" s="371" t="s">
        <v>160</v>
      </c>
      <c r="X39" s="110"/>
      <c r="Y39" s="365" t="str">
        <f>IFERROR(IF(X40="","",IF(X40&lt;=0.2,"Muy Baja",IF(X40&lt;=0.4,"Baja",IF(X40&lt;=0.6,"Media",IF(X40&lt;=0.8,"Alta","Muy Alta"))))),"")</f>
        <v>Baja</v>
      </c>
      <c r="Z39" s="367">
        <f>+X40</f>
        <v>0.36</v>
      </c>
      <c r="AA39" s="365" t="str">
        <f>IFERROR(IF(AB39="","",IF(AB39&lt;=0.2,"Leve",IF(AB39&lt;=0.4,"Menor",IF(AB39&lt;=0.6,"Moderado",IF(AB39&lt;=0.8,"Mayor","Catastrófico"))))),"")</f>
        <v>Catastrófico</v>
      </c>
      <c r="AB39" s="367">
        <f>IFERROR(IF(Q39="Impacto",(M39-(+M39*T39)),IF(Q39="Probabilidad",M39,"")),"")</f>
        <v>1</v>
      </c>
      <c r="AC39" s="36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Extremo</v>
      </c>
      <c r="AD39" s="371" t="s">
        <v>161</v>
      </c>
      <c r="AE39" s="172" t="s">
        <v>197</v>
      </c>
      <c r="AF39" s="172" t="s">
        <v>198</v>
      </c>
      <c r="AG39" s="174">
        <v>45373</v>
      </c>
      <c r="AH39" s="174">
        <v>45626</v>
      </c>
      <c r="AI39" s="117"/>
      <c r="AJ39" s="115"/>
      <c r="AK39" s="116"/>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row>
    <row r="40" spans="1:69" ht="79.5" customHeight="1" x14ac:dyDescent="0.3">
      <c r="A40" s="381"/>
      <c r="B40" s="432"/>
      <c r="C40" s="432"/>
      <c r="D40" s="432"/>
      <c r="E40" s="435"/>
      <c r="F40" s="432"/>
      <c r="G40" s="438"/>
      <c r="H40" s="441"/>
      <c r="I40" s="426"/>
      <c r="J40" s="444"/>
      <c r="K40" s="425" t="str">
        <f>IF(NOT(ISERROR(MATCH(J39,'Tabla Impacto'!$B$221:$B$223,0))),'Tabla Impacto'!$F$223&amp;"Por favor no seleccionar los criterios de impacto(Afectación Económica o presupuestal y Pérdida Reputacional)",J39)</f>
        <v xml:space="preserve">     Mayor a 500 SMLMV </v>
      </c>
      <c r="L40" s="441"/>
      <c r="M40" s="426"/>
      <c r="N40" s="429"/>
      <c r="O40" s="374"/>
      <c r="P40" s="639"/>
      <c r="Q40" s="379"/>
      <c r="R40" s="377"/>
      <c r="S40" s="377"/>
      <c r="T40" s="378"/>
      <c r="U40" s="377"/>
      <c r="V40" s="377"/>
      <c r="W40" s="377"/>
      <c r="X40" s="164">
        <f>IFERROR(IF(Q39="Probabilidad",(I39-(+I39*T39)),IF(Q39="Impacto",I39,"")),"")</f>
        <v>0.36</v>
      </c>
      <c r="Y40" s="384"/>
      <c r="Z40" s="378"/>
      <c r="AA40" s="384"/>
      <c r="AB40" s="378"/>
      <c r="AC40" s="383"/>
      <c r="AD40" s="377"/>
      <c r="AE40" s="190" t="s">
        <v>347</v>
      </c>
      <c r="AF40" s="172" t="s">
        <v>198</v>
      </c>
      <c r="AG40" s="174">
        <v>45412</v>
      </c>
      <c r="AH40" s="174">
        <v>45642</v>
      </c>
      <c r="AI40" s="117"/>
      <c r="AJ40" s="115"/>
      <c r="AK40" s="116"/>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row>
    <row r="41" spans="1:69" ht="18" customHeight="1" x14ac:dyDescent="0.3">
      <c r="A41" s="381"/>
      <c r="B41" s="432"/>
      <c r="C41" s="432"/>
      <c r="D41" s="432"/>
      <c r="E41" s="435"/>
      <c r="F41" s="432"/>
      <c r="G41" s="438"/>
      <c r="H41" s="441"/>
      <c r="I41" s="426"/>
      <c r="J41" s="444"/>
      <c r="K41" s="426">
        <f>IF(NOT(ISERROR(MATCH(J41,_xlfn.ANCHORARRAY(E52),0))),I54&amp;"Por favor no seleccionar los criterios de impacto",J41)</f>
        <v>0</v>
      </c>
      <c r="L41" s="441"/>
      <c r="M41" s="426"/>
      <c r="N41" s="429"/>
      <c r="O41" s="221">
        <v>2</v>
      </c>
      <c r="P41" s="630"/>
      <c r="Q41" s="107"/>
      <c r="R41" s="107"/>
      <c r="S41" s="107"/>
      <c r="T41" s="107"/>
      <c r="U41" s="107"/>
      <c r="V41" s="107"/>
      <c r="W41" s="107"/>
      <c r="X41" s="107" t="str">
        <f>IFERROR(IF(AND(Q39="Probabilidad",Q41="Probabilidad"),(Z39-(+Z39*T41)),IF(Q41="Probabilidad",(I39-(+I39*T41)),IF(Q41="Impacto",Z39,""))),"")</f>
        <v/>
      </c>
      <c r="Y41" s="107"/>
      <c r="Z41" s="107"/>
      <c r="AA41" s="107"/>
      <c r="AB41" s="107"/>
      <c r="AC41" s="107"/>
      <c r="AD41" s="107"/>
      <c r="AE41" s="637"/>
      <c r="AF41" s="172"/>
      <c r="AG41" s="174"/>
      <c r="AH41" s="174"/>
      <c r="AI41" s="117"/>
      <c r="AJ41" s="115"/>
      <c r="AK41" s="116"/>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row>
    <row r="42" spans="1:69" ht="18" customHeight="1" x14ac:dyDescent="0.3">
      <c r="A42" s="381"/>
      <c r="B42" s="432"/>
      <c r="C42" s="432"/>
      <c r="D42" s="432"/>
      <c r="E42" s="435"/>
      <c r="F42" s="432"/>
      <c r="G42" s="438"/>
      <c r="H42" s="441"/>
      <c r="I42" s="426"/>
      <c r="J42" s="444"/>
      <c r="K42" s="426">
        <f>IF(NOT(ISERROR(MATCH(J42,_xlfn.ANCHORARRAY(E53),0))),I55&amp;"Por favor no seleccionar los criterios de impacto",J42)</f>
        <v>0</v>
      </c>
      <c r="L42" s="441"/>
      <c r="M42" s="426"/>
      <c r="N42" s="429"/>
      <c r="O42" s="106">
        <v>3</v>
      </c>
      <c r="P42" s="185"/>
      <c r="Q42" s="107" t="str">
        <f>IF(OR(R42="Preventivo",R42="Detectivo"),"Probabilidad",IF(R42="Correctivo","Impacto",""))</f>
        <v/>
      </c>
      <c r="R42" s="108"/>
      <c r="S42" s="108"/>
      <c r="T42" s="109" t="str">
        <f t="shared" ref="T42:T46" si="28">IF(AND(R42="Preventivo",S42="Automático"),"50%",IF(AND(R42="Preventivo",S42="Manual"),"40%",IF(AND(R42="Detectivo",S42="Automático"),"40%",IF(AND(R42="Detectivo",S42="Manual"),"30%",IF(AND(R42="Correctivo",S42="Automático"),"35%",IF(AND(R42="Correctivo",S42="Manual"),"25%",""))))))</f>
        <v/>
      </c>
      <c r="U42" s="108"/>
      <c r="V42" s="108"/>
      <c r="W42" s="108"/>
      <c r="X42" s="110" t="str">
        <f>IFERROR(IF(AND(Q41="Probabilidad",Q42="Probabilidad"),(Z41-(+Z41*T42)),IF(AND(Q41="Impacto",Q42="Probabilidad"),(Z39-(+Z39*T42)),IF(Q42="Impacto",Z41,""))),"")</f>
        <v/>
      </c>
      <c r="Y42" s="111" t="str">
        <f t="shared" si="1"/>
        <v/>
      </c>
      <c r="Z42" s="112" t="str">
        <f t="shared" ref="Z42:Z45" si="29">+X42</f>
        <v/>
      </c>
      <c r="AA42" s="111" t="str">
        <f t="shared" si="3"/>
        <v/>
      </c>
      <c r="AB42" s="112" t="str">
        <f>IFERROR(IF(AND(Q41="Impacto",Q42="Impacto"),(AB41-(+AB41*T42)),IF(AND(Q41="Probabilidad",Q42="Impacto"),(AB39-(+AB39*T42)),IF(Q42="Probabilidad",AB41,""))),"")</f>
        <v/>
      </c>
      <c r="AC42" s="113" t="str">
        <f t="shared" ref="AC42" si="30">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4"/>
      <c r="AE42" s="115"/>
      <c r="AF42" s="116"/>
      <c r="AG42" s="117"/>
      <c r="AH42" s="117"/>
      <c r="AI42" s="117"/>
      <c r="AJ42" s="115"/>
      <c r="AK42" s="116"/>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row>
    <row r="43" spans="1:69" ht="18" customHeight="1" x14ac:dyDescent="0.3">
      <c r="A43" s="381"/>
      <c r="B43" s="432"/>
      <c r="C43" s="432"/>
      <c r="D43" s="432"/>
      <c r="E43" s="435"/>
      <c r="F43" s="432"/>
      <c r="G43" s="438"/>
      <c r="H43" s="441"/>
      <c r="I43" s="426"/>
      <c r="J43" s="444"/>
      <c r="K43" s="426">
        <f>IF(NOT(ISERROR(MATCH(J43,_xlfn.ANCHORARRAY(E54),0))),I56&amp;"Por favor no seleccionar los criterios de impacto",J43)</f>
        <v>0</v>
      </c>
      <c r="L43" s="441"/>
      <c r="M43" s="426"/>
      <c r="N43" s="429"/>
      <c r="O43" s="106">
        <v>4</v>
      </c>
      <c r="P43" s="184"/>
      <c r="Q43" s="107" t="str">
        <f t="shared" ref="Q43:Q46" si="31">IF(OR(R43="Preventivo",R43="Detectivo"),"Probabilidad",IF(R43="Correctivo","Impacto",""))</f>
        <v/>
      </c>
      <c r="R43" s="108"/>
      <c r="S43" s="108"/>
      <c r="T43" s="109" t="str">
        <f t="shared" si="28"/>
        <v/>
      </c>
      <c r="U43" s="108"/>
      <c r="V43" s="108"/>
      <c r="W43" s="108"/>
      <c r="X43" s="110" t="str">
        <f t="shared" ref="X43:X45" si="32">IFERROR(IF(AND(Q42="Probabilidad",Q43="Probabilidad"),(Z42-(+Z42*T43)),IF(AND(Q42="Impacto",Q43="Probabilidad"),(Z41-(+Z41*T43)),IF(Q43="Impacto",Z42,""))),"")</f>
        <v/>
      </c>
      <c r="Y43" s="111" t="str">
        <f t="shared" si="1"/>
        <v/>
      </c>
      <c r="Z43" s="112" t="str">
        <f t="shared" si="29"/>
        <v/>
      </c>
      <c r="AA43" s="111" t="str">
        <f t="shared" si="3"/>
        <v/>
      </c>
      <c r="AB43" s="112" t="str">
        <f t="shared" ref="AB43:AB45" si="33">IFERROR(IF(AND(Q42="Impacto",Q43="Impacto"),(AB42-(+AB42*T43)),IF(AND(Q42="Probabilidad",Q43="Impacto"),(AB41-(+AB41*T43)),IF(Q43="Probabilidad",AB42,""))),"")</f>
        <v/>
      </c>
      <c r="AC43" s="11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4"/>
      <c r="AE43" s="115"/>
      <c r="AF43" s="116"/>
      <c r="AG43" s="117"/>
      <c r="AH43" s="117"/>
      <c r="AI43" s="117"/>
      <c r="AJ43" s="115"/>
      <c r="AK43" s="116"/>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row>
    <row r="44" spans="1:69" ht="18" customHeight="1" x14ac:dyDescent="0.3">
      <c r="A44" s="381"/>
      <c r="B44" s="432"/>
      <c r="C44" s="432"/>
      <c r="D44" s="432"/>
      <c r="E44" s="435"/>
      <c r="F44" s="432"/>
      <c r="G44" s="438"/>
      <c r="H44" s="441"/>
      <c r="I44" s="426"/>
      <c r="J44" s="444"/>
      <c r="K44" s="426">
        <f>IF(NOT(ISERROR(MATCH(J44,_xlfn.ANCHORARRAY(E55),0))),I57&amp;"Por favor no seleccionar los criterios de impacto",J44)</f>
        <v>0</v>
      </c>
      <c r="L44" s="441"/>
      <c r="M44" s="426"/>
      <c r="N44" s="429"/>
      <c r="O44" s="106">
        <v>5</v>
      </c>
      <c r="P44" s="184"/>
      <c r="Q44" s="107" t="str">
        <f t="shared" si="31"/>
        <v/>
      </c>
      <c r="R44" s="108"/>
      <c r="S44" s="108"/>
      <c r="T44" s="109" t="str">
        <f t="shared" si="28"/>
        <v/>
      </c>
      <c r="U44" s="108"/>
      <c r="V44" s="108"/>
      <c r="W44" s="108"/>
      <c r="X44" s="110" t="str">
        <f t="shared" si="32"/>
        <v/>
      </c>
      <c r="Y44" s="111" t="str">
        <f t="shared" si="1"/>
        <v/>
      </c>
      <c r="Z44" s="112" t="str">
        <f t="shared" si="29"/>
        <v/>
      </c>
      <c r="AA44" s="111" t="str">
        <f t="shared" si="3"/>
        <v/>
      </c>
      <c r="AB44" s="112" t="str">
        <f t="shared" si="33"/>
        <v/>
      </c>
      <c r="AC44" s="113" t="str">
        <f t="shared" ref="AC44:AC45" si="34">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4"/>
      <c r="AE44" s="115"/>
      <c r="AF44" s="116"/>
      <c r="AG44" s="117"/>
      <c r="AH44" s="117"/>
      <c r="AI44" s="117"/>
      <c r="AJ44" s="115"/>
      <c r="AK44" s="116"/>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69" ht="18" customHeight="1" x14ac:dyDescent="0.3">
      <c r="A45" s="382"/>
      <c r="B45" s="433"/>
      <c r="C45" s="433"/>
      <c r="D45" s="433"/>
      <c r="E45" s="436"/>
      <c r="F45" s="433"/>
      <c r="G45" s="439"/>
      <c r="H45" s="442"/>
      <c r="I45" s="427"/>
      <c r="J45" s="445"/>
      <c r="K45" s="427">
        <f>IF(NOT(ISERROR(MATCH(J45,_xlfn.ANCHORARRAY(E56),0))),I58&amp;"Por favor no seleccionar los criterios de impacto",J45)</f>
        <v>0</v>
      </c>
      <c r="L45" s="442"/>
      <c r="M45" s="427"/>
      <c r="N45" s="430"/>
      <c r="O45" s="106">
        <v>6</v>
      </c>
      <c r="P45" s="184"/>
      <c r="Q45" s="107" t="str">
        <f t="shared" si="31"/>
        <v/>
      </c>
      <c r="R45" s="108"/>
      <c r="S45" s="108"/>
      <c r="T45" s="109" t="str">
        <f t="shared" si="28"/>
        <v/>
      </c>
      <c r="U45" s="108"/>
      <c r="V45" s="108"/>
      <c r="W45" s="108"/>
      <c r="X45" s="110" t="str">
        <f t="shared" si="32"/>
        <v/>
      </c>
      <c r="Y45" s="111" t="str">
        <f t="shared" si="1"/>
        <v/>
      </c>
      <c r="Z45" s="112" t="str">
        <f t="shared" si="29"/>
        <v/>
      </c>
      <c r="AA45" s="111" t="str">
        <f t="shared" si="3"/>
        <v/>
      </c>
      <c r="AB45" s="112" t="str">
        <f t="shared" si="33"/>
        <v/>
      </c>
      <c r="AC45" s="113" t="str">
        <f t="shared" si="34"/>
        <v/>
      </c>
      <c r="AD45" s="114"/>
      <c r="AE45" s="115"/>
      <c r="AF45" s="116"/>
      <c r="AG45" s="117"/>
      <c r="AH45" s="117"/>
      <c r="AI45" s="117"/>
      <c r="AJ45" s="115"/>
      <c r="AK45" s="116"/>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69" ht="117" customHeight="1" x14ac:dyDescent="0.3">
      <c r="A46" s="380">
        <v>6</v>
      </c>
      <c r="B46" s="431" t="s">
        <v>149</v>
      </c>
      <c r="C46" s="431" t="s">
        <v>199</v>
      </c>
      <c r="D46" s="431" t="s">
        <v>200</v>
      </c>
      <c r="E46" s="434" t="s">
        <v>201</v>
      </c>
      <c r="F46" s="431" t="s">
        <v>153</v>
      </c>
      <c r="G46" s="437">
        <v>200</v>
      </c>
      <c r="H46" s="440" t="str">
        <f>IF(G46&lt;=0,"",IF(G46&lt;=2,"Muy Baja",IF(G46&lt;=24,"Baja",IF(G46&lt;=500,"Media",IF(G46&lt;=5000,"Alta","Muy Alta")))))</f>
        <v>Media</v>
      </c>
      <c r="I46" s="425">
        <f>IF(H46="","",IF(H46="Muy Baja",0.2,IF(H46="Baja",0.4,IF(H46="Media",0.6,IF(H46="Alta",0.8,IF(H46="Muy Alta",1,))))))</f>
        <v>0.6</v>
      </c>
      <c r="J46" s="443" t="s">
        <v>169</v>
      </c>
      <c r="K46" s="425" t="str">
        <f>IF(NOT(ISERROR(MATCH(J46,'Tabla Impacto'!$B$221:$B$223,0))),'Tabla Impacto'!$F$223&amp;"Por favor no seleccionar los criterios de impacto(Afectación Económica o presupuestal y Pérdida Reputacional)",J46)</f>
        <v xml:space="preserve">     El riesgo afecta la imagen de la entidad con algunos usuarios de relevancia frente al logro de los objetivos</v>
      </c>
      <c r="L46" s="440" t="str">
        <f>IF(OR(K46='Tabla Impacto'!$C$11,K46='Tabla Impacto'!$D$11),"Leve",IF(OR(K46='Tabla Impacto'!$C$12,K46='Tabla Impacto'!$D$12),"Menor",IF(OR(K46='Tabla Impacto'!$C$13,K46='Tabla Impacto'!$D$13),"Moderado",IF(OR(K46='Tabla Impacto'!$C$14,K46='Tabla Impacto'!$D$14),"Mayor",IF(OR(K46='Tabla Impacto'!$C$15,K46='Tabla Impacto'!$D$15),"Catastrófico","")))))</f>
        <v>Moderado</v>
      </c>
      <c r="M46" s="425">
        <f>IF(L46="","",IF(L46="Leve",0.2,IF(L46="Menor",0.4,IF(L46="Moderado",0.6,IF(L46="Mayor",0.8,IF(L46="Catastrófico",1,))))))</f>
        <v>0.6</v>
      </c>
      <c r="N46" s="428"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Moderado</v>
      </c>
      <c r="O46" s="106">
        <v>1</v>
      </c>
      <c r="P46" s="640" t="s">
        <v>202</v>
      </c>
      <c r="Q46" s="167" t="str">
        <f t="shared" si="31"/>
        <v>Probabilidad</v>
      </c>
      <c r="R46" s="175" t="s">
        <v>156</v>
      </c>
      <c r="S46" s="175" t="s">
        <v>157</v>
      </c>
      <c r="T46" s="176" t="str">
        <f t="shared" si="28"/>
        <v>40%</v>
      </c>
      <c r="U46" s="175" t="s">
        <v>158</v>
      </c>
      <c r="V46" s="175" t="s">
        <v>159</v>
      </c>
      <c r="W46" s="175" t="s">
        <v>160</v>
      </c>
      <c r="X46" s="164">
        <f>IFERROR(IF(Q46="Probabilidad",(I46-(+I46*T46)),IF(Q46="Impacto",I46,"")),"")</f>
        <v>0.36</v>
      </c>
      <c r="Y46" s="177" t="str">
        <f>IFERROR(IF(X46="","",IF(X46&lt;=0.2,"Muy Baja",IF(X46&lt;=0.4,"Baja",IF(X46&lt;=0.6,"Media",IF(X46&lt;=0.8,"Alta","Muy Alta"))))),"")</f>
        <v>Baja</v>
      </c>
      <c r="Z46" s="178">
        <f>+X46</f>
        <v>0.36</v>
      </c>
      <c r="AA46" s="177" t="str">
        <f>IFERROR(IF(AB46="","",IF(AB46&lt;=0.2,"Leve",IF(AB46&lt;=0.4,"Menor",IF(AB46&lt;=0.6,"Moderado",IF(AB46&lt;=0.8,"Mayor","Catastrófico"))))),"")</f>
        <v>Moderado</v>
      </c>
      <c r="AB46" s="178">
        <f>IFERROR(IF(Q46="Impacto",(M46-(+M46*T46)),IF(Q46="Probabilidad",M46,"")),"")</f>
        <v>0.6</v>
      </c>
      <c r="AC46" s="179"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Moderado</v>
      </c>
      <c r="AD46" s="180" t="s">
        <v>161</v>
      </c>
      <c r="AE46" s="172" t="s">
        <v>203</v>
      </c>
      <c r="AF46" s="172" t="s">
        <v>348</v>
      </c>
      <c r="AG46" s="189">
        <v>45373</v>
      </c>
      <c r="AH46" s="189">
        <v>45642</v>
      </c>
      <c r="AI46" s="117"/>
      <c r="AJ46" s="115"/>
      <c r="AK46" s="116"/>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69" ht="18" customHeight="1" x14ac:dyDescent="0.3">
      <c r="A47" s="381"/>
      <c r="B47" s="432"/>
      <c r="C47" s="432"/>
      <c r="D47" s="432"/>
      <c r="E47" s="435"/>
      <c r="F47" s="432"/>
      <c r="G47" s="438"/>
      <c r="H47" s="441"/>
      <c r="I47" s="426"/>
      <c r="J47" s="444"/>
      <c r="K47" s="426">
        <f>IF(NOT(ISERROR(MATCH(J47,_xlfn.ANCHORARRAY(E58),0))),I60&amp;"Por favor no seleccionar los criterios de impacto",J47)</f>
        <v>0</v>
      </c>
      <c r="L47" s="441"/>
      <c r="M47" s="426"/>
      <c r="N47" s="429"/>
      <c r="O47" s="106">
        <v>2</v>
      </c>
      <c r="P47" s="184"/>
      <c r="Q47" s="107" t="str">
        <f>IF(OR(R47="Preventivo",R47="Detectivo"),"Probabilidad",IF(R47="Correctivo","Impacto",""))</f>
        <v/>
      </c>
      <c r="R47" s="108"/>
      <c r="S47" s="108"/>
      <c r="T47" s="109" t="str">
        <f t="shared" ref="T47:T51" si="35">IF(AND(R47="Preventivo",S47="Automático"),"50%",IF(AND(R47="Preventivo",S47="Manual"),"40%",IF(AND(R47="Detectivo",S47="Automático"),"40%",IF(AND(R47="Detectivo",S47="Manual"),"30%",IF(AND(R47="Correctivo",S47="Automático"),"35%",IF(AND(R47="Correctivo",S47="Manual"),"25%",""))))))</f>
        <v/>
      </c>
      <c r="U47" s="108"/>
      <c r="V47" s="108"/>
      <c r="W47" s="108"/>
      <c r="X47" s="110" t="str">
        <f>IFERROR(IF(AND(Q46="Probabilidad",Q47="Probabilidad"),(Z46-(+Z46*T47)),IF(Q47="Probabilidad",(I46-(+I46*T47)),IF(Q47="Impacto",Z46,""))),"")</f>
        <v/>
      </c>
      <c r="Y47" s="111" t="str">
        <f t="shared" si="1"/>
        <v/>
      </c>
      <c r="Z47" s="112" t="str">
        <f t="shared" ref="Z47:Z51" si="36">+X47</f>
        <v/>
      </c>
      <c r="AA47" s="111" t="str">
        <f t="shared" si="3"/>
        <v/>
      </c>
      <c r="AB47" s="112" t="str">
        <f>IFERROR(IF(AND(Q46="Impacto",Q47="Impacto"),(AB46-(+AB46*T47)),IF(Q47="Impacto",(M46-(+M46*T47)),IF(Q47="Probabilidad",AB46,""))),"")</f>
        <v/>
      </c>
      <c r="AC47" s="113" t="str">
        <f t="shared" ref="AC47:AC48" si="37">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4"/>
      <c r="AE47" s="115"/>
      <c r="AF47" s="116"/>
      <c r="AG47" s="117"/>
      <c r="AH47" s="117"/>
      <c r="AI47" s="117"/>
      <c r="AJ47" s="115"/>
      <c r="AK47" s="116"/>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69" ht="18" customHeight="1" x14ac:dyDescent="0.3">
      <c r="A48" s="381"/>
      <c r="B48" s="432"/>
      <c r="C48" s="432"/>
      <c r="D48" s="432"/>
      <c r="E48" s="435"/>
      <c r="F48" s="432"/>
      <c r="G48" s="438"/>
      <c r="H48" s="441"/>
      <c r="I48" s="426"/>
      <c r="J48" s="444"/>
      <c r="K48" s="426">
        <f>IF(NOT(ISERROR(MATCH(J48,_xlfn.ANCHORARRAY(E59),0))),I61&amp;"Por favor no seleccionar los criterios de impacto",J48)</f>
        <v>0</v>
      </c>
      <c r="L48" s="441"/>
      <c r="M48" s="426"/>
      <c r="N48" s="429"/>
      <c r="O48" s="106">
        <v>3</v>
      </c>
      <c r="P48" s="185"/>
      <c r="Q48" s="107" t="str">
        <f>IF(OR(R48="Preventivo",R48="Detectivo"),"Probabilidad",IF(R48="Correctivo","Impacto",""))</f>
        <v/>
      </c>
      <c r="R48" s="108"/>
      <c r="S48" s="108"/>
      <c r="T48" s="109" t="str">
        <f t="shared" si="35"/>
        <v/>
      </c>
      <c r="U48" s="108"/>
      <c r="V48" s="108"/>
      <c r="W48" s="108"/>
      <c r="X48" s="110" t="str">
        <f>IFERROR(IF(AND(Q47="Probabilidad",Q48="Probabilidad"),(Z47-(+Z47*T48)),IF(AND(Q47="Impacto",Q48="Probabilidad"),(Z46-(+Z46*T48)),IF(Q48="Impacto",Z47,""))),"")</f>
        <v/>
      </c>
      <c r="Y48" s="111" t="str">
        <f t="shared" si="1"/>
        <v/>
      </c>
      <c r="Z48" s="112" t="str">
        <f t="shared" si="36"/>
        <v/>
      </c>
      <c r="AA48" s="111" t="str">
        <f t="shared" si="3"/>
        <v/>
      </c>
      <c r="AB48" s="112" t="str">
        <f>IFERROR(IF(AND(Q47="Impacto",Q48="Impacto"),(AB47-(+AB47*T48)),IF(AND(Q47="Probabilidad",Q48="Impacto"),(AB46-(+AB46*T48)),IF(Q48="Probabilidad",AB47,""))),"")</f>
        <v/>
      </c>
      <c r="AC48" s="113" t="str">
        <f t="shared" si="37"/>
        <v/>
      </c>
      <c r="AD48" s="114"/>
      <c r="AE48" s="115"/>
      <c r="AF48" s="116"/>
      <c r="AG48" s="117"/>
      <c r="AH48" s="117"/>
      <c r="AI48" s="117"/>
      <c r="AJ48" s="115"/>
      <c r="AK48" s="116"/>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69" ht="18" customHeight="1" x14ac:dyDescent="0.3">
      <c r="A49" s="381"/>
      <c r="B49" s="432"/>
      <c r="C49" s="432"/>
      <c r="D49" s="432"/>
      <c r="E49" s="435"/>
      <c r="F49" s="432"/>
      <c r="G49" s="438"/>
      <c r="H49" s="441"/>
      <c r="I49" s="426"/>
      <c r="J49" s="444"/>
      <c r="K49" s="426">
        <f>IF(NOT(ISERROR(MATCH(J49,_xlfn.ANCHORARRAY(E60),0))),I62&amp;"Por favor no seleccionar los criterios de impacto",J49)</f>
        <v>0</v>
      </c>
      <c r="L49" s="441"/>
      <c r="M49" s="426"/>
      <c r="N49" s="429"/>
      <c r="O49" s="106">
        <v>4</v>
      </c>
      <c r="P49" s="184"/>
      <c r="Q49" s="107" t="str">
        <f t="shared" ref="Q49:Q51" si="38">IF(OR(R49="Preventivo",R49="Detectivo"),"Probabilidad",IF(R49="Correctivo","Impacto",""))</f>
        <v/>
      </c>
      <c r="R49" s="108"/>
      <c r="S49" s="108"/>
      <c r="T49" s="109" t="str">
        <f t="shared" si="35"/>
        <v/>
      </c>
      <c r="U49" s="108"/>
      <c r="V49" s="108"/>
      <c r="W49" s="108"/>
      <c r="X49" s="110" t="str">
        <f t="shared" ref="X49:X51" si="39">IFERROR(IF(AND(Q48="Probabilidad",Q49="Probabilidad"),(Z48-(+Z48*T49)),IF(AND(Q48="Impacto",Q49="Probabilidad"),(Z47-(+Z47*T49)),IF(Q49="Impacto",Z48,""))),"")</f>
        <v/>
      </c>
      <c r="Y49" s="111" t="str">
        <f t="shared" si="1"/>
        <v/>
      </c>
      <c r="Z49" s="112" t="str">
        <f t="shared" si="36"/>
        <v/>
      </c>
      <c r="AA49" s="111" t="str">
        <f t="shared" si="3"/>
        <v/>
      </c>
      <c r="AB49" s="112" t="str">
        <f t="shared" ref="AB49:AB51" si="40">IFERROR(IF(AND(Q48="Impacto",Q49="Impacto"),(AB48-(+AB48*T49)),IF(AND(Q48="Probabilidad",Q49="Impacto"),(AB47-(+AB47*T49)),IF(Q49="Probabilidad",AB48,""))),"")</f>
        <v/>
      </c>
      <c r="AC49" s="11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14"/>
      <c r="AE49" s="115"/>
      <c r="AF49" s="116"/>
      <c r="AG49" s="117"/>
      <c r="AH49" s="117"/>
      <c r="AI49" s="117"/>
      <c r="AJ49" s="115"/>
      <c r="AK49" s="116"/>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69" ht="18" customHeight="1" x14ac:dyDescent="0.3">
      <c r="A50" s="381"/>
      <c r="B50" s="432"/>
      <c r="C50" s="432"/>
      <c r="D50" s="432"/>
      <c r="E50" s="435"/>
      <c r="F50" s="432"/>
      <c r="G50" s="438"/>
      <c r="H50" s="441"/>
      <c r="I50" s="426"/>
      <c r="J50" s="444"/>
      <c r="K50" s="426">
        <f>IF(NOT(ISERROR(MATCH(J50,_xlfn.ANCHORARRAY(E61),0))),I63&amp;"Por favor no seleccionar los criterios de impacto",J50)</f>
        <v>0</v>
      </c>
      <c r="L50" s="441"/>
      <c r="M50" s="426"/>
      <c r="N50" s="429"/>
      <c r="O50" s="106">
        <v>5</v>
      </c>
      <c r="P50" s="184"/>
      <c r="Q50" s="107" t="str">
        <f t="shared" si="38"/>
        <v/>
      </c>
      <c r="R50" s="108"/>
      <c r="S50" s="108"/>
      <c r="T50" s="109" t="str">
        <f t="shared" si="35"/>
        <v/>
      </c>
      <c r="U50" s="108"/>
      <c r="V50" s="108"/>
      <c r="W50" s="108"/>
      <c r="X50" s="110" t="str">
        <f t="shared" si="39"/>
        <v/>
      </c>
      <c r="Y50" s="111" t="str">
        <f t="shared" si="1"/>
        <v/>
      </c>
      <c r="Z50" s="112" t="str">
        <f t="shared" si="36"/>
        <v/>
      </c>
      <c r="AA50" s="111" t="str">
        <f t="shared" si="3"/>
        <v/>
      </c>
      <c r="AB50" s="112" t="str">
        <f t="shared" si="40"/>
        <v/>
      </c>
      <c r="AC50" s="113" t="str">
        <f t="shared" ref="AC50" si="41">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14"/>
      <c r="AE50" s="115"/>
      <c r="AF50" s="116"/>
      <c r="AG50" s="117"/>
      <c r="AH50" s="117"/>
      <c r="AI50" s="117"/>
      <c r="AJ50" s="115"/>
      <c r="AK50" s="116"/>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ht="18" customHeight="1" x14ac:dyDescent="0.3">
      <c r="A51" s="382"/>
      <c r="B51" s="433"/>
      <c r="C51" s="433"/>
      <c r="D51" s="433"/>
      <c r="E51" s="436"/>
      <c r="F51" s="433"/>
      <c r="G51" s="439"/>
      <c r="H51" s="442"/>
      <c r="I51" s="427"/>
      <c r="J51" s="445"/>
      <c r="K51" s="427">
        <f>IF(NOT(ISERROR(MATCH(J51,_xlfn.ANCHORARRAY(E62),0))),I64&amp;"Por favor no seleccionar los criterios de impacto",J51)</f>
        <v>0</v>
      </c>
      <c r="L51" s="442"/>
      <c r="M51" s="427"/>
      <c r="N51" s="430"/>
      <c r="O51" s="106">
        <v>6</v>
      </c>
      <c r="P51" s="184"/>
      <c r="Q51" s="107" t="str">
        <f t="shared" si="38"/>
        <v/>
      </c>
      <c r="R51" s="108"/>
      <c r="S51" s="108"/>
      <c r="T51" s="109" t="str">
        <f t="shared" si="35"/>
        <v/>
      </c>
      <c r="U51" s="108"/>
      <c r="V51" s="108"/>
      <c r="W51" s="108"/>
      <c r="X51" s="110" t="str">
        <f t="shared" si="39"/>
        <v/>
      </c>
      <c r="Y51" s="111" t="str">
        <f t="shared" si="1"/>
        <v/>
      </c>
      <c r="Z51" s="112" t="str">
        <f t="shared" si="36"/>
        <v/>
      </c>
      <c r="AA51" s="111" t="str">
        <f>IFERROR(IF(AB51="","",IF(AB51&lt;=0.2,"Leve",IF(AB51&lt;=0.4,"Menor",IF(AB51&lt;=0.6,"Moderado",IF(AB51&lt;=0.8,"Mayor","Catastrófico"))))),"")</f>
        <v/>
      </c>
      <c r="AB51" s="112" t="str">
        <f t="shared" si="40"/>
        <v/>
      </c>
      <c r="AC51" s="113"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14"/>
      <c r="AE51" s="115"/>
      <c r="AF51" s="116"/>
      <c r="AG51" s="117"/>
      <c r="AH51" s="117"/>
      <c r="AI51" s="117"/>
      <c r="AJ51" s="115"/>
      <c r="AK51" s="116"/>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ht="82.5" customHeight="1" x14ac:dyDescent="0.3">
      <c r="A52" s="380">
        <v>7</v>
      </c>
      <c r="B52" s="431" t="s">
        <v>149</v>
      </c>
      <c r="C52" s="431" t="s">
        <v>204</v>
      </c>
      <c r="D52" s="431" t="s">
        <v>205</v>
      </c>
      <c r="E52" s="434" t="s">
        <v>206</v>
      </c>
      <c r="F52" s="431" t="s">
        <v>153</v>
      </c>
      <c r="G52" s="437">
        <v>200</v>
      </c>
      <c r="H52" s="440" t="str">
        <f>IF(G52&lt;=0,"",IF(G52&lt;=2,"Muy Baja",IF(G52&lt;=24,"Baja",IF(G52&lt;=500,"Media",IF(G52&lt;=5000,"Alta","Muy Alta")))))</f>
        <v>Media</v>
      </c>
      <c r="I52" s="425">
        <f>IF(H52="","",IF(H52="Muy Baja",0.2,IF(H52="Baja",0.4,IF(H52="Media",0.6,IF(H52="Alta",0.8,IF(H52="Muy Alta",1,))))))</f>
        <v>0.6</v>
      </c>
      <c r="J52" s="443" t="s">
        <v>169</v>
      </c>
      <c r="K52" s="425" t="str">
        <f>IF(NOT(ISERROR(MATCH(J52,'Tabla Impacto'!$B$221:$B$223,0))),'Tabla Impacto'!$F$223&amp;"Por favor no seleccionar los criterios de impacto(Afectación Económica o presupuestal y Pérdida Reputacional)",J52)</f>
        <v xml:space="preserve">     El riesgo afecta la imagen de la entidad con algunos usuarios de relevancia frente al logro de los objetivos</v>
      </c>
      <c r="L52" s="440" t="str">
        <f>IF(OR(K52='Tabla Impacto'!$C$11,K52='Tabla Impacto'!$D$11),"Leve",IF(OR(K52='Tabla Impacto'!$C$12,K52='Tabla Impacto'!$D$12),"Menor",IF(OR(K52='Tabla Impacto'!$C$13,K52='Tabla Impacto'!$D$13),"Moderado",IF(OR(K52='Tabla Impacto'!$C$14,K52='Tabla Impacto'!$D$14),"Mayor",IF(OR(K52='Tabla Impacto'!$C$15,K52='Tabla Impacto'!$D$15),"Catastrófico","")))))</f>
        <v>Moderado</v>
      </c>
      <c r="M52" s="425">
        <f>IF(L52="","",IF(L52="Leve",0.2,IF(L52="Menor",0.4,IF(L52="Moderado",0.6,IF(L52="Mayor",0.8,IF(L52="Catastrófico",1,))))))</f>
        <v>0.6</v>
      </c>
      <c r="N52" s="428"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Moderado</v>
      </c>
      <c r="O52" s="106">
        <v>1</v>
      </c>
      <c r="P52" s="640" t="s">
        <v>207</v>
      </c>
      <c r="Q52" s="167" t="str">
        <f>IF(OR(R52="Preventivo",R52="Detectivo"),"Probabilidad",IF(R52="Correctivo","Impacto",""))</f>
        <v>Probabilidad</v>
      </c>
      <c r="R52" s="175" t="s">
        <v>156</v>
      </c>
      <c r="S52" s="175" t="s">
        <v>157</v>
      </c>
      <c r="T52" s="176" t="str">
        <f>IF(AND(R52="Preventivo",S52="Automático"),"50%",IF(AND(R52="Preventivo",S52="Manual"),"40%",IF(AND(R52="Detectivo",S52="Automático"),"40%",IF(AND(R52="Detectivo",S52="Manual"),"30%",IF(AND(R52="Correctivo",S52="Automático"),"35%",IF(AND(R52="Correctivo",S52="Manual"),"25%",""))))))</f>
        <v>40%</v>
      </c>
      <c r="U52" s="175" t="s">
        <v>158</v>
      </c>
      <c r="V52" s="175" t="s">
        <v>159</v>
      </c>
      <c r="W52" s="175" t="s">
        <v>160</v>
      </c>
      <c r="X52" s="164">
        <f>IFERROR(IF(Q52="Probabilidad",(I52-(+I52*T52)),IF(Q52="Impacto",I52,"")),"")</f>
        <v>0.36</v>
      </c>
      <c r="Y52" s="177" t="str">
        <f>IFERROR(IF(X52="","",IF(X52&lt;=0.2,"Muy Baja",IF(X52&lt;=0.4,"Baja",IF(X52&lt;=0.6,"Media",IF(X52&lt;=0.8,"Alta","Muy Alta"))))),"")</f>
        <v>Baja</v>
      </c>
      <c r="Z52" s="178">
        <f>+X52</f>
        <v>0.36</v>
      </c>
      <c r="AA52" s="177" t="str">
        <f>IFERROR(IF(AB52="","",IF(AB52&lt;=0.2,"Leve",IF(AB52&lt;=0.4,"Menor",IF(AB52&lt;=0.6,"Moderado",IF(AB52&lt;=0.8,"Mayor","Catastrófico"))))),"")</f>
        <v>Moderado</v>
      </c>
      <c r="AB52" s="178">
        <f>IFERROR(IF(Q52="Impacto",(M52-(+M52*T52)),IF(Q52="Probabilidad",M52,"")),"")</f>
        <v>0.6</v>
      </c>
      <c r="AC52" s="179"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Moderado</v>
      </c>
      <c r="AD52" s="180" t="s">
        <v>161</v>
      </c>
      <c r="AE52" s="172" t="s">
        <v>208</v>
      </c>
      <c r="AF52" s="172" t="s">
        <v>209</v>
      </c>
      <c r="AG52" s="189">
        <v>45373</v>
      </c>
      <c r="AH52" s="189">
        <v>45642</v>
      </c>
      <c r="AI52" s="117"/>
      <c r="AJ52" s="115"/>
      <c r="AK52" s="116"/>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row>
    <row r="53" spans="1:69" ht="18" customHeight="1" x14ac:dyDescent="0.3">
      <c r="A53" s="381"/>
      <c r="B53" s="432"/>
      <c r="C53" s="432"/>
      <c r="D53" s="432"/>
      <c r="E53" s="435"/>
      <c r="F53" s="432"/>
      <c r="G53" s="438"/>
      <c r="H53" s="441"/>
      <c r="I53" s="426"/>
      <c r="J53" s="444"/>
      <c r="K53" s="426">
        <f>IF(NOT(ISERROR(MATCH(J53,_xlfn.ANCHORARRAY(E64),0))),I66&amp;"Por favor no seleccionar los criterios de impacto",J53)</f>
        <v>0</v>
      </c>
      <c r="L53" s="441"/>
      <c r="M53" s="426"/>
      <c r="N53" s="429"/>
      <c r="O53" s="106">
        <v>2</v>
      </c>
      <c r="P53" s="184"/>
      <c r="Q53" s="167" t="str">
        <f>IF(OR(R53="Preventivo",R53="Detectivo"),"Probabilidad",IF(R53="Correctivo","Impacto",""))</f>
        <v/>
      </c>
      <c r="R53" s="175"/>
      <c r="S53" s="175"/>
      <c r="T53" s="176" t="str">
        <f t="shared" ref="T53:T57" si="42">IF(AND(R53="Preventivo",S53="Automático"),"50%",IF(AND(R53="Preventivo",S53="Manual"),"40%",IF(AND(R53="Detectivo",S53="Automático"),"40%",IF(AND(R53="Detectivo",S53="Manual"),"30%",IF(AND(R53="Correctivo",S53="Automático"),"35%",IF(AND(R53="Correctivo",S53="Manual"),"25%",""))))))</f>
        <v/>
      </c>
      <c r="U53" s="175"/>
      <c r="V53" s="175"/>
      <c r="W53" s="175"/>
      <c r="X53" s="164" t="str">
        <f>IFERROR(IF(AND(Q52="Probabilidad",Q53="Probabilidad"),(Z52-(+Z52*T53)),IF(Q53="Probabilidad",(I52-(+I52*T53)),IF(Q53="Impacto",Z52,""))),"")</f>
        <v/>
      </c>
      <c r="Y53" s="177" t="str">
        <f t="shared" si="1"/>
        <v/>
      </c>
      <c r="Z53" s="178" t="str">
        <f t="shared" ref="Z53:Z57" si="43">+X53</f>
        <v/>
      </c>
      <c r="AA53" s="177" t="str">
        <f t="shared" si="3"/>
        <v/>
      </c>
      <c r="AB53" s="178" t="str">
        <f>IFERROR(IF(AND(Q52="Impacto",Q53="Impacto"),(AB52-(+AB52*T53)),IF(Q53="Impacto",(M52-(+M52*T53)),IF(Q53="Probabilidad",AB52,""))),"")</f>
        <v/>
      </c>
      <c r="AC53" s="179" t="str">
        <f t="shared" ref="AC53:AC54" si="44">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80"/>
      <c r="AE53" s="115"/>
      <c r="AF53" s="116"/>
      <c r="AG53" s="117"/>
      <c r="AH53" s="117"/>
      <c r="AI53" s="117"/>
      <c r="AJ53" s="115"/>
      <c r="AK53" s="116"/>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18" customHeight="1" x14ac:dyDescent="0.3">
      <c r="A54" s="381"/>
      <c r="B54" s="432"/>
      <c r="C54" s="432"/>
      <c r="D54" s="432"/>
      <c r="E54" s="435"/>
      <c r="F54" s="432"/>
      <c r="G54" s="438"/>
      <c r="H54" s="441"/>
      <c r="I54" s="426"/>
      <c r="J54" s="444"/>
      <c r="K54" s="426">
        <f>IF(NOT(ISERROR(MATCH(J54,_xlfn.ANCHORARRAY(E65),0))),I67&amp;"Por favor no seleccionar los criterios de impacto",J54)</f>
        <v>0</v>
      </c>
      <c r="L54" s="441"/>
      <c r="M54" s="426"/>
      <c r="N54" s="429"/>
      <c r="O54" s="106">
        <v>3</v>
      </c>
      <c r="P54" s="185"/>
      <c r="Q54" s="107" t="str">
        <f>IF(OR(R54="Preventivo",R54="Detectivo"),"Probabilidad",IF(R54="Correctivo","Impacto",""))</f>
        <v/>
      </c>
      <c r="R54" s="108"/>
      <c r="S54" s="108"/>
      <c r="T54" s="109" t="str">
        <f t="shared" si="42"/>
        <v/>
      </c>
      <c r="U54" s="108"/>
      <c r="V54" s="108"/>
      <c r="W54" s="108"/>
      <c r="X54" s="110" t="str">
        <f>IFERROR(IF(AND(Q53="Probabilidad",Q54="Probabilidad"),(Z53-(+Z53*T54)),IF(AND(Q53="Impacto",Q54="Probabilidad"),(Z52-(+Z52*T54)),IF(Q54="Impacto",Z53,""))),"")</f>
        <v/>
      </c>
      <c r="Y54" s="111" t="str">
        <f t="shared" si="1"/>
        <v/>
      </c>
      <c r="Z54" s="112" t="str">
        <f t="shared" si="43"/>
        <v/>
      </c>
      <c r="AA54" s="111" t="str">
        <f t="shared" si="3"/>
        <v/>
      </c>
      <c r="AB54" s="112" t="str">
        <f>IFERROR(IF(AND(Q53="Impacto",Q54="Impacto"),(AB53-(+AB53*T54)),IF(AND(Q53="Probabilidad",Q54="Impacto"),(AB52-(+AB52*T54)),IF(Q54="Probabilidad",AB53,""))),"")</f>
        <v/>
      </c>
      <c r="AC54" s="113" t="str">
        <f t="shared" si="44"/>
        <v/>
      </c>
      <c r="AD54" s="114"/>
      <c r="AE54" s="115"/>
      <c r="AF54" s="116"/>
      <c r="AG54" s="117"/>
      <c r="AH54" s="117"/>
      <c r="AI54" s="117"/>
      <c r="AJ54" s="115"/>
      <c r="AK54" s="116"/>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customHeight="1" x14ac:dyDescent="0.3">
      <c r="A55" s="381"/>
      <c r="B55" s="432"/>
      <c r="C55" s="432"/>
      <c r="D55" s="432"/>
      <c r="E55" s="435"/>
      <c r="F55" s="432"/>
      <c r="G55" s="438"/>
      <c r="H55" s="441"/>
      <c r="I55" s="426"/>
      <c r="J55" s="444"/>
      <c r="K55" s="426">
        <f>IF(NOT(ISERROR(MATCH(J55,_xlfn.ANCHORARRAY(E66),0))),I68&amp;"Por favor no seleccionar los criterios de impacto",J55)</f>
        <v>0</v>
      </c>
      <c r="L55" s="441"/>
      <c r="M55" s="426"/>
      <c r="N55" s="429"/>
      <c r="O55" s="106">
        <v>4</v>
      </c>
      <c r="P55" s="184"/>
      <c r="Q55" s="107" t="str">
        <f t="shared" ref="Q55:Q58" si="45">IF(OR(R55="Preventivo",R55="Detectivo"),"Probabilidad",IF(R55="Correctivo","Impacto",""))</f>
        <v/>
      </c>
      <c r="R55" s="108"/>
      <c r="S55" s="108"/>
      <c r="T55" s="109" t="str">
        <f t="shared" si="42"/>
        <v/>
      </c>
      <c r="U55" s="108"/>
      <c r="V55" s="108"/>
      <c r="W55" s="108"/>
      <c r="X55" s="110" t="str">
        <f t="shared" ref="X55:X57" si="46">IFERROR(IF(AND(Q54="Probabilidad",Q55="Probabilidad"),(Z54-(+Z54*T55)),IF(AND(Q54="Impacto",Q55="Probabilidad"),(Z53-(+Z53*T55)),IF(Q55="Impacto",Z54,""))),"")</f>
        <v/>
      </c>
      <c r="Y55" s="111" t="str">
        <f t="shared" si="1"/>
        <v/>
      </c>
      <c r="Z55" s="112" t="str">
        <f t="shared" si="43"/>
        <v/>
      </c>
      <c r="AA55" s="111" t="str">
        <f t="shared" si="3"/>
        <v/>
      </c>
      <c r="AB55" s="112" t="str">
        <f t="shared" ref="AB55:AB57" si="47">IFERROR(IF(AND(Q54="Impacto",Q55="Impacto"),(AB54-(+AB54*T55)),IF(AND(Q54="Probabilidad",Q55="Impacto"),(AB53-(+AB53*T55)),IF(Q55="Probabilidad",AB54,""))),"")</f>
        <v/>
      </c>
      <c r="AC55" s="11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4"/>
      <c r="AE55" s="115"/>
      <c r="AF55" s="116"/>
      <c r="AG55" s="117"/>
      <c r="AH55" s="117"/>
      <c r="AI55" s="117"/>
      <c r="AJ55" s="115"/>
      <c r="AK55" s="116"/>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customHeight="1" x14ac:dyDescent="0.3">
      <c r="A56" s="381"/>
      <c r="B56" s="432"/>
      <c r="C56" s="432"/>
      <c r="D56" s="432"/>
      <c r="E56" s="435"/>
      <c r="F56" s="432"/>
      <c r="G56" s="438"/>
      <c r="H56" s="441"/>
      <c r="I56" s="426"/>
      <c r="J56" s="444"/>
      <c r="K56" s="426">
        <f>IF(NOT(ISERROR(MATCH(J56,_xlfn.ANCHORARRAY(E67),0))),I69&amp;"Por favor no seleccionar los criterios de impacto",J56)</f>
        <v>0</v>
      </c>
      <c r="L56" s="441"/>
      <c r="M56" s="426"/>
      <c r="N56" s="429"/>
      <c r="O56" s="106">
        <v>5</v>
      </c>
      <c r="P56" s="184"/>
      <c r="Q56" s="107" t="str">
        <f t="shared" si="45"/>
        <v/>
      </c>
      <c r="R56" s="108"/>
      <c r="S56" s="108"/>
      <c r="T56" s="109" t="str">
        <f t="shared" si="42"/>
        <v/>
      </c>
      <c r="U56" s="108"/>
      <c r="V56" s="108"/>
      <c r="W56" s="108"/>
      <c r="X56" s="110" t="str">
        <f t="shared" si="46"/>
        <v/>
      </c>
      <c r="Y56" s="111" t="str">
        <f t="shared" si="1"/>
        <v/>
      </c>
      <c r="Z56" s="112" t="str">
        <f t="shared" si="43"/>
        <v/>
      </c>
      <c r="AA56" s="111" t="str">
        <f t="shared" si="3"/>
        <v/>
      </c>
      <c r="AB56" s="112" t="str">
        <f t="shared" si="47"/>
        <v/>
      </c>
      <c r="AC56" s="113" t="str">
        <f t="shared" ref="AC56:AC57" si="48">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14"/>
      <c r="AE56" s="115"/>
      <c r="AF56" s="116"/>
      <c r="AG56" s="117"/>
      <c r="AH56" s="117"/>
      <c r="AI56" s="117"/>
      <c r="AJ56" s="115"/>
      <c r="AK56" s="116"/>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customHeight="1" x14ac:dyDescent="0.3">
      <c r="A57" s="382"/>
      <c r="B57" s="433"/>
      <c r="C57" s="433"/>
      <c r="D57" s="433"/>
      <c r="E57" s="436"/>
      <c r="F57" s="433"/>
      <c r="G57" s="439"/>
      <c r="H57" s="442"/>
      <c r="I57" s="427"/>
      <c r="J57" s="445"/>
      <c r="K57" s="427">
        <f>IF(NOT(ISERROR(MATCH(J57,_xlfn.ANCHORARRAY(E68),0))),I70&amp;"Por favor no seleccionar los criterios de impacto",J57)</f>
        <v>0</v>
      </c>
      <c r="L57" s="442"/>
      <c r="M57" s="427"/>
      <c r="N57" s="430"/>
      <c r="O57" s="106">
        <v>6</v>
      </c>
      <c r="P57" s="184"/>
      <c r="Q57" s="107" t="str">
        <f t="shared" si="45"/>
        <v/>
      </c>
      <c r="R57" s="108"/>
      <c r="S57" s="108"/>
      <c r="T57" s="109" t="str">
        <f t="shared" si="42"/>
        <v/>
      </c>
      <c r="U57" s="108"/>
      <c r="V57" s="108"/>
      <c r="W57" s="108"/>
      <c r="X57" s="110" t="str">
        <f t="shared" si="46"/>
        <v/>
      </c>
      <c r="Y57" s="111" t="str">
        <f t="shared" si="1"/>
        <v/>
      </c>
      <c r="Z57" s="112" t="str">
        <f t="shared" si="43"/>
        <v/>
      </c>
      <c r="AA57" s="111" t="str">
        <f t="shared" si="3"/>
        <v/>
      </c>
      <c r="AB57" s="112" t="str">
        <f t="shared" si="47"/>
        <v/>
      </c>
      <c r="AC57" s="113" t="str">
        <f t="shared" si="48"/>
        <v/>
      </c>
      <c r="AD57" s="114"/>
      <c r="AE57" s="115"/>
      <c r="AF57" s="116"/>
      <c r="AG57" s="117"/>
      <c r="AH57" s="117"/>
      <c r="AI57" s="117"/>
      <c r="AJ57" s="115"/>
      <c r="AK57" s="116"/>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92.25" customHeight="1" x14ac:dyDescent="0.3">
      <c r="A58" s="380">
        <v>8</v>
      </c>
      <c r="B58" s="431" t="s">
        <v>149</v>
      </c>
      <c r="C58" s="431" t="s">
        <v>210</v>
      </c>
      <c r="D58" s="431" t="s">
        <v>211</v>
      </c>
      <c r="E58" s="434" t="s">
        <v>212</v>
      </c>
      <c r="F58" s="431" t="s">
        <v>153</v>
      </c>
      <c r="G58" s="437">
        <v>65</v>
      </c>
      <c r="H58" s="440" t="str">
        <f>IF(G58&lt;=0,"",IF(G58&lt;=2,"Muy Baja",IF(G58&lt;=24,"Baja",IF(G58&lt;=500,"Media",IF(G58&lt;=5000,"Alta","Muy Alta")))))</f>
        <v>Media</v>
      </c>
      <c r="I58" s="425">
        <f>IF(H58="","",IF(H58="Muy Baja",0.2,IF(H58="Baja",0.4,IF(H58="Media",0.6,IF(H58="Alta",0.8,IF(H58="Muy Alta",1,))))))</f>
        <v>0.6</v>
      </c>
      <c r="J58" s="443" t="s">
        <v>169</v>
      </c>
      <c r="K58" s="425" t="str">
        <f>IF(NOT(ISERROR(MATCH(J58,'Tabla Impacto'!$B$221:$B$223,0))),'Tabla Impacto'!$F$223&amp;"Por favor no seleccionar los criterios de impacto(Afectación Económica o presupuestal y Pérdida Reputacional)",J58)</f>
        <v xml:space="preserve">     El riesgo afecta la imagen de la entidad con algunos usuarios de relevancia frente al logro de los objetivos</v>
      </c>
      <c r="L58" s="440" t="str">
        <f>IF(OR(K58='Tabla Impacto'!$C$11,K58='Tabla Impacto'!$D$11),"Leve",IF(OR(K58='Tabla Impacto'!$C$12,K58='Tabla Impacto'!$D$12),"Menor",IF(OR(K58='Tabla Impacto'!$C$13,K58='Tabla Impacto'!$D$13),"Moderado",IF(OR(K58='Tabla Impacto'!$C$14,K58='Tabla Impacto'!$D$14),"Mayor",IF(OR(K58='Tabla Impacto'!$C$15,K58='Tabla Impacto'!$D$15),"Catastrófico","")))))</f>
        <v>Moderado</v>
      </c>
      <c r="M58" s="425">
        <f>IF(L58="","",IF(L58="Leve",0.2,IF(L58="Menor",0.4,IF(L58="Moderado",0.6,IF(L58="Mayor",0.8,IF(L58="Catastrófico",1,))))))</f>
        <v>0.6</v>
      </c>
      <c r="N58" s="428"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Moderado</v>
      </c>
      <c r="O58" s="106">
        <v>1</v>
      </c>
      <c r="P58" s="640" t="s">
        <v>213</v>
      </c>
      <c r="Q58" s="167" t="str">
        <f t="shared" si="45"/>
        <v>Probabilidad</v>
      </c>
      <c r="R58" s="175" t="s">
        <v>156</v>
      </c>
      <c r="S58" s="175" t="s">
        <v>157</v>
      </c>
      <c r="T58" s="176" t="str">
        <f>IF(AND(R58="Preventivo",S58="Automático"),"50%",IF(AND(R58="Preventivo",S58="Manual"),"40%",IF(AND(R58="Detectivo",S58="Automático"),"40%",IF(AND(R58="Detectivo",S58="Manual"),"30%",IF(AND(R58="Correctivo",S58="Automático"),"35%",IF(AND(R58="Correctivo",S58="Manual"),"25%",""))))))</f>
        <v>40%</v>
      </c>
      <c r="U58" s="175" t="s">
        <v>158</v>
      </c>
      <c r="V58" s="175" t="s">
        <v>159</v>
      </c>
      <c r="W58" s="175" t="s">
        <v>160</v>
      </c>
      <c r="X58" s="164">
        <f>IFERROR(IF(Q58="Probabilidad",(I58-(+I58*T58)),IF(Q58="Impacto",I58,"")),"")</f>
        <v>0.36</v>
      </c>
      <c r="Y58" s="177" t="str">
        <f>IFERROR(IF(X58="","",IF(X58&lt;=0.2,"Muy Baja",IF(X58&lt;=0.4,"Baja",IF(X58&lt;=0.6,"Media",IF(X58&lt;=0.8,"Alta","Muy Alta"))))),"")</f>
        <v>Baja</v>
      </c>
      <c r="Z58" s="178">
        <f>+X58</f>
        <v>0.36</v>
      </c>
      <c r="AA58" s="177" t="str">
        <f>IFERROR(IF(AB58="","",IF(AB58&lt;=0.2,"Leve",IF(AB58&lt;=0.4,"Menor",IF(AB58&lt;=0.6,"Moderado",IF(AB58&lt;=0.8,"Mayor","Catastrófico"))))),"")</f>
        <v>Moderado</v>
      </c>
      <c r="AB58" s="178">
        <f>IFERROR(IF(Q58="Impacto",(M58-(+M58*T58)),IF(Q58="Probabilidad",M58,"")),"")</f>
        <v>0.6</v>
      </c>
      <c r="AC58" s="179"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Moderado</v>
      </c>
      <c r="AD58" s="180" t="s">
        <v>161</v>
      </c>
      <c r="AE58" s="172" t="s">
        <v>214</v>
      </c>
      <c r="AF58" s="190" t="s">
        <v>215</v>
      </c>
      <c r="AG58" s="191">
        <v>45373</v>
      </c>
      <c r="AH58" s="174">
        <v>45642</v>
      </c>
      <c r="AI58" s="117"/>
      <c r="AJ58" s="115"/>
      <c r="AK58" s="116"/>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customHeight="1" x14ac:dyDescent="0.3">
      <c r="A59" s="381"/>
      <c r="B59" s="432"/>
      <c r="C59" s="432"/>
      <c r="D59" s="432"/>
      <c r="E59" s="435"/>
      <c r="F59" s="432"/>
      <c r="G59" s="438"/>
      <c r="H59" s="441"/>
      <c r="I59" s="426"/>
      <c r="J59" s="444"/>
      <c r="K59" s="426">
        <f>IF(NOT(ISERROR(MATCH(J59,_xlfn.ANCHORARRAY(E70),0))),I72&amp;"Por favor no seleccionar los criterios de impacto",J59)</f>
        <v>0</v>
      </c>
      <c r="L59" s="441"/>
      <c r="M59" s="426"/>
      <c r="N59" s="429"/>
      <c r="O59" s="106">
        <v>2</v>
      </c>
      <c r="P59" s="184"/>
      <c r="Q59" s="107" t="str">
        <f>IF(OR(R59="Preventivo",R59="Detectivo"),"Probabilidad",IF(R59="Correctivo","Impacto",""))</f>
        <v/>
      </c>
      <c r="R59" s="108"/>
      <c r="S59" s="108"/>
      <c r="T59" s="109" t="str">
        <f t="shared" ref="T59:T63" si="49">IF(AND(R59="Preventivo",S59="Automático"),"50%",IF(AND(R59="Preventivo",S59="Manual"),"40%",IF(AND(R59="Detectivo",S59="Automático"),"40%",IF(AND(R59="Detectivo",S59="Manual"),"30%",IF(AND(R59="Correctivo",S59="Automático"),"35%",IF(AND(R59="Correctivo",S59="Manual"),"25%",""))))))</f>
        <v/>
      </c>
      <c r="U59" s="108"/>
      <c r="V59" s="108"/>
      <c r="W59" s="108"/>
      <c r="X59" s="110" t="str">
        <f>IFERROR(IF(AND(Q58="Probabilidad",Q59="Probabilidad"),(Z58-(+Z58*T59)),IF(Q59="Probabilidad",(I58-(+I58*T59)),IF(Q59="Impacto",Z58,""))),"")</f>
        <v/>
      </c>
      <c r="Y59" s="111" t="str">
        <f t="shared" si="1"/>
        <v/>
      </c>
      <c r="Z59" s="112" t="str">
        <f t="shared" ref="Z59:Z63" si="50">+X59</f>
        <v/>
      </c>
      <c r="AA59" s="111" t="str">
        <f t="shared" si="3"/>
        <v/>
      </c>
      <c r="AB59" s="112" t="str">
        <f>IFERROR(IF(AND(Q58="Impacto",Q59="Impacto"),(AB58-(+AB58*T59)),IF(Q59="Impacto",(M58-(+M58*T59)),IF(Q59="Probabilidad",AB58,""))),"")</f>
        <v/>
      </c>
      <c r="AC59" s="113" t="str">
        <f t="shared" ref="AC59:AC60" si="51">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4"/>
      <c r="AE59" s="115"/>
      <c r="AF59" s="116"/>
      <c r="AG59" s="117"/>
      <c r="AH59" s="117"/>
      <c r="AI59" s="117"/>
      <c r="AJ59" s="115"/>
      <c r="AK59" s="116"/>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customHeight="1" x14ac:dyDescent="0.3">
      <c r="A60" s="381"/>
      <c r="B60" s="432"/>
      <c r="C60" s="432"/>
      <c r="D60" s="432"/>
      <c r="E60" s="435"/>
      <c r="F60" s="432"/>
      <c r="G60" s="438"/>
      <c r="H60" s="441"/>
      <c r="I60" s="426"/>
      <c r="J60" s="444"/>
      <c r="K60" s="426">
        <f>IF(NOT(ISERROR(MATCH(J60,_xlfn.ANCHORARRAY(E71),0))),I73&amp;"Por favor no seleccionar los criterios de impacto",J60)</f>
        <v>0</v>
      </c>
      <c r="L60" s="441"/>
      <c r="M60" s="426"/>
      <c r="N60" s="429"/>
      <c r="O60" s="106">
        <v>3</v>
      </c>
      <c r="P60" s="185"/>
      <c r="Q60" s="107" t="str">
        <f>IF(OR(R60="Preventivo",R60="Detectivo"),"Probabilidad",IF(R60="Correctivo","Impacto",""))</f>
        <v/>
      </c>
      <c r="R60" s="108"/>
      <c r="S60" s="108"/>
      <c r="T60" s="109" t="str">
        <f t="shared" si="49"/>
        <v/>
      </c>
      <c r="U60" s="108"/>
      <c r="V60" s="108"/>
      <c r="W60" s="108"/>
      <c r="X60" s="110" t="str">
        <f>IFERROR(IF(AND(Q59="Probabilidad",Q60="Probabilidad"),(Z59-(+Z59*T60)),IF(AND(Q59="Impacto",Q60="Probabilidad"),(Z58-(+Z58*T60)),IF(Q60="Impacto",Z59,""))),"")</f>
        <v/>
      </c>
      <c r="Y60" s="111" t="str">
        <f t="shared" si="1"/>
        <v/>
      </c>
      <c r="Z60" s="112" t="str">
        <f t="shared" si="50"/>
        <v/>
      </c>
      <c r="AA60" s="111" t="str">
        <f t="shared" si="3"/>
        <v/>
      </c>
      <c r="AB60" s="112" t="str">
        <f>IFERROR(IF(AND(Q59="Impacto",Q60="Impacto"),(AB59-(+AB59*T60)),IF(AND(Q59="Probabilidad",Q60="Impacto"),(AB58-(+AB58*T60)),IF(Q60="Probabilidad",AB59,""))),"")</f>
        <v/>
      </c>
      <c r="AC60" s="113" t="str">
        <f t="shared" si="51"/>
        <v/>
      </c>
      <c r="AD60" s="114"/>
      <c r="AE60" s="115"/>
      <c r="AF60" s="116"/>
      <c r="AG60" s="117"/>
      <c r="AH60" s="117"/>
      <c r="AI60" s="117"/>
      <c r="AJ60" s="115"/>
      <c r="AK60" s="116"/>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customHeight="1" x14ac:dyDescent="0.3">
      <c r="A61" s="381"/>
      <c r="B61" s="432"/>
      <c r="C61" s="432"/>
      <c r="D61" s="432"/>
      <c r="E61" s="435"/>
      <c r="F61" s="432"/>
      <c r="G61" s="438"/>
      <c r="H61" s="441"/>
      <c r="I61" s="426"/>
      <c r="J61" s="444"/>
      <c r="K61" s="426">
        <f>IF(NOT(ISERROR(MATCH(J61,_xlfn.ANCHORARRAY(E72),0))),I74&amp;"Por favor no seleccionar los criterios de impacto",J61)</f>
        <v>0</v>
      </c>
      <c r="L61" s="441"/>
      <c r="M61" s="426"/>
      <c r="N61" s="429"/>
      <c r="O61" s="106">
        <v>4</v>
      </c>
      <c r="P61" s="184"/>
      <c r="Q61" s="107" t="str">
        <f t="shared" ref="Q61:Q64" si="52">IF(OR(R61="Preventivo",R61="Detectivo"),"Probabilidad",IF(R61="Correctivo","Impacto",""))</f>
        <v/>
      </c>
      <c r="R61" s="108"/>
      <c r="S61" s="108"/>
      <c r="T61" s="109" t="str">
        <f t="shared" si="49"/>
        <v/>
      </c>
      <c r="U61" s="108"/>
      <c r="V61" s="108"/>
      <c r="W61" s="108"/>
      <c r="X61" s="110" t="str">
        <f t="shared" ref="X61:X63" si="53">IFERROR(IF(AND(Q60="Probabilidad",Q61="Probabilidad"),(Z60-(+Z60*T61)),IF(AND(Q60="Impacto",Q61="Probabilidad"),(Z59-(+Z59*T61)),IF(Q61="Impacto",Z60,""))),"")</f>
        <v/>
      </c>
      <c r="Y61" s="111" t="str">
        <f t="shared" si="1"/>
        <v/>
      </c>
      <c r="Z61" s="112" t="str">
        <f t="shared" si="50"/>
        <v/>
      </c>
      <c r="AA61" s="111" t="str">
        <f t="shared" si="3"/>
        <v/>
      </c>
      <c r="AB61" s="112" t="str">
        <f t="shared" ref="AB61:AB63" si="54">IFERROR(IF(AND(Q60="Impacto",Q61="Impacto"),(AB60-(+AB60*T61)),IF(AND(Q60="Probabilidad",Q61="Impacto"),(AB59-(+AB59*T61)),IF(Q61="Probabilidad",AB60,""))),"")</f>
        <v/>
      </c>
      <c r="AC61" s="11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4"/>
      <c r="AE61" s="115"/>
      <c r="AF61" s="116"/>
      <c r="AG61" s="117"/>
      <c r="AH61" s="117"/>
      <c r="AI61" s="117"/>
      <c r="AJ61" s="115"/>
      <c r="AK61" s="116"/>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customHeight="1" x14ac:dyDescent="0.3">
      <c r="A62" s="381"/>
      <c r="B62" s="432"/>
      <c r="C62" s="432"/>
      <c r="D62" s="432"/>
      <c r="E62" s="435"/>
      <c r="F62" s="432"/>
      <c r="G62" s="438"/>
      <c r="H62" s="441"/>
      <c r="I62" s="426"/>
      <c r="J62" s="444"/>
      <c r="K62" s="426">
        <f>IF(NOT(ISERROR(MATCH(J62,_xlfn.ANCHORARRAY(E73),0))),I75&amp;"Por favor no seleccionar los criterios de impacto",J62)</f>
        <v>0</v>
      </c>
      <c r="L62" s="441"/>
      <c r="M62" s="426"/>
      <c r="N62" s="429"/>
      <c r="O62" s="106">
        <v>5</v>
      </c>
      <c r="P62" s="184"/>
      <c r="Q62" s="107" t="str">
        <f t="shared" si="52"/>
        <v/>
      </c>
      <c r="R62" s="108"/>
      <c r="S62" s="108"/>
      <c r="T62" s="109" t="str">
        <f t="shared" si="49"/>
        <v/>
      </c>
      <c r="U62" s="108"/>
      <c r="V62" s="108"/>
      <c r="W62" s="108"/>
      <c r="X62" s="110" t="str">
        <f t="shared" si="53"/>
        <v/>
      </c>
      <c r="Y62" s="111" t="str">
        <f t="shared" si="1"/>
        <v/>
      </c>
      <c r="Z62" s="112" t="str">
        <f t="shared" si="50"/>
        <v/>
      </c>
      <c r="AA62" s="111" t="str">
        <f t="shared" si="3"/>
        <v/>
      </c>
      <c r="AB62" s="112" t="str">
        <f t="shared" si="54"/>
        <v/>
      </c>
      <c r="AC62" s="113" t="str">
        <f t="shared" ref="AC62:AC63" si="55">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14"/>
      <c r="AE62" s="115"/>
      <c r="AF62" s="116"/>
      <c r="AG62" s="117"/>
      <c r="AH62" s="117"/>
      <c r="AI62" s="117"/>
      <c r="AJ62" s="115"/>
      <c r="AK62" s="116"/>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customHeight="1" x14ac:dyDescent="0.3">
      <c r="A63" s="382"/>
      <c r="B63" s="433"/>
      <c r="C63" s="433"/>
      <c r="D63" s="433"/>
      <c r="E63" s="436"/>
      <c r="F63" s="433"/>
      <c r="G63" s="439"/>
      <c r="H63" s="442"/>
      <c r="I63" s="427"/>
      <c r="J63" s="445"/>
      <c r="K63" s="427">
        <f>IF(NOT(ISERROR(MATCH(J63,_xlfn.ANCHORARRAY(E74),0))),I76&amp;"Por favor no seleccionar los criterios de impacto",J63)</f>
        <v>0</v>
      </c>
      <c r="L63" s="442"/>
      <c r="M63" s="427"/>
      <c r="N63" s="430"/>
      <c r="O63" s="106">
        <v>6</v>
      </c>
      <c r="P63" s="184"/>
      <c r="Q63" s="107" t="str">
        <f t="shared" si="52"/>
        <v/>
      </c>
      <c r="R63" s="108"/>
      <c r="S63" s="108"/>
      <c r="T63" s="109" t="str">
        <f t="shared" si="49"/>
        <v/>
      </c>
      <c r="U63" s="108"/>
      <c r="V63" s="108"/>
      <c r="W63" s="108"/>
      <c r="X63" s="110" t="str">
        <f t="shared" si="53"/>
        <v/>
      </c>
      <c r="Y63" s="111" t="str">
        <f t="shared" si="1"/>
        <v/>
      </c>
      <c r="Z63" s="112" t="str">
        <f t="shared" si="50"/>
        <v/>
      </c>
      <c r="AA63" s="111" t="str">
        <f t="shared" si="3"/>
        <v/>
      </c>
      <c r="AB63" s="112" t="str">
        <f t="shared" si="54"/>
        <v/>
      </c>
      <c r="AC63" s="113" t="str">
        <f t="shared" si="55"/>
        <v/>
      </c>
      <c r="AD63" s="114"/>
      <c r="AE63" s="115"/>
      <c r="AF63" s="116"/>
      <c r="AG63" s="117"/>
      <c r="AH63" s="117"/>
      <c r="AI63" s="117"/>
      <c r="AJ63" s="115"/>
      <c r="AK63" s="116"/>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06.5" customHeight="1" x14ac:dyDescent="0.3">
      <c r="A64" s="380">
        <v>9</v>
      </c>
      <c r="B64" s="431" t="s">
        <v>149</v>
      </c>
      <c r="C64" s="431" t="s">
        <v>210</v>
      </c>
      <c r="D64" s="431" t="s">
        <v>216</v>
      </c>
      <c r="E64" s="434" t="s">
        <v>217</v>
      </c>
      <c r="F64" s="431" t="s">
        <v>153</v>
      </c>
      <c r="G64" s="437">
        <v>200</v>
      </c>
      <c r="H64" s="440" t="str">
        <f>IF(G64&lt;=0,"",IF(G64&lt;=2,"Muy Baja",IF(G64&lt;=24,"Baja",IF(G64&lt;=500,"Media",IF(G64&lt;=5000,"Alta","Muy Alta")))))</f>
        <v>Media</v>
      </c>
      <c r="I64" s="425">
        <f>IF(H64="","",IF(H64="Muy Baja",0.2,IF(H64="Baja",0.4,IF(H64="Media",0.6,IF(H64="Alta",0.8,IF(H64="Muy Alta",1,))))))</f>
        <v>0.6</v>
      </c>
      <c r="J64" s="443" t="s">
        <v>169</v>
      </c>
      <c r="K64" s="425" t="str">
        <f>IF(NOT(ISERROR(MATCH(J64,'Tabla Impacto'!$B$221:$B$223,0))),'Tabla Impacto'!$F$223&amp;"Por favor no seleccionar los criterios de impacto(Afectación Económica o presupuestal y Pérdida Reputacional)",J64)</f>
        <v xml:space="preserve">     El riesgo afecta la imagen de la entidad con algunos usuarios de relevancia frente al logro de los objetivos</v>
      </c>
      <c r="L64" s="440" t="str">
        <f>IF(OR(K64='Tabla Impacto'!$C$11,K64='Tabla Impacto'!$D$11),"Leve",IF(OR(K64='Tabla Impacto'!$C$12,K64='Tabla Impacto'!$D$12),"Menor",IF(OR(K64='Tabla Impacto'!$C$13,K64='Tabla Impacto'!$D$13),"Moderado",IF(OR(K64='Tabla Impacto'!$C$14,K64='Tabla Impacto'!$D$14),"Mayor",IF(OR(K64='Tabla Impacto'!$C$15,K64='Tabla Impacto'!$D$15),"Catastrófico","")))))</f>
        <v>Moderado</v>
      </c>
      <c r="M64" s="425">
        <f>IF(L64="","",IF(L64="Leve",0.2,IF(L64="Menor",0.4,IF(L64="Moderado",0.6,IF(L64="Mayor",0.8,IF(L64="Catastrófico",1,))))))</f>
        <v>0.6</v>
      </c>
      <c r="N64" s="428"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Moderado</v>
      </c>
      <c r="O64" s="106">
        <v>1</v>
      </c>
      <c r="P64" s="640" t="s">
        <v>218</v>
      </c>
      <c r="Q64" s="167" t="str">
        <f t="shared" si="52"/>
        <v>Probabilidad</v>
      </c>
      <c r="R64" s="175" t="s">
        <v>156</v>
      </c>
      <c r="S64" s="175" t="s">
        <v>157</v>
      </c>
      <c r="T64" s="176" t="str">
        <f>IF(AND(R64="Preventivo",S64="Automático"),"50%",IF(AND(R64="Preventivo",S64="Manual"),"40%",IF(AND(R64="Detectivo",S64="Automático"),"40%",IF(AND(R64="Detectivo",S64="Manual"),"30%",IF(AND(R64="Correctivo",S64="Automático"),"35%",IF(AND(R64="Correctivo",S64="Manual"),"25%",""))))))</f>
        <v>40%</v>
      </c>
      <c r="U64" s="175" t="s">
        <v>158</v>
      </c>
      <c r="V64" s="175" t="s">
        <v>159</v>
      </c>
      <c r="W64" s="175" t="s">
        <v>160</v>
      </c>
      <c r="X64" s="164">
        <f>IFERROR(IF(Q64="Probabilidad",(I64-(+I64*T64)),IF(Q64="Impacto",I64,"")),"")</f>
        <v>0.36</v>
      </c>
      <c r="Y64" s="177" t="str">
        <f>IFERROR(IF(X64="","",IF(X64&lt;=0.2,"Muy Baja",IF(X64&lt;=0.4,"Baja",IF(X64&lt;=0.6,"Media",IF(X64&lt;=0.8,"Alta","Muy Alta"))))),"")</f>
        <v>Baja</v>
      </c>
      <c r="Z64" s="178">
        <f>+X64</f>
        <v>0.36</v>
      </c>
      <c r="AA64" s="177" t="str">
        <f>IFERROR(IF(AB64="","",IF(AB64&lt;=0.2,"Leve",IF(AB64&lt;=0.4,"Menor",IF(AB64&lt;=0.6,"Moderado",IF(AB64&lt;=0.8,"Mayor","Catastrófico"))))),"")</f>
        <v>Moderado</v>
      </c>
      <c r="AB64" s="178">
        <f>IFERROR(IF(Q64="Impacto",(M64-(+M64*T64)),IF(Q64="Probabilidad",M64,"")),"")</f>
        <v>0.6</v>
      </c>
      <c r="AC64" s="179"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Moderado</v>
      </c>
      <c r="AD64" s="180" t="s">
        <v>161</v>
      </c>
      <c r="AE64" s="115" t="s">
        <v>219</v>
      </c>
      <c r="AF64" s="190" t="s">
        <v>220</v>
      </c>
      <c r="AG64" s="191">
        <v>45323</v>
      </c>
      <c r="AH64" s="174">
        <v>45642</v>
      </c>
      <c r="AI64" s="117"/>
      <c r="AJ64" s="115"/>
      <c r="AK64" s="116"/>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customHeight="1" x14ac:dyDescent="0.3">
      <c r="A65" s="381"/>
      <c r="B65" s="432"/>
      <c r="C65" s="432"/>
      <c r="D65" s="432"/>
      <c r="E65" s="435"/>
      <c r="F65" s="432"/>
      <c r="G65" s="438"/>
      <c r="H65" s="441"/>
      <c r="I65" s="426"/>
      <c r="J65" s="444"/>
      <c r="K65" s="426">
        <f>IF(NOT(ISERROR(MATCH(J65,_xlfn.ANCHORARRAY(E76),0))),I78&amp;"Por favor no seleccionar los criterios de impacto",J65)</f>
        <v>0</v>
      </c>
      <c r="L65" s="441"/>
      <c r="M65" s="426"/>
      <c r="N65" s="429"/>
      <c r="O65" s="106">
        <v>2</v>
      </c>
      <c r="P65" s="184"/>
      <c r="Q65" s="107" t="str">
        <f>IF(OR(R65="Preventivo",R65="Detectivo"),"Probabilidad",IF(R65="Correctivo","Impacto",""))</f>
        <v/>
      </c>
      <c r="R65" s="108"/>
      <c r="S65" s="108"/>
      <c r="T65" s="109" t="str">
        <f t="shared" ref="T65:T75" si="56">IF(AND(R65="Preventivo",S65="Automático"),"50%",IF(AND(R65="Preventivo",S65="Manual"),"40%",IF(AND(R65="Detectivo",S65="Automático"),"40%",IF(AND(R65="Detectivo",S65="Manual"),"30%",IF(AND(R65="Correctivo",S65="Automático"),"35%",IF(AND(R65="Correctivo",S65="Manual"),"25%",""))))))</f>
        <v/>
      </c>
      <c r="U65" s="108"/>
      <c r="V65" s="108"/>
      <c r="W65" s="108"/>
      <c r="X65" s="110" t="str">
        <f>IFERROR(IF(AND(Q64="Probabilidad",Q65="Probabilidad"),(Z64-(+Z64*T65)),IF(Q65="Probabilidad",(I64-(+I64*T65)),IF(Q65="Impacto",Z64,""))),"")</f>
        <v/>
      </c>
      <c r="Y65" s="111" t="str">
        <f t="shared" si="1"/>
        <v/>
      </c>
      <c r="Z65" s="112" t="str">
        <f t="shared" ref="Z65:Z75" si="57">+X65</f>
        <v/>
      </c>
      <c r="AA65" s="111" t="str">
        <f>IFERROR(IF(AB65="","",IF(AB65&lt;=0.2,"Leve",IF(AB65&lt;=0.4,"Menor",IF(AB65&lt;=0.6,"Moderado",IF(AB65&lt;=0.8,"Mayor","Catastrófico"))))),"")</f>
        <v/>
      </c>
      <c r="AB65" s="112" t="str">
        <f>IFERROR(IF(AND(Q64="Impacto",Q65="Impacto"),(AB64-(+AB64*T65)),IF(Q65="Impacto",(M64-(+M64*T65)),IF(Q65="Probabilidad",AB64,""))),"")</f>
        <v/>
      </c>
      <c r="AC65" s="113" t="str">
        <f t="shared" ref="AC65:AC66" si="58">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4"/>
      <c r="AE65" s="115"/>
      <c r="AF65" s="116"/>
      <c r="AG65" s="117"/>
      <c r="AH65" s="117"/>
      <c r="AI65" s="117"/>
      <c r="AJ65" s="115"/>
      <c r="AK65" s="116"/>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customHeight="1" x14ac:dyDescent="0.3">
      <c r="A66" s="381"/>
      <c r="B66" s="432"/>
      <c r="C66" s="432"/>
      <c r="D66" s="432"/>
      <c r="E66" s="435"/>
      <c r="F66" s="432"/>
      <c r="G66" s="438"/>
      <c r="H66" s="441"/>
      <c r="I66" s="426"/>
      <c r="J66" s="444"/>
      <c r="K66" s="426">
        <f>IF(NOT(ISERROR(MATCH(J66,_xlfn.ANCHORARRAY(E77),0))),I79&amp;"Por favor no seleccionar los criterios de impacto",J66)</f>
        <v>0</v>
      </c>
      <c r="L66" s="441"/>
      <c r="M66" s="426"/>
      <c r="N66" s="429"/>
      <c r="O66" s="106">
        <v>3</v>
      </c>
      <c r="P66" s="185"/>
      <c r="Q66" s="107" t="str">
        <f>IF(OR(R66="Preventivo",R66="Detectivo"),"Probabilidad",IF(R66="Correctivo","Impacto",""))</f>
        <v/>
      </c>
      <c r="R66" s="108"/>
      <c r="S66" s="108"/>
      <c r="T66" s="109" t="str">
        <f t="shared" si="56"/>
        <v/>
      </c>
      <c r="U66" s="108"/>
      <c r="V66" s="108"/>
      <c r="W66" s="108"/>
      <c r="X66" s="110" t="str">
        <f>IFERROR(IF(AND(Q65="Probabilidad",Q66="Probabilidad"),(Z65-(+Z65*T66)),IF(AND(Q65="Impacto",Q66="Probabilidad"),(Z64-(+Z64*T66)),IF(Q66="Impacto",Z65,""))),"")</f>
        <v/>
      </c>
      <c r="Y66" s="111" t="str">
        <f t="shared" si="1"/>
        <v/>
      </c>
      <c r="Z66" s="112" t="str">
        <f t="shared" si="57"/>
        <v/>
      </c>
      <c r="AA66" s="111" t="str">
        <f t="shared" si="3"/>
        <v/>
      </c>
      <c r="AB66" s="112" t="str">
        <f>IFERROR(IF(AND(Q65="Impacto",Q66="Impacto"),(AB65-(+AB65*T66)),IF(AND(Q65="Probabilidad",Q66="Impacto"),(AB64-(+AB64*T66)),IF(Q66="Probabilidad",AB65,""))),"")</f>
        <v/>
      </c>
      <c r="AC66" s="113" t="str">
        <f t="shared" si="58"/>
        <v/>
      </c>
      <c r="AD66" s="114"/>
      <c r="AE66" s="115"/>
      <c r="AF66" s="116"/>
      <c r="AG66" s="117"/>
      <c r="AH66" s="117"/>
      <c r="AI66" s="117"/>
      <c r="AJ66" s="115"/>
      <c r="AK66" s="116"/>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customHeight="1" x14ac:dyDescent="0.3">
      <c r="A67" s="381"/>
      <c r="B67" s="432"/>
      <c r="C67" s="432"/>
      <c r="D67" s="432"/>
      <c r="E67" s="435"/>
      <c r="F67" s="432"/>
      <c r="G67" s="438"/>
      <c r="H67" s="441"/>
      <c r="I67" s="426"/>
      <c r="J67" s="444"/>
      <c r="K67" s="426">
        <f>IF(NOT(ISERROR(MATCH(J67,_xlfn.ANCHORARRAY(E78),0))),I80&amp;"Por favor no seleccionar los criterios de impacto",J67)</f>
        <v>0</v>
      </c>
      <c r="L67" s="441"/>
      <c r="M67" s="426"/>
      <c r="N67" s="429"/>
      <c r="O67" s="106">
        <v>4</v>
      </c>
      <c r="P67" s="184"/>
      <c r="Q67" s="107" t="str">
        <f t="shared" ref="Q67:Q71" si="59">IF(OR(R67="Preventivo",R67="Detectivo"),"Probabilidad",IF(R67="Correctivo","Impacto",""))</f>
        <v/>
      </c>
      <c r="R67" s="108"/>
      <c r="S67" s="108"/>
      <c r="T67" s="109" t="str">
        <f t="shared" si="56"/>
        <v/>
      </c>
      <c r="U67" s="108"/>
      <c r="V67" s="108"/>
      <c r="W67" s="108"/>
      <c r="X67" s="110" t="str">
        <f t="shared" ref="X67:X68" si="60">IFERROR(IF(AND(Q66="Probabilidad",Q67="Probabilidad"),(Z66-(+Z66*T67)),IF(AND(Q66="Impacto",Q67="Probabilidad"),(Z65-(+Z65*T67)),IF(Q67="Impacto",Z66,""))),"")</f>
        <v/>
      </c>
      <c r="Y67" s="111" t="str">
        <f t="shared" si="1"/>
        <v/>
      </c>
      <c r="Z67" s="112" t="str">
        <f t="shared" si="57"/>
        <v/>
      </c>
      <c r="AA67" s="111" t="str">
        <f t="shared" si="3"/>
        <v/>
      </c>
      <c r="AB67" s="112" t="str">
        <f t="shared" ref="AB67:AB68" si="61">IFERROR(IF(AND(Q66="Impacto",Q67="Impacto"),(AB66-(+AB66*T67)),IF(AND(Q66="Probabilidad",Q67="Impacto"),(AB65-(+AB65*T67)),IF(Q67="Probabilidad",AB66,""))),"")</f>
        <v/>
      </c>
      <c r="AC67" s="11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4"/>
      <c r="AE67" s="115"/>
      <c r="AF67" s="116"/>
      <c r="AG67" s="117"/>
      <c r="AH67" s="117"/>
      <c r="AI67" s="117"/>
      <c r="AJ67" s="115"/>
      <c r="AK67" s="116"/>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row>
    <row r="68" spans="1:69" ht="18" customHeight="1" x14ac:dyDescent="0.3">
      <c r="A68" s="381"/>
      <c r="B68" s="432"/>
      <c r="C68" s="432"/>
      <c r="D68" s="432"/>
      <c r="E68" s="435"/>
      <c r="F68" s="432"/>
      <c r="G68" s="438"/>
      <c r="H68" s="441"/>
      <c r="I68" s="426"/>
      <c r="J68" s="444"/>
      <c r="K68" s="426">
        <f>IF(NOT(ISERROR(MATCH(J68,_xlfn.ANCHORARRAY(E79),0))),I81&amp;"Por favor no seleccionar los criterios de impacto",J68)</f>
        <v>0</v>
      </c>
      <c r="L68" s="441"/>
      <c r="M68" s="426"/>
      <c r="N68" s="429"/>
      <c r="O68" s="106">
        <v>5</v>
      </c>
      <c r="P68" s="184"/>
      <c r="Q68" s="107" t="str">
        <f t="shared" si="59"/>
        <v/>
      </c>
      <c r="R68" s="108"/>
      <c r="S68" s="108"/>
      <c r="T68" s="109" t="str">
        <f t="shared" si="56"/>
        <v/>
      </c>
      <c r="U68" s="108"/>
      <c r="V68" s="108"/>
      <c r="W68" s="108"/>
      <c r="X68" s="110" t="str">
        <f t="shared" si="60"/>
        <v/>
      </c>
      <c r="Y68" s="111" t="str">
        <f t="shared" si="1"/>
        <v/>
      </c>
      <c r="Z68" s="112" t="str">
        <f t="shared" si="57"/>
        <v/>
      </c>
      <c r="AA68" s="111" t="str">
        <f t="shared" si="3"/>
        <v/>
      </c>
      <c r="AB68" s="112" t="str">
        <f t="shared" si="61"/>
        <v/>
      </c>
      <c r="AC68" s="113" t="str">
        <f t="shared" ref="AC68:AC69" si="62">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14"/>
      <c r="AE68" s="115"/>
      <c r="AF68" s="116"/>
      <c r="AG68" s="117"/>
      <c r="AH68" s="117"/>
      <c r="AI68" s="117"/>
      <c r="AJ68" s="115"/>
      <c r="AK68" s="116"/>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row>
    <row r="69" spans="1:69" ht="18" customHeight="1" x14ac:dyDescent="0.3">
      <c r="A69" s="382"/>
      <c r="B69" s="433"/>
      <c r="C69" s="433"/>
      <c r="D69" s="433"/>
      <c r="E69" s="436"/>
      <c r="F69" s="433"/>
      <c r="G69" s="439"/>
      <c r="H69" s="442"/>
      <c r="I69" s="427"/>
      <c r="J69" s="445"/>
      <c r="K69" s="427">
        <f>IF(NOT(ISERROR(MATCH(J69,_xlfn.ANCHORARRAY(E80),0))),I82&amp;"Por favor no seleccionar los criterios de impacto",J69)</f>
        <v>0</v>
      </c>
      <c r="L69" s="442"/>
      <c r="M69" s="427"/>
      <c r="N69" s="430"/>
      <c r="O69" s="106">
        <v>6</v>
      </c>
      <c r="P69" s="184"/>
      <c r="Q69" s="107" t="str">
        <f t="shared" si="59"/>
        <v/>
      </c>
      <c r="R69" s="108"/>
      <c r="S69" s="108"/>
      <c r="T69" s="109" t="str">
        <f t="shared" si="56"/>
        <v/>
      </c>
      <c r="U69" s="108"/>
      <c r="V69" s="108"/>
      <c r="W69" s="108"/>
      <c r="X69" s="110" t="str">
        <f>IFERROR(IF(AND(Q68="Probabilidad",Q69="Probabilidad"),(Z68-(+Z68*T69)),IF(AND(Q68="Impacto",Q69="Probabilidad"),(Z67-(+Z67*T69)),IF(Q69="Impacto",Z68,""))),"")</f>
        <v/>
      </c>
      <c r="Y69" s="111" t="str">
        <f t="shared" si="1"/>
        <v/>
      </c>
      <c r="Z69" s="112" t="str">
        <f t="shared" si="57"/>
        <v/>
      </c>
      <c r="AA69" s="111" t="str">
        <f t="shared" si="3"/>
        <v/>
      </c>
      <c r="AB69" s="112" t="str">
        <f>IFERROR(IF(AND(Q68="Impacto",Q69="Impacto"),(AB68-(+AB68*T69)),IF(AND(Q68="Probabilidad",Q69="Impacto"),(AB67-(+AB67*T69)),IF(Q69="Probabilidad",AB68,""))),"")</f>
        <v/>
      </c>
      <c r="AC69" s="113" t="str">
        <f t="shared" si="62"/>
        <v/>
      </c>
      <c r="AD69" s="114"/>
      <c r="AE69" s="115"/>
      <c r="AF69" s="116"/>
      <c r="AG69" s="117"/>
      <c r="AH69" s="117"/>
      <c r="AI69" s="117"/>
      <c r="AJ69" s="115"/>
      <c r="AK69" s="116"/>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row>
    <row r="70" spans="1:69" ht="132.75" customHeight="1" x14ac:dyDescent="0.3">
      <c r="A70" s="650">
        <v>10</v>
      </c>
      <c r="B70" s="225" t="s">
        <v>149</v>
      </c>
      <c r="C70" s="641" t="s">
        <v>221</v>
      </c>
      <c r="D70" s="225" t="s">
        <v>222</v>
      </c>
      <c r="E70" s="642" t="s">
        <v>349</v>
      </c>
      <c r="F70" s="225" t="s">
        <v>153</v>
      </c>
      <c r="G70" s="648">
        <v>40</v>
      </c>
      <c r="H70" s="224" t="str">
        <f>IF(G70&lt;=0,"",IF(G70&lt;=2,"Muy Baja",IF(G70&lt;=24,"Baja",IF(G70&lt;=500,"Media",IF(G70&lt;=5000,"Alta","Muy Alta")))))</f>
        <v>Media</v>
      </c>
      <c r="I70" s="222">
        <f>IF(H70="","",IF(H70="Muy Baja",0.2,IF(H70="Baja",0.4,IF(H70="Media",0.6,IF(H70="Alta",0.8,IF(H70="Muy Alta",1,))))))</f>
        <v>0.6</v>
      </c>
      <c r="J70" s="198" t="s">
        <v>169</v>
      </c>
      <c r="K70" s="425" t="str">
        <f>IF(NOT(ISERROR(MATCH(J70,'Tabla Impacto'!$B$221:$B$223,0))),'Tabla Impacto'!$F$223&amp;"Por favor no seleccionar los criterios de impacto(Afectación Económica o presupuestal y Pérdida Reputacional)",J70)</f>
        <v xml:space="preserve">     El riesgo afecta la imagen de la entidad con algunos usuarios de relevancia frente al logro de los objetivos</v>
      </c>
      <c r="L70" s="224" t="str">
        <f>IF(OR(K70='Tabla Impacto'!$C$11,K70='Tabla Impacto'!$D$11),"Leve",IF(OR(K70='Tabla Impacto'!$C$12,K70='Tabla Impacto'!$D$12),"Menor",IF(OR(K70='Tabla Impacto'!$C$13,K70='Tabla Impacto'!$D$13),"Moderado",IF(OR(K70='Tabla Impacto'!$C$14,K70='Tabla Impacto'!$D$14),"Mayor",IF(OR(K70='Tabla Impacto'!$C$15,K70='Tabla Impacto'!$D$15),"Catastrófico","")))))</f>
        <v>Moderado</v>
      </c>
      <c r="M70" s="222">
        <f>IF(L70="","",IF(L70="Leve",0.2,IF(L70="Menor",0.4,IF(L70="Moderado",0.6,IF(L70="Mayor",0.8,IF(L70="Catastrófico",1,))))))</f>
        <v>0.6</v>
      </c>
      <c r="N70" s="647" t="str">
        <f>IF(OR(AND(H70="Muy Baja",L70="Leve"),AND(H70="Muy Baja",L70="Menor"),AND(H70="Baja",L70="Leve")),"Bajo",IF(OR(AND(H70="Muy baja",L70="Moderado"),AND(H70="Baja",L70="Menor"),AND(H70="Baja",L70="Moderado"),AND(H70="Media",L70="Leve"),AND(H70="Media",L70="Menor"),AND(H70="Media",L70="Moderado"),AND(H70="Alta",L70="Leve"),AND(H70="Alta",L70="Menor")),"Moderado",IF(OR(AND(H70="Muy Baja",L70="Mayor"),AND(H70="Baja",L70="Mayor"),AND(H70="Media",L70="Mayor"),AND(H70="Alta",L70="Moderado"),AND(H70="Alta",L70="Mayor"),AND(H70="Muy Alta",L70="Leve"),AND(H70="Muy Alta",L70="Menor"),AND(H70="Muy Alta",L70="Moderado"),AND(H70="Muy Alta",L70="Mayor")),"Alto",IF(OR(AND(H70="Muy Baja",L70="Catastrófico"),AND(H70="Baja",L70="Catastrófico"),AND(H70="Media",L70="Catastrófico"),AND(H70="Alta",L70="Catastrófico"),AND(H70="Muy Alta",L70="Catastrófico")),"Extremo",""))))</f>
        <v>Moderado</v>
      </c>
      <c r="O70" s="6">
        <v>1</v>
      </c>
      <c r="P70" s="184" t="s">
        <v>223</v>
      </c>
      <c r="Q70" s="167" t="str">
        <f t="shared" si="59"/>
        <v>Probabilidad</v>
      </c>
      <c r="R70" s="175" t="s">
        <v>156</v>
      </c>
      <c r="S70" s="175" t="s">
        <v>157</v>
      </c>
      <c r="T70" s="176" t="str">
        <f t="shared" si="56"/>
        <v>40%</v>
      </c>
      <c r="U70" s="175" t="s">
        <v>158</v>
      </c>
      <c r="V70" s="175" t="s">
        <v>159</v>
      </c>
      <c r="W70" s="175" t="s">
        <v>160</v>
      </c>
      <c r="X70" s="164">
        <f>IFERROR(IF(Q70="Probabilidad",(I70-(+I70*T70)),IF(Q70="Impacto",I70,"")),"")</f>
        <v>0.36</v>
      </c>
      <c r="Y70" s="177" t="str">
        <f t="shared" si="1"/>
        <v>Baja</v>
      </c>
      <c r="Z70" s="234">
        <f t="shared" si="57"/>
        <v>0.36</v>
      </c>
      <c r="AA70" s="177" t="str">
        <f>IFERROR(IF(AB70="","",IF(AB70&lt;=0.2,"Leve",IF(AB70&lt;=0.4,"Menor",IF(AB70&lt;=0.6,"Moderado",IF(AB70&lt;=0.8,"Mayor","Catastrófico"))))),"")</f>
        <v>Moderado</v>
      </c>
      <c r="AB70" s="178">
        <f>IFERROR(IF(Q70="Impacto",(M70-(+M70*T70)),IF(Q70="Probabilidad",M70,"")),"")</f>
        <v>0.6</v>
      </c>
      <c r="AC70" s="179" t="str">
        <f>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Moderado</v>
      </c>
      <c r="AD70" s="180" t="s">
        <v>161</v>
      </c>
      <c r="AE70" s="172" t="s">
        <v>224</v>
      </c>
      <c r="AF70" s="218" t="s">
        <v>225</v>
      </c>
      <c r="AG70" s="216">
        <v>45373</v>
      </c>
      <c r="AH70" s="217">
        <v>45642</v>
      </c>
      <c r="AI70" s="117"/>
      <c r="AJ70" s="115"/>
      <c r="AK70" s="116"/>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row>
    <row r="71" spans="1:69" ht="106.5" customHeight="1" x14ac:dyDescent="0.3">
      <c r="A71" s="220">
        <v>11</v>
      </c>
      <c r="B71" s="643" t="s">
        <v>149</v>
      </c>
      <c r="C71" s="226" t="s">
        <v>226</v>
      </c>
      <c r="D71" s="644" t="s">
        <v>227</v>
      </c>
      <c r="E71" s="645" t="s">
        <v>228</v>
      </c>
      <c r="F71" s="643" t="s">
        <v>153</v>
      </c>
      <c r="G71" s="649">
        <v>5</v>
      </c>
      <c r="H71" s="224" t="str">
        <f>IF(G71&lt;=0,"",IF(G71&lt;=2,"Muy Baja",IF(G71&lt;=24,"Baja",IF(G71&lt;=500,"Media",IF(G71&lt;=5000,"Alta","Muy Alta")))))</f>
        <v>Baja</v>
      </c>
      <c r="I71" s="222">
        <f>IF(H71="","",IF(H71="Muy Baja",0.2,IF(H71="Baja",0.4,IF(H71="Media",0.6,IF(H71="Alta",0.8,IF(H71="Muy Alta",1,))))))</f>
        <v>0.4</v>
      </c>
      <c r="J71" s="646" t="s">
        <v>229</v>
      </c>
      <c r="K71" s="426" t="str">
        <f>IF(NOT(ISERROR(MATCH(J71,_xlfn.ANCHORARRAY(E82),0))),I84&amp;"Por favor no seleccionar los criterios de impacto",J71)</f>
        <v xml:space="preserve">     El riesgo afecta la imagen de alguna área de la organización</v>
      </c>
      <c r="L71" s="224" t="str">
        <f>IF(OR(K71='Tabla Impacto'!$C$11,K71='Tabla Impacto'!$D$11),"Leve",IF(OR(K71='Tabla Impacto'!$C$12,K71='Tabla Impacto'!$D$12),"Menor",IF(OR(K71='Tabla Impacto'!$C$13,K71='Tabla Impacto'!$D$13),"Moderado",IF(OR(K71='Tabla Impacto'!$C$14,K71='Tabla Impacto'!$D$14),"Mayor",IF(OR(K71='Tabla Impacto'!$C$15,K71='Tabla Impacto'!$D$15),"Catastrófico","")))))</f>
        <v>Leve</v>
      </c>
      <c r="M71" s="222">
        <f>IF(L71="","",IF(L71="Leve",0.2,IF(L71="Menor",0.4,IF(L71="Moderado",0.6,IF(L71="Mayor",0.8,IF(L71="Catastrófico",1,))))))</f>
        <v>0.2</v>
      </c>
      <c r="N71" s="647" t="str">
        <f>IF(OR(AND(H71="Muy Baja",L71="Leve"),AND(H71="Muy Baja",L71="Menor"),AND(H71="Baja",L71="Leve")),"Bajo",IF(OR(AND(H71="Muy baja",L71="Moderado"),AND(H71="Baja",L71="Menor"),AND(H71="Baja",L71="Moderado"),AND(H71="Media",L71="Leve"),AND(H71="Media",L71="Menor"),AND(H71="Media",L71="Moderado"),AND(H71="Alta",L71="Leve"),AND(H71="Alta",L71="Menor")),"Moderado",IF(OR(AND(H71="Muy Baja",L71="Mayor"),AND(H71="Baja",L71="Mayor"),AND(H71="Media",L71="Mayor"),AND(H71="Alta",L71="Moderado"),AND(H71="Alta",L71="Mayor"),AND(H71="Muy Alta",L71="Leve"),AND(H71="Muy Alta",L71="Menor"),AND(H71="Muy Alta",L71="Moderado"),AND(H71="Muy Alta",L71="Mayor")),"Alto",IF(OR(AND(H71="Muy Baja",L71="Catastrófico"),AND(H71="Baja",L71="Catastrófico"),AND(H71="Media",L71="Catastrófico"),AND(H71="Alta",L71="Catastrófico"),AND(H71="Muy Alta",L71="Catastrófico")),"Extremo",""))))</f>
        <v>Bajo</v>
      </c>
      <c r="O71" s="6">
        <v>1</v>
      </c>
      <c r="P71" s="184" t="s">
        <v>230</v>
      </c>
      <c r="Q71" s="167" t="str">
        <f t="shared" si="59"/>
        <v>Probabilidad</v>
      </c>
      <c r="R71" s="175" t="s">
        <v>156</v>
      </c>
      <c r="S71" s="175" t="s">
        <v>157</v>
      </c>
      <c r="T71" s="176" t="str">
        <f t="shared" si="56"/>
        <v>40%</v>
      </c>
      <c r="U71" s="175" t="s">
        <v>158</v>
      </c>
      <c r="V71" s="175" t="s">
        <v>159</v>
      </c>
      <c r="W71" s="175" t="s">
        <v>160</v>
      </c>
      <c r="X71" s="164">
        <f>IFERROR(IF(AND(Q70="Probabilidad",Q71="Probabilidad"),(Z70-(+Z70*T71)),IF(Q71="Probabilidad",(I70-(+I70*T71)),IF(Q71="Impacto",Z70,""))),"")</f>
        <v>0.216</v>
      </c>
      <c r="Y71" s="177" t="str">
        <f t="shared" si="1"/>
        <v>Baja</v>
      </c>
      <c r="Z71" s="178">
        <f t="shared" si="57"/>
        <v>0.216</v>
      </c>
      <c r="AA71" s="177" t="str">
        <f t="shared" si="3"/>
        <v>Moderado</v>
      </c>
      <c r="AB71" s="178">
        <f>IFERROR(IF(AND(Q70="Impacto",Q71="Impacto"),(AB70-(+AB70*T71)),IF(Q71="Impacto",(M70-(+M70*T71)),IF(Q71="Probabilidad",AB70,""))),"")</f>
        <v>0.6</v>
      </c>
      <c r="AC71" s="179" t="str">
        <f t="shared" ref="AC71:AC72" si="63">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Moderado</v>
      </c>
      <c r="AD71" s="180" t="s">
        <v>161</v>
      </c>
      <c r="AE71" s="172" t="s">
        <v>231</v>
      </c>
      <c r="AF71" s="172" t="s">
        <v>232</v>
      </c>
      <c r="AG71" s="174">
        <v>45383</v>
      </c>
      <c r="AH71" s="174">
        <v>45642</v>
      </c>
      <c r="AI71" s="117"/>
      <c r="AJ71" s="115"/>
      <c r="AK71" s="116"/>
    </row>
    <row r="72" spans="1:69" ht="157.5" customHeight="1" x14ac:dyDescent="0.3">
      <c r="A72" s="651">
        <v>12</v>
      </c>
      <c r="B72" s="226" t="s">
        <v>149</v>
      </c>
      <c r="C72" s="644" t="s">
        <v>233</v>
      </c>
      <c r="D72" s="643" t="s">
        <v>234</v>
      </c>
      <c r="E72" s="645" t="s">
        <v>235</v>
      </c>
      <c r="F72" s="643" t="s">
        <v>153</v>
      </c>
      <c r="G72" s="219">
        <v>365</v>
      </c>
      <c r="H72" s="224" t="str">
        <f>IF(G72&lt;=0,"",IF(G72&lt;=2,"Muy Baja",IF(G72&lt;=24,"Baja",IF(G72&lt;=500,"Media",IF(G72&lt;=5000,"Alta","Muy Alta")))))</f>
        <v>Media</v>
      </c>
      <c r="I72" s="222">
        <f>IF(H72="","",IF(H72="Muy Baja",0.2,IF(H72="Baja",0.4,IF(H72="Media",0.6,IF(H72="Alta",0.8,IF(H72="Muy Alta",1,))))))</f>
        <v>0.6</v>
      </c>
      <c r="J72" s="652" t="s">
        <v>169</v>
      </c>
      <c r="K72" s="426" t="str">
        <f>IF(NOT(ISERROR(MATCH(J72,_xlfn.ANCHORARRAY(E83),0))),I85&amp;"Por favor no seleccionar los criterios de impacto",J72)</f>
        <v xml:space="preserve">     El riesgo afecta la imagen de la entidad con algunos usuarios de relevancia frente al logro de los objetivos</v>
      </c>
      <c r="L72" s="224" t="str">
        <f>IF(OR(K72='Tabla Impacto'!$C$11,K72='Tabla Impacto'!$D$11),"Leve",IF(OR(K72='Tabla Impacto'!$C$12,K72='Tabla Impacto'!$D$12),"Menor",IF(OR(K72='Tabla Impacto'!$C$13,K72='Tabla Impacto'!$D$13),"Moderado",IF(OR(K72='Tabla Impacto'!$C$14,K72='Tabla Impacto'!$D$14),"Mayor",IF(OR(K72='Tabla Impacto'!$C$15,K72='Tabla Impacto'!$D$15),"Catastrófico","")))))</f>
        <v>Moderado</v>
      </c>
      <c r="M72" s="222">
        <f>IF(L72="","",IF(L72="Leve",0.2,IF(L72="Menor",0.4,IF(L72="Moderado",0.6,IF(L72="Mayor",0.8,IF(L72="Catastrófico",1,))))))</f>
        <v>0.6</v>
      </c>
      <c r="N72" s="647" t="str">
        <f>IF(OR(AND(H72="Muy Baja",L72="Leve"),AND(H72="Muy Baja",L72="Menor"),AND(H72="Baja",L72="Leve")),"Bajo",IF(OR(AND(H72="Muy baja",L72="Moderado"),AND(H72="Baja",L72="Menor"),AND(H72="Baja",L72="Moderado"),AND(H72="Media",L72="Leve"),AND(H72="Media",L72="Menor"),AND(H72="Media",L72="Moderado"),AND(H72="Alta",L72="Leve"),AND(H72="Alta",L72="Menor")),"Moderado",IF(OR(AND(H72="Muy Baja",L72="Mayor"),AND(H72="Baja",L72="Mayor"),AND(H72="Media",L72="Mayor"),AND(H72="Alta",L72="Moderado"),AND(H72="Alta",L72="Mayor"),AND(H72="Muy Alta",L72="Leve"),AND(H72="Muy Alta",L72="Menor"),AND(H72="Muy Alta",L72="Moderado"),AND(H72="Muy Alta",L72="Mayor")),"Alto",IF(OR(AND(H72="Muy Baja",L72="Catastrófico"),AND(H72="Baja",L72="Catastrófico"),AND(H72="Media",L72="Catastrófico"),AND(H72="Alta",L72="Catastrófico"),AND(H72="Muy Alta",L72="Catastrófico")),"Extremo",""))))</f>
        <v>Moderado</v>
      </c>
      <c r="O72" s="6">
        <v>1</v>
      </c>
      <c r="P72" s="185" t="s">
        <v>236</v>
      </c>
      <c r="Q72" s="167" t="str">
        <f>IF(OR(R72="Preventivo",R72="Detectivo"),"Probabilidad",IF(R72="Correctivo","Impacto",""))</f>
        <v>Probabilidad</v>
      </c>
      <c r="R72" s="175" t="s">
        <v>156</v>
      </c>
      <c r="S72" s="175" t="s">
        <v>157</v>
      </c>
      <c r="T72" s="176" t="str">
        <f>IF(AND(R72="Preventivo",S72="Automático"),"50%",IF(AND(R72="Preventivo",S72="Manual"),"40%",IF(AND(R72="Detectivo",S72="Automático"),"40%",IF(AND(R72="Detectivo",S72="Manual"),"30%",IF(AND(R72="Correctivo",S72="Automático"),"35%",IF(AND(R72="Correctivo",S72="Manual"),"25%",""))))))</f>
        <v>40%</v>
      </c>
      <c r="U72" s="175" t="s">
        <v>158</v>
      </c>
      <c r="V72" s="175" t="s">
        <v>159</v>
      </c>
      <c r="W72" s="175" t="s">
        <v>160</v>
      </c>
      <c r="X72" s="164">
        <f>IFERROR(IF(AND(Q71="Probabilidad",Q72="Probabilidad"),(Z71-(+Z71*T72)),IF(AND(Q71="Impacto",Q72="Probabilidad"),(Z70-(+Z70*T72)),IF(Q72="Impacto",Z71,""))),"")</f>
        <v>0.12959999999999999</v>
      </c>
      <c r="Y72" s="177" t="str">
        <f t="shared" si="1"/>
        <v>Muy Baja</v>
      </c>
      <c r="Z72" s="178">
        <f t="shared" si="57"/>
        <v>0.12959999999999999</v>
      </c>
      <c r="AA72" s="177" t="str">
        <f t="shared" si="3"/>
        <v>Moderado</v>
      </c>
      <c r="AB72" s="178">
        <f>IFERROR(IF(AND(Q71="Impacto",Q72="Impacto"),(AB71-(+AB71*T72)),IF(AND(Q71="Probabilidad",Q72="Impacto"),(AB70-(+AB70*T72)),IF(Q72="Probabilidad",AB71,""))),"")</f>
        <v>0.6</v>
      </c>
      <c r="AC72" s="179" t="str">
        <f t="shared" si="63"/>
        <v>Moderado</v>
      </c>
      <c r="AD72" s="180" t="s">
        <v>161</v>
      </c>
      <c r="AE72" s="172" t="s">
        <v>237</v>
      </c>
      <c r="AF72" s="172" t="s">
        <v>232</v>
      </c>
      <c r="AG72" s="174">
        <v>45323</v>
      </c>
      <c r="AH72" s="174">
        <v>45642</v>
      </c>
      <c r="AI72" s="117"/>
      <c r="AJ72" s="115"/>
      <c r="AK72" s="116"/>
    </row>
    <row r="73" spans="1:69" ht="18" hidden="1" customHeight="1" x14ac:dyDescent="0.3">
      <c r="A73" s="202"/>
      <c r="B73" s="203"/>
      <c r="C73" s="199"/>
      <c r="D73" s="201"/>
      <c r="E73" s="194"/>
      <c r="F73" s="192"/>
      <c r="G73" s="195"/>
      <c r="H73" s="200"/>
      <c r="I73" s="215"/>
      <c r="J73" s="652"/>
      <c r="K73" s="426">
        <f>IF(NOT(ISERROR(MATCH(J73,_xlfn.ANCHORARRAY(E84),0))),I86&amp;"Por favor no seleccionar los criterios de impacto",J73)</f>
        <v>0</v>
      </c>
      <c r="L73" s="653"/>
      <c r="M73" s="654"/>
      <c r="N73" s="655"/>
      <c r="O73" s="6">
        <v>3</v>
      </c>
      <c r="P73" s="184"/>
      <c r="Q73" s="107" t="str">
        <f t="shared" ref="Q73:Q75" si="64">IF(OR(R73="Preventivo",R73="Detectivo"),"Probabilidad",IF(R73="Correctivo","Impacto",""))</f>
        <v/>
      </c>
      <c r="R73" s="108"/>
      <c r="S73" s="108"/>
      <c r="T73" s="109" t="str">
        <f t="shared" si="56"/>
        <v/>
      </c>
      <c r="U73" s="108"/>
      <c r="V73" s="108"/>
      <c r="W73" s="108"/>
      <c r="X73" s="110" t="str">
        <f t="shared" ref="X73:X74" si="65">IFERROR(IF(AND(Q72="Probabilidad",Q73="Probabilidad"),(Z72-(+Z72*T73)),IF(AND(Q72="Impacto",Q73="Probabilidad"),(Z71-(+Z71*T73)),IF(Q73="Impacto",Z72,""))),"")</f>
        <v/>
      </c>
      <c r="Y73" s="111" t="str">
        <f t="shared" si="1"/>
        <v/>
      </c>
      <c r="Z73" s="112" t="str">
        <f t="shared" si="57"/>
        <v/>
      </c>
      <c r="AA73" s="111" t="str">
        <f t="shared" si="3"/>
        <v/>
      </c>
      <c r="AB73" s="112" t="str">
        <f t="shared" ref="AB73:AB74" si="66">IFERROR(IF(AND(Q72="Impacto",Q73="Impacto"),(AB72-(+AB72*T73)),IF(AND(Q72="Probabilidad",Q73="Impacto"),(AB71-(+AB71*T73)),IF(Q73="Probabilidad",AB72,""))),"")</f>
        <v/>
      </c>
      <c r="AC73" s="113" t="str">
        <f>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114"/>
      <c r="AE73" s="115"/>
      <c r="AF73" s="116"/>
      <c r="AG73" s="117"/>
      <c r="AH73" s="117"/>
      <c r="AI73" s="117"/>
      <c r="AJ73" s="115"/>
      <c r="AK73" s="116"/>
    </row>
    <row r="74" spans="1:69" ht="18" hidden="1" customHeight="1" x14ac:dyDescent="0.3">
      <c r="A74" s="205"/>
      <c r="B74" s="204"/>
      <c r="C74" s="201"/>
      <c r="D74" s="207"/>
      <c r="E74" s="208"/>
      <c r="F74" s="199"/>
      <c r="G74" s="212"/>
      <c r="H74" s="213"/>
      <c r="I74" s="197"/>
      <c r="J74" s="636"/>
      <c r="K74" s="426">
        <f>IF(NOT(ISERROR(MATCH(J74,_xlfn.ANCHORARRAY(E85),0))),I87&amp;"Por favor no seleccionar los criterios de impacto",J74)</f>
        <v>0</v>
      </c>
      <c r="L74" s="653"/>
      <c r="M74" s="635"/>
      <c r="N74" s="655"/>
      <c r="O74" s="6">
        <v>4</v>
      </c>
      <c r="P74" s="184"/>
      <c r="Q74" s="107" t="str">
        <f t="shared" si="64"/>
        <v/>
      </c>
      <c r="R74" s="108"/>
      <c r="S74" s="108"/>
      <c r="T74" s="109" t="str">
        <f t="shared" si="56"/>
        <v/>
      </c>
      <c r="U74" s="108"/>
      <c r="V74" s="108"/>
      <c r="W74" s="108"/>
      <c r="X74" s="110" t="str">
        <f t="shared" si="65"/>
        <v/>
      </c>
      <c r="Y74" s="111" t="str">
        <f t="shared" si="1"/>
        <v/>
      </c>
      <c r="Z74" s="112" t="str">
        <f t="shared" si="57"/>
        <v/>
      </c>
      <c r="AA74" s="111" t="str">
        <f t="shared" si="3"/>
        <v/>
      </c>
      <c r="AB74" s="112" t="str">
        <f t="shared" si="66"/>
        <v/>
      </c>
      <c r="AC74" s="113" t="str">
        <f t="shared" ref="AC74:AC75" si="67">IFERROR(IF(OR(AND(Y74="Muy Baja",AA74="Leve"),AND(Y74="Muy Baja",AA74="Menor"),AND(Y74="Baja",AA74="Leve")),"Bajo",IF(OR(AND(Y74="Muy baja",AA74="Moderado"),AND(Y74="Baja",AA74="Menor"),AND(Y74="Baja",AA74="Moderado"),AND(Y74="Media",AA74="Leve"),AND(Y74="Media",AA74="Menor"),AND(Y74="Media",AA74="Moderado"),AND(Y74="Alta",AA74="Leve"),AND(Y74="Alta",AA74="Menor")),"Moderado",IF(OR(AND(Y74="Muy Baja",AA74="Mayor"),AND(Y74="Baja",AA74="Mayor"),AND(Y74="Media",AA74="Mayor"),AND(Y74="Alta",AA74="Moderado"),AND(Y74="Alta",AA74="Mayor"),AND(Y74="Muy Alta",AA74="Leve"),AND(Y74="Muy Alta",AA74="Menor"),AND(Y74="Muy Alta",AA74="Moderado"),AND(Y74="Muy Alta",AA74="Mayor")),"Alto",IF(OR(AND(Y74="Muy Baja",AA74="Catastrófico"),AND(Y74="Baja",AA74="Catastrófico"),AND(Y74="Media",AA74="Catastrófico"),AND(Y74="Alta",AA74="Catastrófico"),AND(Y74="Muy Alta",AA74="Catastrófico")),"Extremo","")))),"")</f>
        <v/>
      </c>
      <c r="AD74" s="114"/>
      <c r="AE74" s="115"/>
      <c r="AF74" s="116"/>
      <c r="AG74" s="117"/>
      <c r="AH74" s="117"/>
      <c r="AI74" s="117"/>
      <c r="AJ74" s="115"/>
      <c r="AK74" s="116"/>
    </row>
    <row r="75" spans="1:69" ht="18" hidden="1" customHeight="1" x14ac:dyDescent="0.3">
      <c r="A75" s="206"/>
      <c r="B75" s="193"/>
      <c r="C75" s="193"/>
      <c r="D75" s="193"/>
      <c r="E75" s="209"/>
      <c r="F75" s="210"/>
      <c r="G75" s="211"/>
      <c r="H75" s="196"/>
      <c r="I75" s="214"/>
      <c r="J75" s="656"/>
      <c r="K75" s="427">
        <f>IF(NOT(ISERROR(MATCH(J75,_xlfn.ANCHORARRAY(E86),0))),I88&amp;"Por favor no seleccionar los criterios de impacto",J75)</f>
        <v>0</v>
      </c>
      <c r="L75" s="657"/>
      <c r="M75" s="658"/>
      <c r="N75" s="634"/>
      <c r="O75" s="6">
        <v>5</v>
      </c>
      <c r="P75" s="184"/>
      <c r="Q75" s="107" t="str">
        <f t="shared" si="64"/>
        <v/>
      </c>
      <c r="R75" s="108"/>
      <c r="S75" s="108"/>
      <c r="T75" s="109" t="str">
        <f t="shared" si="56"/>
        <v/>
      </c>
      <c r="U75" s="108"/>
      <c r="V75" s="108"/>
      <c r="W75" s="108"/>
      <c r="X75" s="110" t="str">
        <f>IFERROR(IF(AND(Q74="Probabilidad",Q75="Probabilidad"),(Z74-(+Z74*T75)),IF(AND(Q74="Impacto",Q75="Probabilidad"),(Z73-(+Z73*T75)),IF(Q75="Impacto",Z74,""))),"")</f>
        <v/>
      </c>
      <c r="Y75" s="111" t="str">
        <f t="shared" si="1"/>
        <v/>
      </c>
      <c r="Z75" s="112" t="str">
        <f t="shared" si="57"/>
        <v/>
      </c>
      <c r="AA75" s="111" t="str">
        <f t="shared" si="3"/>
        <v/>
      </c>
      <c r="AB75" s="112" t="str">
        <f>IFERROR(IF(AND(Q74="Impacto",Q75="Impacto"),(AB74-(+AB74*T75)),IF(AND(Q74="Probabilidad",Q75="Impacto"),(AB73-(+AB73*T75)),IF(Q75="Probabilidad",AB74,""))),"")</f>
        <v/>
      </c>
      <c r="AC75" s="113" t="str">
        <f t="shared" si="67"/>
        <v/>
      </c>
      <c r="AD75" s="114"/>
      <c r="AE75" s="115"/>
      <c r="AF75" s="116"/>
      <c r="AG75" s="117"/>
      <c r="AH75" s="117"/>
      <c r="AI75" s="117"/>
      <c r="AJ75" s="115"/>
      <c r="AK75" s="116"/>
    </row>
    <row r="76" spans="1:69" ht="34.5" customHeight="1" x14ac:dyDescent="0.3">
      <c r="A76" s="6"/>
      <c r="B76" s="446" t="s">
        <v>238</v>
      </c>
      <c r="C76" s="447"/>
      <c r="D76" s="447"/>
      <c r="E76" s="447"/>
      <c r="F76" s="447"/>
      <c r="G76" s="447"/>
      <c r="H76" s="447"/>
      <c r="I76" s="447"/>
      <c r="J76" s="447"/>
      <c r="K76" s="447"/>
      <c r="L76" s="447"/>
      <c r="M76" s="447"/>
      <c r="N76" s="447"/>
      <c r="O76" s="447"/>
      <c r="P76" s="447"/>
      <c r="Q76" s="447"/>
      <c r="R76" s="447"/>
      <c r="S76" s="447"/>
      <c r="T76" s="447"/>
      <c r="U76" s="447"/>
      <c r="V76" s="447"/>
      <c r="W76" s="447"/>
      <c r="X76" s="447"/>
      <c r="Y76" s="447"/>
      <c r="Z76" s="447"/>
      <c r="AA76" s="447"/>
      <c r="AB76" s="447"/>
      <c r="AC76" s="447"/>
      <c r="AD76" s="447"/>
      <c r="AE76" s="447"/>
      <c r="AF76" s="447"/>
      <c r="AG76" s="447"/>
      <c r="AH76" s="447"/>
      <c r="AI76" s="447"/>
      <c r="AJ76" s="447"/>
      <c r="AK76" s="448"/>
    </row>
    <row r="78" spans="1:69" x14ac:dyDescent="0.3">
      <c r="A78" s="1"/>
      <c r="B78" s="24" t="s">
        <v>239</v>
      </c>
      <c r="C78" s="1"/>
      <c r="D78" s="1"/>
      <c r="F78" s="1"/>
    </row>
  </sheetData>
  <dataConsolidate/>
  <mergeCells count="223">
    <mergeCell ref="D25:D32"/>
    <mergeCell ref="C25:C32"/>
    <mergeCell ref="B25:B32"/>
    <mergeCell ref="P39:P40"/>
    <mergeCell ref="O39:O40"/>
    <mergeCell ref="Q39:Q40"/>
    <mergeCell ref="R39:R40"/>
    <mergeCell ref="S39:S40"/>
    <mergeCell ref="T39:T40"/>
    <mergeCell ref="N39:N45"/>
    <mergeCell ref="M39:M45"/>
    <mergeCell ref="L39:L45"/>
    <mergeCell ref="J39:J45"/>
    <mergeCell ref="I39:I45"/>
    <mergeCell ref="H39:H45"/>
    <mergeCell ref="G39:G45"/>
    <mergeCell ref="F39:F45"/>
    <mergeCell ref="E39:E45"/>
    <mergeCell ref="D39:D45"/>
    <mergeCell ref="C39:C45"/>
    <mergeCell ref="B39:B45"/>
    <mergeCell ref="N25:N32"/>
    <mergeCell ref="M25:M32"/>
    <mergeCell ref="L25:L32"/>
    <mergeCell ref="J25:J32"/>
    <mergeCell ref="I25:I32"/>
    <mergeCell ref="H25:H32"/>
    <mergeCell ref="G25:G32"/>
    <mergeCell ref="F25:F32"/>
    <mergeCell ref="E25:E32"/>
    <mergeCell ref="A64:A69"/>
    <mergeCell ref="B64:B69"/>
    <mergeCell ref="C64:C69"/>
    <mergeCell ref="D64:D69"/>
    <mergeCell ref="E64:E69"/>
    <mergeCell ref="F64:F69"/>
    <mergeCell ref="G64:G69"/>
    <mergeCell ref="H64:H69"/>
    <mergeCell ref="I64:I69"/>
    <mergeCell ref="K70:K75"/>
    <mergeCell ref="AH10:AH11"/>
    <mergeCell ref="O6:Q6"/>
    <mergeCell ref="O9:W9"/>
    <mergeCell ref="X9:AD9"/>
    <mergeCell ref="AE9:AK9"/>
    <mergeCell ref="J33:J38"/>
    <mergeCell ref="K33:K38"/>
    <mergeCell ref="L33:L38"/>
    <mergeCell ref="M33:M38"/>
    <mergeCell ref="N33:N38"/>
    <mergeCell ref="K19:K24"/>
    <mergeCell ref="M46:M51"/>
    <mergeCell ref="N46:N51"/>
    <mergeCell ref="J52:J57"/>
    <mergeCell ref="K52:K57"/>
    <mergeCell ref="L52:L57"/>
    <mergeCell ref="J46:J51"/>
    <mergeCell ref="K46:K51"/>
    <mergeCell ref="L46:L51"/>
    <mergeCell ref="L19:L24"/>
    <mergeCell ref="A58:A63"/>
    <mergeCell ref="E58:E63"/>
    <mergeCell ref="A52:A57"/>
    <mergeCell ref="B52:B57"/>
    <mergeCell ref="C52:C57"/>
    <mergeCell ref="AJ1:AK1"/>
    <mergeCell ref="AJ2:AK2"/>
    <mergeCell ref="AJ3:AK3"/>
    <mergeCell ref="AJ4:AK4"/>
    <mergeCell ref="E1:AI4"/>
    <mergeCell ref="A1:D4"/>
    <mergeCell ref="C6:N6"/>
    <mergeCell ref="A9:G9"/>
    <mergeCell ref="H9:N9"/>
    <mergeCell ref="G46:G51"/>
    <mergeCell ref="H46:H51"/>
    <mergeCell ref="I46:I51"/>
    <mergeCell ref="K40:K45"/>
    <mergeCell ref="D52:D57"/>
    <mergeCell ref="E52:E57"/>
    <mergeCell ref="B76:AK76"/>
    <mergeCell ref="M64:M69"/>
    <mergeCell ref="N64:N69"/>
    <mergeCell ref="J64:J69"/>
    <mergeCell ref="K64:K69"/>
    <mergeCell ref="L64:L69"/>
    <mergeCell ref="M52:M57"/>
    <mergeCell ref="N52:N57"/>
    <mergeCell ref="F58:F63"/>
    <mergeCell ref="G58:G63"/>
    <mergeCell ref="H58:H63"/>
    <mergeCell ref="I58:I63"/>
    <mergeCell ref="J58:J63"/>
    <mergeCell ref="F52:F57"/>
    <mergeCell ref="G52:G57"/>
    <mergeCell ref="H52:H57"/>
    <mergeCell ref="I52:I57"/>
    <mergeCell ref="K58:K63"/>
    <mergeCell ref="L58:L63"/>
    <mergeCell ref="M58:M63"/>
    <mergeCell ref="N58:N63"/>
    <mergeCell ref="B58:B63"/>
    <mergeCell ref="C58:C63"/>
    <mergeCell ref="D58:D63"/>
    <mergeCell ref="A46:A51"/>
    <mergeCell ref="B46:B51"/>
    <mergeCell ref="C46:C51"/>
    <mergeCell ref="D46:D51"/>
    <mergeCell ref="E46:E51"/>
    <mergeCell ref="F46:F51"/>
    <mergeCell ref="A39:A45"/>
    <mergeCell ref="A33:A38"/>
    <mergeCell ref="B33:B38"/>
    <mergeCell ref="C33:C38"/>
    <mergeCell ref="D33:D38"/>
    <mergeCell ref="E33:E38"/>
    <mergeCell ref="F33:F38"/>
    <mergeCell ref="G33:G38"/>
    <mergeCell ref="H33:H38"/>
    <mergeCell ref="I33:I38"/>
    <mergeCell ref="M19:M24"/>
    <mergeCell ref="N19:N24"/>
    <mergeCell ref="A27:A32"/>
    <mergeCell ref="K27:K32"/>
    <mergeCell ref="F19:F24"/>
    <mergeCell ref="G19:G24"/>
    <mergeCell ref="H19:H24"/>
    <mergeCell ref="I19:I24"/>
    <mergeCell ref="J19:J24"/>
    <mergeCell ref="A19:A24"/>
    <mergeCell ref="B19:B24"/>
    <mergeCell ref="C19:C24"/>
    <mergeCell ref="D19:D24"/>
    <mergeCell ref="E19:E24"/>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Y10:Y11"/>
    <mergeCell ref="Z10:Z11"/>
    <mergeCell ref="G10:G11"/>
    <mergeCell ref="H10:H11"/>
    <mergeCell ref="I10:I11"/>
    <mergeCell ref="L10:L11"/>
    <mergeCell ref="M10:M11"/>
    <mergeCell ref="B10:B11"/>
    <mergeCell ref="N10:N11"/>
    <mergeCell ref="J10:J11"/>
    <mergeCell ref="K10:K11"/>
    <mergeCell ref="Q10:Q11"/>
    <mergeCell ref="R10:W10"/>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P18:P19"/>
    <mergeCell ref="O18:O19"/>
    <mergeCell ref="Q18:Q19"/>
    <mergeCell ref="R18:R19"/>
    <mergeCell ref="S18:S19"/>
    <mergeCell ref="T18:T19"/>
    <mergeCell ref="U18:U19"/>
    <mergeCell ref="V18:V19"/>
    <mergeCell ref="W18:W19"/>
    <mergeCell ref="Y18:Y19"/>
    <mergeCell ref="Z18:Z19"/>
    <mergeCell ref="AA18:AA19"/>
    <mergeCell ref="AB18:AB19"/>
    <mergeCell ref="AC18:AC19"/>
    <mergeCell ref="AD18:AD19"/>
    <mergeCell ref="Y25:Y27"/>
    <mergeCell ref="Z25:Z27"/>
    <mergeCell ref="AA25:AA27"/>
    <mergeCell ref="AB25:AB27"/>
    <mergeCell ref="AC25:AC27"/>
    <mergeCell ref="AD25:AD27"/>
    <mergeCell ref="P25:P27"/>
    <mergeCell ref="O25:O27"/>
    <mergeCell ref="Q25:Q27"/>
    <mergeCell ref="R25:R27"/>
    <mergeCell ref="S25:S27"/>
    <mergeCell ref="T25:T27"/>
    <mergeCell ref="U25:U27"/>
    <mergeCell ref="V25:V27"/>
    <mergeCell ref="W25:W27"/>
    <mergeCell ref="U39:U40"/>
    <mergeCell ref="V39:V40"/>
    <mergeCell ref="W39:W40"/>
    <mergeCell ref="Y39:Y40"/>
    <mergeCell ref="Z39:Z40"/>
    <mergeCell ref="AA39:AA40"/>
    <mergeCell ref="AB39:AB40"/>
    <mergeCell ref="AC39:AC40"/>
    <mergeCell ref="AD39:AD40"/>
  </mergeCells>
  <conditionalFormatting sqref="H12 H19 Y25">
    <cfRule type="cellIs" dxfId="104" priority="498" operator="equal">
      <formula>"Muy Alta"</formula>
    </cfRule>
    <cfRule type="cellIs" dxfId="103" priority="499" operator="equal">
      <formula>"Alta"</formula>
    </cfRule>
    <cfRule type="cellIs" dxfId="102" priority="500" operator="equal">
      <formula>"Media"</formula>
    </cfRule>
    <cfRule type="cellIs" dxfId="101" priority="501" operator="equal">
      <formula>"Baja"</formula>
    </cfRule>
    <cfRule type="cellIs" dxfId="100" priority="502" operator="equal">
      <formula>"Muy Baja"</formula>
    </cfRule>
  </conditionalFormatting>
  <conditionalFormatting sqref="H25">
    <cfRule type="cellIs" dxfId="99" priority="400" operator="equal">
      <formula>"Muy Alta"</formula>
    </cfRule>
    <cfRule type="cellIs" dxfId="98" priority="401" operator="equal">
      <formula>"Alta"</formula>
    </cfRule>
    <cfRule type="cellIs" dxfId="97" priority="402" operator="equal">
      <formula>"Media"</formula>
    </cfRule>
    <cfRule type="cellIs" dxfId="96" priority="403" operator="equal">
      <formula>"Baja"</formula>
    </cfRule>
    <cfRule type="cellIs" dxfId="95" priority="404" operator="equal">
      <formula>"Muy Baja"</formula>
    </cfRule>
  </conditionalFormatting>
  <conditionalFormatting sqref="H33">
    <cfRule type="cellIs" dxfId="94" priority="372" operator="equal">
      <formula>"Muy Alta"</formula>
    </cfRule>
    <cfRule type="cellIs" dxfId="93" priority="373" operator="equal">
      <formula>"Alta"</formula>
    </cfRule>
    <cfRule type="cellIs" dxfId="92" priority="374" operator="equal">
      <formula>"Media"</formula>
    </cfRule>
    <cfRule type="cellIs" dxfId="91" priority="375" operator="equal">
      <formula>"Baja"</formula>
    </cfRule>
    <cfRule type="cellIs" dxfId="90" priority="376" operator="equal">
      <formula>"Muy Baja"</formula>
    </cfRule>
  </conditionalFormatting>
  <conditionalFormatting sqref="H39">
    <cfRule type="cellIs" dxfId="89" priority="1" operator="equal">
      <formula>"Muy Alta"</formula>
    </cfRule>
    <cfRule type="cellIs" dxfId="88" priority="2" operator="equal">
      <formula>"Alta"</formula>
    </cfRule>
    <cfRule type="cellIs" dxfId="87" priority="3" operator="equal">
      <formula>"Media"</formula>
    </cfRule>
    <cfRule type="cellIs" dxfId="86" priority="4" operator="equal">
      <formula>"Baja"</formula>
    </cfRule>
    <cfRule type="cellIs" dxfId="85" priority="5" operator="equal">
      <formula>"Muy Baja"</formula>
    </cfRule>
  </conditionalFormatting>
  <conditionalFormatting sqref="H46">
    <cfRule type="cellIs" dxfId="84" priority="316" operator="equal">
      <formula>"Muy Alta"</formula>
    </cfRule>
    <cfRule type="cellIs" dxfId="83" priority="317" operator="equal">
      <formula>"Alta"</formula>
    </cfRule>
    <cfRule type="cellIs" dxfId="82" priority="318" operator="equal">
      <formula>"Media"</formula>
    </cfRule>
    <cfRule type="cellIs" dxfId="81" priority="319" operator="equal">
      <formula>"Baja"</formula>
    </cfRule>
    <cfRule type="cellIs" dxfId="80" priority="320" operator="equal">
      <formula>"Muy Baja"</formula>
    </cfRule>
  </conditionalFormatting>
  <conditionalFormatting sqref="H52">
    <cfRule type="cellIs" dxfId="79" priority="288" operator="equal">
      <formula>"Muy Alta"</formula>
    </cfRule>
    <cfRule type="cellIs" dxfId="78" priority="289" operator="equal">
      <formula>"Alta"</formula>
    </cfRule>
    <cfRule type="cellIs" dxfId="77" priority="290" operator="equal">
      <formula>"Media"</formula>
    </cfRule>
    <cfRule type="cellIs" dxfId="76" priority="291" operator="equal">
      <formula>"Baja"</formula>
    </cfRule>
    <cfRule type="cellIs" dxfId="75" priority="292" operator="equal">
      <formula>"Muy Baja"</formula>
    </cfRule>
  </conditionalFormatting>
  <conditionalFormatting sqref="H58">
    <cfRule type="cellIs" dxfId="74" priority="260" operator="equal">
      <formula>"Muy Alta"</formula>
    </cfRule>
    <cfRule type="cellIs" dxfId="73" priority="261" operator="equal">
      <formula>"Alta"</formula>
    </cfRule>
    <cfRule type="cellIs" dxfId="72" priority="262" operator="equal">
      <formula>"Media"</formula>
    </cfRule>
    <cfRule type="cellIs" dxfId="71" priority="263" operator="equal">
      <formula>"Baja"</formula>
    </cfRule>
    <cfRule type="cellIs" dxfId="70" priority="264" operator="equal">
      <formula>"Muy Baja"</formula>
    </cfRule>
  </conditionalFormatting>
  <conditionalFormatting sqref="H64">
    <cfRule type="cellIs" dxfId="69" priority="232" operator="equal">
      <formula>"Muy Alta"</formula>
    </cfRule>
    <cfRule type="cellIs" dxfId="68" priority="233" operator="equal">
      <formula>"Alta"</formula>
    </cfRule>
    <cfRule type="cellIs" dxfId="67" priority="234" operator="equal">
      <formula>"Media"</formula>
    </cfRule>
    <cfRule type="cellIs" dxfId="66" priority="235" operator="equal">
      <formula>"Baja"</formula>
    </cfRule>
    <cfRule type="cellIs" dxfId="65" priority="236" operator="equal">
      <formula>"Muy Baja"</formula>
    </cfRule>
  </conditionalFormatting>
  <conditionalFormatting sqref="H70:H72">
    <cfRule type="cellIs" dxfId="64" priority="204" operator="equal">
      <formula>"Muy Alta"</formula>
    </cfRule>
    <cfRule type="cellIs" dxfId="63" priority="205" operator="equal">
      <formula>"Alta"</formula>
    </cfRule>
    <cfRule type="cellIs" dxfId="62" priority="206" operator="equal">
      <formula>"Media"</formula>
    </cfRule>
    <cfRule type="cellIs" dxfId="61" priority="207" operator="equal">
      <formula>"Baja"</formula>
    </cfRule>
    <cfRule type="cellIs" dxfId="60" priority="208" operator="equal">
      <formula>"Muy Baja"</formula>
    </cfRule>
  </conditionalFormatting>
  <conditionalFormatting sqref="K12:K75">
    <cfRule type="containsText" dxfId="59" priority="180" operator="containsText" text="❌">
      <formula>NOT(ISERROR(SEARCH("❌",K12)))</formula>
    </cfRule>
  </conditionalFormatting>
  <conditionalFormatting sqref="L12 L19 L25 L33 L39 L46 L52 L58 L64 L70:L72 AA25">
    <cfRule type="cellIs" dxfId="58" priority="493" operator="equal">
      <formula>"Catastrófico"</formula>
    </cfRule>
    <cfRule type="cellIs" dxfId="57" priority="494" operator="equal">
      <formula>"Mayor"</formula>
    </cfRule>
    <cfRule type="cellIs" dxfId="56" priority="495" operator="equal">
      <formula>"Moderado"</formula>
    </cfRule>
    <cfRule type="cellIs" dxfId="55" priority="496" operator="equal">
      <formula>"Menor"</formula>
    </cfRule>
    <cfRule type="cellIs" dxfId="54" priority="497" operator="equal">
      <formula>"Leve"</formula>
    </cfRule>
  </conditionalFormatting>
  <conditionalFormatting sqref="N12 AC25">
    <cfRule type="cellIs" dxfId="53" priority="489" operator="equal">
      <formula>"Extremo"</formula>
    </cfRule>
    <cfRule type="cellIs" dxfId="52" priority="490" operator="equal">
      <formula>"Alto"</formula>
    </cfRule>
    <cfRule type="cellIs" dxfId="51" priority="491" operator="equal">
      <formula>"Moderado"</formula>
    </cfRule>
    <cfRule type="cellIs" dxfId="50" priority="492" operator="equal">
      <formula>"Bajo"</formula>
    </cfRule>
  </conditionalFormatting>
  <conditionalFormatting sqref="N19">
    <cfRule type="cellIs" dxfId="49" priority="419" operator="equal">
      <formula>"Extremo"</formula>
    </cfRule>
    <cfRule type="cellIs" dxfId="48" priority="420" operator="equal">
      <formula>"Alto"</formula>
    </cfRule>
    <cfRule type="cellIs" dxfId="47" priority="421" operator="equal">
      <formula>"Moderado"</formula>
    </cfRule>
    <cfRule type="cellIs" dxfId="46" priority="422" operator="equal">
      <formula>"Bajo"</formula>
    </cfRule>
  </conditionalFormatting>
  <conditionalFormatting sqref="N25">
    <cfRule type="cellIs" dxfId="45" priority="391" operator="equal">
      <formula>"Extremo"</formula>
    </cfRule>
    <cfRule type="cellIs" dxfId="44" priority="392" operator="equal">
      <formula>"Alto"</formula>
    </cfRule>
    <cfRule type="cellIs" dxfId="43" priority="393" operator="equal">
      <formula>"Moderado"</formula>
    </cfRule>
    <cfRule type="cellIs" dxfId="42" priority="394" operator="equal">
      <formula>"Bajo"</formula>
    </cfRule>
  </conditionalFormatting>
  <conditionalFormatting sqref="N33">
    <cfRule type="cellIs" dxfId="41" priority="363" operator="equal">
      <formula>"Extremo"</formula>
    </cfRule>
    <cfRule type="cellIs" dxfId="40" priority="364" operator="equal">
      <formula>"Alto"</formula>
    </cfRule>
    <cfRule type="cellIs" dxfId="39" priority="365" operator="equal">
      <formula>"Moderado"</formula>
    </cfRule>
    <cfRule type="cellIs" dxfId="38" priority="366" operator="equal">
      <formula>"Bajo"</formula>
    </cfRule>
  </conditionalFormatting>
  <conditionalFormatting sqref="N39">
    <cfRule type="cellIs" dxfId="37" priority="335" operator="equal">
      <formula>"Extremo"</formula>
    </cfRule>
    <cfRule type="cellIs" dxfId="36" priority="336" operator="equal">
      <formula>"Alto"</formula>
    </cfRule>
    <cfRule type="cellIs" dxfId="35" priority="337" operator="equal">
      <formula>"Moderado"</formula>
    </cfRule>
    <cfRule type="cellIs" dxfId="34" priority="338" operator="equal">
      <formula>"Bajo"</formula>
    </cfRule>
  </conditionalFormatting>
  <conditionalFormatting sqref="N46">
    <cfRule type="cellIs" dxfId="33" priority="307" operator="equal">
      <formula>"Extremo"</formula>
    </cfRule>
    <cfRule type="cellIs" dxfId="32" priority="308" operator="equal">
      <formula>"Alto"</formula>
    </cfRule>
    <cfRule type="cellIs" dxfId="31" priority="309" operator="equal">
      <formula>"Moderado"</formula>
    </cfRule>
    <cfRule type="cellIs" dxfId="30" priority="310" operator="equal">
      <formula>"Bajo"</formula>
    </cfRule>
  </conditionalFormatting>
  <conditionalFormatting sqref="N52">
    <cfRule type="cellIs" dxfId="29" priority="279" operator="equal">
      <formula>"Extremo"</formula>
    </cfRule>
    <cfRule type="cellIs" dxfId="28" priority="280" operator="equal">
      <formula>"Alto"</formula>
    </cfRule>
    <cfRule type="cellIs" dxfId="27" priority="281" operator="equal">
      <formula>"Moderado"</formula>
    </cfRule>
    <cfRule type="cellIs" dxfId="26" priority="282" operator="equal">
      <formula>"Bajo"</formula>
    </cfRule>
  </conditionalFormatting>
  <conditionalFormatting sqref="N58">
    <cfRule type="cellIs" dxfId="25" priority="251" operator="equal">
      <formula>"Extremo"</formula>
    </cfRule>
    <cfRule type="cellIs" dxfId="24" priority="252" operator="equal">
      <formula>"Alto"</formula>
    </cfRule>
    <cfRule type="cellIs" dxfId="23" priority="253" operator="equal">
      <formula>"Moderado"</formula>
    </cfRule>
    <cfRule type="cellIs" dxfId="22" priority="254" operator="equal">
      <formula>"Bajo"</formula>
    </cfRule>
  </conditionalFormatting>
  <conditionalFormatting sqref="N64">
    <cfRule type="cellIs" dxfId="21" priority="223" operator="equal">
      <formula>"Extremo"</formula>
    </cfRule>
    <cfRule type="cellIs" dxfId="20" priority="224" operator="equal">
      <formula>"Alto"</formula>
    </cfRule>
    <cfRule type="cellIs" dxfId="19" priority="225" operator="equal">
      <formula>"Moderado"</formula>
    </cfRule>
    <cfRule type="cellIs" dxfId="18" priority="226" operator="equal">
      <formula>"Bajo"</formula>
    </cfRule>
  </conditionalFormatting>
  <conditionalFormatting sqref="N70:N72">
    <cfRule type="cellIs" dxfId="17" priority="195" operator="equal">
      <formula>"Extremo"</formula>
    </cfRule>
    <cfRule type="cellIs" dxfId="16" priority="196" operator="equal">
      <formula>"Alto"</formula>
    </cfRule>
    <cfRule type="cellIs" dxfId="15" priority="197" operator="equal">
      <formula>"Moderado"</formula>
    </cfRule>
    <cfRule type="cellIs" dxfId="14" priority="198" operator="equal">
      <formula>"Bajo"</formula>
    </cfRule>
  </conditionalFormatting>
  <conditionalFormatting sqref="Y21:Y24 Y42:Y75 Y12:Y18 Y30:Y39">
    <cfRule type="cellIs" dxfId="13" priority="190" operator="equal">
      <formula>"Muy Alta"</formula>
    </cfRule>
    <cfRule type="cellIs" dxfId="12" priority="191" operator="equal">
      <formula>"Alta"</formula>
    </cfRule>
    <cfRule type="cellIs" dxfId="11" priority="192" operator="equal">
      <formula>"Media"</formula>
    </cfRule>
    <cfRule type="cellIs" dxfId="10" priority="193" operator="equal">
      <formula>"Baja"</formula>
    </cfRule>
    <cfRule type="cellIs" dxfId="9" priority="194" operator="equal">
      <formula>"Muy Baja"</formula>
    </cfRule>
  </conditionalFormatting>
  <conditionalFormatting sqref="AA21:AA24 AA42:AA75 AA12:AA18 AA30:AA39">
    <cfRule type="cellIs" dxfId="8" priority="185" operator="equal">
      <formula>"Catastrófico"</formula>
    </cfRule>
    <cfRule type="cellIs" dxfId="7" priority="186" operator="equal">
      <formula>"Mayor"</formula>
    </cfRule>
    <cfRule type="cellIs" dxfId="6" priority="187" operator="equal">
      <formula>"Moderado"</formula>
    </cfRule>
    <cfRule type="cellIs" dxfId="5" priority="188" operator="equal">
      <formula>"Menor"</formula>
    </cfRule>
    <cfRule type="cellIs" dxfId="4" priority="189" operator="equal">
      <formula>"Leve"</formula>
    </cfRule>
  </conditionalFormatting>
  <conditionalFormatting sqref="AC21:AC24 AC42:AC75 AC12:AC18 AC30:AC39">
    <cfRule type="cellIs" dxfId="3" priority="181" operator="equal">
      <formula>"Extremo"</formula>
    </cfRule>
    <cfRule type="cellIs" dxfId="2" priority="182" operator="equal">
      <formula>"Alto"</formula>
    </cfRule>
    <cfRule type="cellIs" dxfId="1" priority="183" operator="equal">
      <formula>"Moderado"</formula>
    </cfRule>
    <cfRule type="cellIs" dxfId="0" priority="18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A7373924-23C5-49B5-A504-95BCA1BDB61A}">
          <x14:formula1>
            <xm:f>'Opciones Tratamiento'!$B$9:$B$10</xm:f>
          </x14:formula1>
          <xm:sqref>AK12:AK13 AK15:AK16 AK19:AK20 AK22:AK23 AK27:AK28 AK30:AK31 AK33:AK34 AK36:AK37 AK40:AK41 AK43:AK44 AK46:AK47 AK49:AK50 AK52:AK53 AK55:AK56 AK58:AK59 AK61:AK62 AK64:AK65 AK67:AK68 AK70:AK71 AK73:AK74</xm:sqref>
        </x14:dataValidation>
        <x14:dataValidation type="list" allowBlank="1" showInputMessage="1" showErrorMessage="1" xr:uid="{D014EE25-8DF7-4F27-ABC9-A9DB56273AF7}">
          <x14:formula1>
            <xm:f>'Tabla Valoración controles'!$D$4:$D$6</xm:f>
          </x14:formula1>
          <xm:sqref>R42:R75 R21:R25 R12:R18 R30:R38 R39</xm:sqref>
        </x14:dataValidation>
        <x14:dataValidation type="list" allowBlank="1" showInputMessage="1" showErrorMessage="1" xr:uid="{BF31DFC6-5804-4288-909F-C857AF9F4A38}">
          <x14:formula1>
            <xm:f>'Tabla Valoración controles'!$D$7:$D$8</xm:f>
          </x14:formula1>
          <xm:sqref>S42:S75 S21:S25 S12:S18 S30:S38 S39</xm:sqref>
        </x14:dataValidation>
        <x14:dataValidation type="list" allowBlank="1" showInputMessage="1" showErrorMessage="1" xr:uid="{18BC997A-7557-4069-9998-3D1D61C06CE9}">
          <x14:formula1>
            <xm:f>'Tabla Valoración controles'!$D$9:$D$10</xm:f>
          </x14:formula1>
          <xm:sqref>U42:U75 U21:U25 U12:U18 U30:U38 U39</xm:sqref>
        </x14:dataValidation>
        <x14:dataValidation type="list" allowBlank="1" showInputMessage="1" showErrorMessage="1" xr:uid="{B8C4F6FC-E1D1-4D18-89A6-D71F2014C795}">
          <x14:formula1>
            <xm:f>'Tabla Valoración controles'!$D$11:$D$12</xm:f>
          </x14:formula1>
          <xm:sqref>V42:V75 V21:V25 V12:V18 V30:V38 V39</xm:sqref>
        </x14:dataValidation>
        <x14:dataValidation type="list" allowBlank="1" showInputMessage="1" showErrorMessage="1" xr:uid="{715980CB-695B-458D-B35E-628AC46413D5}">
          <x14:formula1>
            <xm:f>'Tabla Valoración controles'!$D$13:$D$14</xm:f>
          </x14:formula1>
          <xm:sqref>W42:W75 W21:W25 W12:W18 W30:W38 W39</xm:sqref>
        </x14:dataValidation>
        <x14:dataValidation type="list" allowBlank="1" showInputMessage="1" showErrorMessage="1" xr:uid="{B5852077-F6BF-4AC4-8D8F-99B5B8D1D76C}">
          <x14:formula1>
            <xm:f>'Opciones Tratamiento'!$B$13:$B$19</xm:f>
          </x14:formula1>
          <xm:sqref>F12:F25 F33:F39 F46:F75</xm:sqref>
        </x14:dataValidation>
        <x14:dataValidation type="list" allowBlank="1" showInputMessage="1" showErrorMessage="1" xr:uid="{3FB58B8F-A11E-4CDC-BAF5-6410784D12A0}">
          <x14:formula1>
            <xm:f>'Opciones Tratamiento'!$E$2:$E$4</xm:f>
          </x14:formula1>
          <xm:sqref>B12:B25 B33:B39 B46:B75</xm:sqref>
        </x14:dataValidation>
        <x14:dataValidation type="list" allowBlank="1" showInputMessage="1" showErrorMessage="1" xr:uid="{7575BB47-A60A-4167-87AA-41F32B28E0A8}">
          <x14:formula1>
            <xm:f>'Opciones Tratamiento'!$B$2:$B$5</xm:f>
          </x14:formula1>
          <xm:sqref>AD42:AD75 AD21:AD25 AD12:AD18 AD30:AD38 AD39</xm:sqref>
        </x14:dataValidation>
        <x14:dataValidation type="list" allowBlank="1" showInputMessage="1" showErrorMessage="1" xr:uid="{3BB8C0E9-D397-4F7A-AF43-CCA4B03A2EC3}">
          <x14:formula1>
            <xm:f>'Tabla Impacto'!$F$210:$F$221</xm:f>
          </x14:formula1>
          <xm:sqref>J12:J25 J33:J39 J46:J75</xm:sqref>
        </x14:dataValidation>
        <x14:dataValidation type="custom" allowBlank="1" showInputMessage="1" showErrorMessage="1" error="Recuerde que las acciones se generan bajo la medida de mitigar el riesgo" xr:uid="{075F1659-15DB-4D50-8168-B808103ED34B}">
          <x14:formula1>
            <xm:f>IF(OR(AD12='Opciones Tratamiento'!$B$2,AD12='Opciones Tratamiento'!$B$3,AD12='Opciones Tratamiento'!$B$4),ISBLANK(AD12),ISTEXT(AD12))</xm:f>
          </x14:formula1>
          <xm:sqref>AF71:AF75 AF65:AF69 AF12:AF27 AF30:AF63</xm:sqref>
        </x14:dataValidation>
        <x14:dataValidation type="custom" allowBlank="1" showInputMessage="1" showErrorMessage="1" error="Recuerde que las acciones se generan bajo la medida de mitigar el riesgo" xr:uid="{377ADE45-BE0C-4DC0-AE00-6118338F926B}">
          <x14:formula1>
            <xm:f>IF(OR(AD70='Opciones Tratamiento'!$B$2,AD70='Opciones Tratamiento'!$B$3,AD70='Opciones Tratamiento'!$B$4),ISBLANK(AD70),ISTEXT(AD70))</xm:f>
          </x14:formula1>
          <xm:sqref>AF64</xm:sqref>
        </x14:dataValidation>
        <x14:dataValidation type="custom" allowBlank="1" showInputMessage="1" showErrorMessage="1" error="Recuerde que las acciones se generan bajo la medida de mitigar el riesgo" xr:uid="{9EA724C8-A955-40AC-9A12-9901A042A862}">
          <x14:formula1>
            <xm:f>IF(OR(AD12='Opciones Tratamiento'!$B$2,AD12='Opciones Tratamiento'!$B$3,AD12='Opciones Tratamiento'!$B$4),ISBLANK(AD12),ISTEXT(AD12))</xm:f>
          </x14:formula1>
          <xm:sqref>AG65:AH69 AG71:AH75 AG12:AH27 AG30:AH63</xm:sqref>
        </x14:dataValidation>
        <x14:dataValidation type="custom" allowBlank="1" showInputMessage="1" showErrorMessage="1" error="Recuerde que las acciones se generan bajo la medida de mitigar el riesgo" xr:uid="{EF406135-F1D9-4E9D-B4DD-A67DBF365DFD}">
          <x14:formula1>
            <xm:f>IF(OR(AD70='Opciones Tratamiento'!$B$2,AD70='Opciones Tratamiento'!$B$3,AD70='Opciones Tratamiento'!$B$4),ISBLANK(AD70),ISTEXT(AD70))</xm:f>
          </x14:formula1>
          <xm:sqref>AG64:AH64</xm:sqref>
        </x14:dataValidation>
        <x14:dataValidation type="custom" allowBlank="1" showInputMessage="1" showErrorMessage="1" error="Recuerde que las acciones se generan bajo la medida de mitigar el riesgo" xr:uid="{353CB967-F152-4306-BD3C-FF687E24FD53}">
          <x14:formula1>
            <xm:f>IF(OR(AD12='Opciones Tratamiento'!$B$2,AD12='Opciones Tratamiento'!$B$3,AD12='Opciones Tratamiento'!$B$4),ISBLANK(AD12),ISTEXT(AD12))</xm:f>
          </x14:formula1>
          <xm:sqref>AE12:AE27 AE30:AE75</xm:sqref>
        </x14:dataValidation>
        <x14:dataValidation type="custom" allowBlank="1" showInputMessage="1" showErrorMessage="1" error="Recuerde que las acciones se generan bajo la medida de mitigar el riesgo" xr:uid="{97399286-D1DB-4E8B-8C9F-377181229CC4}">
          <x14:formula1>
            <xm:f>IF(OR(AD12='Opciones Tratamiento'!$B$2,AD12='Opciones Tratamiento'!$B$3,AD12='Opciones Tratamiento'!$B$4),ISBLANK(AD12),ISTEXT(AD12))</xm:f>
          </x14:formula1>
          <xm:sqref>AI12:AI75</xm:sqref>
        </x14:dataValidation>
        <x14:dataValidation type="custom" allowBlank="1" showInputMessage="1" showErrorMessage="1" error="Recuerde que las acciones se generan bajo la medida de mitigar el riesgo" xr:uid="{873BF483-A9F8-4166-8504-D5C500A29167}">
          <x14:formula1>
            <xm:f>IF(OR(AD12='Opciones Tratamiento'!$B$2,AD12='Opciones Tratamiento'!$B$3,AD12='Opciones Tratamiento'!$B$4),ISBLANK(AD12),ISTEXT(AD12))</xm:f>
          </x14:formula1>
          <xm:sqref>AJ12:AJ75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V28" sqref="V28:W29"/>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81" t="s">
        <v>240</v>
      </c>
      <c r="C2" s="481"/>
      <c r="D2" s="481"/>
      <c r="E2" s="481"/>
      <c r="F2" s="481"/>
      <c r="G2" s="481"/>
      <c r="H2" s="481"/>
      <c r="I2" s="481"/>
      <c r="J2" s="518" t="s">
        <v>23</v>
      </c>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81"/>
      <c r="C3" s="481"/>
      <c r="D3" s="481"/>
      <c r="E3" s="481"/>
      <c r="F3" s="481"/>
      <c r="G3" s="481"/>
      <c r="H3" s="481"/>
      <c r="I3" s="481"/>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81"/>
      <c r="C4" s="481"/>
      <c r="D4" s="481"/>
      <c r="E4" s="481"/>
      <c r="F4" s="481"/>
      <c r="G4" s="481"/>
      <c r="H4" s="481"/>
      <c r="I4" s="481"/>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529" t="s">
        <v>241</v>
      </c>
      <c r="C6" s="529"/>
      <c r="D6" s="530"/>
      <c r="E6" s="519" t="s">
        <v>242</v>
      </c>
      <c r="F6" s="520"/>
      <c r="G6" s="520"/>
      <c r="H6" s="520"/>
      <c r="I6" s="521"/>
      <c r="J6" s="515" t="str">
        <f>IF(AND('Mapa de Riesgos'!$H$12="Muy Alta",'Mapa de Riesgos'!$L$12="Leve"),CONCATENATE("R",'Mapa de Riesgos'!$A$12),"")</f>
        <v/>
      </c>
      <c r="K6" s="516"/>
      <c r="L6" s="516" t="str">
        <f>IF(AND('Mapa de Riesgos'!$H$19="Muy Alta",'Mapa de Riesgos'!$L$19="Leve"),CONCATENATE("R",'Mapa de Riesgos'!$A$19),"")</f>
        <v/>
      </c>
      <c r="M6" s="516"/>
      <c r="N6" s="516" t="str">
        <f>IF(AND('Mapa de Riesgos'!$H$25="Muy Alta",'Mapa de Riesgos'!$L$25="Leve"),CONCATENATE("R",'Mapa de Riesgos'!$A$27),"")</f>
        <v/>
      </c>
      <c r="O6" s="517"/>
      <c r="P6" s="515" t="str">
        <f>IF(AND('Mapa de Riesgos'!$H$12="Muy Alta",'Mapa de Riesgos'!$L$12="Menor"),CONCATENATE("R",'Mapa de Riesgos'!$A$12),"")</f>
        <v/>
      </c>
      <c r="Q6" s="516"/>
      <c r="R6" s="516" t="str">
        <f>IF(AND('Mapa de Riesgos'!$H$19="Muy Alta",'Mapa de Riesgos'!$L$19="Menor"),CONCATENATE("R",'Mapa de Riesgos'!$A$19),"")</f>
        <v/>
      </c>
      <c r="S6" s="516"/>
      <c r="T6" s="516" t="str">
        <f>IF(AND('Mapa de Riesgos'!$H$25="Muy Alta",'Mapa de Riesgos'!$L$25="Menor"),CONCATENATE("R",'Mapa de Riesgos'!$A$27),"")</f>
        <v/>
      </c>
      <c r="U6" s="517"/>
      <c r="V6" s="515" t="str">
        <f>IF(AND('Mapa de Riesgos'!$H$12="Muy Alta",'Mapa de Riesgos'!$L$12="Moderado"),CONCATENATE("R",'Mapa de Riesgos'!$A$12),"")</f>
        <v/>
      </c>
      <c r="W6" s="516"/>
      <c r="X6" s="516" t="str">
        <f>IF(AND('Mapa de Riesgos'!$H$19="Muy Alta",'Mapa de Riesgos'!$L$19="Moderado"),CONCATENATE("R",'Mapa de Riesgos'!$A$19),"")</f>
        <v/>
      </c>
      <c r="Y6" s="516"/>
      <c r="Z6" s="516" t="str">
        <f>IF(AND('Mapa de Riesgos'!$H$25="Muy Alta",'Mapa de Riesgos'!$L$25="Moderado"),CONCATENATE("R",'Mapa de Riesgos'!$A$27),"")</f>
        <v/>
      </c>
      <c r="AA6" s="517"/>
      <c r="AB6" s="515" t="str">
        <f>IF(AND('Mapa de Riesgos'!$H$12="Muy Alta",'Mapa de Riesgos'!$L$12="Mayor"),CONCATENATE("R",'Mapa de Riesgos'!$A$12),"")</f>
        <v/>
      </c>
      <c r="AC6" s="516"/>
      <c r="AD6" s="516" t="str">
        <f>IF(AND('Mapa de Riesgos'!$H$19="Muy Alta",'Mapa de Riesgos'!$L$19="Mayor"),CONCATENATE("R",'Mapa de Riesgos'!$A$19),"")</f>
        <v/>
      </c>
      <c r="AE6" s="516"/>
      <c r="AF6" s="516" t="str">
        <f>IF(AND('Mapa de Riesgos'!$H$25="Muy Alta",'Mapa de Riesgos'!$L$25="Mayor"),CONCATENATE("R",'Mapa de Riesgos'!$A$27),"")</f>
        <v/>
      </c>
      <c r="AG6" s="517"/>
      <c r="AH6" s="506" t="str">
        <f>IF(AND('Mapa de Riesgos'!$H$12="Muy Alta",'Mapa de Riesgos'!$L$12="Catastrófico"),CONCATENATE("R",'Mapa de Riesgos'!$A$12),"")</f>
        <v/>
      </c>
      <c r="AI6" s="507"/>
      <c r="AJ6" s="507" t="str">
        <f>IF(AND('Mapa de Riesgos'!$H$19="Muy Alta",'Mapa de Riesgos'!$L$19="Catastrófico"),CONCATENATE("R",'Mapa de Riesgos'!$A$19),"")</f>
        <v/>
      </c>
      <c r="AK6" s="507"/>
      <c r="AL6" s="507" t="str">
        <f>IF(AND('Mapa de Riesgos'!$H$25="Muy Alta",'Mapa de Riesgos'!$L$25="Catastrófico"),CONCATENATE("R",'Mapa de Riesgos'!$A$27),"")</f>
        <v/>
      </c>
      <c r="AM6" s="508"/>
      <c r="AO6" s="531" t="s">
        <v>243</v>
      </c>
      <c r="AP6" s="532"/>
      <c r="AQ6" s="532"/>
      <c r="AR6" s="532"/>
      <c r="AS6" s="532"/>
      <c r="AT6" s="53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529"/>
      <c r="C7" s="529"/>
      <c r="D7" s="530"/>
      <c r="E7" s="522"/>
      <c r="F7" s="523"/>
      <c r="G7" s="523"/>
      <c r="H7" s="523"/>
      <c r="I7" s="524"/>
      <c r="J7" s="509"/>
      <c r="K7" s="510"/>
      <c r="L7" s="510"/>
      <c r="M7" s="510"/>
      <c r="N7" s="510"/>
      <c r="O7" s="511"/>
      <c r="P7" s="509"/>
      <c r="Q7" s="510"/>
      <c r="R7" s="510"/>
      <c r="S7" s="510"/>
      <c r="T7" s="510"/>
      <c r="U7" s="511"/>
      <c r="V7" s="509"/>
      <c r="W7" s="510"/>
      <c r="X7" s="510"/>
      <c r="Y7" s="510"/>
      <c r="Z7" s="510"/>
      <c r="AA7" s="511"/>
      <c r="AB7" s="509"/>
      <c r="AC7" s="510"/>
      <c r="AD7" s="510"/>
      <c r="AE7" s="510"/>
      <c r="AF7" s="510"/>
      <c r="AG7" s="511"/>
      <c r="AH7" s="500"/>
      <c r="AI7" s="501"/>
      <c r="AJ7" s="501"/>
      <c r="AK7" s="501"/>
      <c r="AL7" s="501"/>
      <c r="AM7" s="502"/>
      <c r="AN7" s="83"/>
      <c r="AO7" s="534"/>
      <c r="AP7" s="535"/>
      <c r="AQ7" s="535"/>
      <c r="AR7" s="535"/>
      <c r="AS7" s="535"/>
      <c r="AT7" s="53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529"/>
      <c r="C8" s="529"/>
      <c r="D8" s="530"/>
      <c r="E8" s="522"/>
      <c r="F8" s="523"/>
      <c r="G8" s="523"/>
      <c r="H8" s="523"/>
      <c r="I8" s="524"/>
      <c r="J8" s="509" t="str">
        <f>IF(AND('Mapa de Riesgos'!$H$33="Muy Alta",'Mapa de Riesgos'!$L$33="Leve"),CONCATENATE("R",'Mapa de Riesgos'!$A$33),"")</f>
        <v/>
      </c>
      <c r="K8" s="510"/>
      <c r="L8" s="510" t="str">
        <f>IF(AND('Mapa de Riesgos'!$H$39="Muy Alta",'Mapa de Riesgos'!$L$39="Leve"),CONCATENATE("R",'Mapa de Riesgos'!$A$39),"")</f>
        <v/>
      </c>
      <c r="M8" s="510"/>
      <c r="N8" s="510" t="str">
        <f>IF(AND('Mapa de Riesgos'!$H$46="Muy Alta",'Mapa de Riesgos'!$L$46="Leve"),CONCATENATE("R",'Mapa de Riesgos'!$A$46),"")</f>
        <v/>
      </c>
      <c r="O8" s="511"/>
      <c r="P8" s="509" t="str">
        <f>IF(AND('Mapa de Riesgos'!$H$33="Muy Alta",'Mapa de Riesgos'!$L$33="Menor"),CONCATENATE("R",'Mapa de Riesgos'!$A$33),"")</f>
        <v/>
      </c>
      <c r="Q8" s="510"/>
      <c r="R8" s="510" t="str">
        <f>IF(AND('Mapa de Riesgos'!$H$39="Muy Alta",'Mapa de Riesgos'!$L$39="Menor"),CONCATENATE("R",'Mapa de Riesgos'!$A$39),"")</f>
        <v/>
      </c>
      <c r="S8" s="510"/>
      <c r="T8" s="510" t="str">
        <f>IF(AND('Mapa de Riesgos'!$H$46="Muy Alta",'Mapa de Riesgos'!$L$46="Menor"),CONCATENATE("R",'Mapa de Riesgos'!$A$46),"")</f>
        <v/>
      </c>
      <c r="U8" s="511"/>
      <c r="V8" s="509" t="str">
        <f>IF(AND('Mapa de Riesgos'!$H$33="Muy Alta",'Mapa de Riesgos'!$L$33="Moderado"),CONCATENATE("R",'Mapa de Riesgos'!$A$33),"")</f>
        <v/>
      </c>
      <c r="W8" s="510"/>
      <c r="X8" s="510" t="str">
        <f>IF(AND('Mapa de Riesgos'!$H$39="Muy Alta",'Mapa de Riesgos'!$L$39="Moderado"),CONCATENATE("R",'Mapa de Riesgos'!$A$39),"")</f>
        <v/>
      </c>
      <c r="Y8" s="510"/>
      <c r="Z8" s="510" t="str">
        <f>IF(AND('Mapa de Riesgos'!$H$46="Muy Alta",'Mapa de Riesgos'!$L$46="Moderado"),CONCATENATE("R",'Mapa de Riesgos'!$A$46),"")</f>
        <v/>
      </c>
      <c r="AA8" s="511"/>
      <c r="AB8" s="509" t="str">
        <f>IF(AND('Mapa de Riesgos'!$H$33="Muy Alta",'Mapa de Riesgos'!$L$33="Mayor"),CONCATENATE("R",'Mapa de Riesgos'!$A$33),"")</f>
        <v/>
      </c>
      <c r="AC8" s="510"/>
      <c r="AD8" s="510" t="str">
        <f>IF(AND('Mapa de Riesgos'!$H$39="Muy Alta",'Mapa de Riesgos'!$L$39="Mayor"),CONCATENATE("R",'Mapa de Riesgos'!$A$39),"")</f>
        <v/>
      </c>
      <c r="AE8" s="510"/>
      <c r="AF8" s="510" t="str">
        <f>IF(AND('Mapa de Riesgos'!$H$46="Muy Alta",'Mapa de Riesgos'!$L$46="Mayor"),CONCATENATE("R",'Mapa de Riesgos'!$A$46),"")</f>
        <v/>
      </c>
      <c r="AG8" s="511"/>
      <c r="AH8" s="500" t="str">
        <f>IF(AND('Mapa de Riesgos'!$H$33="Muy Alta",'Mapa de Riesgos'!$L$33="Catastrófico"),CONCATENATE("R",'Mapa de Riesgos'!$A$33),"")</f>
        <v/>
      </c>
      <c r="AI8" s="501"/>
      <c r="AJ8" s="501" t="str">
        <f>IF(AND('Mapa de Riesgos'!$H$39="Muy Alta",'Mapa de Riesgos'!$L$39="Catastrófico"),CONCATENATE("R",'Mapa de Riesgos'!$A$39),"")</f>
        <v/>
      </c>
      <c r="AK8" s="501"/>
      <c r="AL8" s="501" t="str">
        <f>IF(AND('Mapa de Riesgos'!$H$46="Muy Alta",'Mapa de Riesgos'!$L$46="Catastrófico"),CONCATENATE("R",'Mapa de Riesgos'!$A$46),"")</f>
        <v/>
      </c>
      <c r="AM8" s="502"/>
      <c r="AN8" s="83"/>
      <c r="AO8" s="534"/>
      <c r="AP8" s="535"/>
      <c r="AQ8" s="535"/>
      <c r="AR8" s="535"/>
      <c r="AS8" s="535"/>
      <c r="AT8" s="53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529"/>
      <c r="C9" s="529"/>
      <c r="D9" s="530"/>
      <c r="E9" s="522"/>
      <c r="F9" s="523"/>
      <c r="G9" s="523"/>
      <c r="H9" s="523"/>
      <c r="I9" s="524"/>
      <c r="J9" s="509"/>
      <c r="K9" s="510"/>
      <c r="L9" s="510"/>
      <c r="M9" s="510"/>
      <c r="N9" s="510"/>
      <c r="O9" s="511"/>
      <c r="P9" s="509"/>
      <c r="Q9" s="510"/>
      <c r="R9" s="510"/>
      <c r="S9" s="510"/>
      <c r="T9" s="510"/>
      <c r="U9" s="511"/>
      <c r="V9" s="509"/>
      <c r="W9" s="510"/>
      <c r="X9" s="510"/>
      <c r="Y9" s="510"/>
      <c r="Z9" s="510"/>
      <c r="AA9" s="511"/>
      <c r="AB9" s="509"/>
      <c r="AC9" s="510"/>
      <c r="AD9" s="510"/>
      <c r="AE9" s="510"/>
      <c r="AF9" s="510"/>
      <c r="AG9" s="511"/>
      <c r="AH9" s="500"/>
      <c r="AI9" s="501"/>
      <c r="AJ9" s="501"/>
      <c r="AK9" s="501"/>
      <c r="AL9" s="501"/>
      <c r="AM9" s="502"/>
      <c r="AN9" s="83"/>
      <c r="AO9" s="534"/>
      <c r="AP9" s="535"/>
      <c r="AQ9" s="535"/>
      <c r="AR9" s="535"/>
      <c r="AS9" s="535"/>
      <c r="AT9" s="53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529"/>
      <c r="C10" s="529"/>
      <c r="D10" s="530"/>
      <c r="E10" s="522"/>
      <c r="F10" s="523"/>
      <c r="G10" s="523"/>
      <c r="H10" s="523"/>
      <c r="I10" s="524"/>
      <c r="J10" s="509" t="str">
        <f>IF(AND('Mapa de Riesgos'!$H$52="Muy Alta",'Mapa de Riesgos'!$L$52="Leve"),CONCATENATE("R",'Mapa de Riesgos'!$A$52),"")</f>
        <v/>
      </c>
      <c r="K10" s="510"/>
      <c r="L10" s="510" t="str">
        <f>IF(AND('Mapa de Riesgos'!$H$58="Muy Alta",'Mapa de Riesgos'!$L$58="Leve"),CONCATENATE("R",'Mapa de Riesgos'!$A$58),"")</f>
        <v/>
      </c>
      <c r="M10" s="510"/>
      <c r="N10" s="510" t="str">
        <f>IF(AND('Mapa de Riesgos'!$H$64="Muy Alta",'Mapa de Riesgos'!$L$64="Leve"),CONCATENATE("R",'Mapa de Riesgos'!$A$64),"")</f>
        <v/>
      </c>
      <c r="O10" s="511"/>
      <c r="P10" s="509" t="str">
        <f>IF(AND('Mapa de Riesgos'!$H$52="Muy Alta",'Mapa de Riesgos'!$L$52="Menor"),CONCATENATE("R",'Mapa de Riesgos'!$A$52),"")</f>
        <v/>
      </c>
      <c r="Q10" s="510"/>
      <c r="R10" s="510" t="str">
        <f>IF(AND('Mapa de Riesgos'!$H$58="Muy Alta",'Mapa de Riesgos'!$L$58="Menor"),CONCATENATE("R",'Mapa de Riesgos'!$A$58),"")</f>
        <v/>
      </c>
      <c r="S10" s="510"/>
      <c r="T10" s="510" t="str">
        <f>IF(AND('Mapa de Riesgos'!$H$64="Muy Alta",'Mapa de Riesgos'!$L$64="Menor"),CONCATENATE("R",'Mapa de Riesgos'!$A$64),"")</f>
        <v/>
      </c>
      <c r="U10" s="511"/>
      <c r="V10" s="509" t="str">
        <f>IF(AND('Mapa de Riesgos'!$H$52="Muy Alta",'Mapa de Riesgos'!$L$52="Moderado"),CONCATENATE("R",'Mapa de Riesgos'!$A$52),"")</f>
        <v/>
      </c>
      <c r="W10" s="510"/>
      <c r="X10" s="510" t="str">
        <f>IF(AND('Mapa de Riesgos'!$H$58="Muy Alta",'Mapa de Riesgos'!$L$58="Moderado"),CONCATENATE("R",'Mapa de Riesgos'!$A$58),"")</f>
        <v/>
      </c>
      <c r="Y10" s="510"/>
      <c r="Z10" s="510" t="str">
        <f>IF(AND('Mapa de Riesgos'!$H$64="Muy Alta",'Mapa de Riesgos'!$L$64="Moderado"),CONCATENATE("R",'Mapa de Riesgos'!$A$64),"")</f>
        <v/>
      </c>
      <c r="AA10" s="511"/>
      <c r="AB10" s="509" t="str">
        <f>IF(AND('Mapa de Riesgos'!$H$52="Muy Alta",'Mapa de Riesgos'!$L$52="Mayor"),CONCATENATE("R",'Mapa de Riesgos'!$A$52),"")</f>
        <v/>
      </c>
      <c r="AC10" s="510"/>
      <c r="AD10" s="510" t="str">
        <f>IF(AND('Mapa de Riesgos'!$H$58="Muy Alta",'Mapa de Riesgos'!$L$58="Mayor"),CONCATENATE("R",'Mapa de Riesgos'!$A$58),"")</f>
        <v/>
      </c>
      <c r="AE10" s="510"/>
      <c r="AF10" s="510" t="str">
        <f>IF(AND('Mapa de Riesgos'!$H$64="Muy Alta",'Mapa de Riesgos'!$L$64="Mayor"),CONCATENATE("R",'Mapa de Riesgos'!$A$64),"")</f>
        <v/>
      </c>
      <c r="AG10" s="511"/>
      <c r="AH10" s="500" t="str">
        <f>IF(AND('Mapa de Riesgos'!$H$52="Muy Alta",'Mapa de Riesgos'!$L$52="Catastrófico"),CONCATENATE("R",'Mapa de Riesgos'!$A$52),"")</f>
        <v/>
      </c>
      <c r="AI10" s="501"/>
      <c r="AJ10" s="501" t="str">
        <f>IF(AND('Mapa de Riesgos'!$H$58="Muy Alta",'Mapa de Riesgos'!$L$58="Catastrófico"),CONCATENATE("R",'Mapa de Riesgos'!$A$58),"")</f>
        <v/>
      </c>
      <c r="AK10" s="501"/>
      <c r="AL10" s="501" t="str">
        <f>IF(AND('Mapa de Riesgos'!$H$64="Muy Alta",'Mapa de Riesgos'!$L$64="Catastrófico"),CONCATENATE("R",'Mapa de Riesgos'!$A$64),"")</f>
        <v/>
      </c>
      <c r="AM10" s="502"/>
      <c r="AN10" s="83"/>
      <c r="AO10" s="534"/>
      <c r="AP10" s="535"/>
      <c r="AQ10" s="535"/>
      <c r="AR10" s="535"/>
      <c r="AS10" s="535"/>
      <c r="AT10" s="53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529"/>
      <c r="C11" s="529"/>
      <c r="D11" s="530"/>
      <c r="E11" s="522"/>
      <c r="F11" s="523"/>
      <c r="G11" s="523"/>
      <c r="H11" s="523"/>
      <c r="I11" s="524"/>
      <c r="J11" s="509"/>
      <c r="K11" s="510"/>
      <c r="L11" s="510"/>
      <c r="M11" s="510"/>
      <c r="N11" s="510"/>
      <c r="O11" s="511"/>
      <c r="P11" s="509"/>
      <c r="Q11" s="510"/>
      <c r="R11" s="510"/>
      <c r="S11" s="510"/>
      <c r="T11" s="510"/>
      <c r="U11" s="511"/>
      <c r="V11" s="509"/>
      <c r="W11" s="510"/>
      <c r="X11" s="510"/>
      <c r="Y11" s="510"/>
      <c r="Z11" s="510"/>
      <c r="AA11" s="511"/>
      <c r="AB11" s="509"/>
      <c r="AC11" s="510"/>
      <c r="AD11" s="510"/>
      <c r="AE11" s="510"/>
      <c r="AF11" s="510"/>
      <c r="AG11" s="511"/>
      <c r="AH11" s="500"/>
      <c r="AI11" s="501"/>
      <c r="AJ11" s="501"/>
      <c r="AK11" s="501"/>
      <c r="AL11" s="501"/>
      <c r="AM11" s="502"/>
      <c r="AN11" s="83"/>
      <c r="AO11" s="534"/>
      <c r="AP11" s="535"/>
      <c r="AQ11" s="535"/>
      <c r="AR11" s="535"/>
      <c r="AS11" s="535"/>
      <c r="AT11" s="53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529"/>
      <c r="C12" s="529"/>
      <c r="D12" s="530"/>
      <c r="E12" s="522"/>
      <c r="F12" s="523"/>
      <c r="G12" s="523"/>
      <c r="H12" s="523"/>
      <c r="I12" s="524"/>
      <c r="J12" s="509" t="str">
        <f>IF(AND('Mapa de Riesgos'!$H$70="Muy Alta",'Mapa de Riesgos'!$L$70="Leve"),CONCATENATE("R",'Mapa de Riesgos'!$A$70),"")</f>
        <v/>
      </c>
      <c r="K12" s="510"/>
      <c r="L12" s="510" t="str">
        <f>IF(AND('Mapa de Riesgos'!$H$76="Muy Alta",'Mapa de Riesgos'!$L$76="Leve"),CONCATENATE("R",'Mapa de Riesgos'!$A$76),"")</f>
        <v/>
      </c>
      <c r="M12" s="510"/>
      <c r="N12" s="510" t="str">
        <f>IF(AND('Mapa de Riesgos'!$H$82="Muy Alta",'Mapa de Riesgos'!$L$82="Leve"),CONCATENATE("R",'Mapa de Riesgos'!$A$82),"")</f>
        <v/>
      </c>
      <c r="O12" s="511"/>
      <c r="P12" s="509" t="str">
        <f>IF(AND('Mapa de Riesgos'!$H$70="Muy Alta",'Mapa de Riesgos'!$L$70="Menor"),CONCATENATE("R",'Mapa de Riesgos'!$A$70),"")</f>
        <v/>
      </c>
      <c r="Q12" s="510"/>
      <c r="R12" s="510" t="str">
        <f>IF(AND('Mapa de Riesgos'!$H$76="Muy Alta",'Mapa de Riesgos'!$L$76="Menor"),CONCATENATE("R",'Mapa de Riesgos'!$A$76),"")</f>
        <v/>
      </c>
      <c r="S12" s="510"/>
      <c r="T12" s="510" t="str">
        <f>IF(AND('Mapa de Riesgos'!$H$82="Muy Alta",'Mapa de Riesgos'!$L$82="Menor"),CONCATENATE("R",'Mapa de Riesgos'!$A$82),"")</f>
        <v/>
      </c>
      <c r="U12" s="511"/>
      <c r="V12" s="509" t="str">
        <f>IF(AND('Mapa de Riesgos'!$H$70="Muy Alta",'Mapa de Riesgos'!$L$70="Moderado"),CONCATENATE("R",'Mapa de Riesgos'!$A$70),"")</f>
        <v/>
      </c>
      <c r="W12" s="510"/>
      <c r="X12" s="510" t="str">
        <f>IF(AND('Mapa de Riesgos'!$H$76="Muy Alta",'Mapa de Riesgos'!$L$76="Moderado"),CONCATENATE("R",'Mapa de Riesgos'!$A$76),"")</f>
        <v/>
      </c>
      <c r="Y12" s="510"/>
      <c r="Z12" s="510" t="str">
        <f>IF(AND('Mapa de Riesgos'!$H$82="Muy Alta",'Mapa de Riesgos'!$L$82="Moderado"),CONCATENATE("R",'Mapa de Riesgos'!$A$82),"")</f>
        <v/>
      </c>
      <c r="AA12" s="511"/>
      <c r="AB12" s="509" t="str">
        <f>IF(AND('Mapa de Riesgos'!$H$70="Muy Alta",'Mapa de Riesgos'!$L$70="Mayor"),CONCATENATE("R",'Mapa de Riesgos'!$A$70),"")</f>
        <v/>
      </c>
      <c r="AC12" s="510"/>
      <c r="AD12" s="510" t="str">
        <f>IF(AND('Mapa de Riesgos'!$H$76="Muy Alta",'Mapa de Riesgos'!$L$76="Mayor"),CONCATENATE("R",'Mapa de Riesgos'!$A$76),"")</f>
        <v/>
      </c>
      <c r="AE12" s="510"/>
      <c r="AF12" s="510" t="str">
        <f>IF(AND('Mapa de Riesgos'!$H$82="Muy Alta",'Mapa de Riesgos'!$L$82="Mayor"),CONCATENATE("R",'Mapa de Riesgos'!$A$82),"")</f>
        <v/>
      </c>
      <c r="AG12" s="511"/>
      <c r="AH12" s="500" t="str">
        <f>IF(AND('Mapa de Riesgos'!$H$70="Muy Alta",'Mapa de Riesgos'!$L$70="Catastrófico"),CONCATENATE("R",'Mapa de Riesgos'!$A$70),"")</f>
        <v/>
      </c>
      <c r="AI12" s="501"/>
      <c r="AJ12" s="501" t="str">
        <f>IF(AND('Mapa de Riesgos'!$H$76="Muy Alta",'Mapa de Riesgos'!$L$76="Catastrófico"),CONCATENATE("R",'Mapa de Riesgos'!$A$76),"")</f>
        <v/>
      </c>
      <c r="AK12" s="501"/>
      <c r="AL12" s="501" t="str">
        <f>IF(AND('Mapa de Riesgos'!$H$82="Muy Alta",'Mapa de Riesgos'!$L$82="Catastrófico"),CONCATENATE("R",'Mapa de Riesgos'!$A$82),"")</f>
        <v/>
      </c>
      <c r="AM12" s="502"/>
      <c r="AN12" s="83"/>
      <c r="AO12" s="534"/>
      <c r="AP12" s="535"/>
      <c r="AQ12" s="535"/>
      <c r="AR12" s="535"/>
      <c r="AS12" s="535"/>
      <c r="AT12" s="53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529"/>
      <c r="C13" s="529"/>
      <c r="D13" s="530"/>
      <c r="E13" s="525"/>
      <c r="F13" s="526"/>
      <c r="G13" s="526"/>
      <c r="H13" s="526"/>
      <c r="I13" s="527"/>
      <c r="J13" s="509"/>
      <c r="K13" s="510"/>
      <c r="L13" s="510"/>
      <c r="M13" s="510"/>
      <c r="N13" s="510"/>
      <c r="O13" s="511"/>
      <c r="P13" s="509"/>
      <c r="Q13" s="510"/>
      <c r="R13" s="510"/>
      <c r="S13" s="510"/>
      <c r="T13" s="510"/>
      <c r="U13" s="511"/>
      <c r="V13" s="509"/>
      <c r="W13" s="510"/>
      <c r="X13" s="510"/>
      <c r="Y13" s="510"/>
      <c r="Z13" s="510"/>
      <c r="AA13" s="511"/>
      <c r="AB13" s="509"/>
      <c r="AC13" s="510"/>
      <c r="AD13" s="510"/>
      <c r="AE13" s="510"/>
      <c r="AF13" s="510"/>
      <c r="AG13" s="511"/>
      <c r="AH13" s="503"/>
      <c r="AI13" s="504"/>
      <c r="AJ13" s="504"/>
      <c r="AK13" s="504"/>
      <c r="AL13" s="504"/>
      <c r="AM13" s="505"/>
      <c r="AN13" s="83"/>
      <c r="AO13" s="537"/>
      <c r="AP13" s="538"/>
      <c r="AQ13" s="538"/>
      <c r="AR13" s="538"/>
      <c r="AS13" s="538"/>
      <c r="AT13" s="539"/>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529"/>
      <c r="C14" s="529"/>
      <c r="D14" s="530"/>
      <c r="E14" s="519" t="s">
        <v>244</v>
      </c>
      <c r="F14" s="520"/>
      <c r="G14" s="520"/>
      <c r="H14" s="520"/>
      <c r="I14" s="520"/>
      <c r="J14" s="497" t="str">
        <f>IF(AND('Mapa de Riesgos'!$H$12="Alta",'Mapa de Riesgos'!$L$12="Leve"),CONCATENATE("R",'Mapa de Riesgos'!$A$12),"")</f>
        <v/>
      </c>
      <c r="K14" s="498"/>
      <c r="L14" s="498" t="str">
        <f>IF(AND('Mapa de Riesgos'!$H$19="Alta",'Mapa de Riesgos'!$L$19="Leve"),CONCATENATE("R",'Mapa de Riesgos'!$A$19),"")</f>
        <v/>
      </c>
      <c r="M14" s="498"/>
      <c r="N14" s="498" t="str">
        <f>IF(AND('Mapa de Riesgos'!$H$25="Alta",'Mapa de Riesgos'!$L$25="Leve"),CONCATENATE("R",'Mapa de Riesgos'!$A$27),"")</f>
        <v/>
      </c>
      <c r="O14" s="499"/>
      <c r="P14" s="497" t="str">
        <f>IF(AND('Mapa de Riesgos'!$H$12="Alta",'Mapa de Riesgos'!$L$12="Menor"),CONCATENATE("R",'Mapa de Riesgos'!$A$12),"")</f>
        <v/>
      </c>
      <c r="Q14" s="498"/>
      <c r="R14" s="498" t="str">
        <f>IF(AND('Mapa de Riesgos'!$H$19="Alta",'Mapa de Riesgos'!$L$19="Menor"),CONCATENATE("R",'Mapa de Riesgos'!$A$19),"")</f>
        <v/>
      </c>
      <c r="S14" s="498"/>
      <c r="T14" s="498" t="str">
        <f>IF(AND('Mapa de Riesgos'!$H$25="Alta",'Mapa de Riesgos'!$L$25="Menor"),CONCATENATE("R",'Mapa de Riesgos'!$A$27),"")</f>
        <v/>
      </c>
      <c r="U14" s="499"/>
      <c r="V14" s="515" t="str">
        <f>IF(AND('Mapa de Riesgos'!$H$12="Alta",'Mapa de Riesgos'!$L$12="Moderado"),CONCATENATE("R",'Mapa de Riesgos'!$A$12),"")</f>
        <v/>
      </c>
      <c r="W14" s="516"/>
      <c r="X14" s="516" t="str">
        <f>IF(AND('Mapa de Riesgos'!$H$19="Alta",'Mapa de Riesgos'!$L$19="Moderado"),CONCATENATE("R",'Mapa de Riesgos'!$A$19),"")</f>
        <v/>
      </c>
      <c r="Y14" s="516"/>
      <c r="Z14" s="516" t="str">
        <f>IF(AND('Mapa de Riesgos'!$H$25="Alta",'Mapa de Riesgos'!$L$25="Moderado"),CONCATENATE("R",'Mapa de Riesgos'!$A$27),"")</f>
        <v/>
      </c>
      <c r="AA14" s="517"/>
      <c r="AB14" s="515" t="str">
        <f>IF(AND('Mapa de Riesgos'!$H$12="Alta",'Mapa de Riesgos'!$L$12="Mayor"),CONCATENATE("R",'Mapa de Riesgos'!$A$12),"")</f>
        <v/>
      </c>
      <c r="AC14" s="516"/>
      <c r="AD14" s="516" t="str">
        <f>IF(AND('Mapa de Riesgos'!$H$19="Alta",'Mapa de Riesgos'!$L$19="Mayor"),CONCATENATE("R",'Mapa de Riesgos'!$A$19),"")</f>
        <v/>
      </c>
      <c r="AE14" s="516"/>
      <c r="AF14" s="516" t="str">
        <f>IF(AND('Mapa de Riesgos'!$H$25="Alta",'Mapa de Riesgos'!$L$25="Mayor"),CONCATENATE("R",'Mapa de Riesgos'!$A$27),"")</f>
        <v/>
      </c>
      <c r="AG14" s="517"/>
      <c r="AH14" s="506" t="str">
        <f>IF(AND('Mapa de Riesgos'!$H$12="Alta",'Mapa de Riesgos'!$L$12="Catastrófico"),CONCATENATE("R",'Mapa de Riesgos'!$A$12),"")</f>
        <v/>
      </c>
      <c r="AI14" s="507"/>
      <c r="AJ14" s="507" t="str">
        <f>IF(AND('Mapa de Riesgos'!$H$19="Alta",'Mapa de Riesgos'!$L$19="Catastrófico"),CONCATENATE("R",'Mapa de Riesgos'!$A$19),"")</f>
        <v/>
      </c>
      <c r="AK14" s="507"/>
      <c r="AL14" s="507" t="str">
        <f>IF(AND('Mapa de Riesgos'!$H$25="Alta",'Mapa de Riesgos'!$L$25="Catastrófico"),CONCATENATE("R",'Mapa de Riesgos'!$A$27),"")</f>
        <v/>
      </c>
      <c r="AM14" s="508"/>
      <c r="AN14" s="83"/>
      <c r="AO14" s="540" t="s">
        <v>245</v>
      </c>
      <c r="AP14" s="541"/>
      <c r="AQ14" s="541"/>
      <c r="AR14" s="541"/>
      <c r="AS14" s="541"/>
      <c r="AT14" s="542"/>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529"/>
      <c r="C15" s="529"/>
      <c r="D15" s="530"/>
      <c r="E15" s="522"/>
      <c r="F15" s="523"/>
      <c r="G15" s="523"/>
      <c r="H15" s="523"/>
      <c r="I15" s="523"/>
      <c r="J15" s="491"/>
      <c r="K15" s="492"/>
      <c r="L15" s="492"/>
      <c r="M15" s="492"/>
      <c r="N15" s="492"/>
      <c r="O15" s="493"/>
      <c r="P15" s="491"/>
      <c r="Q15" s="492"/>
      <c r="R15" s="492"/>
      <c r="S15" s="492"/>
      <c r="T15" s="492"/>
      <c r="U15" s="493"/>
      <c r="V15" s="509"/>
      <c r="W15" s="510"/>
      <c r="X15" s="510"/>
      <c r="Y15" s="510"/>
      <c r="Z15" s="510"/>
      <c r="AA15" s="511"/>
      <c r="AB15" s="509"/>
      <c r="AC15" s="510"/>
      <c r="AD15" s="510"/>
      <c r="AE15" s="510"/>
      <c r="AF15" s="510"/>
      <c r="AG15" s="511"/>
      <c r="AH15" s="500"/>
      <c r="AI15" s="501"/>
      <c r="AJ15" s="501"/>
      <c r="AK15" s="501"/>
      <c r="AL15" s="501"/>
      <c r="AM15" s="502"/>
      <c r="AN15" s="83"/>
      <c r="AO15" s="543"/>
      <c r="AP15" s="544"/>
      <c r="AQ15" s="544"/>
      <c r="AR15" s="544"/>
      <c r="AS15" s="544"/>
      <c r="AT15" s="545"/>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529"/>
      <c r="C16" s="529"/>
      <c r="D16" s="530"/>
      <c r="E16" s="522"/>
      <c r="F16" s="523"/>
      <c r="G16" s="523"/>
      <c r="H16" s="523"/>
      <c r="I16" s="523"/>
      <c r="J16" s="491" t="str">
        <f>IF(AND('Mapa de Riesgos'!$H$33="Alta",'Mapa de Riesgos'!$L$33="Leve"),CONCATENATE("R",'Mapa de Riesgos'!$A$33),"")</f>
        <v/>
      </c>
      <c r="K16" s="492"/>
      <c r="L16" s="492" t="str">
        <f>IF(AND('Mapa de Riesgos'!$H$39="Alta",'Mapa de Riesgos'!$L$39="Leve"),CONCATENATE("R",'Mapa de Riesgos'!$A$39),"")</f>
        <v/>
      </c>
      <c r="M16" s="492"/>
      <c r="N16" s="492" t="str">
        <f>IF(AND('Mapa de Riesgos'!$H$46="Alta",'Mapa de Riesgos'!$L$46="Leve"),CONCATENATE("R",'Mapa de Riesgos'!$A$46),"")</f>
        <v/>
      </c>
      <c r="O16" s="493"/>
      <c r="P16" s="491" t="str">
        <f>IF(AND('Mapa de Riesgos'!$H$33="Alta",'Mapa de Riesgos'!$L$33="Menor"),CONCATENATE("R",'Mapa de Riesgos'!$A$33),"")</f>
        <v/>
      </c>
      <c r="Q16" s="492"/>
      <c r="R16" s="492" t="str">
        <f>IF(AND('Mapa de Riesgos'!$H$39="Alta",'Mapa de Riesgos'!$L$39="Menor"),CONCATENATE("R",'Mapa de Riesgos'!$A$39),"")</f>
        <v/>
      </c>
      <c r="S16" s="492"/>
      <c r="T16" s="492" t="str">
        <f>IF(AND('Mapa de Riesgos'!$H$46="Alta",'Mapa de Riesgos'!$L$46="Menor"),CONCATENATE("R",'Mapa de Riesgos'!$A$46),"")</f>
        <v/>
      </c>
      <c r="U16" s="493"/>
      <c r="V16" s="509" t="str">
        <f>IF(AND('Mapa de Riesgos'!$H$33="Alta",'Mapa de Riesgos'!$L$33="Moderado"),CONCATENATE("R",'Mapa de Riesgos'!$A$33),"")</f>
        <v/>
      </c>
      <c r="W16" s="510"/>
      <c r="X16" s="510" t="str">
        <f>IF(AND('Mapa de Riesgos'!$H$39="Alta",'Mapa de Riesgos'!$L$39="Moderado"),CONCATENATE("R",'Mapa de Riesgos'!$A$39),"")</f>
        <v/>
      </c>
      <c r="Y16" s="510"/>
      <c r="Z16" s="510" t="str">
        <f>IF(AND('Mapa de Riesgos'!$H$46="Alta",'Mapa de Riesgos'!$L$46="Moderado"),CONCATENATE("R",'Mapa de Riesgos'!$A$46),"")</f>
        <v/>
      </c>
      <c r="AA16" s="511"/>
      <c r="AB16" s="509" t="str">
        <f>IF(AND('Mapa de Riesgos'!$H$33="Alta",'Mapa de Riesgos'!$L$33="Mayor"),CONCATENATE("R",'Mapa de Riesgos'!$A$33),"")</f>
        <v/>
      </c>
      <c r="AC16" s="510"/>
      <c r="AD16" s="510" t="str">
        <f>IF(AND('Mapa de Riesgos'!$H$39="Alta",'Mapa de Riesgos'!$L$39="Mayor"),CONCATENATE("R",'Mapa de Riesgos'!$A$39),"")</f>
        <v/>
      </c>
      <c r="AE16" s="510"/>
      <c r="AF16" s="510" t="str">
        <f>IF(AND('Mapa de Riesgos'!$H$46="Alta",'Mapa de Riesgos'!$L$46="Mayor"),CONCATENATE("R",'Mapa de Riesgos'!$A$46),"")</f>
        <v/>
      </c>
      <c r="AG16" s="511"/>
      <c r="AH16" s="500" t="str">
        <f>IF(AND('Mapa de Riesgos'!$H$33="Alta",'Mapa de Riesgos'!$L$33="Catastrófico"),CONCATENATE("R",'Mapa de Riesgos'!$A$33),"")</f>
        <v/>
      </c>
      <c r="AI16" s="501"/>
      <c r="AJ16" s="501" t="str">
        <f>IF(AND('Mapa de Riesgos'!$H$39="Alta",'Mapa de Riesgos'!$L$39="Catastrófico"),CONCATENATE("R",'Mapa de Riesgos'!$A$39),"")</f>
        <v/>
      </c>
      <c r="AK16" s="501"/>
      <c r="AL16" s="501" t="str">
        <f>IF(AND('Mapa de Riesgos'!$H$46="Alta",'Mapa de Riesgos'!$L$46="Catastrófico"),CONCATENATE("R",'Mapa de Riesgos'!$A$46),"")</f>
        <v/>
      </c>
      <c r="AM16" s="502"/>
      <c r="AN16" s="83"/>
      <c r="AO16" s="543"/>
      <c r="AP16" s="544"/>
      <c r="AQ16" s="544"/>
      <c r="AR16" s="544"/>
      <c r="AS16" s="544"/>
      <c r="AT16" s="545"/>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529"/>
      <c r="C17" s="529"/>
      <c r="D17" s="530"/>
      <c r="E17" s="522"/>
      <c r="F17" s="523"/>
      <c r="G17" s="523"/>
      <c r="H17" s="523"/>
      <c r="I17" s="523"/>
      <c r="J17" s="491"/>
      <c r="K17" s="492"/>
      <c r="L17" s="492"/>
      <c r="M17" s="492"/>
      <c r="N17" s="492"/>
      <c r="O17" s="493"/>
      <c r="P17" s="491"/>
      <c r="Q17" s="492"/>
      <c r="R17" s="492"/>
      <c r="S17" s="492"/>
      <c r="T17" s="492"/>
      <c r="U17" s="493"/>
      <c r="V17" s="509"/>
      <c r="W17" s="510"/>
      <c r="X17" s="510"/>
      <c r="Y17" s="510"/>
      <c r="Z17" s="510"/>
      <c r="AA17" s="511"/>
      <c r="AB17" s="509"/>
      <c r="AC17" s="510"/>
      <c r="AD17" s="510"/>
      <c r="AE17" s="510"/>
      <c r="AF17" s="510"/>
      <c r="AG17" s="511"/>
      <c r="AH17" s="500"/>
      <c r="AI17" s="501"/>
      <c r="AJ17" s="501"/>
      <c r="AK17" s="501"/>
      <c r="AL17" s="501"/>
      <c r="AM17" s="502"/>
      <c r="AN17" s="83"/>
      <c r="AO17" s="543"/>
      <c r="AP17" s="544"/>
      <c r="AQ17" s="544"/>
      <c r="AR17" s="544"/>
      <c r="AS17" s="544"/>
      <c r="AT17" s="545"/>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529"/>
      <c r="C18" s="529"/>
      <c r="D18" s="530"/>
      <c r="E18" s="522"/>
      <c r="F18" s="523"/>
      <c r="G18" s="523"/>
      <c r="H18" s="523"/>
      <c r="I18" s="523"/>
      <c r="J18" s="491" t="str">
        <f>IF(AND('Mapa de Riesgos'!$H$52="Alta",'Mapa de Riesgos'!$L$52="Leve"),CONCATENATE("R",'Mapa de Riesgos'!$A$52),"")</f>
        <v/>
      </c>
      <c r="K18" s="492"/>
      <c r="L18" s="492" t="str">
        <f>IF(AND('Mapa de Riesgos'!$H$58="Alta",'Mapa de Riesgos'!$L$58="Leve"),CONCATENATE("R",'Mapa de Riesgos'!$A$58),"")</f>
        <v/>
      </c>
      <c r="M18" s="492"/>
      <c r="N18" s="492" t="str">
        <f>IF(AND('Mapa de Riesgos'!$H$64="Alta",'Mapa de Riesgos'!$L$64="Leve"),CONCATENATE("R",'Mapa de Riesgos'!$A$64),"")</f>
        <v/>
      </c>
      <c r="O18" s="493"/>
      <c r="P18" s="491" t="str">
        <f>IF(AND('Mapa de Riesgos'!$H$52="Alta",'Mapa de Riesgos'!$L$52="Menor"),CONCATENATE("R",'Mapa de Riesgos'!$A$52),"")</f>
        <v/>
      </c>
      <c r="Q18" s="492"/>
      <c r="R18" s="492" t="str">
        <f>IF(AND('Mapa de Riesgos'!$H$58="Alta",'Mapa de Riesgos'!$L$58="Menor"),CONCATENATE("R",'Mapa de Riesgos'!$A$58),"")</f>
        <v/>
      </c>
      <c r="S18" s="492"/>
      <c r="T18" s="492" t="str">
        <f>IF(AND('Mapa de Riesgos'!$H$64="Alta",'Mapa de Riesgos'!$L$64="Menor"),CONCATENATE("R",'Mapa de Riesgos'!$A$64),"")</f>
        <v/>
      </c>
      <c r="U18" s="493"/>
      <c r="V18" s="509" t="str">
        <f>IF(AND('Mapa de Riesgos'!$H$52="Alta",'Mapa de Riesgos'!$L$52="Moderado"),CONCATENATE("R",'Mapa de Riesgos'!$A$52),"")</f>
        <v/>
      </c>
      <c r="W18" s="510"/>
      <c r="X18" s="510" t="str">
        <f>IF(AND('Mapa de Riesgos'!$H$58="Alta",'Mapa de Riesgos'!$L$58="Moderado"),CONCATENATE("R",'Mapa de Riesgos'!$A$58),"")</f>
        <v/>
      </c>
      <c r="Y18" s="510"/>
      <c r="Z18" s="510" t="str">
        <f>IF(AND('Mapa de Riesgos'!$H$64="Alta",'Mapa de Riesgos'!$L$64="Moderado"),CONCATENATE("R",'Mapa de Riesgos'!$A$64),"")</f>
        <v/>
      </c>
      <c r="AA18" s="511"/>
      <c r="AB18" s="509" t="str">
        <f>IF(AND('Mapa de Riesgos'!$H$52="Alta",'Mapa de Riesgos'!$L$52="Mayor"),CONCATENATE("R",'Mapa de Riesgos'!$A$52),"")</f>
        <v/>
      </c>
      <c r="AC18" s="510"/>
      <c r="AD18" s="510" t="str">
        <f>IF(AND('Mapa de Riesgos'!$H$58="Alta",'Mapa de Riesgos'!$L$58="Mayor"),CONCATENATE("R",'Mapa de Riesgos'!$A$58),"")</f>
        <v/>
      </c>
      <c r="AE18" s="510"/>
      <c r="AF18" s="510" t="str">
        <f>IF(AND('Mapa de Riesgos'!$H$64="Alta",'Mapa de Riesgos'!$L$64="Mayor"),CONCATENATE("R",'Mapa de Riesgos'!$A$64),"")</f>
        <v/>
      </c>
      <c r="AG18" s="511"/>
      <c r="AH18" s="500" t="str">
        <f>IF(AND('Mapa de Riesgos'!$H$52="Alta",'Mapa de Riesgos'!$L$52="Catastrófico"),CONCATENATE("R",'Mapa de Riesgos'!$A$52),"")</f>
        <v/>
      </c>
      <c r="AI18" s="501"/>
      <c r="AJ18" s="501" t="str">
        <f>IF(AND('Mapa de Riesgos'!$H$58="Alta",'Mapa de Riesgos'!$L$58="Catastrófico"),CONCATENATE("R",'Mapa de Riesgos'!$A$58),"")</f>
        <v/>
      </c>
      <c r="AK18" s="501"/>
      <c r="AL18" s="501" t="str">
        <f>IF(AND('Mapa de Riesgos'!$H$64="Alta",'Mapa de Riesgos'!$L$64="Catastrófico"),CONCATENATE("R",'Mapa de Riesgos'!$A$64),"")</f>
        <v/>
      </c>
      <c r="AM18" s="502"/>
      <c r="AN18" s="83"/>
      <c r="AO18" s="543"/>
      <c r="AP18" s="544"/>
      <c r="AQ18" s="544"/>
      <c r="AR18" s="544"/>
      <c r="AS18" s="544"/>
      <c r="AT18" s="545"/>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529"/>
      <c r="C19" s="529"/>
      <c r="D19" s="530"/>
      <c r="E19" s="522"/>
      <c r="F19" s="523"/>
      <c r="G19" s="523"/>
      <c r="H19" s="523"/>
      <c r="I19" s="523"/>
      <c r="J19" s="491"/>
      <c r="K19" s="492"/>
      <c r="L19" s="492"/>
      <c r="M19" s="492"/>
      <c r="N19" s="492"/>
      <c r="O19" s="493"/>
      <c r="P19" s="491"/>
      <c r="Q19" s="492"/>
      <c r="R19" s="492"/>
      <c r="S19" s="492"/>
      <c r="T19" s="492"/>
      <c r="U19" s="493"/>
      <c r="V19" s="509"/>
      <c r="W19" s="510"/>
      <c r="X19" s="510"/>
      <c r="Y19" s="510"/>
      <c r="Z19" s="510"/>
      <c r="AA19" s="511"/>
      <c r="AB19" s="509"/>
      <c r="AC19" s="510"/>
      <c r="AD19" s="510"/>
      <c r="AE19" s="510"/>
      <c r="AF19" s="510"/>
      <c r="AG19" s="511"/>
      <c r="AH19" s="500"/>
      <c r="AI19" s="501"/>
      <c r="AJ19" s="501"/>
      <c r="AK19" s="501"/>
      <c r="AL19" s="501"/>
      <c r="AM19" s="502"/>
      <c r="AN19" s="83"/>
      <c r="AO19" s="543"/>
      <c r="AP19" s="544"/>
      <c r="AQ19" s="544"/>
      <c r="AR19" s="544"/>
      <c r="AS19" s="544"/>
      <c r="AT19" s="545"/>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529"/>
      <c r="C20" s="529"/>
      <c r="D20" s="530"/>
      <c r="E20" s="522"/>
      <c r="F20" s="523"/>
      <c r="G20" s="523"/>
      <c r="H20" s="523"/>
      <c r="I20" s="523"/>
      <c r="J20" s="491" t="str">
        <f>IF(AND('Mapa de Riesgos'!$H$70="Alta",'Mapa de Riesgos'!$L$70="Leve"),CONCATENATE("R",'Mapa de Riesgos'!$A$70),"")</f>
        <v/>
      </c>
      <c r="K20" s="492"/>
      <c r="L20" s="492" t="str">
        <f>IF(AND('Mapa de Riesgos'!$H$76="Alta",'Mapa de Riesgos'!$L$76="Leve"),CONCATENATE("R",'Mapa de Riesgos'!$A$76),"")</f>
        <v/>
      </c>
      <c r="M20" s="492"/>
      <c r="N20" s="492" t="str">
        <f>IF(AND('Mapa de Riesgos'!$H$82="Alta",'Mapa de Riesgos'!$L$82="Leve"),CONCATENATE("R",'Mapa de Riesgos'!$A$82),"")</f>
        <v/>
      </c>
      <c r="O20" s="493"/>
      <c r="P20" s="491" t="str">
        <f>IF(AND('Mapa de Riesgos'!$H$70="Alta",'Mapa de Riesgos'!$L$70="Menor"),CONCATENATE("R",'Mapa de Riesgos'!$A$70),"")</f>
        <v/>
      </c>
      <c r="Q20" s="492"/>
      <c r="R20" s="492" t="str">
        <f>IF(AND('Mapa de Riesgos'!$H$76="Alta",'Mapa de Riesgos'!$L$76="Menor"),CONCATENATE("R",'Mapa de Riesgos'!$A$76),"")</f>
        <v/>
      </c>
      <c r="S20" s="492"/>
      <c r="T20" s="492" t="str">
        <f>IF(AND('Mapa de Riesgos'!$H$82="Alta",'Mapa de Riesgos'!$L$82="Menor"),CONCATENATE("R",'Mapa de Riesgos'!$A$82),"")</f>
        <v/>
      </c>
      <c r="U20" s="493"/>
      <c r="V20" s="509" t="str">
        <f>IF(AND('Mapa de Riesgos'!$H$70="Alta",'Mapa de Riesgos'!$L$70="Moderado"),CONCATENATE("R",'Mapa de Riesgos'!$A$70),"")</f>
        <v/>
      </c>
      <c r="W20" s="510"/>
      <c r="X20" s="510" t="str">
        <f>IF(AND('Mapa de Riesgos'!$H$76="Alta",'Mapa de Riesgos'!$L$76="Moderado"),CONCATENATE("R",'Mapa de Riesgos'!$A$76),"")</f>
        <v/>
      </c>
      <c r="Y20" s="510"/>
      <c r="Z20" s="510" t="str">
        <f>IF(AND('Mapa de Riesgos'!$H$82="Alta",'Mapa de Riesgos'!$L$82="Moderado"),CONCATENATE("R",'Mapa de Riesgos'!$A$82),"")</f>
        <v/>
      </c>
      <c r="AA20" s="511"/>
      <c r="AB20" s="509" t="str">
        <f>IF(AND('Mapa de Riesgos'!$H$70="Alta",'Mapa de Riesgos'!$L$70="Mayor"),CONCATENATE("R",'Mapa de Riesgos'!$A$70),"")</f>
        <v/>
      </c>
      <c r="AC20" s="510"/>
      <c r="AD20" s="510" t="str">
        <f>IF(AND('Mapa de Riesgos'!$H$76="Alta",'Mapa de Riesgos'!$L$76="Mayor"),CONCATENATE("R",'Mapa de Riesgos'!$A$76),"")</f>
        <v/>
      </c>
      <c r="AE20" s="510"/>
      <c r="AF20" s="510" t="str">
        <f>IF(AND('Mapa de Riesgos'!$H$82="Alta",'Mapa de Riesgos'!$L$82="Mayor"),CONCATENATE("R",'Mapa de Riesgos'!$A$82),"")</f>
        <v/>
      </c>
      <c r="AG20" s="511"/>
      <c r="AH20" s="500" t="str">
        <f>IF(AND('Mapa de Riesgos'!$H$70="Alta",'Mapa de Riesgos'!$L$70="Catastrófico"),CONCATENATE("R",'Mapa de Riesgos'!$A$70),"")</f>
        <v/>
      </c>
      <c r="AI20" s="501"/>
      <c r="AJ20" s="501" t="str">
        <f>IF(AND('Mapa de Riesgos'!$H$76="Alta",'Mapa de Riesgos'!$L$76="Catastrófico"),CONCATENATE("R",'Mapa de Riesgos'!$A$76),"")</f>
        <v/>
      </c>
      <c r="AK20" s="501"/>
      <c r="AL20" s="501" t="str">
        <f>IF(AND('Mapa de Riesgos'!$H$82="Alta",'Mapa de Riesgos'!$L$82="Catastrófico"),CONCATENATE("R",'Mapa de Riesgos'!$A$82),"")</f>
        <v/>
      </c>
      <c r="AM20" s="502"/>
      <c r="AN20" s="83"/>
      <c r="AO20" s="543"/>
      <c r="AP20" s="544"/>
      <c r="AQ20" s="544"/>
      <c r="AR20" s="544"/>
      <c r="AS20" s="544"/>
      <c r="AT20" s="545"/>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529"/>
      <c r="C21" s="529"/>
      <c r="D21" s="530"/>
      <c r="E21" s="525"/>
      <c r="F21" s="526"/>
      <c r="G21" s="526"/>
      <c r="H21" s="526"/>
      <c r="I21" s="526"/>
      <c r="J21" s="494"/>
      <c r="K21" s="495"/>
      <c r="L21" s="495"/>
      <c r="M21" s="495"/>
      <c r="N21" s="495"/>
      <c r="O21" s="496"/>
      <c r="P21" s="494"/>
      <c r="Q21" s="495"/>
      <c r="R21" s="495"/>
      <c r="S21" s="495"/>
      <c r="T21" s="495"/>
      <c r="U21" s="496"/>
      <c r="V21" s="512"/>
      <c r="W21" s="513"/>
      <c r="X21" s="513"/>
      <c r="Y21" s="513"/>
      <c r="Z21" s="513"/>
      <c r="AA21" s="514"/>
      <c r="AB21" s="512"/>
      <c r="AC21" s="513"/>
      <c r="AD21" s="513"/>
      <c r="AE21" s="513"/>
      <c r="AF21" s="513"/>
      <c r="AG21" s="514"/>
      <c r="AH21" s="503"/>
      <c r="AI21" s="504"/>
      <c r="AJ21" s="504"/>
      <c r="AK21" s="504"/>
      <c r="AL21" s="504"/>
      <c r="AM21" s="505"/>
      <c r="AN21" s="83"/>
      <c r="AO21" s="546"/>
      <c r="AP21" s="547"/>
      <c r="AQ21" s="547"/>
      <c r="AR21" s="547"/>
      <c r="AS21" s="547"/>
      <c r="AT21" s="548"/>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529"/>
      <c r="C22" s="529"/>
      <c r="D22" s="530"/>
      <c r="E22" s="519" t="s">
        <v>246</v>
      </c>
      <c r="F22" s="520"/>
      <c r="G22" s="520"/>
      <c r="H22" s="520"/>
      <c r="I22" s="521"/>
      <c r="J22" s="497" t="str">
        <f>IF(AND('Mapa de Riesgos'!$H$12="Media",'Mapa de Riesgos'!$L$12="Leve"),CONCATENATE("R",'Mapa de Riesgos'!$A$12),"")</f>
        <v/>
      </c>
      <c r="K22" s="498"/>
      <c r="L22" s="498" t="str">
        <f>IF(AND('Mapa de Riesgos'!$H$19="Media",'Mapa de Riesgos'!$L$19="Leve"),CONCATENATE("R",'Mapa de Riesgos'!$A$19),"")</f>
        <v/>
      </c>
      <c r="M22" s="498"/>
      <c r="N22" s="498" t="str">
        <f>IF(AND('Mapa de Riesgos'!$H$25="Media",'Mapa de Riesgos'!$L$25="Leve"),CONCATENATE("R",'Mapa de Riesgos'!$A$27),"")</f>
        <v/>
      </c>
      <c r="O22" s="499"/>
      <c r="P22" s="497" t="str">
        <f>IF(AND('Mapa de Riesgos'!$H$12="Media",'Mapa de Riesgos'!$L$12="Menor"),CONCATENATE("R",'Mapa de Riesgos'!$A$12),"")</f>
        <v/>
      </c>
      <c r="Q22" s="498"/>
      <c r="R22" s="498" t="str">
        <f>IF(AND('Mapa de Riesgos'!$H$19="Media",'Mapa de Riesgos'!$L$19="Menor"),CONCATENATE("R",'Mapa de Riesgos'!$A$19),"")</f>
        <v/>
      </c>
      <c r="S22" s="498"/>
      <c r="T22" s="498" t="str">
        <f>IF(AND('Mapa de Riesgos'!$H$25="Media",'Mapa de Riesgos'!$L$25="Menor"),CONCATENATE("R",'Mapa de Riesgos'!$A$27),"")</f>
        <v/>
      </c>
      <c r="U22" s="499"/>
      <c r="V22" s="497" t="str">
        <f>IF(AND('Mapa de Riesgos'!$H$12="Media",'Mapa de Riesgos'!$L$12="Moderado"),CONCATENATE("R",'Mapa de Riesgos'!$A$12),"")</f>
        <v/>
      </c>
      <c r="W22" s="498"/>
      <c r="X22" s="498" t="str">
        <f>IF(AND('Mapa de Riesgos'!$H$19="Media",'Mapa de Riesgos'!$L$19="Moderado"),CONCATENATE("R",'Mapa de Riesgos'!$A$19),"")</f>
        <v>R2</v>
      </c>
      <c r="Y22" s="498"/>
      <c r="Z22" s="498" t="str">
        <f>IF(AND('Mapa de Riesgos'!$H$25="Media",'Mapa de Riesgos'!$L$25="Moderado"),CONCATENATE("R",'Mapa de Riesgos'!$A$27),"")</f>
        <v/>
      </c>
      <c r="AA22" s="499"/>
      <c r="AB22" s="515" t="str">
        <f>IF(AND('Mapa de Riesgos'!$H$12="Media",'Mapa de Riesgos'!$L$12="Mayor"),CONCATENATE("R",'Mapa de Riesgos'!$A$12),"")</f>
        <v>R1</v>
      </c>
      <c r="AC22" s="516"/>
      <c r="AD22" s="516" t="str">
        <f>IF(AND('Mapa de Riesgos'!$H$19="Media",'Mapa de Riesgos'!$L$19="Mayor"),CONCATENATE("R",'Mapa de Riesgos'!$A$19),"")</f>
        <v/>
      </c>
      <c r="AE22" s="516"/>
      <c r="AF22" s="516" t="str">
        <f>IF(AND('Mapa de Riesgos'!$H$25="Media",'Mapa de Riesgos'!$L$25="Mayor"),CONCATENATE("R",'Mapa de Riesgos'!$A$27),"")</f>
        <v>R3</v>
      </c>
      <c r="AG22" s="517"/>
      <c r="AH22" s="506" t="str">
        <f>IF(AND('Mapa de Riesgos'!$H$12="Media",'Mapa de Riesgos'!$L$12="Catastrófico"),CONCATENATE("R",'Mapa de Riesgos'!$A$12),"")</f>
        <v/>
      </c>
      <c r="AI22" s="507"/>
      <c r="AJ22" s="507" t="str">
        <f>IF(AND('Mapa de Riesgos'!$H$19="Media",'Mapa de Riesgos'!$L$19="Catastrófico"),CONCATENATE("R",'Mapa de Riesgos'!$A$19),"")</f>
        <v/>
      </c>
      <c r="AK22" s="507"/>
      <c r="AL22" s="507" t="str">
        <f>IF(AND('Mapa de Riesgos'!$H$25="Media",'Mapa de Riesgos'!$L$25="Catastrófico"),CONCATENATE("R",'Mapa de Riesgos'!$A$27),"")</f>
        <v/>
      </c>
      <c r="AM22" s="508"/>
      <c r="AN22" s="83"/>
      <c r="AO22" s="549" t="s">
        <v>247</v>
      </c>
      <c r="AP22" s="550"/>
      <c r="AQ22" s="550"/>
      <c r="AR22" s="550"/>
      <c r="AS22" s="550"/>
      <c r="AT22" s="551"/>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529"/>
      <c r="C23" s="529"/>
      <c r="D23" s="530"/>
      <c r="E23" s="522"/>
      <c r="F23" s="523"/>
      <c r="G23" s="523"/>
      <c r="H23" s="523"/>
      <c r="I23" s="524"/>
      <c r="J23" s="491"/>
      <c r="K23" s="492"/>
      <c r="L23" s="492"/>
      <c r="M23" s="492"/>
      <c r="N23" s="492"/>
      <c r="O23" s="493"/>
      <c r="P23" s="491"/>
      <c r="Q23" s="492"/>
      <c r="R23" s="492"/>
      <c r="S23" s="492"/>
      <c r="T23" s="492"/>
      <c r="U23" s="493"/>
      <c r="V23" s="491"/>
      <c r="W23" s="492"/>
      <c r="X23" s="492"/>
      <c r="Y23" s="492"/>
      <c r="Z23" s="492"/>
      <c r="AA23" s="493"/>
      <c r="AB23" s="509"/>
      <c r="AC23" s="510"/>
      <c r="AD23" s="510"/>
      <c r="AE23" s="510"/>
      <c r="AF23" s="510"/>
      <c r="AG23" s="511"/>
      <c r="AH23" s="500"/>
      <c r="AI23" s="501"/>
      <c r="AJ23" s="501"/>
      <c r="AK23" s="501"/>
      <c r="AL23" s="501"/>
      <c r="AM23" s="502"/>
      <c r="AN23" s="83"/>
      <c r="AO23" s="552"/>
      <c r="AP23" s="553"/>
      <c r="AQ23" s="553"/>
      <c r="AR23" s="553"/>
      <c r="AS23" s="553"/>
      <c r="AT23" s="554"/>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529"/>
      <c r="C24" s="529"/>
      <c r="D24" s="530"/>
      <c r="E24" s="522"/>
      <c r="F24" s="523"/>
      <c r="G24" s="523"/>
      <c r="H24" s="523"/>
      <c r="I24" s="524"/>
      <c r="J24" s="491" t="str">
        <f>IF(AND('Mapa de Riesgos'!$H$33="Media",'Mapa de Riesgos'!$L$33="Leve"),CONCATENATE("R",'Mapa de Riesgos'!$A$33),"")</f>
        <v/>
      </c>
      <c r="K24" s="492"/>
      <c r="L24" s="492" t="str">
        <f>IF(AND('Mapa de Riesgos'!$H$39="Media",'Mapa de Riesgos'!$L$39="Leve"),CONCATENATE("R",'Mapa de Riesgos'!$A$39),"")</f>
        <v/>
      </c>
      <c r="M24" s="492"/>
      <c r="N24" s="492" t="str">
        <f>IF(AND('Mapa de Riesgos'!$H$46="Media",'Mapa de Riesgos'!$L$46="Leve"),CONCATENATE("R",'Mapa de Riesgos'!$A$46),"")</f>
        <v/>
      </c>
      <c r="O24" s="493"/>
      <c r="P24" s="491" t="str">
        <f>IF(AND('Mapa de Riesgos'!$H$33="Media",'Mapa de Riesgos'!$L$33="Menor"),CONCATENATE("R",'Mapa de Riesgos'!$A$33),"")</f>
        <v/>
      </c>
      <c r="Q24" s="492"/>
      <c r="R24" s="492" t="str">
        <f>IF(AND('Mapa de Riesgos'!$H$39="Media",'Mapa de Riesgos'!$L$39="Menor"),CONCATENATE("R",'Mapa de Riesgos'!$A$39),"")</f>
        <v/>
      </c>
      <c r="S24" s="492"/>
      <c r="T24" s="492" t="str">
        <f>IF(AND('Mapa de Riesgos'!$H$46="Media",'Mapa de Riesgos'!$L$46="Menor"),CONCATENATE("R",'Mapa de Riesgos'!$A$46),"")</f>
        <v/>
      </c>
      <c r="U24" s="493"/>
      <c r="V24" s="491" t="str">
        <f>IF(AND('Mapa de Riesgos'!$H$33="Media",'Mapa de Riesgos'!$L$33="Moderado"),CONCATENATE("R",'Mapa de Riesgos'!$A$33),"")</f>
        <v>R4</v>
      </c>
      <c r="W24" s="492"/>
      <c r="X24" s="492" t="str">
        <f>IF(AND('Mapa de Riesgos'!$H$39="Media",'Mapa de Riesgos'!$L$39="Moderado"),CONCATENATE("R",'Mapa de Riesgos'!$A$39),"")</f>
        <v/>
      </c>
      <c r="Y24" s="492"/>
      <c r="Z24" s="492" t="str">
        <f>IF(AND('Mapa de Riesgos'!$H$46="Media",'Mapa de Riesgos'!$L$46="Moderado"),CONCATENATE("R",'Mapa de Riesgos'!$A$46),"")</f>
        <v>R6</v>
      </c>
      <c r="AA24" s="493"/>
      <c r="AB24" s="509" t="str">
        <f>IF(AND('Mapa de Riesgos'!$H$33="Media",'Mapa de Riesgos'!$L$33="Mayor"),CONCATENATE("R",'Mapa de Riesgos'!$A$33),"")</f>
        <v/>
      </c>
      <c r="AC24" s="510"/>
      <c r="AD24" s="510" t="str">
        <f>IF(AND('Mapa de Riesgos'!$H$39="Media",'Mapa de Riesgos'!$L$39="Mayor"),CONCATENATE("R",'Mapa de Riesgos'!$A$39),"")</f>
        <v/>
      </c>
      <c r="AE24" s="510"/>
      <c r="AF24" s="510" t="str">
        <f>IF(AND('Mapa de Riesgos'!$H$46="Media",'Mapa de Riesgos'!$L$46="Mayor"),CONCATENATE("R",'Mapa de Riesgos'!$A$46),"")</f>
        <v/>
      </c>
      <c r="AG24" s="511"/>
      <c r="AH24" s="500" t="str">
        <f>IF(AND('Mapa de Riesgos'!$H$33="Media",'Mapa de Riesgos'!$L$33="Catastrófico"),CONCATENATE("R",'Mapa de Riesgos'!$A$33),"")</f>
        <v/>
      </c>
      <c r="AI24" s="501"/>
      <c r="AJ24" s="501" t="str">
        <f>IF(AND('Mapa de Riesgos'!$H$39="Media",'Mapa de Riesgos'!$L$39="Catastrófico"),CONCATENATE("R",'Mapa de Riesgos'!$A$39),"")</f>
        <v>R5</v>
      </c>
      <c r="AK24" s="501"/>
      <c r="AL24" s="501" t="str">
        <f>IF(AND('Mapa de Riesgos'!$H$46="Media",'Mapa de Riesgos'!$L$46="Catastrófico"),CONCATENATE("R",'Mapa de Riesgos'!$A$46),"")</f>
        <v/>
      </c>
      <c r="AM24" s="502"/>
      <c r="AN24" s="83"/>
      <c r="AO24" s="552"/>
      <c r="AP24" s="553"/>
      <c r="AQ24" s="553"/>
      <c r="AR24" s="553"/>
      <c r="AS24" s="553"/>
      <c r="AT24" s="554"/>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529"/>
      <c r="C25" s="529"/>
      <c r="D25" s="530"/>
      <c r="E25" s="522"/>
      <c r="F25" s="523"/>
      <c r="G25" s="523"/>
      <c r="H25" s="523"/>
      <c r="I25" s="524"/>
      <c r="J25" s="491"/>
      <c r="K25" s="492"/>
      <c r="L25" s="492"/>
      <c r="M25" s="492"/>
      <c r="N25" s="492"/>
      <c r="O25" s="493"/>
      <c r="P25" s="491"/>
      <c r="Q25" s="492"/>
      <c r="R25" s="492"/>
      <c r="S25" s="492"/>
      <c r="T25" s="492"/>
      <c r="U25" s="493"/>
      <c r="V25" s="491"/>
      <c r="W25" s="492"/>
      <c r="X25" s="492"/>
      <c r="Y25" s="492"/>
      <c r="Z25" s="492"/>
      <c r="AA25" s="493"/>
      <c r="AB25" s="509"/>
      <c r="AC25" s="510"/>
      <c r="AD25" s="510"/>
      <c r="AE25" s="510"/>
      <c r="AF25" s="510"/>
      <c r="AG25" s="511"/>
      <c r="AH25" s="500"/>
      <c r="AI25" s="501"/>
      <c r="AJ25" s="501"/>
      <c r="AK25" s="501"/>
      <c r="AL25" s="501"/>
      <c r="AM25" s="502"/>
      <c r="AN25" s="83"/>
      <c r="AO25" s="552"/>
      <c r="AP25" s="553"/>
      <c r="AQ25" s="553"/>
      <c r="AR25" s="553"/>
      <c r="AS25" s="553"/>
      <c r="AT25" s="554"/>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529"/>
      <c r="C26" s="529"/>
      <c r="D26" s="530"/>
      <c r="E26" s="522"/>
      <c r="F26" s="523"/>
      <c r="G26" s="523"/>
      <c r="H26" s="523"/>
      <c r="I26" s="524"/>
      <c r="J26" s="491" t="str">
        <f>IF(AND('Mapa de Riesgos'!$H$52="Media",'Mapa de Riesgos'!$L$52="Leve"),CONCATENATE("R",'Mapa de Riesgos'!$A$52),"")</f>
        <v/>
      </c>
      <c r="K26" s="492"/>
      <c r="L26" s="492" t="str">
        <f>IF(AND('Mapa de Riesgos'!$H$58="Media",'Mapa de Riesgos'!$L$58="Leve"),CONCATENATE("R",'Mapa de Riesgos'!$A$58),"")</f>
        <v/>
      </c>
      <c r="M26" s="492"/>
      <c r="N26" s="492" t="str">
        <f>IF(AND('Mapa de Riesgos'!$H$64="Media",'Mapa de Riesgos'!$L$64="Leve"),CONCATENATE("R",'Mapa de Riesgos'!$A$64),"")</f>
        <v/>
      </c>
      <c r="O26" s="493"/>
      <c r="P26" s="491" t="str">
        <f>IF(AND('Mapa de Riesgos'!$H$52="Media",'Mapa de Riesgos'!$L$52="Menor"),CONCATENATE("R",'Mapa de Riesgos'!$A$52),"")</f>
        <v/>
      </c>
      <c r="Q26" s="492"/>
      <c r="R26" s="492" t="str">
        <f>IF(AND('Mapa de Riesgos'!$H$58="Media",'Mapa de Riesgos'!$L$58="Menor"),CONCATENATE("R",'Mapa de Riesgos'!$A$58),"")</f>
        <v/>
      </c>
      <c r="S26" s="492"/>
      <c r="T26" s="492" t="str">
        <f>IF(AND('Mapa de Riesgos'!$H$64="Media",'Mapa de Riesgos'!$L$64="Menor"),CONCATENATE("R",'Mapa de Riesgos'!$A$64),"")</f>
        <v/>
      </c>
      <c r="U26" s="493"/>
      <c r="V26" s="491" t="str">
        <f>IF(AND('Mapa de Riesgos'!$H$52="Media",'Mapa de Riesgos'!$L$52="Moderado"),CONCATENATE("R",'Mapa de Riesgos'!$A$52),"")</f>
        <v>R7</v>
      </c>
      <c r="W26" s="492"/>
      <c r="X26" s="492" t="str">
        <f>IF(AND('Mapa de Riesgos'!$H$58="Media",'Mapa de Riesgos'!$L$58="Moderado"),CONCATENATE("R",'Mapa de Riesgos'!$A$58),"")</f>
        <v>R8</v>
      </c>
      <c r="Y26" s="492"/>
      <c r="Z26" s="492" t="str">
        <f>IF(AND('Mapa de Riesgos'!$H$64="Media",'Mapa de Riesgos'!$L$64="Moderado"),CONCATENATE("R",'Mapa de Riesgos'!$A$64),"")</f>
        <v>R9</v>
      </c>
      <c r="AA26" s="493"/>
      <c r="AB26" s="509" t="str">
        <f>IF(AND('Mapa de Riesgos'!$H$52="Media",'Mapa de Riesgos'!$L$52="Mayor"),CONCATENATE("R",'Mapa de Riesgos'!$A$52),"")</f>
        <v/>
      </c>
      <c r="AC26" s="510"/>
      <c r="AD26" s="510" t="str">
        <f>IF(AND('Mapa de Riesgos'!$H$58="Media",'Mapa de Riesgos'!$L$58="Mayor"),CONCATENATE("R",'Mapa de Riesgos'!$A$58),"")</f>
        <v/>
      </c>
      <c r="AE26" s="510"/>
      <c r="AF26" s="510" t="str">
        <f>IF(AND('Mapa de Riesgos'!$H$64="Media",'Mapa de Riesgos'!$L$64="Mayor"),CONCATENATE("R",'Mapa de Riesgos'!$A$64),"")</f>
        <v/>
      </c>
      <c r="AG26" s="511"/>
      <c r="AH26" s="500" t="str">
        <f>IF(AND('Mapa de Riesgos'!$H$52="Media",'Mapa de Riesgos'!$L$52="Catastrófico"),CONCATENATE("R",'Mapa de Riesgos'!$A$52),"")</f>
        <v/>
      </c>
      <c r="AI26" s="501"/>
      <c r="AJ26" s="501" t="str">
        <f>IF(AND('Mapa de Riesgos'!$H$58="Media",'Mapa de Riesgos'!$L$58="Catastrófico"),CONCATENATE("R",'Mapa de Riesgos'!$A$58),"")</f>
        <v/>
      </c>
      <c r="AK26" s="501"/>
      <c r="AL26" s="501" t="str">
        <f>IF(AND('Mapa de Riesgos'!$H$64="Media",'Mapa de Riesgos'!$L$64="Catastrófico"),CONCATENATE("R",'Mapa de Riesgos'!$A$64),"")</f>
        <v/>
      </c>
      <c r="AM26" s="502"/>
      <c r="AN26" s="83"/>
      <c r="AO26" s="552"/>
      <c r="AP26" s="553"/>
      <c r="AQ26" s="553"/>
      <c r="AR26" s="553"/>
      <c r="AS26" s="553"/>
      <c r="AT26" s="554"/>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529"/>
      <c r="C27" s="529"/>
      <c r="D27" s="530"/>
      <c r="E27" s="522"/>
      <c r="F27" s="523"/>
      <c r="G27" s="523"/>
      <c r="H27" s="523"/>
      <c r="I27" s="524"/>
      <c r="J27" s="491"/>
      <c r="K27" s="492"/>
      <c r="L27" s="492"/>
      <c r="M27" s="492"/>
      <c r="N27" s="492"/>
      <c r="O27" s="493"/>
      <c r="P27" s="491"/>
      <c r="Q27" s="492"/>
      <c r="R27" s="492"/>
      <c r="S27" s="492"/>
      <c r="T27" s="492"/>
      <c r="U27" s="493"/>
      <c r="V27" s="491"/>
      <c r="W27" s="492"/>
      <c r="X27" s="492"/>
      <c r="Y27" s="492"/>
      <c r="Z27" s="492"/>
      <c r="AA27" s="493"/>
      <c r="AB27" s="509"/>
      <c r="AC27" s="510"/>
      <c r="AD27" s="510"/>
      <c r="AE27" s="510"/>
      <c r="AF27" s="510"/>
      <c r="AG27" s="511"/>
      <c r="AH27" s="500"/>
      <c r="AI27" s="501"/>
      <c r="AJ27" s="501"/>
      <c r="AK27" s="501"/>
      <c r="AL27" s="501"/>
      <c r="AM27" s="502"/>
      <c r="AN27" s="83"/>
      <c r="AO27" s="552"/>
      <c r="AP27" s="553"/>
      <c r="AQ27" s="553"/>
      <c r="AR27" s="553"/>
      <c r="AS27" s="553"/>
      <c r="AT27" s="554"/>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529"/>
      <c r="C28" s="529"/>
      <c r="D28" s="530"/>
      <c r="E28" s="522"/>
      <c r="F28" s="523"/>
      <c r="G28" s="523"/>
      <c r="H28" s="523"/>
      <c r="I28" s="524"/>
      <c r="J28" s="491" t="str">
        <f>IF(AND('Mapa de Riesgos'!$H$70="Media",'Mapa de Riesgos'!$L$70="Leve"),CONCATENATE("R",'Mapa de Riesgos'!$A$70),"")</f>
        <v/>
      </c>
      <c r="K28" s="492"/>
      <c r="L28" s="492" t="str">
        <f>IF(AND('Mapa de Riesgos'!$H$76="Media",'Mapa de Riesgos'!$L$76="Leve"),CONCATENATE("R",'Mapa de Riesgos'!$A$76),"")</f>
        <v/>
      </c>
      <c r="M28" s="492"/>
      <c r="N28" s="492" t="str">
        <f>IF(AND('Mapa de Riesgos'!$H$82="Media",'Mapa de Riesgos'!$L$82="Leve"),CONCATENATE("R",'Mapa de Riesgos'!$A$82),"")</f>
        <v/>
      </c>
      <c r="O28" s="493"/>
      <c r="P28" s="491" t="str">
        <f>IF(AND('Mapa de Riesgos'!$H$70="Media",'Mapa de Riesgos'!$L$70="Menor"),CONCATENATE("R",'Mapa de Riesgos'!$A$70),"")</f>
        <v/>
      </c>
      <c r="Q28" s="492"/>
      <c r="R28" s="492" t="str">
        <f>IF(AND('Mapa de Riesgos'!$H$76="Media",'Mapa de Riesgos'!$L$76="Menor"),CONCATENATE("R",'Mapa de Riesgos'!$A$76),"")</f>
        <v/>
      </c>
      <c r="S28" s="492"/>
      <c r="T28" s="492" t="str">
        <f>IF(AND('Mapa de Riesgos'!$H$82="Media",'Mapa de Riesgos'!$L$82="Menor"),CONCATENATE("R",'Mapa de Riesgos'!$A$82),"")</f>
        <v/>
      </c>
      <c r="U28" s="493"/>
      <c r="V28" s="491" t="str">
        <f>IF(AND('Mapa de Riesgos'!$H$70="Media",'Mapa de Riesgos'!$L$70="Moderado"),CONCATENATE("R",'Mapa de Riesgos'!$A$70),"")</f>
        <v>R10</v>
      </c>
      <c r="W28" s="492"/>
      <c r="X28" s="492" t="str">
        <f>IF(AND('Mapa de Riesgos'!$H$76="Media",'Mapa de Riesgos'!$L$76="Moderado"),CONCATENATE("R",'Mapa de Riesgos'!$A$76),"")</f>
        <v/>
      </c>
      <c r="Y28" s="492"/>
      <c r="Z28" s="492" t="str">
        <f>IF(AND('Mapa de Riesgos'!$H$82="Media",'Mapa de Riesgos'!$L$82="Moderado"),CONCATENATE("R",'Mapa de Riesgos'!$A$82),"")</f>
        <v/>
      </c>
      <c r="AA28" s="493"/>
      <c r="AB28" s="509" t="str">
        <f>IF(AND('Mapa de Riesgos'!$H$70="Media",'Mapa de Riesgos'!$L$70="Mayor"),CONCATENATE("R",'Mapa de Riesgos'!$A$70),"")</f>
        <v/>
      </c>
      <c r="AC28" s="510"/>
      <c r="AD28" s="510" t="str">
        <f>IF(AND('Mapa de Riesgos'!$H$76="Media",'Mapa de Riesgos'!$L$76="Mayor"),CONCATENATE("R",'Mapa de Riesgos'!$A$76),"")</f>
        <v/>
      </c>
      <c r="AE28" s="510"/>
      <c r="AF28" s="510" t="str">
        <f>IF(AND('Mapa de Riesgos'!$H$82="Media",'Mapa de Riesgos'!$L$82="Mayor"),CONCATENATE("R",'Mapa de Riesgos'!$A$82),"")</f>
        <v/>
      </c>
      <c r="AG28" s="511"/>
      <c r="AH28" s="500" t="str">
        <f>IF(AND('Mapa de Riesgos'!$H$70="Media",'Mapa de Riesgos'!$L$70="Catastrófico"),CONCATENATE("R",'Mapa de Riesgos'!$A$70),"")</f>
        <v/>
      </c>
      <c r="AI28" s="501"/>
      <c r="AJ28" s="501" t="str">
        <f>IF(AND('Mapa de Riesgos'!$H$76="Media",'Mapa de Riesgos'!$L$76="Catastrófico"),CONCATENATE("R",'Mapa de Riesgos'!$A$76),"")</f>
        <v/>
      </c>
      <c r="AK28" s="501"/>
      <c r="AL28" s="501" t="str">
        <f>IF(AND('Mapa de Riesgos'!$H$82="Media",'Mapa de Riesgos'!$L$82="Catastrófico"),CONCATENATE("R",'Mapa de Riesgos'!$A$82),"")</f>
        <v/>
      </c>
      <c r="AM28" s="502"/>
      <c r="AN28" s="83"/>
      <c r="AO28" s="552"/>
      <c r="AP28" s="553"/>
      <c r="AQ28" s="553"/>
      <c r="AR28" s="553"/>
      <c r="AS28" s="553"/>
      <c r="AT28" s="554"/>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529"/>
      <c r="C29" s="529"/>
      <c r="D29" s="530"/>
      <c r="E29" s="525"/>
      <c r="F29" s="526"/>
      <c r="G29" s="526"/>
      <c r="H29" s="526"/>
      <c r="I29" s="527"/>
      <c r="J29" s="491"/>
      <c r="K29" s="492"/>
      <c r="L29" s="492"/>
      <c r="M29" s="492"/>
      <c r="N29" s="492"/>
      <c r="O29" s="493"/>
      <c r="P29" s="494"/>
      <c r="Q29" s="495"/>
      <c r="R29" s="495"/>
      <c r="S29" s="495"/>
      <c r="T29" s="495"/>
      <c r="U29" s="496"/>
      <c r="V29" s="494"/>
      <c r="W29" s="495"/>
      <c r="X29" s="495"/>
      <c r="Y29" s="495"/>
      <c r="Z29" s="495"/>
      <c r="AA29" s="496"/>
      <c r="AB29" s="512"/>
      <c r="AC29" s="513"/>
      <c r="AD29" s="513"/>
      <c r="AE29" s="513"/>
      <c r="AF29" s="513"/>
      <c r="AG29" s="514"/>
      <c r="AH29" s="503"/>
      <c r="AI29" s="504"/>
      <c r="AJ29" s="504"/>
      <c r="AK29" s="504"/>
      <c r="AL29" s="504"/>
      <c r="AM29" s="505"/>
      <c r="AN29" s="83"/>
      <c r="AO29" s="555"/>
      <c r="AP29" s="556"/>
      <c r="AQ29" s="556"/>
      <c r="AR29" s="556"/>
      <c r="AS29" s="556"/>
      <c r="AT29" s="557"/>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529"/>
      <c r="C30" s="529"/>
      <c r="D30" s="530"/>
      <c r="E30" s="519" t="s">
        <v>248</v>
      </c>
      <c r="F30" s="520"/>
      <c r="G30" s="520"/>
      <c r="H30" s="520"/>
      <c r="I30" s="520"/>
      <c r="J30" s="488" t="str">
        <f>IF(AND('Mapa de Riesgos'!$H$12="Baja",'Mapa de Riesgos'!$L$12="Leve"),CONCATENATE("R",'Mapa de Riesgos'!$A$12),"")</f>
        <v/>
      </c>
      <c r="K30" s="489"/>
      <c r="L30" s="489" t="str">
        <f>IF(AND('Mapa de Riesgos'!$H$19="Baja",'Mapa de Riesgos'!$L$19="Leve"),CONCATENATE("R",'Mapa de Riesgos'!$A$19),"")</f>
        <v/>
      </c>
      <c r="M30" s="489"/>
      <c r="N30" s="489" t="str">
        <f>IF(AND('Mapa de Riesgos'!$H$25="Baja",'Mapa de Riesgos'!$L$25="Leve"),CONCATENATE("R",'Mapa de Riesgos'!$A$27),"")</f>
        <v/>
      </c>
      <c r="O30" s="490"/>
      <c r="P30" s="498" t="str">
        <f>IF(AND('Mapa de Riesgos'!$H$12="Baja",'Mapa de Riesgos'!$L$12="Menor"),CONCATENATE("R",'Mapa de Riesgos'!$A$12),"")</f>
        <v/>
      </c>
      <c r="Q30" s="498"/>
      <c r="R30" s="498" t="str">
        <f>IF(AND('Mapa de Riesgos'!$H$19="Baja",'Mapa de Riesgos'!$L$19="Menor"),CONCATENATE("R",'Mapa de Riesgos'!$A$19),"")</f>
        <v/>
      </c>
      <c r="S30" s="498"/>
      <c r="T30" s="498" t="str">
        <f>IF(AND('Mapa de Riesgos'!$H$25="Baja",'Mapa de Riesgos'!$L$25="Menor"),CONCATENATE("R",'Mapa de Riesgos'!$A$27),"")</f>
        <v/>
      </c>
      <c r="U30" s="499"/>
      <c r="V30" s="497" t="str">
        <f>IF(AND('Mapa de Riesgos'!$H$12="Baja",'Mapa de Riesgos'!$L$12="Moderado"),CONCATENATE("R",'Mapa de Riesgos'!$A$12),"")</f>
        <v/>
      </c>
      <c r="W30" s="498"/>
      <c r="X30" s="498" t="str">
        <f>IF(AND('Mapa de Riesgos'!$H$19="Baja",'Mapa de Riesgos'!$L$19="Moderado"),CONCATENATE("R",'Mapa de Riesgos'!$A$19),"")</f>
        <v/>
      </c>
      <c r="Y30" s="498"/>
      <c r="Z30" s="498" t="str">
        <f>IF(AND('Mapa de Riesgos'!$H$25="Baja",'Mapa de Riesgos'!$L$25="Moderado"),CONCATENATE("R",'Mapa de Riesgos'!$A$27),"")</f>
        <v/>
      </c>
      <c r="AA30" s="499"/>
      <c r="AB30" s="515" t="str">
        <f>IF(AND('Mapa de Riesgos'!$H$12="Baja",'Mapa de Riesgos'!$L$12="Mayor"),CONCATENATE("R",'Mapa de Riesgos'!$A$12),"")</f>
        <v/>
      </c>
      <c r="AC30" s="516"/>
      <c r="AD30" s="516" t="str">
        <f>IF(AND('Mapa de Riesgos'!$H$19="Baja",'Mapa de Riesgos'!$L$19="Mayor"),CONCATENATE("R",'Mapa de Riesgos'!$A$19),"")</f>
        <v/>
      </c>
      <c r="AE30" s="516"/>
      <c r="AF30" s="516" t="str">
        <f>IF(AND('Mapa de Riesgos'!$H$25="Baja",'Mapa de Riesgos'!$L$25="Mayor"),CONCATENATE("R",'Mapa de Riesgos'!$A$27),"")</f>
        <v/>
      </c>
      <c r="AG30" s="517"/>
      <c r="AH30" s="506" t="str">
        <f>IF(AND('Mapa de Riesgos'!$H$12="Baja",'Mapa de Riesgos'!$L$12="Catastrófico"),CONCATENATE("R",'Mapa de Riesgos'!$A$12),"")</f>
        <v/>
      </c>
      <c r="AI30" s="507"/>
      <c r="AJ30" s="507" t="str">
        <f>IF(AND('Mapa de Riesgos'!$H$19="Baja",'Mapa de Riesgos'!$L$19="Catastrófico"),CONCATENATE("R",'Mapa de Riesgos'!$A$19),"")</f>
        <v/>
      </c>
      <c r="AK30" s="507"/>
      <c r="AL30" s="507" t="str">
        <f>IF(AND('Mapa de Riesgos'!$H$25="Baja",'Mapa de Riesgos'!$L$25="Catastrófico"),CONCATENATE("R",'Mapa de Riesgos'!$A$27),"")</f>
        <v/>
      </c>
      <c r="AM30" s="508"/>
      <c r="AN30" s="83"/>
      <c r="AO30" s="558" t="s">
        <v>249</v>
      </c>
      <c r="AP30" s="559"/>
      <c r="AQ30" s="559"/>
      <c r="AR30" s="559"/>
      <c r="AS30" s="559"/>
      <c r="AT30" s="560"/>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529"/>
      <c r="C31" s="529"/>
      <c r="D31" s="530"/>
      <c r="E31" s="522"/>
      <c r="F31" s="523"/>
      <c r="G31" s="523"/>
      <c r="H31" s="523"/>
      <c r="I31" s="523"/>
      <c r="J31" s="482"/>
      <c r="K31" s="483"/>
      <c r="L31" s="483"/>
      <c r="M31" s="483"/>
      <c r="N31" s="483"/>
      <c r="O31" s="484"/>
      <c r="P31" s="492"/>
      <c r="Q31" s="492"/>
      <c r="R31" s="492"/>
      <c r="S31" s="492"/>
      <c r="T31" s="492"/>
      <c r="U31" s="493"/>
      <c r="V31" s="491"/>
      <c r="W31" s="492"/>
      <c r="X31" s="492"/>
      <c r="Y31" s="492"/>
      <c r="Z31" s="492"/>
      <c r="AA31" s="493"/>
      <c r="AB31" s="509"/>
      <c r="AC31" s="510"/>
      <c r="AD31" s="510"/>
      <c r="AE31" s="510"/>
      <c r="AF31" s="510"/>
      <c r="AG31" s="511"/>
      <c r="AH31" s="500"/>
      <c r="AI31" s="501"/>
      <c r="AJ31" s="501"/>
      <c r="AK31" s="501"/>
      <c r="AL31" s="501"/>
      <c r="AM31" s="502"/>
      <c r="AN31" s="83"/>
      <c r="AO31" s="561"/>
      <c r="AP31" s="562"/>
      <c r="AQ31" s="562"/>
      <c r="AR31" s="562"/>
      <c r="AS31" s="562"/>
      <c r="AT31" s="56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529"/>
      <c r="C32" s="529"/>
      <c r="D32" s="530"/>
      <c r="E32" s="522"/>
      <c r="F32" s="523"/>
      <c r="G32" s="523"/>
      <c r="H32" s="523"/>
      <c r="I32" s="523"/>
      <c r="J32" s="482" t="str">
        <f>IF(AND('Mapa de Riesgos'!$H$33="Baja",'Mapa de Riesgos'!$L$33="Leve"),CONCATENATE("R",'Mapa de Riesgos'!$A$33),"")</f>
        <v/>
      </c>
      <c r="K32" s="483"/>
      <c r="L32" s="483" t="str">
        <f>IF(AND('Mapa de Riesgos'!$H$39="Baja",'Mapa de Riesgos'!$L$39="Leve"),CONCATENATE("R",'Mapa de Riesgos'!$A$39),"")</f>
        <v/>
      </c>
      <c r="M32" s="483"/>
      <c r="N32" s="483" t="str">
        <f>IF(AND('Mapa de Riesgos'!$H$46="Baja",'Mapa de Riesgos'!$L$46="Leve"),CONCATENATE("R",'Mapa de Riesgos'!$A$46),"")</f>
        <v/>
      </c>
      <c r="O32" s="484"/>
      <c r="P32" s="492" t="str">
        <f>IF(AND('Mapa de Riesgos'!$H$33="Baja",'Mapa de Riesgos'!$L$33="Menor"),CONCATENATE("R",'Mapa de Riesgos'!$A$33),"")</f>
        <v/>
      </c>
      <c r="Q32" s="492"/>
      <c r="R32" s="492" t="str">
        <f>IF(AND('Mapa de Riesgos'!$H$39="Baja",'Mapa de Riesgos'!$L$39="Menor"),CONCATENATE("R",'Mapa de Riesgos'!$A$39),"")</f>
        <v/>
      </c>
      <c r="S32" s="492"/>
      <c r="T32" s="492" t="str">
        <f>IF(AND('Mapa de Riesgos'!$H$46="Baja",'Mapa de Riesgos'!$L$46="Menor"),CONCATENATE("R",'Mapa de Riesgos'!$A$46),"")</f>
        <v/>
      </c>
      <c r="U32" s="493"/>
      <c r="V32" s="491" t="str">
        <f>IF(AND('Mapa de Riesgos'!$H$33="Baja",'Mapa de Riesgos'!$L$33="Moderado"),CONCATENATE("R",'Mapa de Riesgos'!$A$33),"")</f>
        <v/>
      </c>
      <c r="W32" s="492"/>
      <c r="X32" s="492" t="str">
        <f>IF(AND('Mapa de Riesgos'!$H$39="Baja",'Mapa de Riesgos'!$L$39="Moderado"),CONCATENATE("R",'Mapa de Riesgos'!$A$39),"")</f>
        <v/>
      </c>
      <c r="Y32" s="492"/>
      <c r="Z32" s="492" t="str">
        <f>IF(AND('Mapa de Riesgos'!$H$46="Baja",'Mapa de Riesgos'!$L$46="Moderado"),CONCATENATE("R",'Mapa de Riesgos'!$A$46),"")</f>
        <v/>
      </c>
      <c r="AA32" s="493"/>
      <c r="AB32" s="509" t="str">
        <f>IF(AND('Mapa de Riesgos'!$H$33="Baja",'Mapa de Riesgos'!$L$33="Mayor"),CONCATENATE("R",'Mapa de Riesgos'!$A$33),"")</f>
        <v/>
      </c>
      <c r="AC32" s="510"/>
      <c r="AD32" s="510" t="str">
        <f>IF(AND('Mapa de Riesgos'!$H$39="Baja",'Mapa de Riesgos'!$L$39="Mayor"),CONCATENATE("R",'Mapa de Riesgos'!$A$39),"")</f>
        <v/>
      </c>
      <c r="AE32" s="510"/>
      <c r="AF32" s="510" t="str">
        <f>IF(AND('Mapa de Riesgos'!$H$46="Baja",'Mapa de Riesgos'!$L$46="Mayor"),CONCATENATE("R",'Mapa de Riesgos'!$A$46),"")</f>
        <v/>
      </c>
      <c r="AG32" s="511"/>
      <c r="AH32" s="500" t="str">
        <f>IF(AND('Mapa de Riesgos'!$H$33="Baja",'Mapa de Riesgos'!$L$33="Catastrófico"),CONCATENATE("R",'Mapa de Riesgos'!$A$33),"")</f>
        <v/>
      </c>
      <c r="AI32" s="501"/>
      <c r="AJ32" s="501" t="str">
        <f>IF(AND('Mapa de Riesgos'!$H$39="Baja",'Mapa de Riesgos'!$L$39="Catastrófico"),CONCATENATE("R",'Mapa de Riesgos'!$A$39),"")</f>
        <v/>
      </c>
      <c r="AK32" s="501"/>
      <c r="AL32" s="501" t="str">
        <f>IF(AND('Mapa de Riesgos'!$H$46="Baja",'Mapa de Riesgos'!$L$46="Catastrófico"),CONCATENATE("R",'Mapa de Riesgos'!$A$46),"")</f>
        <v/>
      </c>
      <c r="AM32" s="502"/>
      <c r="AN32" s="83"/>
      <c r="AO32" s="561"/>
      <c r="AP32" s="562"/>
      <c r="AQ32" s="562"/>
      <c r="AR32" s="562"/>
      <c r="AS32" s="562"/>
      <c r="AT32" s="56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529"/>
      <c r="C33" s="529"/>
      <c r="D33" s="530"/>
      <c r="E33" s="522"/>
      <c r="F33" s="523"/>
      <c r="G33" s="523"/>
      <c r="H33" s="523"/>
      <c r="I33" s="523"/>
      <c r="J33" s="482"/>
      <c r="K33" s="483"/>
      <c r="L33" s="483"/>
      <c r="M33" s="483"/>
      <c r="N33" s="483"/>
      <c r="O33" s="484"/>
      <c r="P33" s="492"/>
      <c r="Q33" s="492"/>
      <c r="R33" s="492"/>
      <c r="S33" s="492"/>
      <c r="T33" s="492"/>
      <c r="U33" s="493"/>
      <c r="V33" s="491"/>
      <c r="W33" s="492"/>
      <c r="X33" s="492"/>
      <c r="Y33" s="492"/>
      <c r="Z33" s="492"/>
      <c r="AA33" s="493"/>
      <c r="AB33" s="509"/>
      <c r="AC33" s="510"/>
      <c r="AD33" s="510"/>
      <c r="AE33" s="510"/>
      <c r="AF33" s="510"/>
      <c r="AG33" s="511"/>
      <c r="AH33" s="500"/>
      <c r="AI33" s="501"/>
      <c r="AJ33" s="501"/>
      <c r="AK33" s="501"/>
      <c r="AL33" s="501"/>
      <c r="AM33" s="502"/>
      <c r="AN33" s="83"/>
      <c r="AO33" s="561"/>
      <c r="AP33" s="562"/>
      <c r="AQ33" s="562"/>
      <c r="AR33" s="562"/>
      <c r="AS33" s="562"/>
      <c r="AT33" s="56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529"/>
      <c r="C34" s="529"/>
      <c r="D34" s="530"/>
      <c r="E34" s="522"/>
      <c r="F34" s="523"/>
      <c r="G34" s="523"/>
      <c r="H34" s="523"/>
      <c r="I34" s="523"/>
      <c r="J34" s="482" t="str">
        <f>IF(AND('Mapa de Riesgos'!$H$52="Baja",'Mapa de Riesgos'!$L$52="Leve"),CONCATENATE("R",'Mapa de Riesgos'!$A$52),"")</f>
        <v/>
      </c>
      <c r="K34" s="483"/>
      <c r="L34" s="483" t="str">
        <f>IF(AND('Mapa de Riesgos'!$H$58="Baja",'Mapa de Riesgos'!$L$58="Leve"),CONCATENATE("R",'Mapa de Riesgos'!$A$58),"")</f>
        <v/>
      </c>
      <c r="M34" s="483"/>
      <c r="N34" s="483" t="str">
        <f>IF(AND('Mapa de Riesgos'!$H$64="Baja",'Mapa de Riesgos'!$L$64="Leve"),CONCATENATE("R",'Mapa de Riesgos'!$A$64),"")</f>
        <v/>
      </c>
      <c r="O34" s="484"/>
      <c r="P34" s="492" t="str">
        <f>IF(AND('Mapa de Riesgos'!$H$52="Baja",'Mapa de Riesgos'!$L$52="Menor"),CONCATENATE("R",'Mapa de Riesgos'!$A$52),"")</f>
        <v/>
      </c>
      <c r="Q34" s="492"/>
      <c r="R34" s="492" t="str">
        <f>IF(AND('Mapa de Riesgos'!$H$58="Baja",'Mapa de Riesgos'!$L$58="Menor"),CONCATENATE("R",'Mapa de Riesgos'!$A$58),"")</f>
        <v/>
      </c>
      <c r="S34" s="492"/>
      <c r="T34" s="492" t="str">
        <f>IF(AND('Mapa de Riesgos'!$H$64="Baja",'Mapa de Riesgos'!$L$64="Menor"),CONCATENATE("R",'Mapa de Riesgos'!$A$64),"")</f>
        <v/>
      </c>
      <c r="U34" s="493"/>
      <c r="V34" s="491" t="str">
        <f>IF(AND('Mapa de Riesgos'!$H$52="Baja",'Mapa de Riesgos'!$L$52="Moderado"),CONCATENATE("R",'Mapa de Riesgos'!$A$52),"")</f>
        <v/>
      </c>
      <c r="W34" s="492"/>
      <c r="X34" s="492" t="str">
        <f>IF(AND('Mapa de Riesgos'!$H$58="Baja",'Mapa de Riesgos'!$L$58="Moderado"),CONCATENATE("R",'Mapa de Riesgos'!$A$58),"")</f>
        <v/>
      </c>
      <c r="Y34" s="492"/>
      <c r="Z34" s="492" t="str">
        <f>IF(AND('Mapa de Riesgos'!$H$64="Baja",'Mapa de Riesgos'!$L$64="Moderado"),CONCATENATE("R",'Mapa de Riesgos'!$A$64),"")</f>
        <v/>
      </c>
      <c r="AA34" s="493"/>
      <c r="AB34" s="509" t="str">
        <f>IF(AND('Mapa de Riesgos'!$H$52="Baja",'Mapa de Riesgos'!$L$52="Mayor"),CONCATENATE("R",'Mapa de Riesgos'!$A$52),"")</f>
        <v/>
      </c>
      <c r="AC34" s="510"/>
      <c r="AD34" s="510" t="str">
        <f>IF(AND('Mapa de Riesgos'!$H$58="Baja",'Mapa de Riesgos'!$L$58="Mayor"),CONCATENATE("R",'Mapa de Riesgos'!$A$58),"")</f>
        <v/>
      </c>
      <c r="AE34" s="510"/>
      <c r="AF34" s="510" t="str">
        <f>IF(AND('Mapa de Riesgos'!$H$64="Baja",'Mapa de Riesgos'!$L$64="Mayor"),CONCATENATE("R",'Mapa de Riesgos'!$A$64),"")</f>
        <v/>
      </c>
      <c r="AG34" s="511"/>
      <c r="AH34" s="500" t="str">
        <f>IF(AND('Mapa de Riesgos'!$H$52="Baja",'Mapa de Riesgos'!$L$52="Catastrófico"),CONCATENATE("R",'Mapa de Riesgos'!$A$52),"")</f>
        <v/>
      </c>
      <c r="AI34" s="501"/>
      <c r="AJ34" s="501" t="str">
        <f>IF(AND('Mapa de Riesgos'!$H$58="Baja",'Mapa de Riesgos'!$L$58="Catastrófico"),CONCATENATE("R",'Mapa de Riesgos'!$A$58),"")</f>
        <v/>
      </c>
      <c r="AK34" s="501"/>
      <c r="AL34" s="501" t="str">
        <f>IF(AND('Mapa de Riesgos'!$H$64="Baja",'Mapa de Riesgos'!$L$64="Catastrófico"),CONCATENATE("R",'Mapa de Riesgos'!$A$64),"")</f>
        <v/>
      </c>
      <c r="AM34" s="502"/>
      <c r="AN34" s="83"/>
      <c r="AO34" s="561"/>
      <c r="AP34" s="562"/>
      <c r="AQ34" s="562"/>
      <c r="AR34" s="562"/>
      <c r="AS34" s="562"/>
      <c r="AT34" s="56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529"/>
      <c r="C35" s="529"/>
      <c r="D35" s="530"/>
      <c r="E35" s="522"/>
      <c r="F35" s="523"/>
      <c r="G35" s="523"/>
      <c r="H35" s="523"/>
      <c r="I35" s="523"/>
      <c r="J35" s="482"/>
      <c r="K35" s="483"/>
      <c r="L35" s="483"/>
      <c r="M35" s="483"/>
      <c r="N35" s="483"/>
      <c r="O35" s="484"/>
      <c r="P35" s="492"/>
      <c r="Q35" s="492"/>
      <c r="R35" s="492"/>
      <c r="S35" s="492"/>
      <c r="T35" s="492"/>
      <c r="U35" s="493"/>
      <c r="V35" s="491"/>
      <c r="W35" s="492"/>
      <c r="X35" s="492"/>
      <c r="Y35" s="492"/>
      <c r="Z35" s="492"/>
      <c r="AA35" s="493"/>
      <c r="AB35" s="509"/>
      <c r="AC35" s="510"/>
      <c r="AD35" s="510"/>
      <c r="AE35" s="510"/>
      <c r="AF35" s="510"/>
      <c r="AG35" s="511"/>
      <c r="AH35" s="500"/>
      <c r="AI35" s="501"/>
      <c r="AJ35" s="501"/>
      <c r="AK35" s="501"/>
      <c r="AL35" s="501"/>
      <c r="AM35" s="502"/>
      <c r="AN35" s="83"/>
      <c r="AO35" s="561"/>
      <c r="AP35" s="562"/>
      <c r="AQ35" s="562"/>
      <c r="AR35" s="562"/>
      <c r="AS35" s="562"/>
      <c r="AT35" s="56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529"/>
      <c r="C36" s="529"/>
      <c r="D36" s="530"/>
      <c r="E36" s="522"/>
      <c r="F36" s="523"/>
      <c r="G36" s="523"/>
      <c r="H36" s="523"/>
      <c r="I36" s="523"/>
      <c r="J36" s="482" t="str">
        <f>IF(AND('Mapa de Riesgos'!$H$70="Baja",'Mapa de Riesgos'!$L$70="Leve"),CONCATENATE("R",'Mapa de Riesgos'!$A$70),"")</f>
        <v/>
      </c>
      <c r="K36" s="483"/>
      <c r="L36" s="483" t="str">
        <f>IF(AND('Mapa de Riesgos'!$H$76="Baja",'Mapa de Riesgos'!$L$76="Leve"),CONCATENATE("R",'Mapa de Riesgos'!$A$76),"")</f>
        <v/>
      </c>
      <c r="M36" s="483"/>
      <c r="N36" s="483" t="str">
        <f>IF(AND('Mapa de Riesgos'!$H$82="Baja",'Mapa de Riesgos'!$L$82="Leve"),CONCATENATE("R",'Mapa de Riesgos'!$A$82),"")</f>
        <v/>
      </c>
      <c r="O36" s="484"/>
      <c r="P36" s="492" t="str">
        <f>IF(AND('Mapa de Riesgos'!$H$70="Baja",'Mapa de Riesgos'!$L$70="Menor"),CONCATENATE("R",'Mapa de Riesgos'!$A$70),"")</f>
        <v/>
      </c>
      <c r="Q36" s="492"/>
      <c r="R36" s="492" t="str">
        <f>IF(AND('Mapa de Riesgos'!$H$76="Baja",'Mapa de Riesgos'!$L$76="Menor"),CONCATENATE("R",'Mapa de Riesgos'!$A$76),"")</f>
        <v/>
      </c>
      <c r="S36" s="492"/>
      <c r="T36" s="492" t="str">
        <f>IF(AND('Mapa de Riesgos'!$H$82="Baja",'Mapa de Riesgos'!$L$82="Menor"),CONCATENATE("R",'Mapa de Riesgos'!$A$82),"")</f>
        <v/>
      </c>
      <c r="U36" s="493"/>
      <c r="V36" s="491" t="str">
        <f>IF(AND('Mapa de Riesgos'!$H$70="Baja",'Mapa de Riesgos'!$L$70="Moderado"),CONCATENATE("R",'Mapa de Riesgos'!$A$70),"")</f>
        <v/>
      </c>
      <c r="W36" s="492"/>
      <c r="X36" s="492" t="str">
        <f>IF(AND('Mapa de Riesgos'!$H$76="Baja",'Mapa de Riesgos'!$L$76="Moderado"),CONCATENATE("R",'Mapa de Riesgos'!$A$76),"")</f>
        <v/>
      </c>
      <c r="Y36" s="492"/>
      <c r="Z36" s="492" t="str">
        <f>IF(AND('Mapa de Riesgos'!$H$82="Baja",'Mapa de Riesgos'!$L$82="Moderado"),CONCATENATE("R",'Mapa de Riesgos'!$A$82),"")</f>
        <v/>
      </c>
      <c r="AA36" s="493"/>
      <c r="AB36" s="509" t="str">
        <f>IF(AND('Mapa de Riesgos'!$H$70="Baja",'Mapa de Riesgos'!$L$70="Mayor"),CONCATENATE("R",'Mapa de Riesgos'!$A$70),"")</f>
        <v/>
      </c>
      <c r="AC36" s="510"/>
      <c r="AD36" s="510" t="str">
        <f>IF(AND('Mapa de Riesgos'!$H$76="Baja",'Mapa de Riesgos'!$L$76="Mayor"),CONCATENATE("R",'Mapa de Riesgos'!$A$76),"")</f>
        <v/>
      </c>
      <c r="AE36" s="510"/>
      <c r="AF36" s="510" t="str">
        <f>IF(AND('Mapa de Riesgos'!$H$82="Baja",'Mapa de Riesgos'!$L$82="Mayor"),CONCATENATE("R",'Mapa de Riesgos'!$A$82),"")</f>
        <v/>
      </c>
      <c r="AG36" s="511"/>
      <c r="AH36" s="500" t="str">
        <f>IF(AND('Mapa de Riesgos'!$H$70="Baja",'Mapa de Riesgos'!$L$70="Catastrófico"),CONCATENATE("R",'Mapa de Riesgos'!$A$70),"")</f>
        <v/>
      </c>
      <c r="AI36" s="501"/>
      <c r="AJ36" s="501" t="str">
        <f>IF(AND('Mapa de Riesgos'!$H$76="Baja",'Mapa de Riesgos'!$L$76="Catastrófico"),CONCATENATE("R",'Mapa de Riesgos'!$A$76),"")</f>
        <v/>
      </c>
      <c r="AK36" s="501"/>
      <c r="AL36" s="501" t="str">
        <f>IF(AND('Mapa de Riesgos'!$H$82="Baja",'Mapa de Riesgos'!$L$82="Catastrófico"),CONCATENATE("R",'Mapa de Riesgos'!$A$82),"")</f>
        <v/>
      </c>
      <c r="AM36" s="502"/>
      <c r="AN36" s="83"/>
      <c r="AO36" s="561"/>
      <c r="AP36" s="562"/>
      <c r="AQ36" s="562"/>
      <c r="AR36" s="562"/>
      <c r="AS36" s="562"/>
      <c r="AT36" s="56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529"/>
      <c r="C37" s="529"/>
      <c r="D37" s="530"/>
      <c r="E37" s="525"/>
      <c r="F37" s="526"/>
      <c r="G37" s="526"/>
      <c r="H37" s="526"/>
      <c r="I37" s="526"/>
      <c r="J37" s="485"/>
      <c r="K37" s="486"/>
      <c r="L37" s="486"/>
      <c r="M37" s="486"/>
      <c r="N37" s="486"/>
      <c r="O37" s="487"/>
      <c r="P37" s="495"/>
      <c r="Q37" s="495"/>
      <c r="R37" s="495"/>
      <c r="S37" s="495"/>
      <c r="T37" s="495"/>
      <c r="U37" s="496"/>
      <c r="V37" s="494"/>
      <c r="W37" s="495"/>
      <c r="X37" s="495"/>
      <c r="Y37" s="495"/>
      <c r="Z37" s="495"/>
      <c r="AA37" s="496"/>
      <c r="AB37" s="512"/>
      <c r="AC37" s="513"/>
      <c r="AD37" s="513"/>
      <c r="AE37" s="513"/>
      <c r="AF37" s="513"/>
      <c r="AG37" s="514"/>
      <c r="AH37" s="503"/>
      <c r="AI37" s="504"/>
      <c r="AJ37" s="504"/>
      <c r="AK37" s="504"/>
      <c r="AL37" s="504"/>
      <c r="AM37" s="505"/>
      <c r="AN37" s="83"/>
      <c r="AO37" s="564"/>
      <c r="AP37" s="565"/>
      <c r="AQ37" s="565"/>
      <c r="AR37" s="565"/>
      <c r="AS37" s="565"/>
      <c r="AT37" s="566"/>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529"/>
      <c r="C38" s="529"/>
      <c r="D38" s="530"/>
      <c r="E38" s="519" t="s">
        <v>250</v>
      </c>
      <c r="F38" s="520"/>
      <c r="G38" s="520"/>
      <c r="H38" s="520"/>
      <c r="I38" s="521"/>
      <c r="J38" s="488" t="str">
        <f>IF(AND('Mapa de Riesgos'!$H$12="Muy Baja",'Mapa de Riesgos'!$L$12="Leve"),CONCATENATE("R",'Mapa de Riesgos'!$A$12),"")</f>
        <v/>
      </c>
      <c r="K38" s="489"/>
      <c r="L38" s="489" t="str">
        <f>IF(AND('Mapa de Riesgos'!$H$19="Muy Baja",'Mapa de Riesgos'!$L$19="Leve"),CONCATENATE("R",'Mapa de Riesgos'!$A$19),"")</f>
        <v/>
      </c>
      <c r="M38" s="489"/>
      <c r="N38" s="489" t="str">
        <f>IF(AND('Mapa de Riesgos'!$H$25="Muy Baja",'Mapa de Riesgos'!$L$25="Leve"),CONCATENATE("R",'Mapa de Riesgos'!$A$27),"")</f>
        <v/>
      </c>
      <c r="O38" s="490"/>
      <c r="P38" s="488" t="str">
        <f>IF(AND('Mapa de Riesgos'!$H$12="Muy Baja",'Mapa de Riesgos'!$L$12="Menor"),CONCATENATE("R",'Mapa de Riesgos'!$A$12),"")</f>
        <v/>
      </c>
      <c r="Q38" s="489"/>
      <c r="R38" s="489" t="str">
        <f>IF(AND('Mapa de Riesgos'!$H$19="Muy Baja",'Mapa de Riesgos'!$L$19="Menor"),CONCATENATE("R",'Mapa de Riesgos'!$A$19),"")</f>
        <v/>
      </c>
      <c r="S38" s="489"/>
      <c r="T38" s="489" t="str">
        <f>IF(AND('Mapa de Riesgos'!$H$25="Muy Baja",'Mapa de Riesgos'!$L$25="Menor"),CONCATENATE("R",'Mapa de Riesgos'!$A$27),"")</f>
        <v/>
      </c>
      <c r="U38" s="490"/>
      <c r="V38" s="497" t="str">
        <f>IF(AND('Mapa de Riesgos'!$H$12="Muy Baja",'Mapa de Riesgos'!$L$12="Moderado"),CONCATENATE("R",'Mapa de Riesgos'!$A$12),"")</f>
        <v/>
      </c>
      <c r="W38" s="498"/>
      <c r="X38" s="498" t="str">
        <f>IF(AND('Mapa de Riesgos'!$H$19="Muy Baja",'Mapa de Riesgos'!$L$19="Moderado"),CONCATENATE("R",'Mapa de Riesgos'!$A$19),"")</f>
        <v/>
      </c>
      <c r="Y38" s="498"/>
      <c r="Z38" s="498" t="str">
        <f>IF(AND('Mapa de Riesgos'!$H$25="Muy Baja",'Mapa de Riesgos'!$L$25="Moderado"),CONCATENATE("R",'Mapa de Riesgos'!$A$27),"")</f>
        <v/>
      </c>
      <c r="AA38" s="499"/>
      <c r="AB38" s="515" t="str">
        <f>IF(AND('Mapa de Riesgos'!$H$12="Muy Baja",'Mapa de Riesgos'!$L$12="Mayor"),CONCATENATE("R",'Mapa de Riesgos'!$A$12),"")</f>
        <v/>
      </c>
      <c r="AC38" s="516"/>
      <c r="AD38" s="516" t="str">
        <f>IF(AND('Mapa de Riesgos'!$H$19="Muy Baja",'Mapa de Riesgos'!$L$19="Mayor"),CONCATENATE("R",'Mapa de Riesgos'!$A$19),"")</f>
        <v/>
      </c>
      <c r="AE38" s="516"/>
      <c r="AF38" s="516" t="str">
        <f>IF(AND('Mapa de Riesgos'!$H$25="Muy Baja",'Mapa de Riesgos'!$L$25="Mayor"),CONCATENATE("R",'Mapa de Riesgos'!$A$27),"")</f>
        <v/>
      </c>
      <c r="AG38" s="517"/>
      <c r="AH38" s="506" t="str">
        <f>IF(AND('Mapa de Riesgos'!$H$12="Muy Baja",'Mapa de Riesgos'!$L$12="Catastrófico"),CONCATENATE("R",'Mapa de Riesgos'!$A$12),"")</f>
        <v/>
      </c>
      <c r="AI38" s="507"/>
      <c r="AJ38" s="507" t="str">
        <f>IF(AND('Mapa de Riesgos'!$H$19="Muy Baja",'Mapa de Riesgos'!$L$19="Catastrófico"),CONCATENATE("R",'Mapa de Riesgos'!$A$19),"")</f>
        <v/>
      </c>
      <c r="AK38" s="507"/>
      <c r="AL38" s="507" t="str">
        <f>IF(AND('Mapa de Riesgos'!$H$25="Muy Baja",'Mapa de Riesgos'!$L$25="Catastrófico"),CONCATENATE("R",'Mapa de Riesgos'!$A$27),"")</f>
        <v/>
      </c>
      <c r="AM38" s="508"/>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529"/>
      <c r="C39" s="529"/>
      <c r="D39" s="530"/>
      <c r="E39" s="522"/>
      <c r="F39" s="523"/>
      <c r="G39" s="523"/>
      <c r="H39" s="523"/>
      <c r="I39" s="524"/>
      <c r="J39" s="482"/>
      <c r="K39" s="483"/>
      <c r="L39" s="483"/>
      <c r="M39" s="483"/>
      <c r="N39" s="483"/>
      <c r="O39" s="484"/>
      <c r="P39" s="482"/>
      <c r="Q39" s="483"/>
      <c r="R39" s="483"/>
      <c r="S39" s="483"/>
      <c r="T39" s="483"/>
      <c r="U39" s="484"/>
      <c r="V39" s="491"/>
      <c r="W39" s="492"/>
      <c r="X39" s="492"/>
      <c r="Y39" s="492"/>
      <c r="Z39" s="492"/>
      <c r="AA39" s="493"/>
      <c r="AB39" s="509"/>
      <c r="AC39" s="510"/>
      <c r="AD39" s="510"/>
      <c r="AE39" s="510"/>
      <c r="AF39" s="510"/>
      <c r="AG39" s="511"/>
      <c r="AH39" s="500"/>
      <c r="AI39" s="501"/>
      <c r="AJ39" s="501"/>
      <c r="AK39" s="501"/>
      <c r="AL39" s="501"/>
      <c r="AM39" s="502"/>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529"/>
      <c r="C40" s="529"/>
      <c r="D40" s="530"/>
      <c r="E40" s="522"/>
      <c r="F40" s="523"/>
      <c r="G40" s="523"/>
      <c r="H40" s="523"/>
      <c r="I40" s="524"/>
      <c r="J40" s="482" t="str">
        <f>IF(AND('Mapa de Riesgos'!$H$33="Muy Baja",'Mapa de Riesgos'!$L$33="Leve"),CONCATENATE("R",'Mapa de Riesgos'!$A$33),"")</f>
        <v/>
      </c>
      <c r="K40" s="483"/>
      <c r="L40" s="483" t="str">
        <f>IF(AND('Mapa de Riesgos'!$H$39="Muy Baja",'Mapa de Riesgos'!$L$39="Leve"),CONCATENATE("R",'Mapa de Riesgos'!$A$39),"")</f>
        <v/>
      </c>
      <c r="M40" s="483"/>
      <c r="N40" s="483" t="str">
        <f>IF(AND('Mapa de Riesgos'!$H$46="Muy Baja",'Mapa de Riesgos'!$L$46="Leve"),CONCATENATE("R",'Mapa de Riesgos'!$A$46),"")</f>
        <v/>
      </c>
      <c r="O40" s="484"/>
      <c r="P40" s="482" t="str">
        <f>IF(AND('Mapa de Riesgos'!$H$33="Muy Baja",'Mapa de Riesgos'!$L$33="Menor"),CONCATENATE("R",'Mapa de Riesgos'!$A$33),"")</f>
        <v/>
      </c>
      <c r="Q40" s="483"/>
      <c r="R40" s="483" t="str">
        <f>IF(AND('Mapa de Riesgos'!$H$39="Muy Baja",'Mapa de Riesgos'!$L$39="Menor"),CONCATENATE("R",'Mapa de Riesgos'!$A$39),"")</f>
        <v/>
      </c>
      <c r="S40" s="483"/>
      <c r="T40" s="483" t="str">
        <f>IF(AND('Mapa de Riesgos'!$H$46="Muy Baja",'Mapa de Riesgos'!$L$46="Menor"),CONCATENATE("R",'Mapa de Riesgos'!$A$46),"")</f>
        <v/>
      </c>
      <c r="U40" s="484"/>
      <c r="V40" s="491" t="str">
        <f>IF(AND('Mapa de Riesgos'!$H$33="Muy Baja",'Mapa de Riesgos'!$L$33="Moderado"),CONCATENATE("R",'Mapa de Riesgos'!$A$33),"")</f>
        <v/>
      </c>
      <c r="W40" s="492"/>
      <c r="X40" s="492" t="str">
        <f>IF(AND('Mapa de Riesgos'!$H$39="Muy Baja",'Mapa de Riesgos'!$L$39="Moderado"),CONCATENATE("R",'Mapa de Riesgos'!$A$39),"")</f>
        <v/>
      </c>
      <c r="Y40" s="492"/>
      <c r="Z40" s="492" t="str">
        <f>IF(AND('Mapa de Riesgos'!$H$46="Muy Baja",'Mapa de Riesgos'!$L$46="Moderado"),CONCATENATE("R",'Mapa de Riesgos'!$A$46),"")</f>
        <v/>
      </c>
      <c r="AA40" s="493"/>
      <c r="AB40" s="509" t="str">
        <f>IF(AND('Mapa de Riesgos'!$H$33="Muy Baja",'Mapa de Riesgos'!$L$33="Mayor"),CONCATENATE("R",'Mapa de Riesgos'!$A$33),"")</f>
        <v/>
      </c>
      <c r="AC40" s="510"/>
      <c r="AD40" s="510" t="str">
        <f>IF(AND('Mapa de Riesgos'!$H$39="Muy Baja",'Mapa de Riesgos'!$L$39="Mayor"),CONCATENATE("R",'Mapa de Riesgos'!$A$39),"")</f>
        <v/>
      </c>
      <c r="AE40" s="510"/>
      <c r="AF40" s="510" t="str">
        <f>IF(AND('Mapa de Riesgos'!$H$46="Muy Baja",'Mapa de Riesgos'!$L$46="Mayor"),CONCATENATE("R",'Mapa de Riesgos'!$A$46),"")</f>
        <v/>
      </c>
      <c r="AG40" s="511"/>
      <c r="AH40" s="500" t="str">
        <f>IF(AND('Mapa de Riesgos'!$H$33="Muy Baja",'Mapa de Riesgos'!$L$33="Catastrófico"),CONCATENATE("R",'Mapa de Riesgos'!$A$33),"")</f>
        <v/>
      </c>
      <c r="AI40" s="501"/>
      <c r="AJ40" s="501" t="str">
        <f>IF(AND('Mapa de Riesgos'!$H$39="Muy Baja",'Mapa de Riesgos'!$L$39="Catastrófico"),CONCATENATE("R",'Mapa de Riesgos'!$A$39),"")</f>
        <v/>
      </c>
      <c r="AK40" s="501"/>
      <c r="AL40" s="501" t="str">
        <f>IF(AND('Mapa de Riesgos'!$H$46="Muy Baja",'Mapa de Riesgos'!$L$46="Catastrófico"),CONCATENATE("R",'Mapa de Riesgos'!$A$46),"")</f>
        <v/>
      </c>
      <c r="AM40" s="502"/>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529"/>
      <c r="C41" s="529"/>
      <c r="D41" s="530"/>
      <c r="E41" s="522"/>
      <c r="F41" s="523"/>
      <c r="G41" s="523"/>
      <c r="H41" s="523"/>
      <c r="I41" s="524"/>
      <c r="J41" s="482"/>
      <c r="K41" s="483"/>
      <c r="L41" s="483"/>
      <c r="M41" s="483"/>
      <c r="N41" s="483"/>
      <c r="O41" s="484"/>
      <c r="P41" s="482"/>
      <c r="Q41" s="483"/>
      <c r="R41" s="483"/>
      <c r="S41" s="483"/>
      <c r="T41" s="483"/>
      <c r="U41" s="484"/>
      <c r="V41" s="491"/>
      <c r="W41" s="492"/>
      <c r="X41" s="492"/>
      <c r="Y41" s="492"/>
      <c r="Z41" s="492"/>
      <c r="AA41" s="493"/>
      <c r="AB41" s="509"/>
      <c r="AC41" s="510"/>
      <c r="AD41" s="510"/>
      <c r="AE41" s="510"/>
      <c r="AF41" s="510"/>
      <c r="AG41" s="511"/>
      <c r="AH41" s="500"/>
      <c r="AI41" s="501"/>
      <c r="AJ41" s="501"/>
      <c r="AK41" s="501"/>
      <c r="AL41" s="501"/>
      <c r="AM41" s="502"/>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529"/>
      <c r="C42" s="529"/>
      <c r="D42" s="530"/>
      <c r="E42" s="522"/>
      <c r="F42" s="523"/>
      <c r="G42" s="523"/>
      <c r="H42" s="523"/>
      <c r="I42" s="524"/>
      <c r="J42" s="482" t="str">
        <f>IF(AND('Mapa de Riesgos'!$H$52="Muy Baja",'Mapa de Riesgos'!$L$52="Leve"),CONCATENATE("R",'Mapa de Riesgos'!$A$52),"")</f>
        <v/>
      </c>
      <c r="K42" s="483"/>
      <c r="L42" s="483" t="str">
        <f>IF(AND('Mapa de Riesgos'!$H$58="Muy Baja",'Mapa de Riesgos'!$L$58="Leve"),CONCATENATE("R",'Mapa de Riesgos'!$A$58),"")</f>
        <v/>
      </c>
      <c r="M42" s="483"/>
      <c r="N42" s="483" t="str">
        <f>IF(AND('Mapa de Riesgos'!$H$64="Muy Baja",'Mapa de Riesgos'!$L$64="Leve"),CONCATENATE("R",'Mapa de Riesgos'!$A$64),"")</f>
        <v/>
      </c>
      <c r="O42" s="484"/>
      <c r="P42" s="482" t="str">
        <f>IF(AND('Mapa de Riesgos'!$H$52="Muy Baja",'Mapa de Riesgos'!$L$52="Menor"),CONCATENATE("R",'Mapa de Riesgos'!$A$52),"")</f>
        <v/>
      </c>
      <c r="Q42" s="483"/>
      <c r="R42" s="483" t="str">
        <f>IF(AND('Mapa de Riesgos'!$H$58="Muy Baja",'Mapa de Riesgos'!$L$58="Menor"),CONCATENATE("R",'Mapa de Riesgos'!$A$58),"")</f>
        <v/>
      </c>
      <c r="S42" s="483"/>
      <c r="T42" s="483" t="str">
        <f>IF(AND('Mapa de Riesgos'!$H$64="Muy Baja",'Mapa de Riesgos'!$L$64="Menor"),CONCATENATE("R",'Mapa de Riesgos'!$A$64),"")</f>
        <v/>
      </c>
      <c r="U42" s="484"/>
      <c r="V42" s="491" t="str">
        <f>IF(AND('Mapa de Riesgos'!$H$52="Muy Baja",'Mapa de Riesgos'!$L$52="Moderado"),CONCATENATE("R",'Mapa de Riesgos'!$A$52),"")</f>
        <v/>
      </c>
      <c r="W42" s="492"/>
      <c r="X42" s="492" t="str">
        <f>IF(AND('Mapa de Riesgos'!$H$58="Muy Baja",'Mapa de Riesgos'!$L$58="Moderado"),CONCATENATE("R",'Mapa de Riesgos'!$A$58),"")</f>
        <v/>
      </c>
      <c r="Y42" s="492"/>
      <c r="Z42" s="492" t="str">
        <f>IF(AND('Mapa de Riesgos'!$H$64="Muy Baja",'Mapa de Riesgos'!$L$64="Moderado"),CONCATENATE("R",'Mapa de Riesgos'!$A$64),"")</f>
        <v/>
      </c>
      <c r="AA42" s="493"/>
      <c r="AB42" s="509" t="str">
        <f>IF(AND('Mapa de Riesgos'!$H$52="Muy Baja",'Mapa de Riesgos'!$L$52="Mayor"),CONCATENATE("R",'Mapa de Riesgos'!$A$52),"")</f>
        <v/>
      </c>
      <c r="AC42" s="510"/>
      <c r="AD42" s="510" t="str">
        <f>IF(AND('Mapa de Riesgos'!$H$58="Muy Baja",'Mapa de Riesgos'!$L$58="Mayor"),CONCATENATE("R",'Mapa de Riesgos'!$A$58),"")</f>
        <v/>
      </c>
      <c r="AE42" s="510"/>
      <c r="AF42" s="510" t="str">
        <f>IF(AND('Mapa de Riesgos'!$H$64="Muy Baja",'Mapa de Riesgos'!$L$64="Mayor"),CONCATENATE("R",'Mapa de Riesgos'!$A$64),"")</f>
        <v/>
      </c>
      <c r="AG42" s="511"/>
      <c r="AH42" s="500" t="str">
        <f>IF(AND('Mapa de Riesgos'!$H$52="Muy Baja",'Mapa de Riesgos'!$L$52="Catastrófico"),CONCATENATE("R",'Mapa de Riesgos'!$A$52),"")</f>
        <v/>
      </c>
      <c r="AI42" s="501"/>
      <c r="AJ42" s="501" t="str">
        <f>IF(AND('Mapa de Riesgos'!$H$58="Muy Baja",'Mapa de Riesgos'!$L$58="Catastrófico"),CONCATENATE("R",'Mapa de Riesgos'!$A$58),"")</f>
        <v/>
      </c>
      <c r="AK42" s="501"/>
      <c r="AL42" s="501" t="str">
        <f>IF(AND('Mapa de Riesgos'!$H$64="Muy Baja",'Mapa de Riesgos'!$L$64="Catastrófico"),CONCATENATE("R",'Mapa de Riesgos'!$A$64),"")</f>
        <v/>
      </c>
      <c r="AM42" s="502"/>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529"/>
      <c r="C43" s="529"/>
      <c r="D43" s="530"/>
      <c r="E43" s="522"/>
      <c r="F43" s="523"/>
      <c r="G43" s="523"/>
      <c r="H43" s="523"/>
      <c r="I43" s="524"/>
      <c r="J43" s="482"/>
      <c r="K43" s="483"/>
      <c r="L43" s="483"/>
      <c r="M43" s="483"/>
      <c r="N43" s="483"/>
      <c r="O43" s="484"/>
      <c r="P43" s="482"/>
      <c r="Q43" s="483"/>
      <c r="R43" s="483"/>
      <c r="S43" s="483"/>
      <c r="T43" s="483"/>
      <c r="U43" s="484"/>
      <c r="V43" s="491"/>
      <c r="W43" s="492"/>
      <c r="X43" s="492"/>
      <c r="Y43" s="492"/>
      <c r="Z43" s="492"/>
      <c r="AA43" s="493"/>
      <c r="AB43" s="509"/>
      <c r="AC43" s="510"/>
      <c r="AD43" s="510"/>
      <c r="AE43" s="510"/>
      <c r="AF43" s="510"/>
      <c r="AG43" s="511"/>
      <c r="AH43" s="500"/>
      <c r="AI43" s="501"/>
      <c r="AJ43" s="501"/>
      <c r="AK43" s="501"/>
      <c r="AL43" s="501"/>
      <c r="AM43" s="502"/>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529"/>
      <c r="C44" s="529"/>
      <c r="D44" s="530"/>
      <c r="E44" s="522"/>
      <c r="F44" s="523"/>
      <c r="G44" s="523"/>
      <c r="H44" s="523"/>
      <c r="I44" s="524"/>
      <c r="J44" s="482" t="str">
        <f>IF(AND('Mapa de Riesgos'!$H$70="Muy Baja",'Mapa de Riesgos'!$L$70="Leve"),CONCATENATE("R",'Mapa de Riesgos'!$A$70),"")</f>
        <v/>
      </c>
      <c r="K44" s="483"/>
      <c r="L44" s="483" t="str">
        <f>IF(AND('Mapa de Riesgos'!$H$76="Muy Baja",'Mapa de Riesgos'!$L$76="Leve"),CONCATENATE("R",'Mapa de Riesgos'!$A$76),"")</f>
        <v/>
      </c>
      <c r="M44" s="483"/>
      <c r="N44" s="483" t="str">
        <f>IF(AND('Mapa de Riesgos'!$H$82="Muy Baja",'Mapa de Riesgos'!$L$82="Leve"),CONCATENATE("R",'Mapa de Riesgos'!$A$82),"")</f>
        <v/>
      </c>
      <c r="O44" s="484"/>
      <c r="P44" s="482" t="str">
        <f>IF(AND('Mapa de Riesgos'!$H$70="Muy Baja",'Mapa de Riesgos'!$L$70="Menor"),CONCATENATE("R",'Mapa de Riesgos'!$A$70),"")</f>
        <v/>
      </c>
      <c r="Q44" s="483"/>
      <c r="R44" s="483" t="str">
        <f>IF(AND('Mapa de Riesgos'!$H$76="Muy Baja",'Mapa de Riesgos'!$L$76="Menor"),CONCATENATE("R",'Mapa de Riesgos'!$A$76),"")</f>
        <v/>
      </c>
      <c r="S44" s="483"/>
      <c r="T44" s="483" t="str">
        <f>IF(AND('Mapa de Riesgos'!$H$82="Muy Baja",'Mapa de Riesgos'!$L$82="Menor"),CONCATENATE("R",'Mapa de Riesgos'!$A$82),"")</f>
        <v/>
      </c>
      <c r="U44" s="484"/>
      <c r="V44" s="491" t="str">
        <f>IF(AND('Mapa de Riesgos'!$H$70="Muy Baja",'Mapa de Riesgos'!$L$70="Moderado"),CONCATENATE("R",'Mapa de Riesgos'!$A$70),"")</f>
        <v/>
      </c>
      <c r="W44" s="492"/>
      <c r="X44" s="492" t="str">
        <f>IF(AND('Mapa de Riesgos'!$H$76="Muy Baja",'Mapa de Riesgos'!$L$76="Moderado"),CONCATENATE("R",'Mapa de Riesgos'!$A$76),"")</f>
        <v/>
      </c>
      <c r="Y44" s="492"/>
      <c r="Z44" s="492" t="str">
        <f>IF(AND('Mapa de Riesgos'!$H$82="Muy Baja",'Mapa de Riesgos'!$L$82="Moderado"),CONCATENATE("R",'Mapa de Riesgos'!$A$82),"")</f>
        <v/>
      </c>
      <c r="AA44" s="493"/>
      <c r="AB44" s="509" t="str">
        <f>IF(AND('Mapa de Riesgos'!$H$70="Muy Baja",'Mapa de Riesgos'!$L$70="Mayor"),CONCATENATE("R",'Mapa de Riesgos'!$A$70),"")</f>
        <v/>
      </c>
      <c r="AC44" s="510"/>
      <c r="AD44" s="510" t="str">
        <f>IF(AND('Mapa de Riesgos'!$H$76="Muy Baja",'Mapa de Riesgos'!$L$76="Mayor"),CONCATENATE("R",'Mapa de Riesgos'!$A$76),"")</f>
        <v/>
      </c>
      <c r="AE44" s="510"/>
      <c r="AF44" s="510" t="str">
        <f>IF(AND('Mapa de Riesgos'!$H$82="Muy Baja",'Mapa de Riesgos'!$L$82="Mayor"),CONCATENATE("R",'Mapa de Riesgos'!$A$82),"")</f>
        <v/>
      </c>
      <c r="AG44" s="511"/>
      <c r="AH44" s="500" t="str">
        <f>IF(AND('Mapa de Riesgos'!$H$70="Muy Baja",'Mapa de Riesgos'!$L$70="Catastrófico"),CONCATENATE("R",'Mapa de Riesgos'!$A$70),"")</f>
        <v/>
      </c>
      <c r="AI44" s="501"/>
      <c r="AJ44" s="501" t="str">
        <f>IF(AND('Mapa de Riesgos'!$H$76="Muy Baja",'Mapa de Riesgos'!$L$76="Catastrófico"),CONCATENATE("R",'Mapa de Riesgos'!$A$76),"")</f>
        <v/>
      </c>
      <c r="AK44" s="501"/>
      <c r="AL44" s="501" t="str">
        <f>IF(AND('Mapa de Riesgos'!$H$82="Muy Baja",'Mapa de Riesgos'!$L$82="Catastrófico"),CONCATENATE("R",'Mapa de Riesgos'!$A$82),"")</f>
        <v/>
      </c>
      <c r="AM44" s="502"/>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529"/>
      <c r="C45" s="529"/>
      <c r="D45" s="530"/>
      <c r="E45" s="525"/>
      <c r="F45" s="526"/>
      <c r="G45" s="526"/>
      <c r="H45" s="526"/>
      <c r="I45" s="527"/>
      <c r="J45" s="485"/>
      <c r="K45" s="486"/>
      <c r="L45" s="486"/>
      <c r="M45" s="486"/>
      <c r="N45" s="486"/>
      <c r="O45" s="487"/>
      <c r="P45" s="485"/>
      <c r="Q45" s="486"/>
      <c r="R45" s="486"/>
      <c r="S45" s="486"/>
      <c r="T45" s="486"/>
      <c r="U45" s="487"/>
      <c r="V45" s="494"/>
      <c r="W45" s="495"/>
      <c r="X45" s="495"/>
      <c r="Y45" s="495"/>
      <c r="Z45" s="495"/>
      <c r="AA45" s="496"/>
      <c r="AB45" s="512"/>
      <c r="AC45" s="513"/>
      <c r="AD45" s="513"/>
      <c r="AE45" s="513"/>
      <c r="AF45" s="513"/>
      <c r="AG45" s="514"/>
      <c r="AH45" s="503"/>
      <c r="AI45" s="504"/>
      <c r="AJ45" s="504"/>
      <c r="AK45" s="504"/>
      <c r="AL45" s="504"/>
      <c r="AM45" s="505"/>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519" t="s">
        <v>251</v>
      </c>
      <c r="K46" s="520"/>
      <c r="L46" s="520"/>
      <c r="M46" s="520"/>
      <c r="N46" s="520"/>
      <c r="O46" s="521"/>
      <c r="P46" s="519" t="s">
        <v>252</v>
      </c>
      <c r="Q46" s="520"/>
      <c r="R46" s="520"/>
      <c r="S46" s="520"/>
      <c r="T46" s="520"/>
      <c r="U46" s="521"/>
      <c r="V46" s="519" t="s">
        <v>253</v>
      </c>
      <c r="W46" s="520"/>
      <c r="X46" s="520"/>
      <c r="Y46" s="520"/>
      <c r="Z46" s="520"/>
      <c r="AA46" s="521"/>
      <c r="AB46" s="519" t="s">
        <v>254</v>
      </c>
      <c r="AC46" s="528"/>
      <c r="AD46" s="520"/>
      <c r="AE46" s="520"/>
      <c r="AF46" s="520"/>
      <c r="AG46" s="521"/>
      <c r="AH46" s="519" t="s">
        <v>255</v>
      </c>
      <c r="AI46" s="520"/>
      <c r="AJ46" s="520"/>
      <c r="AK46" s="520"/>
      <c r="AL46" s="520"/>
      <c r="AM46" s="521"/>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522"/>
      <c r="K47" s="523"/>
      <c r="L47" s="523"/>
      <c r="M47" s="523"/>
      <c r="N47" s="523"/>
      <c r="O47" s="524"/>
      <c r="P47" s="522"/>
      <c r="Q47" s="523"/>
      <c r="R47" s="523"/>
      <c r="S47" s="523"/>
      <c r="T47" s="523"/>
      <c r="U47" s="524"/>
      <c r="V47" s="522"/>
      <c r="W47" s="523"/>
      <c r="X47" s="523"/>
      <c r="Y47" s="523"/>
      <c r="Z47" s="523"/>
      <c r="AA47" s="524"/>
      <c r="AB47" s="522"/>
      <c r="AC47" s="523"/>
      <c r="AD47" s="523"/>
      <c r="AE47" s="523"/>
      <c r="AF47" s="523"/>
      <c r="AG47" s="524"/>
      <c r="AH47" s="522"/>
      <c r="AI47" s="523"/>
      <c r="AJ47" s="523"/>
      <c r="AK47" s="523"/>
      <c r="AL47" s="523"/>
      <c r="AM47" s="524"/>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522"/>
      <c r="K48" s="523"/>
      <c r="L48" s="523"/>
      <c r="M48" s="523"/>
      <c r="N48" s="523"/>
      <c r="O48" s="524"/>
      <c r="P48" s="522"/>
      <c r="Q48" s="523"/>
      <c r="R48" s="523"/>
      <c r="S48" s="523"/>
      <c r="T48" s="523"/>
      <c r="U48" s="524"/>
      <c r="V48" s="522"/>
      <c r="W48" s="523"/>
      <c r="X48" s="523"/>
      <c r="Y48" s="523"/>
      <c r="Z48" s="523"/>
      <c r="AA48" s="524"/>
      <c r="AB48" s="522"/>
      <c r="AC48" s="523"/>
      <c r="AD48" s="523"/>
      <c r="AE48" s="523"/>
      <c r="AF48" s="523"/>
      <c r="AG48" s="524"/>
      <c r="AH48" s="522"/>
      <c r="AI48" s="523"/>
      <c r="AJ48" s="523"/>
      <c r="AK48" s="523"/>
      <c r="AL48" s="523"/>
      <c r="AM48" s="524"/>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522"/>
      <c r="K49" s="523"/>
      <c r="L49" s="523"/>
      <c r="M49" s="523"/>
      <c r="N49" s="523"/>
      <c r="O49" s="524"/>
      <c r="P49" s="522"/>
      <c r="Q49" s="523"/>
      <c r="R49" s="523"/>
      <c r="S49" s="523"/>
      <c r="T49" s="523"/>
      <c r="U49" s="524"/>
      <c r="V49" s="522"/>
      <c r="W49" s="523"/>
      <c r="X49" s="523"/>
      <c r="Y49" s="523"/>
      <c r="Z49" s="523"/>
      <c r="AA49" s="524"/>
      <c r="AB49" s="522"/>
      <c r="AC49" s="523"/>
      <c r="AD49" s="523"/>
      <c r="AE49" s="523"/>
      <c r="AF49" s="523"/>
      <c r="AG49" s="524"/>
      <c r="AH49" s="522"/>
      <c r="AI49" s="523"/>
      <c r="AJ49" s="523"/>
      <c r="AK49" s="523"/>
      <c r="AL49" s="523"/>
      <c r="AM49" s="524"/>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522"/>
      <c r="K50" s="523"/>
      <c r="L50" s="523"/>
      <c r="M50" s="523"/>
      <c r="N50" s="523"/>
      <c r="O50" s="524"/>
      <c r="P50" s="522"/>
      <c r="Q50" s="523"/>
      <c r="R50" s="523"/>
      <c r="S50" s="523"/>
      <c r="T50" s="523"/>
      <c r="U50" s="524"/>
      <c r="V50" s="522"/>
      <c r="W50" s="523"/>
      <c r="X50" s="523"/>
      <c r="Y50" s="523"/>
      <c r="Z50" s="523"/>
      <c r="AA50" s="524"/>
      <c r="AB50" s="522"/>
      <c r="AC50" s="523"/>
      <c r="AD50" s="523"/>
      <c r="AE50" s="523"/>
      <c r="AF50" s="523"/>
      <c r="AG50" s="524"/>
      <c r="AH50" s="522"/>
      <c r="AI50" s="523"/>
      <c r="AJ50" s="523"/>
      <c r="AK50" s="523"/>
      <c r="AL50" s="523"/>
      <c r="AM50" s="524"/>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525"/>
      <c r="K51" s="526"/>
      <c r="L51" s="526"/>
      <c r="M51" s="526"/>
      <c r="N51" s="526"/>
      <c r="O51" s="527"/>
      <c r="P51" s="525"/>
      <c r="Q51" s="526"/>
      <c r="R51" s="526"/>
      <c r="S51" s="526"/>
      <c r="T51" s="526"/>
      <c r="U51" s="527"/>
      <c r="V51" s="525"/>
      <c r="W51" s="526"/>
      <c r="X51" s="526"/>
      <c r="Y51" s="526"/>
      <c r="Z51" s="526"/>
      <c r="AA51" s="527"/>
      <c r="AB51" s="525"/>
      <c r="AC51" s="526"/>
      <c r="AD51" s="526"/>
      <c r="AE51" s="526"/>
      <c r="AF51" s="526"/>
      <c r="AG51" s="527"/>
      <c r="AH51" s="525"/>
      <c r="AI51" s="526"/>
      <c r="AJ51" s="526"/>
      <c r="AK51" s="526"/>
      <c r="AL51" s="526"/>
      <c r="AM51" s="527"/>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22" zoomScale="50" zoomScaleNormal="50" workbookViewId="0">
      <selection activeCell="X55" sqref="X5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96" t="s">
        <v>256</v>
      </c>
      <c r="C2" s="597"/>
      <c r="D2" s="597"/>
      <c r="E2" s="597"/>
      <c r="F2" s="597"/>
      <c r="G2" s="597"/>
      <c r="H2" s="597"/>
      <c r="I2" s="597"/>
      <c r="J2" s="518" t="s">
        <v>23</v>
      </c>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97"/>
      <c r="C3" s="597"/>
      <c r="D3" s="597"/>
      <c r="E3" s="597"/>
      <c r="F3" s="597"/>
      <c r="G3" s="597"/>
      <c r="H3" s="597"/>
      <c r="I3" s="597"/>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97"/>
      <c r="C4" s="597"/>
      <c r="D4" s="597"/>
      <c r="E4" s="597"/>
      <c r="F4" s="597"/>
      <c r="G4" s="597"/>
      <c r="H4" s="597"/>
      <c r="I4" s="597"/>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529" t="s">
        <v>241</v>
      </c>
      <c r="C6" s="529"/>
      <c r="D6" s="530"/>
      <c r="E6" s="567" t="s">
        <v>242</v>
      </c>
      <c r="F6" s="568"/>
      <c r="G6" s="568"/>
      <c r="H6" s="568"/>
      <c r="I6" s="569"/>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87" t="s">
        <v>243</v>
      </c>
      <c r="AP6" s="588"/>
      <c r="AQ6" s="588"/>
      <c r="AR6" s="588"/>
      <c r="AS6" s="588"/>
      <c r="AT6" s="589"/>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529"/>
      <c r="C7" s="529"/>
      <c r="D7" s="530"/>
      <c r="E7" s="570"/>
      <c r="F7" s="571"/>
      <c r="G7" s="571"/>
      <c r="H7" s="571"/>
      <c r="I7" s="572"/>
      <c r="J7" s="52" t="str">
        <f>IF(AND('Mapa de Riesgos'!$Y$18="Muy Alta",'Mapa de Riesgos'!$AA$18="Leve"),CONCATENATE("R2C",'Mapa de Riesgos'!$O$18),"")</f>
        <v/>
      </c>
      <c r="K7" s="53" t="str">
        <f>IF(AND('Mapa de Riesgos'!$Y$20="Muy Alta",'Mapa de Riesgos'!$AA$20="Leve"),CONCATENATE("R2C",'Mapa de Riesgos'!$O$20),"")</f>
        <v/>
      </c>
      <c r="L7" s="53" t="str">
        <f>IF(AND('Mapa de Riesgos'!$Y$21="Muy Alta",'Mapa de Riesgos'!$AA$21="Leve"),CONCATENATE("R2C",'Mapa de Riesgos'!$O$21),"")</f>
        <v/>
      </c>
      <c r="M7" s="53" t="str">
        <f>IF(AND('Mapa de Riesgos'!$Y$22="Muy Alta",'Mapa de Riesgos'!$AA$22="Leve"),CONCATENATE("R2C",'Mapa de Riesgos'!$O$22),"")</f>
        <v/>
      </c>
      <c r="N7" s="53" t="str">
        <f>IF(AND('Mapa de Riesgos'!$Y$23="Muy Alta",'Mapa de Riesgos'!$AA$23="Leve"),CONCATENATE("R2C",'Mapa de Riesgos'!$O$23),"")</f>
        <v/>
      </c>
      <c r="O7" s="54" t="str">
        <f>IF(AND('Mapa de Riesgos'!$Y$24="Muy Alta",'Mapa de Riesgos'!$AA$24="Leve"),CONCATENATE("R2C",'Mapa de Riesgos'!$O$24),"")</f>
        <v/>
      </c>
      <c r="P7" s="52" t="str">
        <f>IF(AND('Mapa de Riesgos'!$Y$18="Muy Alta",'Mapa de Riesgos'!$AA$18="Menor"),CONCATENATE("R2C",'Mapa de Riesgos'!$O$18),"")</f>
        <v/>
      </c>
      <c r="Q7" s="53" t="str">
        <f>IF(AND('Mapa de Riesgos'!$Y$20="Muy Alta",'Mapa de Riesgos'!$AA$20="Menor"),CONCATENATE("R2C",'Mapa de Riesgos'!$O$20),"")</f>
        <v/>
      </c>
      <c r="R7" s="53" t="str">
        <f>IF(AND('Mapa de Riesgos'!$Y$21="Muy Alta",'Mapa de Riesgos'!$AA$21="Menor"),CONCATENATE("R2C",'Mapa de Riesgos'!$O$21),"")</f>
        <v/>
      </c>
      <c r="S7" s="53" t="str">
        <f>IF(AND('Mapa de Riesgos'!$Y$22="Muy Alta",'Mapa de Riesgos'!$AA$22="Menor"),CONCATENATE("R2C",'Mapa de Riesgos'!$O$22),"")</f>
        <v/>
      </c>
      <c r="T7" s="53" t="str">
        <f>IF(AND('Mapa de Riesgos'!$Y$23="Muy Alta",'Mapa de Riesgos'!$AA$23="Menor"),CONCATENATE("R2C",'Mapa de Riesgos'!$O$23),"")</f>
        <v/>
      </c>
      <c r="U7" s="54" t="str">
        <f>IF(AND('Mapa de Riesgos'!$Y$24="Muy Alta",'Mapa de Riesgos'!$AA$24="Menor"),CONCATENATE("R2C",'Mapa de Riesgos'!$O$24),"")</f>
        <v/>
      </c>
      <c r="V7" s="52" t="str">
        <f>IF(AND('Mapa de Riesgos'!$Y$18="Muy Alta",'Mapa de Riesgos'!$AA$18="Moderado"),CONCATENATE("R2C",'Mapa de Riesgos'!$O$18),"")</f>
        <v/>
      </c>
      <c r="W7" s="53" t="str">
        <f>IF(AND('Mapa de Riesgos'!$Y$20="Muy Alta",'Mapa de Riesgos'!$AA$20="Moderado"),CONCATENATE("R2C",'Mapa de Riesgos'!$O$20),"")</f>
        <v/>
      </c>
      <c r="X7" s="53" t="str">
        <f>IF(AND('Mapa de Riesgos'!$Y$21="Muy Alta",'Mapa de Riesgos'!$AA$21="Moderado"),CONCATENATE("R2C",'Mapa de Riesgos'!$O$21),"")</f>
        <v/>
      </c>
      <c r="Y7" s="53" t="str">
        <f>IF(AND('Mapa de Riesgos'!$Y$22="Muy Alta",'Mapa de Riesgos'!$AA$22="Moderado"),CONCATENATE("R2C",'Mapa de Riesgos'!$O$22),"")</f>
        <v/>
      </c>
      <c r="Z7" s="53" t="str">
        <f>IF(AND('Mapa de Riesgos'!$Y$23="Muy Alta",'Mapa de Riesgos'!$AA$23="Moderado"),CONCATENATE("R2C",'Mapa de Riesgos'!$O$23),"")</f>
        <v/>
      </c>
      <c r="AA7" s="54" t="str">
        <f>IF(AND('Mapa de Riesgos'!$Y$24="Muy Alta",'Mapa de Riesgos'!$AA$24="Moderado"),CONCATENATE("R2C",'Mapa de Riesgos'!$O$24),"")</f>
        <v/>
      </c>
      <c r="AB7" s="52" t="str">
        <f>IF(AND('Mapa de Riesgos'!$Y$18="Muy Alta",'Mapa de Riesgos'!$AA$18="Mayor"),CONCATENATE("R2C",'Mapa de Riesgos'!$O$18),"")</f>
        <v/>
      </c>
      <c r="AC7" s="53" t="str">
        <f>IF(AND('Mapa de Riesgos'!$Y$20="Muy Alta",'Mapa de Riesgos'!$AA$20="Mayor"),CONCATENATE("R2C",'Mapa de Riesgos'!$O$20),"")</f>
        <v/>
      </c>
      <c r="AD7" s="53" t="str">
        <f>IF(AND('Mapa de Riesgos'!$Y$21="Muy Alta",'Mapa de Riesgos'!$AA$21="Mayor"),CONCATENATE("R2C",'Mapa de Riesgos'!$O$21),"")</f>
        <v/>
      </c>
      <c r="AE7" s="53" t="str">
        <f>IF(AND('Mapa de Riesgos'!$Y$22="Muy Alta",'Mapa de Riesgos'!$AA$22="Mayor"),CONCATENATE("R2C",'Mapa de Riesgos'!$O$22),"")</f>
        <v/>
      </c>
      <c r="AF7" s="53" t="str">
        <f>IF(AND('Mapa de Riesgos'!$Y$23="Muy Alta",'Mapa de Riesgos'!$AA$23="Mayor"),CONCATENATE("R2C",'Mapa de Riesgos'!$O$23),"")</f>
        <v/>
      </c>
      <c r="AG7" s="54" t="str">
        <f>IF(AND('Mapa de Riesgos'!$Y$24="Muy Alta",'Mapa de Riesgos'!$AA$24="Mayor"),CONCATENATE("R2C",'Mapa de Riesgos'!$O$24),"")</f>
        <v/>
      </c>
      <c r="AH7" s="55" t="str">
        <f>IF(AND('Mapa de Riesgos'!$Y$18="Muy Alta",'Mapa de Riesgos'!$AA$18="Catastrófico"),CONCATENATE("R2C",'Mapa de Riesgos'!$O$18),"")</f>
        <v/>
      </c>
      <c r="AI7" s="56" t="str">
        <f>IF(AND('Mapa de Riesgos'!$Y$20="Muy Alta",'Mapa de Riesgos'!$AA$20="Catastrófico"),CONCATENATE("R2C",'Mapa de Riesgos'!$O$20),"")</f>
        <v/>
      </c>
      <c r="AJ7" s="56" t="str">
        <f>IF(AND('Mapa de Riesgos'!$Y$21="Muy Alta",'Mapa de Riesgos'!$AA$21="Catastrófico"),CONCATENATE("R2C",'Mapa de Riesgos'!$O$21),"")</f>
        <v/>
      </c>
      <c r="AK7" s="56" t="str">
        <f>IF(AND('Mapa de Riesgos'!$Y$22="Muy Alta",'Mapa de Riesgos'!$AA$22="Catastrófico"),CONCATENATE("R2C",'Mapa de Riesgos'!$O$22),"")</f>
        <v/>
      </c>
      <c r="AL7" s="56" t="str">
        <f>IF(AND('Mapa de Riesgos'!$Y$23="Muy Alta",'Mapa de Riesgos'!$AA$23="Catastrófico"),CONCATENATE("R2C",'Mapa de Riesgos'!$O$23),"")</f>
        <v/>
      </c>
      <c r="AM7" s="57" t="str">
        <f>IF(AND('Mapa de Riesgos'!$Y$24="Muy Alta",'Mapa de Riesgos'!$AA$24="Catastrófico"),CONCATENATE("R2C",'Mapa de Riesgos'!$O$24),"")</f>
        <v/>
      </c>
      <c r="AN7" s="83"/>
      <c r="AO7" s="590"/>
      <c r="AP7" s="591"/>
      <c r="AQ7" s="591"/>
      <c r="AR7" s="591"/>
      <c r="AS7" s="591"/>
      <c r="AT7" s="592"/>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529"/>
      <c r="C8" s="529"/>
      <c r="D8" s="530"/>
      <c r="E8" s="570"/>
      <c r="F8" s="571"/>
      <c r="G8" s="571"/>
      <c r="H8" s="571"/>
      <c r="I8" s="572"/>
      <c r="J8" s="52" t="str">
        <f>IF(AND('Mapa de Riesgos'!$Y$25="Muy Alta",'Mapa de Riesgos'!$AA$25="Leve"),CONCATENATE("R3C",'Mapa de Riesgos'!$O$25),"")</f>
        <v/>
      </c>
      <c r="K8" s="53" t="str">
        <f>IF(AND('Mapa de Riesgos'!$Y$28="Muy Alta",'Mapa de Riesgos'!$AA$28="Leve"),CONCATENATE("R3C",'Mapa de Riesgos'!$O$28),"")</f>
        <v/>
      </c>
      <c r="L8" s="53" t="str">
        <f>IF(AND('Mapa de Riesgos'!$Y$29="Muy Alta",'Mapa de Riesgos'!$AA$29="Leve"),CONCATENATE("R3C",'Mapa de Riesgos'!$O$29),"")</f>
        <v/>
      </c>
      <c r="M8" s="53" t="str">
        <f>IF(AND('Mapa de Riesgos'!$Y$30="Muy Alta",'Mapa de Riesgos'!$AA$30="Leve"),CONCATENATE("R3C",'Mapa de Riesgos'!$O$30),"")</f>
        <v/>
      </c>
      <c r="N8" s="53" t="str">
        <f>IF(AND('Mapa de Riesgos'!$Y$31="Muy Alta",'Mapa de Riesgos'!$AA$31="Leve"),CONCATENATE("R3C",'Mapa de Riesgos'!$O$31),"")</f>
        <v/>
      </c>
      <c r="O8" s="54" t="str">
        <f>IF(AND('Mapa de Riesgos'!$Y$32="Muy Alta",'Mapa de Riesgos'!$AA$32="Leve"),CONCATENATE("R3C",'Mapa de Riesgos'!$O$32),"")</f>
        <v/>
      </c>
      <c r="P8" s="52" t="str">
        <f>IF(AND('Mapa de Riesgos'!$Y$25="Muy Alta",'Mapa de Riesgos'!$AA$25="Menor"),CONCATENATE("R3C",'Mapa de Riesgos'!$O$25),"")</f>
        <v/>
      </c>
      <c r="Q8" s="53" t="str">
        <f>IF(AND('Mapa de Riesgos'!$Y$28="Muy Alta",'Mapa de Riesgos'!$AA$28="Menor"),CONCATENATE("R3C",'Mapa de Riesgos'!$O$28),"")</f>
        <v/>
      </c>
      <c r="R8" s="53" t="str">
        <f>IF(AND('Mapa de Riesgos'!$Y$29="Muy Alta",'Mapa de Riesgos'!$AA$29="Menor"),CONCATENATE("R3C",'Mapa de Riesgos'!$O$29),"")</f>
        <v/>
      </c>
      <c r="S8" s="53" t="str">
        <f>IF(AND('Mapa de Riesgos'!$Y$30="Muy Alta",'Mapa de Riesgos'!$AA$30="Menor"),CONCATENATE("R3C",'Mapa de Riesgos'!$O$30),"")</f>
        <v/>
      </c>
      <c r="T8" s="53" t="str">
        <f>IF(AND('Mapa de Riesgos'!$Y$31="Muy Alta",'Mapa de Riesgos'!$AA$31="Menor"),CONCATENATE("R3C",'Mapa de Riesgos'!$O$31),"")</f>
        <v/>
      </c>
      <c r="U8" s="54" t="str">
        <f>IF(AND('Mapa de Riesgos'!$Y$32="Muy Alta",'Mapa de Riesgos'!$AA$32="Menor"),CONCATENATE("R3C",'Mapa de Riesgos'!$O$32),"")</f>
        <v/>
      </c>
      <c r="V8" s="52" t="str">
        <f>IF(AND('Mapa de Riesgos'!$Y$25="Muy Alta",'Mapa de Riesgos'!$AA$25="Moderado"),CONCATENATE("R3C",'Mapa de Riesgos'!$O$25),"")</f>
        <v/>
      </c>
      <c r="W8" s="53" t="str">
        <f>IF(AND('Mapa de Riesgos'!$Y$28="Muy Alta",'Mapa de Riesgos'!$AA$28="Moderado"),CONCATENATE("R3C",'Mapa de Riesgos'!$O$28),"")</f>
        <v/>
      </c>
      <c r="X8" s="53" t="str">
        <f>IF(AND('Mapa de Riesgos'!$Y$29="Muy Alta",'Mapa de Riesgos'!$AA$29="Moderado"),CONCATENATE("R3C",'Mapa de Riesgos'!$O$29),"")</f>
        <v/>
      </c>
      <c r="Y8" s="53" t="str">
        <f>IF(AND('Mapa de Riesgos'!$Y$30="Muy Alta",'Mapa de Riesgos'!$AA$30="Moderado"),CONCATENATE("R3C",'Mapa de Riesgos'!$O$30),"")</f>
        <v/>
      </c>
      <c r="Z8" s="53" t="str">
        <f>IF(AND('Mapa de Riesgos'!$Y$31="Muy Alta",'Mapa de Riesgos'!$AA$31="Moderado"),CONCATENATE("R3C",'Mapa de Riesgos'!$O$31),"")</f>
        <v/>
      </c>
      <c r="AA8" s="54" t="str">
        <f>IF(AND('Mapa de Riesgos'!$Y$32="Muy Alta",'Mapa de Riesgos'!$AA$32="Moderado"),CONCATENATE("R3C",'Mapa de Riesgos'!$O$32),"")</f>
        <v/>
      </c>
      <c r="AB8" s="52" t="str">
        <f>IF(AND('Mapa de Riesgos'!$Y$25="Muy Alta",'Mapa de Riesgos'!$AA$25="Mayor"),CONCATENATE("R3C",'Mapa de Riesgos'!$O$25),"")</f>
        <v/>
      </c>
      <c r="AC8" s="53" t="str">
        <f>IF(AND('Mapa de Riesgos'!$Y$28="Muy Alta",'Mapa de Riesgos'!$AA$28="Mayor"),CONCATENATE("R3C",'Mapa de Riesgos'!$O$28),"")</f>
        <v/>
      </c>
      <c r="AD8" s="53" t="str">
        <f>IF(AND('Mapa de Riesgos'!$Y$29="Muy Alta",'Mapa de Riesgos'!$AA$29="Mayor"),CONCATENATE("R3C",'Mapa de Riesgos'!$O$29),"")</f>
        <v/>
      </c>
      <c r="AE8" s="53" t="str">
        <f>IF(AND('Mapa de Riesgos'!$Y$30="Muy Alta",'Mapa de Riesgos'!$AA$30="Mayor"),CONCATENATE("R3C",'Mapa de Riesgos'!$O$30),"")</f>
        <v/>
      </c>
      <c r="AF8" s="53" t="str">
        <f>IF(AND('Mapa de Riesgos'!$Y$31="Muy Alta",'Mapa de Riesgos'!$AA$31="Mayor"),CONCATENATE("R3C",'Mapa de Riesgos'!$O$31),"")</f>
        <v/>
      </c>
      <c r="AG8" s="54" t="str">
        <f>IF(AND('Mapa de Riesgos'!$Y$32="Muy Alta",'Mapa de Riesgos'!$AA$32="Mayor"),CONCATENATE("R3C",'Mapa de Riesgos'!$O$32),"")</f>
        <v/>
      </c>
      <c r="AH8" s="55" t="str">
        <f>IF(AND('Mapa de Riesgos'!$Y$25="Muy Alta",'Mapa de Riesgos'!$AA$25="Catastrófico"),CONCATENATE("R3C",'Mapa de Riesgos'!$O$25),"")</f>
        <v/>
      </c>
      <c r="AI8" s="56" t="str">
        <f>IF(AND('Mapa de Riesgos'!$Y$28="Muy Alta",'Mapa de Riesgos'!$AA$28="Catastrófico"),CONCATENATE("R3C",'Mapa de Riesgos'!$O$28),"")</f>
        <v/>
      </c>
      <c r="AJ8" s="56" t="str">
        <f>IF(AND('Mapa de Riesgos'!$Y$29="Muy Alta",'Mapa de Riesgos'!$AA$29="Catastrófico"),CONCATENATE("R3C",'Mapa de Riesgos'!$O$29),"")</f>
        <v/>
      </c>
      <c r="AK8" s="56" t="str">
        <f>IF(AND('Mapa de Riesgos'!$Y$30="Muy Alta",'Mapa de Riesgos'!$AA$30="Catastrófico"),CONCATENATE("R3C",'Mapa de Riesgos'!$O$30),"")</f>
        <v/>
      </c>
      <c r="AL8" s="56" t="str">
        <f>IF(AND('Mapa de Riesgos'!$Y$31="Muy Alta",'Mapa de Riesgos'!$AA$31="Catastrófico"),CONCATENATE("R3C",'Mapa de Riesgos'!$O$31),"")</f>
        <v/>
      </c>
      <c r="AM8" s="57" t="str">
        <f>IF(AND('Mapa de Riesgos'!$Y$32="Muy Alta",'Mapa de Riesgos'!$AA$32="Catastrófico"),CONCATENATE("R3C",'Mapa de Riesgos'!$O$32),"")</f>
        <v/>
      </c>
      <c r="AN8" s="83"/>
      <c r="AO8" s="590"/>
      <c r="AP8" s="591"/>
      <c r="AQ8" s="591"/>
      <c r="AR8" s="591"/>
      <c r="AS8" s="591"/>
      <c r="AT8" s="592"/>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529"/>
      <c r="C9" s="529"/>
      <c r="D9" s="530"/>
      <c r="E9" s="570"/>
      <c r="F9" s="571"/>
      <c r="G9" s="571"/>
      <c r="H9" s="571"/>
      <c r="I9" s="572"/>
      <c r="J9" s="52" t="str">
        <f>IF(AND('Mapa de Riesgos'!$Y$33="Muy Alta",'Mapa de Riesgos'!$AA$33="Leve"),CONCATENATE("R4C",'Mapa de Riesgos'!$O$33),"")</f>
        <v/>
      </c>
      <c r="K9" s="53" t="str">
        <f>IF(AND('Mapa de Riesgos'!$Y$34="Muy Alta",'Mapa de Riesgos'!$AA$34="Leve"),CONCATENATE("R4C",'Mapa de Riesgos'!$O$34),"")</f>
        <v/>
      </c>
      <c r="L9" s="53" t="str">
        <f>IF(AND('Mapa de Riesgos'!$Y$35="Muy Alta",'Mapa de Riesgos'!$AA$35="Leve"),CONCATENATE("R4C",'Mapa de Riesgos'!$O$35),"")</f>
        <v/>
      </c>
      <c r="M9" s="53" t="str">
        <f>IF(AND('Mapa de Riesgos'!$Y$36="Muy Alta",'Mapa de Riesgos'!$AA$36="Leve"),CONCATENATE("R4C",'Mapa de Riesgos'!$O$36),"")</f>
        <v/>
      </c>
      <c r="N9" s="53" t="str">
        <f>IF(AND('Mapa de Riesgos'!$Y$37="Muy Alta",'Mapa de Riesgos'!$AA$37="Leve"),CONCATENATE("R4C",'Mapa de Riesgos'!$O$37),"")</f>
        <v/>
      </c>
      <c r="O9" s="54" t="str">
        <f>IF(AND('Mapa de Riesgos'!$Y$38="Muy Alta",'Mapa de Riesgos'!$AA$38="Leve"),CONCATENATE("R4C",'Mapa de Riesgos'!$O$38),"")</f>
        <v/>
      </c>
      <c r="P9" s="52" t="str">
        <f>IF(AND('Mapa de Riesgos'!$Y$33="Muy Alta",'Mapa de Riesgos'!$AA$33="Menor"),CONCATENATE("R4C",'Mapa de Riesgos'!$O$33),"")</f>
        <v/>
      </c>
      <c r="Q9" s="53" t="str">
        <f>IF(AND('Mapa de Riesgos'!$Y$34="Muy Alta",'Mapa de Riesgos'!$AA$34="Menor"),CONCATENATE("R4C",'Mapa de Riesgos'!$O$34),"")</f>
        <v/>
      </c>
      <c r="R9" s="53" t="str">
        <f>IF(AND('Mapa de Riesgos'!$Y$35="Muy Alta",'Mapa de Riesgos'!$AA$35="Menor"),CONCATENATE("R4C",'Mapa de Riesgos'!$O$35),"")</f>
        <v/>
      </c>
      <c r="S9" s="53" t="str">
        <f>IF(AND('Mapa de Riesgos'!$Y$36="Muy Alta",'Mapa de Riesgos'!$AA$36="Menor"),CONCATENATE("R4C",'Mapa de Riesgos'!$O$36),"")</f>
        <v/>
      </c>
      <c r="T9" s="53" t="str">
        <f>IF(AND('Mapa de Riesgos'!$Y$37="Muy Alta",'Mapa de Riesgos'!$AA$37="Menor"),CONCATENATE("R4C",'Mapa de Riesgos'!$O$37),"")</f>
        <v/>
      </c>
      <c r="U9" s="54" t="str">
        <f>IF(AND('Mapa de Riesgos'!$Y$38="Muy Alta",'Mapa de Riesgos'!$AA$38="Menor"),CONCATENATE("R4C",'Mapa de Riesgos'!$O$38),"")</f>
        <v/>
      </c>
      <c r="V9" s="52" t="str">
        <f>IF(AND('Mapa de Riesgos'!$Y$33="Muy Alta",'Mapa de Riesgos'!$AA$33="Moderado"),CONCATENATE("R4C",'Mapa de Riesgos'!$O$33),"")</f>
        <v/>
      </c>
      <c r="W9" s="53" t="str">
        <f>IF(AND('Mapa de Riesgos'!$Y$34="Muy Alta",'Mapa de Riesgos'!$AA$34="Moderado"),CONCATENATE("R4C",'Mapa de Riesgos'!$O$34),"")</f>
        <v/>
      </c>
      <c r="X9" s="53" t="str">
        <f>IF(AND('Mapa de Riesgos'!$Y$35="Muy Alta",'Mapa de Riesgos'!$AA$35="Moderado"),CONCATENATE("R4C",'Mapa de Riesgos'!$O$35),"")</f>
        <v/>
      </c>
      <c r="Y9" s="53" t="str">
        <f>IF(AND('Mapa de Riesgos'!$Y$36="Muy Alta",'Mapa de Riesgos'!$AA$36="Moderado"),CONCATENATE("R4C",'Mapa de Riesgos'!$O$36),"")</f>
        <v/>
      </c>
      <c r="Z9" s="53" t="str">
        <f>IF(AND('Mapa de Riesgos'!$Y$37="Muy Alta",'Mapa de Riesgos'!$AA$37="Moderado"),CONCATENATE("R4C",'Mapa de Riesgos'!$O$37),"")</f>
        <v/>
      </c>
      <c r="AA9" s="54" t="str">
        <f>IF(AND('Mapa de Riesgos'!$Y$38="Muy Alta",'Mapa de Riesgos'!$AA$38="Moderado"),CONCATENATE("R4C",'Mapa de Riesgos'!$O$38),"")</f>
        <v/>
      </c>
      <c r="AB9" s="52" t="str">
        <f>IF(AND('Mapa de Riesgos'!$Y$33="Muy Alta",'Mapa de Riesgos'!$AA$33="Mayor"),CONCATENATE("R4C",'Mapa de Riesgos'!$O$33),"")</f>
        <v/>
      </c>
      <c r="AC9" s="53" t="str">
        <f>IF(AND('Mapa de Riesgos'!$Y$34="Muy Alta",'Mapa de Riesgos'!$AA$34="Mayor"),CONCATENATE("R4C",'Mapa de Riesgos'!$O$34),"")</f>
        <v/>
      </c>
      <c r="AD9" s="53" t="str">
        <f>IF(AND('Mapa de Riesgos'!$Y$35="Muy Alta",'Mapa de Riesgos'!$AA$35="Mayor"),CONCATENATE("R4C",'Mapa de Riesgos'!$O$35),"")</f>
        <v/>
      </c>
      <c r="AE9" s="53" t="str">
        <f>IF(AND('Mapa de Riesgos'!$Y$36="Muy Alta",'Mapa de Riesgos'!$AA$36="Mayor"),CONCATENATE("R4C",'Mapa de Riesgos'!$O$36),"")</f>
        <v/>
      </c>
      <c r="AF9" s="53" t="str">
        <f>IF(AND('Mapa de Riesgos'!$Y$37="Muy Alta",'Mapa de Riesgos'!$AA$37="Mayor"),CONCATENATE("R4C",'Mapa de Riesgos'!$O$37),"")</f>
        <v/>
      </c>
      <c r="AG9" s="54" t="str">
        <f>IF(AND('Mapa de Riesgos'!$Y$38="Muy Alta",'Mapa de Riesgos'!$AA$38="Mayor"),CONCATENATE("R4C",'Mapa de Riesgos'!$O$38),"")</f>
        <v/>
      </c>
      <c r="AH9" s="55" t="str">
        <f>IF(AND('Mapa de Riesgos'!$Y$33="Muy Alta",'Mapa de Riesgos'!$AA$33="Catastrófico"),CONCATENATE("R4C",'Mapa de Riesgos'!$O$33),"")</f>
        <v/>
      </c>
      <c r="AI9" s="56" t="str">
        <f>IF(AND('Mapa de Riesgos'!$Y$34="Muy Alta",'Mapa de Riesgos'!$AA$34="Catastrófico"),CONCATENATE("R4C",'Mapa de Riesgos'!$O$34),"")</f>
        <v/>
      </c>
      <c r="AJ9" s="56" t="str">
        <f>IF(AND('Mapa de Riesgos'!$Y$35="Muy Alta",'Mapa de Riesgos'!$AA$35="Catastrófico"),CONCATENATE("R4C",'Mapa de Riesgos'!$O$35),"")</f>
        <v/>
      </c>
      <c r="AK9" s="56" t="str">
        <f>IF(AND('Mapa de Riesgos'!$Y$36="Muy Alta",'Mapa de Riesgos'!$AA$36="Catastrófico"),CONCATENATE("R4C",'Mapa de Riesgos'!$O$36),"")</f>
        <v/>
      </c>
      <c r="AL9" s="56" t="str">
        <f>IF(AND('Mapa de Riesgos'!$Y$37="Muy Alta",'Mapa de Riesgos'!$AA$37="Catastrófico"),CONCATENATE("R4C",'Mapa de Riesgos'!$O$37),"")</f>
        <v/>
      </c>
      <c r="AM9" s="57" t="str">
        <f>IF(AND('Mapa de Riesgos'!$Y$38="Muy Alta",'Mapa de Riesgos'!$AA$38="Catastrófico"),CONCATENATE("R4C",'Mapa de Riesgos'!$O$38),"")</f>
        <v/>
      </c>
      <c r="AN9" s="83"/>
      <c r="AO9" s="590"/>
      <c r="AP9" s="591"/>
      <c r="AQ9" s="591"/>
      <c r="AR9" s="591"/>
      <c r="AS9" s="591"/>
      <c r="AT9" s="592"/>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529"/>
      <c r="C10" s="529"/>
      <c r="D10" s="530"/>
      <c r="E10" s="570"/>
      <c r="F10" s="571"/>
      <c r="G10" s="571"/>
      <c r="H10" s="571"/>
      <c r="I10" s="572"/>
      <c r="J10" s="52" t="str">
        <f>IF(AND('Mapa de Riesgos'!$Y$39="Muy Alta",'Mapa de Riesgos'!$AA$39="Leve"),CONCATENATE("R5C",'Mapa de Riesgos'!$O$39),"")</f>
        <v/>
      </c>
      <c r="K10" s="53" t="str">
        <f>IF(AND('Mapa de Riesgos'!$Y$41="Muy Alta",'Mapa de Riesgos'!$AA$41="Leve"),CONCATENATE("R5C",'Mapa de Riesgos'!$O$41),"")</f>
        <v/>
      </c>
      <c r="L10" s="53" t="str">
        <f>IF(AND('Mapa de Riesgos'!$Y$42="Muy Alta",'Mapa de Riesgos'!$AA$42="Leve"),CONCATENATE("R5C",'Mapa de Riesgos'!$O$42),"")</f>
        <v/>
      </c>
      <c r="M10" s="53" t="str">
        <f>IF(AND('Mapa de Riesgos'!$Y$43="Muy Alta",'Mapa de Riesgos'!$AA$43="Leve"),CONCATENATE("R5C",'Mapa de Riesgos'!$O$43),"")</f>
        <v/>
      </c>
      <c r="N10" s="53" t="str">
        <f>IF(AND('Mapa de Riesgos'!$Y$44="Muy Alta",'Mapa de Riesgos'!$AA$44="Leve"),CONCATENATE("R5C",'Mapa de Riesgos'!$O$44),"")</f>
        <v/>
      </c>
      <c r="O10" s="54" t="str">
        <f>IF(AND('Mapa de Riesgos'!$Y$45="Muy Alta",'Mapa de Riesgos'!$AA$45="Leve"),CONCATENATE("R5C",'Mapa de Riesgos'!$O$45),"")</f>
        <v/>
      </c>
      <c r="P10" s="52" t="str">
        <f>IF(AND('Mapa de Riesgos'!$Y$39="Muy Alta",'Mapa de Riesgos'!$AA$39="Menor"),CONCATENATE("R5C",'Mapa de Riesgos'!$O$39),"")</f>
        <v/>
      </c>
      <c r="Q10" s="53" t="str">
        <f>IF(AND('Mapa de Riesgos'!$Y$41="Muy Alta",'Mapa de Riesgos'!$AA$41="Menor"),CONCATENATE("R5C",'Mapa de Riesgos'!$O$41),"")</f>
        <v/>
      </c>
      <c r="R10" s="53" t="str">
        <f>IF(AND('Mapa de Riesgos'!$Y$42="Muy Alta",'Mapa de Riesgos'!$AA$42="Menor"),CONCATENATE("R5C",'Mapa de Riesgos'!$O$42),"")</f>
        <v/>
      </c>
      <c r="S10" s="53" t="str">
        <f>IF(AND('Mapa de Riesgos'!$Y$43="Muy Alta",'Mapa de Riesgos'!$AA$43="Menor"),CONCATENATE("R5C",'Mapa de Riesgos'!$O$43),"")</f>
        <v/>
      </c>
      <c r="T10" s="53" t="str">
        <f>IF(AND('Mapa de Riesgos'!$Y$44="Muy Alta",'Mapa de Riesgos'!$AA$44="Menor"),CONCATENATE("R5C",'Mapa de Riesgos'!$O$44),"")</f>
        <v/>
      </c>
      <c r="U10" s="54" t="str">
        <f>IF(AND('Mapa de Riesgos'!$Y$45="Muy Alta",'Mapa de Riesgos'!$AA$45="Menor"),CONCATENATE("R5C",'Mapa de Riesgos'!$O$45),"")</f>
        <v/>
      </c>
      <c r="V10" s="52" t="str">
        <f>IF(AND('Mapa de Riesgos'!$Y$39="Muy Alta",'Mapa de Riesgos'!$AA$39="Moderado"),CONCATENATE("R5C",'Mapa de Riesgos'!$O$39),"")</f>
        <v/>
      </c>
      <c r="W10" s="53" t="str">
        <f>IF(AND('Mapa de Riesgos'!$Y$41="Muy Alta",'Mapa de Riesgos'!$AA$41="Moderado"),CONCATENATE("R5C",'Mapa de Riesgos'!$O$41),"")</f>
        <v/>
      </c>
      <c r="X10" s="53" t="str">
        <f>IF(AND('Mapa de Riesgos'!$Y$42="Muy Alta",'Mapa de Riesgos'!$AA$42="Moderado"),CONCATENATE("R5C",'Mapa de Riesgos'!$O$42),"")</f>
        <v/>
      </c>
      <c r="Y10" s="53" t="str">
        <f>IF(AND('Mapa de Riesgos'!$Y$43="Muy Alta",'Mapa de Riesgos'!$AA$43="Moderado"),CONCATENATE("R5C",'Mapa de Riesgos'!$O$43),"")</f>
        <v/>
      </c>
      <c r="Z10" s="53" t="str">
        <f>IF(AND('Mapa de Riesgos'!$Y$44="Muy Alta",'Mapa de Riesgos'!$AA$44="Moderado"),CONCATENATE("R5C",'Mapa de Riesgos'!$O$44),"")</f>
        <v/>
      </c>
      <c r="AA10" s="54" t="str">
        <f>IF(AND('Mapa de Riesgos'!$Y$45="Muy Alta",'Mapa de Riesgos'!$AA$45="Moderado"),CONCATENATE("R5C",'Mapa de Riesgos'!$O$45),"")</f>
        <v/>
      </c>
      <c r="AB10" s="52" t="str">
        <f>IF(AND('Mapa de Riesgos'!$Y$39="Muy Alta",'Mapa de Riesgos'!$AA$39="Mayor"),CONCATENATE("R5C",'Mapa de Riesgos'!$O$39),"")</f>
        <v/>
      </c>
      <c r="AC10" s="53" t="str">
        <f>IF(AND('Mapa de Riesgos'!$Y$41="Muy Alta",'Mapa de Riesgos'!$AA$41="Mayor"),CONCATENATE("R5C",'Mapa de Riesgos'!$O$41),"")</f>
        <v/>
      </c>
      <c r="AD10" s="53" t="str">
        <f>IF(AND('Mapa de Riesgos'!$Y$42="Muy Alta",'Mapa de Riesgos'!$AA$42="Mayor"),CONCATENATE("R5C",'Mapa de Riesgos'!$O$42),"")</f>
        <v/>
      </c>
      <c r="AE10" s="53" t="str">
        <f>IF(AND('Mapa de Riesgos'!$Y$43="Muy Alta",'Mapa de Riesgos'!$AA$43="Mayor"),CONCATENATE("R5C",'Mapa de Riesgos'!$O$43),"")</f>
        <v/>
      </c>
      <c r="AF10" s="53" t="str">
        <f>IF(AND('Mapa de Riesgos'!$Y$44="Muy Alta",'Mapa de Riesgos'!$AA$44="Mayor"),CONCATENATE("R5C",'Mapa de Riesgos'!$O$44),"")</f>
        <v/>
      </c>
      <c r="AG10" s="54" t="str">
        <f>IF(AND('Mapa de Riesgos'!$Y$45="Muy Alta",'Mapa de Riesgos'!$AA$45="Mayor"),CONCATENATE("R5C",'Mapa de Riesgos'!$O$45),"")</f>
        <v/>
      </c>
      <c r="AH10" s="55" t="str">
        <f>IF(AND('Mapa de Riesgos'!$Y$39="Muy Alta",'Mapa de Riesgos'!$AA$39="Catastrófico"),CONCATENATE("R5C",'Mapa de Riesgos'!$O$39),"")</f>
        <v/>
      </c>
      <c r="AI10" s="56" t="str">
        <f>IF(AND('Mapa de Riesgos'!$Y$41="Muy Alta",'Mapa de Riesgos'!$AA$41="Catastrófico"),CONCATENATE("R5C",'Mapa de Riesgos'!$O$41),"")</f>
        <v/>
      </c>
      <c r="AJ10" s="56" t="str">
        <f>IF(AND('Mapa de Riesgos'!$Y$42="Muy Alta",'Mapa de Riesgos'!$AA$42="Catastrófico"),CONCATENATE("R5C",'Mapa de Riesgos'!$O$42),"")</f>
        <v/>
      </c>
      <c r="AK10" s="56" t="str">
        <f>IF(AND('Mapa de Riesgos'!$Y$43="Muy Alta",'Mapa de Riesgos'!$AA$43="Catastrófico"),CONCATENATE("R5C",'Mapa de Riesgos'!$O$43),"")</f>
        <v/>
      </c>
      <c r="AL10" s="56" t="str">
        <f>IF(AND('Mapa de Riesgos'!$Y$44="Muy Alta",'Mapa de Riesgos'!$AA$44="Catastrófico"),CONCATENATE("R5C",'Mapa de Riesgos'!$O$44),"")</f>
        <v/>
      </c>
      <c r="AM10" s="57" t="str">
        <f>IF(AND('Mapa de Riesgos'!$Y$45="Muy Alta",'Mapa de Riesgos'!$AA$45="Catastrófico"),CONCATENATE("R5C",'Mapa de Riesgos'!$O$45),"")</f>
        <v/>
      </c>
      <c r="AN10" s="83"/>
      <c r="AO10" s="590"/>
      <c r="AP10" s="591"/>
      <c r="AQ10" s="591"/>
      <c r="AR10" s="591"/>
      <c r="AS10" s="591"/>
      <c r="AT10" s="592"/>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529"/>
      <c r="C11" s="529"/>
      <c r="D11" s="530"/>
      <c r="E11" s="570"/>
      <c r="F11" s="571"/>
      <c r="G11" s="571"/>
      <c r="H11" s="571"/>
      <c r="I11" s="572"/>
      <c r="J11" s="52" t="str">
        <f>IF(AND('Mapa de Riesgos'!$Y$46="Muy Alta",'Mapa de Riesgos'!$AA$46="Leve"),CONCATENATE("R6C",'Mapa de Riesgos'!$O$46),"")</f>
        <v/>
      </c>
      <c r="K11" s="53" t="str">
        <f>IF(AND('Mapa de Riesgos'!$Y$47="Muy Alta",'Mapa de Riesgos'!$AA$47="Leve"),CONCATENATE("R6C",'Mapa de Riesgos'!$O$47),"")</f>
        <v/>
      </c>
      <c r="L11" s="53" t="str">
        <f>IF(AND('Mapa de Riesgos'!$Y$48="Muy Alta",'Mapa de Riesgos'!$AA$48="Leve"),CONCATENATE("R6C",'Mapa de Riesgos'!$O$48),"")</f>
        <v/>
      </c>
      <c r="M11" s="53" t="str">
        <f>IF(AND('Mapa de Riesgos'!$Y$49="Muy Alta",'Mapa de Riesgos'!$AA$49="Leve"),CONCATENATE("R6C",'Mapa de Riesgos'!$O$49),"")</f>
        <v/>
      </c>
      <c r="N11" s="53" t="str">
        <f>IF(AND('Mapa de Riesgos'!$Y$50="Muy Alta",'Mapa de Riesgos'!$AA$50="Leve"),CONCATENATE("R6C",'Mapa de Riesgos'!$O$50),"")</f>
        <v/>
      </c>
      <c r="O11" s="54" t="str">
        <f>IF(AND('Mapa de Riesgos'!$Y$51="Muy Alta",'Mapa de Riesgos'!$AA$51="Leve"),CONCATENATE("R6C",'Mapa de Riesgos'!$O$51),"")</f>
        <v/>
      </c>
      <c r="P11" s="52" t="str">
        <f>IF(AND('Mapa de Riesgos'!$Y$46="Muy Alta",'Mapa de Riesgos'!$AA$46="Menor"),CONCATENATE("R6C",'Mapa de Riesgos'!$O$46),"")</f>
        <v/>
      </c>
      <c r="Q11" s="53" t="str">
        <f>IF(AND('Mapa de Riesgos'!$Y$47="Muy Alta",'Mapa de Riesgos'!$AA$47="Menor"),CONCATENATE("R6C",'Mapa de Riesgos'!$O$47),"")</f>
        <v/>
      </c>
      <c r="R11" s="53" t="str">
        <f>IF(AND('Mapa de Riesgos'!$Y$48="Muy Alta",'Mapa de Riesgos'!$AA$48="Menor"),CONCATENATE("R6C",'Mapa de Riesgos'!$O$48),"")</f>
        <v/>
      </c>
      <c r="S11" s="53" t="str">
        <f>IF(AND('Mapa de Riesgos'!$Y$49="Muy Alta",'Mapa de Riesgos'!$AA$49="Menor"),CONCATENATE("R6C",'Mapa de Riesgos'!$O$49),"")</f>
        <v/>
      </c>
      <c r="T11" s="53" t="str">
        <f>IF(AND('Mapa de Riesgos'!$Y$50="Muy Alta",'Mapa de Riesgos'!$AA$50="Menor"),CONCATENATE("R6C",'Mapa de Riesgos'!$O$50),"")</f>
        <v/>
      </c>
      <c r="U11" s="54" t="str">
        <f>IF(AND('Mapa de Riesgos'!$Y$51="Muy Alta",'Mapa de Riesgos'!$AA$51="Menor"),CONCATENATE("R6C",'Mapa de Riesgos'!$O$51),"")</f>
        <v/>
      </c>
      <c r="V11" s="52" t="str">
        <f>IF(AND('Mapa de Riesgos'!$Y$46="Muy Alta",'Mapa de Riesgos'!$AA$46="Moderado"),CONCATENATE("R6C",'Mapa de Riesgos'!$O$46),"")</f>
        <v/>
      </c>
      <c r="W11" s="53" t="str">
        <f>IF(AND('Mapa de Riesgos'!$Y$47="Muy Alta",'Mapa de Riesgos'!$AA$47="Moderado"),CONCATENATE("R6C",'Mapa de Riesgos'!$O$47),"")</f>
        <v/>
      </c>
      <c r="X11" s="53" t="str">
        <f>IF(AND('Mapa de Riesgos'!$Y$48="Muy Alta",'Mapa de Riesgos'!$AA$48="Moderado"),CONCATENATE("R6C",'Mapa de Riesgos'!$O$48),"")</f>
        <v/>
      </c>
      <c r="Y11" s="53" t="str">
        <f>IF(AND('Mapa de Riesgos'!$Y$49="Muy Alta",'Mapa de Riesgos'!$AA$49="Moderado"),CONCATENATE("R6C",'Mapa de Riesgos'!$O$49),"")</f>
        <v/>
      </c>
      <c r="Z11" s="53" t="str">
        <f>IF(AND('Mapa de Riesgos'!$Y$50="Muy Alta",'Mapa de Riesgos'!$AA$50="Moderado"),CONCATENATE("R6C",'Mapa de Riesgos'!$O$50),"")</f>
        <v/>
      </c>
      <c r="AA11" s="54" t="str">
        <f>IF(AND('Mapa de Riesgos'!$Y$51="Muy Alta",'Mapa de Riesgos'!$AA$51="Moderado"),CONCATENATE("R6C",'Mapa de Riesgos'!$O$51),"")</f>
        <v/>
      </c>
      <c r="AB11" s="52" t="str">
        <f>IF(AND('Mapa de Riesgos'!$Y$46="Muy Alta",'Mapa de Riesgos'!$AA$46="Mayor"),CONCATENATE("R6C",'Mapa de Riesgos'!$O$46),"")</f>
        <v/>
      </c>
      <c r="AC11" s="53" t="str">
        <f>IF(AND('Mapa de Riesgos'!$Y$47="Muy Alta",'Mapa de Riesgos'!$AA$47="Mayor"),CONCATENATE("R6C",'Mapa de Riesgos'!$O$47),"")</f>
        <v/>
      </c>
      <c r="AD11" s="53" t="str">
        <f>IF(AND('Mapa de Riesgos'!$Y$48="Muy Alta",'Mapa de Riesgos'!$AA$48="Mayor"),CONCATENATE("R6C",'Mapa de Riesgos'!$O$48),"")</f>
        <v/>
      </c>
      <c r="AE11" s="53" t="str">
        <f>IF(AND('Mapa de Riesgos'!$Y$49="Muy Alta",'Mapa de Riesgos'!$AA$49="Mayor"),CONCATENATE("R6C",'Mapa de Riesgos'!$O$49),"")</f>
        <v/>
      </c>
      <c r="AF11" s="53" t="str">
        <f>IF(AND('Mapa de Riesgos'!$Y$50="Muy Alta",'Mapa de Riesgos'!$AA$50="Mayor"),CONCATENATE("R6C",'Mapa de Riesgos'!$O$50),"")</f>
        <v/>
      </c>
      <c r="AG11" s="54" t="str">
        <f>IF(AND('Mapa de Riesgos'!$Y$51="Muy Alta",'Mapa de Riesgos'!$AA$51="Mayor"),CONCATENATE("R6C",'Mapa de Riesgos'!$O$51),"")</f>
        <v/>
      </c>
      <c r="AH11" s="55" t="str">
        <f>IF(AND('Mapa de Riesgos'!$Y$46="Muy Alta",'Mapa de Riesgos'!$AA$46="Catastrófico"),CONCATENATE("R6C",'Mapa de Riesgos'!$O$46),"")</f>
        <v/>
      </c>
      <c r="AI11" s="56" t="str">
        <f>IF(AND('Mapa de Riesgos'!$Y$47="Muy Alta",'Mapa de Riesgos'!$AA$47="Catastrófico"),CONCATENATE("R6C",'Mapa de Riesgos'!$O$47),"")</f>
        <v/>
      </c>
      <c r="AJ11" s="56" t="str">
        <f>IF(AND('Mapa de Riesgos'!$Y$48="Muy Alta",'Mapa de Riesgos'!$AA$48="Catastrófico"),CONCATENATE("R6C",'Mapa de Riesgos'!$O$48),"")</f>
        <v/>
      </c>
      <c r="AK11" s="56" t="str">
        <f>IF(AND('Mapa de Riesgos'!$Y$49="Muy Alta",'Mapa de Riesgos'!$AA$49="Catastrófico"),CONCATENATE("R6C",'Mapa de Riesgos'!$O$49),"")</f>
        <v/>
      </c>
      <c r="AL11" s="56" t="str">
        <f>IF(AND('Mapa de Riesgos'!$Y$50="Muy Alta",'Mapa de Riesgos'!$AA$50="Catastrófico"),CONCATENATE("R6C",'Mapa de Riesgos'!$O$50),"")</f>
        <v/>
      </c>
      <c r="AM11" s="57" t="str">
        <f>IF(AND('Mapa de Riesgos'!$Y$51="Muy Alta",'Mapa de Riesgos'!$AA$51="Catastrófico"),CONCATENATE("R6C",'Mapa de Riesgos'!$O$51),"")</f>
        <v/>
      </c>
      <c r="AN11" s="83"/>
      <c r="AO11" s="590"/>
      <c r="AP11" s="591"/>
      <c r="AQ11" s="591"/>
      <c r="AR11" s="591"/>
      <c r="AS11" s="591"/>
      <c r="AT11" s="592"/>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529"/>
      <c r="C12" s="529"/>
      <c r="D12" s="530"/>
      <c r="E12" s="570"/>
      <c r="F12" s="571"/>
      <c r="G12" s="571"/>
      <c r="H12" s="571"/>
      <c r="I12" s="572"/>
      <c r="J12" s="52" t="str">
        <f>IF(AND('Mapa de Riesgos'!$Y$52="Muy Alta",'Mapa de Riesgos'!$AA$52="Leve"),CONCATENATE("R7C",'Mapa de Riesgos'!$O$52),"")</f>
        <v/>
      </c>
      <c r="K12" s="53" t="str">
        <f>IF(AND('Mapa de Riesgos'!$Y$53="Muy Alta",'Mapa de Riesgos'!$AA$53="Leve"),CONCATENATE("R7C",'Mapa de Riesgos'!$O$53),"")</f>
        <v/>
      </c>
      <c r="L12" s="53" t="str">
        <f>IF(AND('Mapa de Riesgos'!$Y$54="Muy Alta",'Mapa de Riesgos'!$AA$54="Leve"),CONCATENATE("R7C",'Mapa de Riesgos'!$O$54),"")</f>
        <v/>
      </c>
      <c r="M12" s="53" t="str">
        <f>IF(AND('Mapa de Riesgos'!$Y$55="Muy Alta",'Mapa de Riesgos'!$AA$55="Leve"),CONCATENATE("R7C",'Mapa de Riesgos'!$O$55),"")</f>
        <v/>
      </c>
      <c r="N12" s="53" t="str">
        <f>IF(AND('Mapa de Riesgos'!$Y$56="Muy Alta",'Mapa de Riesgos'!$AA$56="Leve"),CONCATENATE("R7C",'Mapa de Riesgos'!$O$56),"")</f>
        <v/>
      </c>
      <c r="O12" s="54" t="str">
        <f>IF(AND('Mapa de Riesgos'!$Y$57="Muy Alta",'Mapa de Riesgos'!$AA$57="Leve"),CONCATENATE("R7C",'Mapa de Riesgos'!$O$57),"")</f>
        <v/>
      </c>
      <c r="P12" s="52" t="str">
        <f>IF(AND('Mapa de Riesgos'!$Y$52="Muy Alta",'Mapa de Riesgos'!$AA$52="Menor"),CONCATENATE("R7C",'Mapa de Riesgos'!$O$52),"")</f>
        <v/>
      </c>
      <c r="Q12" s="53" t="str">
        <f>IF(AND('Mapa de Riesgos'!$Y$53="Muy Alta",'Mapa de Riesgos'!$AA$53="Menor"),CONCATENATE("R7C",'Mapa de Riesgos'!$O$53),"")</f>
        <v/>
      </c>
      <c r="R12" s="53" t="str">
        <f>IF(AND('Mapa de Riesgos'!$Y$54="Muy Alta",'Mapa de Riesgos'!$AA$54="Menor"),CONCATENATE("R7C",'Mapa de Riesgos'!$O$54),"")</f>
        <v/>
      </c>
      <c r="S12" s="53" t="str">
        <f>IF(AND('Mapa de Riesgos'!$Y$55="Muy Alta",'Mapa de Riesgos'!$AA$55="Menor"),CONCATENATE("R7C",'Mapa de Riesgos'!$O$55),"")</f>
        <v/>
      </c>
      <c r="T12" s="53" t="str">
        <f>IF(AND('Mapa de Riesgos'!$Y$56="Muy Alta",'Mapa de Riesgos'!$AA$56="Menor"),CONCATENATE("R7C",'Mapa de Riesgos'!$O$56),"")</f>
        <v/>
      </c>
      <c r="U12" s="54" t="str">
        <f>IF(AND('Mapa de Riesgos'!$Y$57="Muy Alta",'Mapa de Riesgos'!$AA$57="Menor"),CONCATENATE("R7C",'Mapa de Riesgos'!$O$57),"")</f>
        <v/>
      </c>
      <c r="V12" s="52" t="str">
        <f>IF(AND('Mapa de Riesgos'!$Y$52="Muy Alta",'Mapa de Riesgos'!$AA$52="Moderado"),CONCATENATE("R7C",'Mapa de Riesgos'!$O$52),"")</f>
        <v/>
      </c>
      <c r="W12" s="53" t="str">
        <f>IF(AND('Mapa de Riesgos'!$Y$53="Muy Alta",'Mapa de Riesgos'!$AA$53="Moderado"),CONCATENATE("R7C",'Mapa de Riesgos'!$O$53),"")</f>
        <v/>
      </c>
      <c r="X12" s="53" t="str">
        <f>IF(AND('Mapa de Riesgos'!$Y$54="Muy Alta",'Mapa de Riesgos'!$AA$54="Moderado"),CONCATENATE("R7C",'Mapa de Riesgos'!$O$54),"")</f>
        <v/>
      </c>
      <c r="Y12" s="53" t="str">
        <f>IF(AND('Mapa de Riesgos'!$Y$55="Muy Alta",'Mapa de Riesgos'!$AA$55="Moderado"),CONCATENATE("R7C",'Mapa de Riesgos'!$O$55),"")</f>
        <v/>
      </c>
      <c r="Z12" s="53" t="str">
        <f>IF(AND('Mapa de Riesgos'!$Y$56="Muy Alta",'Mapa de Riesgos'!$AA$56="Moderado"),CONCATENATE("R7C",'Mapa de Riesgos'!$O$56),"")</f>
        <v/>
      </c>
      <c r="AA12" s="54" t="str">
        <f>IF(AND('Mapa de Riesgos'!$Y$57="Muy Alta",'Mapa de Riesgos'!$AA$57="Moderado"),CONCATENATE("R7C",'Mapa de Riesgos'!$O$57),"")</f>
        <v/>
      </c>
      <c r="AB12" s="52" t="str">
        <f>IF(AND('Mapa de Riesgos'!$Y$52="Muy Alta",'Mapa de Riesgos'!$AA$52="Mayor"),CONCATENATE("R7C",'Mapa de Riesgos'!$O$52),"")</f>
        <v/>
      </c>
      <c r="AC12" s="53" t="str">
        <f>IF(AND('Mapa de Riesgos'!$Y$53="Muy Alta",'Mapa de Riesgos'!$AA$53="Mayor"),CONCATENATE("R7C",'Mapa de Riesgos'!$O$53),"")</f>
        <v/>
      </c>
      <c r="AD12" s="53" t="str">
        <f>IF(AND('Mapa de Riesgos'!$Y$54="Muy Alta",'Mapa de Riesgos'!$AA$54="Mayor"),CONCATENATE("R7C",'Mapa de Riesgos'!$O$54),"")</f>
        <v/>
      </c>
      <c r="AE12" s="53" t="str">
        <f>IF(AND('Mapa de Riesgos'!$Y$55="Muy Alta",'Mapa de Riesgos'!$AA$55="Mayor"),CONCATENATE("R7C",'Mapa de Riesgos'!$O$55),"")</f>
        <v/>
      </c>
      <c r="AF12" s="53" t="str">
        <f>IF(AND('Mapa de Riesgos'!$Y$56="Muy Alta",'Mapa de Riesgos'!$AA$56="Mayor"),CONCATENATE("R7C",'Mapa de Riesgos'!$O$56),"")</f>
        <v/>
      </c>
      <c r="AG12" s="54" t="str">
        <f>IF(AND('Mapa de Riesgos'!$Y$57="Muy Alta",'Mapa de Riesgos'!$AA$57="Mayor"),CONCATENATE("R7C",'Mapa de Riesgos'!$O$57),"")</f>
        <v/>
      </c>
      <c r="AH12" s="55" t="str">
        <f>IF(AND('Mapa de Riesgos'!$Y$52="Muy Alta",'Mapa de Riesgos'!$AA$52="Catastrófico"),CONCATENATE("R7C",'Mapa de Riesgos'!$O$52),"")</f>
        <v/>
      </c>
      <c r="AI12" s="56" t="str">
        <f>IF(AND('Mapa de Riesgos'!$Y$53="Muy Alta",'Mapa de Riesgos'!$AA$53="Catastrófico"),CONCATENATE("R7C",'Mapa de Riesgos'!$O$53),"")</f>
        <v/>
      </c>
      <c r="AJ12" s="56" t="str">
        <f>IF(AND('Mapa de Riesgos'!$Y$54="Muy Alta",'Mapa de Riesgos'!$AA$54="Catastrófico"),CONCATENATE("R7C",'Mapa de Riesgos'!$O$54),"")</f>
        <v/>
      </c>
      <c r="AK12" s="56" t="str">
        <f>IF(AND('Mapa de Riesgos'!$Y$55="Muy Alta",'Mapa de Riesgos'!$AA$55="Catastrófico"),CONCATENATE("R7C",'Mapa de Riesgos'!$O$55),"")</f>
        <v/>
      </c>
      <c r="AL12" s="56" t="str">
        <f>IF(AND('Mapa de Riesgos'!$Y$56="Muy Alta",'Mapa de Riesgos'!$AA$56="Catastrófico"),CONCATENATE("R7C",'Mapa de Riesgos'!$O$56),"")</f>
        <v/>
      </c>
      <c r="AM12" s="57" t="str">
        <f>IF(AND('Mapa de Riesgos'!$Y$57="Muy Alta",'Mapa de Riesgos'!$AA$57="Catastrófico"),CONCATENATE("R7C",'Mapa de Riesgos'!$O$57),"")</f>
        <v/>
      </c>
      <c r="AN12" s="83"/>
      <c r="AO12" s="590"/>
      <c r="AP12" s="591"/>
      <c r="AQ12" s="591"/>
      <c r="AR12" s="591"/>
      <c r="AS12" s="591"/>
      <c r="AT12" s="592"/>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529"/>
      <c r="C13" s="529"/>
      <c r="D13" s="530"/>
      <c r="E13" s="570"/>
      <c r="F13" s="571"/>
      <c r="G13" s="571"/>
      <c r="H13" s="571"/>
      <c r="I13" s="572"/>
      <c r="J13" s="52" t="str">
        <f>IF(AND('Mapa de Riesgos'!$Y$58="Muy Alta",'Mapa de Riesgos'!$AA$58="Leve"),CONCATENATE("R8C",'Mapa de Riesgos'!$O$58),"")</f>
        <v/>
      </c>
      <c r="K13" s="53" t="str">
        <f>IF(AND('Mapa de Riesgos'!$Y$59="Muy Alta",'Mapa de Riesgos'!$AA$59="Leve"),CONCATENATE("R8C",'Mapa de Riesgos'!$O$59),"")</f>
        <v/>
      </c>
      <c r="L13" s="53" t="str">
        <f>IF(AND('Mapa de Riesgos'!$Y$60="Muy Alta",'Mapa de Riesgos'!$AA$60="Leve"),CONCATENATE("R8C",'Mapa de Riesgos'!$O$60),"")</f>
        <v/>
      </c>
      <c r="M13" s="53" t="str">
        <f>IF(AND('Mapa de Riesgos'!$Y$61="Muy Alta",'Mapa de Riesgos'!$AA$61="Leve"),CONCATENATE("R8C",'Mapa de Riesgos'!$O$61),"")</f>
        <v/>
      </c>
      <c r="N13" s="53" t="str">
        <f>IF(AND('Mapa de Riesgos'!$Y$62="Muy Alta",'Mapa de Riesgos'!$AA$62="Leve"),CONCATENATE("R8C",'Mapa de Riesgos'!$O$62),"")</f>
        <v/>
      </c>
      <c r="O13" s="54" t="str">
        <f>IF(AND('Mapa de Riesgos'!$Y$63="Muy Alta",'Mapa de Riesgos'!$AA$63="Leve"),CONCATENATE("R8C",'Mapa de Riesgos'!$O$63),"")</f>
        <v/>
      </c>
      <c r="P13" s="52" t="str">
        <f>IF(AND('Mapa de Riesgos'!$Y$58="Muy Alta",'Mapa de Riesgos'!$AA$58="Menor"),CONCATENATE("R8C",'Mapa de Riesgos'!$O$58),"")</f>
        <v/>
      </c>
      <c r="Q13" s="53" t="str">
        <f>IF(AND('Mapa de Riesgos'!$Y$59="Muy Alta",'Mapa de Riesgos'!$AA$59="Menor"),CONCATENATE("R8C",'Mapa de Riesgos'!$O$59),"")</f>
        <v/>
      </c>
      <c r="R13" s="53" t="str">
        <f>IF(AND('Mapa de Riesgos'!$Y$60="Muy Alta",'Mapa de Riesgos'!$AA$60="Menor"),CONCATENATE("R8C",'Mapa de Riesgos'!$O$60),"")</f>
        <v/>
      </c>
      <c r="S13" s="53" t="str">
        <f>IF(AND('Mapa de Riesgos'!$Y$61="Muy Alta",'Mapa de Riesgos'!$AA$61="Menor"),CONCATENATE("R8C",'Mapa de Riesgos'!$O$61),"")</f>
        <v/>
      </c>
      <c r="T13" s="53" t="str">
        <f>IF(AND('Mapa de Riesgos'!$Y$62="Muy Alta",'Mapa de Riesgos'!$AA$62="Menor"),CONCATENATE("R8C",'Mapa de Riesgos'!$O$62),"")</f>
        <v/>
      </c>
      <c r="U13" s="54" t="str">
        <f>IF(AND('Mapa de Riesgos'!$Y$63="Muy Alta",'Mapa de Riesgos'!$AA$63="Menor"),CONCATENATE("R8C",'Mapa de Riesgos'!$O$63),"")</f>
        <v/>
      </c>
      <c r="V13" s="52" t="str">
        <f>IF(AND('Mapa de Riesgos'!$Y$58="Muy Alta",'Mapa de Riesgos'!$AA$58="Moderado"),CONCATENATE("R8C",'Mapa de Riesgos'!$O$58),"")</f>
        <v/>
      </c>
      <c r="W13" s="53" t="str">
        <f>IF(AND('Mapa de Riesgos'!$Y$59="Muy Alta",'Mapa de Riesgos'!$AA$59="Moderado"),CONCATENATE("R8C",'Mapa de Riesgos'!$O$59),"")</f>
        <v/>
      </c>
      <c r="X13" s="53" t="str">
        <f>IF(AND('Mapa de Riesgos'!$Y$60="Muy Alta",'Mapa de Riesgos'!$AA$60="Moderado"),CONCATENATE("R8C",'Mapa de Riesgos'!$O$60),"")</f>
        <v/>
      </c>
      <c r="Y13" s="53" t="str">
        <f>IF(AND('Mapa de Riesgos'!$Y$61="Muy Alta",'Mapa de Riesgos'!$AA$61="Moderado"),CONCATENATE("R8C",'Mapa de Riesgos'!$O$61),"")</f>
        <v/>
      </c>
      <c r="Z13" s="53" t="str">
        <f>IF(AND('Mapa de Riesgos'!$Y$62="Muy Alta",'Mapa de Riesgos'!$AA$62="Moderado"),CONCATENATE("R8C",'Mapa de Riesgos'!$O$62),"")</f>
        <v/>
      </c>
      <c r="AA13" s="54" t="str">
        <f>IF(AND('Mapa de Riesgos'!$Y$63="Muy Alta",'Mapa de Riesgos'!$AA$63="Moderado"),CONCATENATE("R8C",'Mapa de Riesgos'!$O$63),"")</f>
        <v/>
      </c>
      <c r="AB13" s="52" t="str">
        <f>IF(AND('Mapa de Riesgos'!$Y$58="Muy Alta",'Mapa de Riesgos'!$AA$58="Mayor"),CONCATENATE("R8C",'Mapa de Riesgos'!$O$58),"")</f>
        <v/>
      </c>
      <c r="AC13" s="53" t="str">
        <f>IF(AND('Mapa de Riesgos'!$Y$59="Muy Alta",'Mapa de Riesgos'!$AA$59="Mayor"),CONCATENATE("R8C",'Mapa de Riesgos'!$O$59),"")</f>
        <v/>
      </c>
      <c r="AD13" s="53" t="str">
        <f>IF(AND('Mapa de Riesgos'!$Y$60="Muy Alta",'Mapa de Riesgos'!$AA$60="Mayor"),CONCATENATE("R8C",'Mapa de Riesgos'!$O$60),"")</f>
        <v/>
      </c>
      <c r="AE13" s="53" t="str">
        <f>IF(AND('Mapa de Riesgos'!$Y$61="Muy Alta",'Mapa de Riesgos'!$AA$61="Mayor"),CONCATENATE("R8C",'Mapa de Riesgos'!$O$61),"")</f>
        <v/>
      </c>
      <c r="AF13" s="53" t="str">
        <f>IF(AND('Mapa de Riesgos'!$Y$62="Muy Alta",'Mapa de Riesgos'!$AA$62="Mayor"),CONCATENATE("R8C",'Mapa de Riesgos'!$O$62),"")</f>
        <v/>
      </c>
      <c r="AG13" s="54" t="str">
        <f>IF(AND('Mapa de Riesgos'!$Y$63="Muy Alta",'Mapa de Riesgos'!$AA$63="Mayor"),CONCATENATE("R8C",'Mapa de Riesgos'!$O$63),"")</f>
        <v/>
      </c>
      <c r="AH13" s="55" t="str">
        <f>IF(AND('Mapa de Riesgos'!$Y$58="Muy Alta",'Mapa de Riesgos'!$AA$58="Catastrófico"),CONCATENATE("R8C",'Mapa de Riesgos'!$O$58),"")</f>
        <v/>
      </c>
      <c r="AI13" s="56" t="str">
        <f>IF(AND('Mapa de Riesgos'!$Y$59="Muy Alta",'Mapa de Riesgos'!$AA$59="Catastrófico"),CONCATENATE("R8C",'Mapa de Riesgos'!$O$59),"")</f>
        <v/>
      </c>
      <c r="AJ13" s="56" t="str">
        <f>IF(AND('Mapa de Riesgos'!$Y$60="Muy Alta",'Mapa de Riesgos'!$AA$60="Catastrófico"),CONCATENATE("R8C",'Mapa de Riesgos'!$O$60),"")</f>
        <v/>
      </c>
      <c r="AK13" s="56" t="str">
        <f>IF(AND('Mapa de Riesgos'!$Y$61="Muy Alta",'Mapa de Riesgos'!$AA$61="Catastrófico"),CONCATENATE("R8C",'Mapa de Riesgos'!$O$61),"")</f>
        <v/>
      </c>
      <c r="AL13" s="56" t="str">
        <f>IF(AND('Mapa de Riesgos'!$Y$62="Muy Alta",'Mapa de Riesgos'!$AA$62="Catastrófico"),CONCATENATE("R8C",'Mapa de Riesgos'!$O$62),"")</f>
        <v/>
      </c>
      <c r="AM13" s="57" t="str">
        <f>IF(AND('Mapa de Riesgos'!$Y$63="Muy Alta",'Mapa de Riesgos'!$AA$63="Catastrófico"),CONCATENATE("R8C",'Mapa de Riesgos'!$O$63),"")</f>
        <v/>
      </c>
      <c r="AN13" s="83"/>
      <c r="AO13" s="590"/>
      <c r="AP13" s="591"/>
      <c r="AQ13" s="591"/>
      <c r="AR13" s="591"/>
      <c r="AS13" s="591"/>
      <c r="AT13" s="592"/>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529"/>
      <c r="C14" s="529"/>
      <c r="D14" s="530"/>
      <c r="E14" s="570"/>
      <c r="F14" s="571"/>
      <c r="G14" s="571"/>
      <c r="H14" s="571"/>
      <c r="I14" s="572"/>
      <c r="J14" s="52" t="str">
        <f>IF(AND('Mapa de Riesgos'!$Y$64="Muy Alta",'Mapa de Riesgos'!$AA$64="Leve"),CONCATENATE("R9C",'Mapa de Riesgos'!$O$64),"")</f>
        <v/>
      </c>
      <c r="K14" s="53" t="str">
        <f>IF(AND('Mapa de Riesgos'!$Y$65="Muy Alta",'Mapa de Riesgos'!$AA$65="Leve"),CONCATENATE("R9C",'Mapa de Riesgos'!$O$65),"")</f>
        <v/>
      </c>
      <c r="L14" s="53" t="str">
        <f>IF(AND('Mapa de Riesgos'!$Y$66="Muy Alta",'Mapa de Riesgos'!$AA$66="Leve"),CONCATENATE("R9C",'Mapa de Riesgos'!$O$66),"")</f>
        <v/>
      </c>
      <c r="M14" s="53" t="str">
        <f>IF(AND('Mapa de Riesgos'!$Y$67="Muy Alta",'Mapa de Riesgos'!$AA$67="Leve"),CONCATENATE("R9C",'Mapa de Riesgos'!$O$67),"")</f>
        <v/>
      </c>
      <c r="N14" s="53" t="str">
        <f>IF(AND('Mapa de Riesgos'!$Y$68="Muy Alta",'Mapa de Riesgos'!$AA$68="Leve"),CONCATENATE("R9C",'Mapa de Riesgos'!$O$68),"")</f>
        <v/>
      </c>
      <c r="O14" s="54" t="str">
        <f>IF(AND('Mapa de Riesgos'!$Y$69="Muy Alta",'Mapa de Riesgos'!$AA$69="Leve"),CONCATENATE("R9C",'Mapa de Riesgos'!$O$69),"")</f>
        <v/>
      </c>
      <c r="P14" s="52" t="str">
        <f>IF(AND('Mapa de Riesgos'!$Y$64="Muy Alta",'Mapa de Riesgos'!$AA$64="Menor"),CONCATENATE("R9C",'Mapa de Riesgos'!$O$64),"")</f>
        <v/>
      </c>
      <c r="Q14" s="53" t="str">
        <f>IF(AND('Mapa de Riesgos'!$Y$65="Muy Alta",'Mapa de Riesgos'!$AA$65="Menor"),CONCATENATE("R9C",'Mapa de Riesgos'!$O$65),"")</f>
        <v/>
      </c>
      <c r="R14" s="53" t="str">
        <f>IF(AND('Mapa de Riesgos'!$Y$66="Muy Alta",'Mapa de Riesgos'!$AA$66="Menor"),CONCATENATE("R9C",'Mapa de Riesgos'!$O$66),"")</f>
        <v/>
      </c>
      <c r="S14" s="53" t="str">
        <f>IF(AND('Mapa de Riesgos'!$Y$67="Muy Alta",'Mapa de Riesgos'!$AA$67="Menor"),CONCATENATE("R9C",'Mapa de Riesgos'!$O$67),"")</f>
        <v/>
      </c>
      <c r="T14" s="53" t="str">
        <f>IF(AND('Mapa de Riesgos'!$Y$68="Muy Alta",'Mapa de Riesgos'!$AA$68="Menor"),CONCATENATE("R9C",'Mapa de Riesgos'!$O$68),"")</f>
        <v/>
      </c>
      <c r="U14" s="54" t="str">
        <f>IF(AND('Mapa de Riesgos'!$Y$69="Muy Alta",'Mapa de Riesgos'!$AA$69="Menor"),CONCATENATE("R9C",'Mapa de Riesgos'!$O$69),"")</f>
        <v/>
      </c>
      <c r="V14" s="52" t="str">
        <f>IF(AND('Mapa de Riesgos'!$Y$64="Muy Alta",'Mapa de Riesgos'!$AA$64="Moderado"),CONCATENATE("R9C",'Mapa de Riesgos'!$O$64),"")</f>
        <v/>
      </c>
      <c r="W14" s="53" t="str">
        <f>IF(AND('Mapa de Riesgos'!$Y$65="Muy Alta",'Mapa de Riesgos'!$AA$65="Moderado"),CONCATENATE("R9C",'Mapa de Riesgos'!$O$65),"")</f>
        <v/>
      </c>
      <c r="X14" s="53" t="str">
        <f>IF(AND('Mapa de Riesgos'!$Y$66="Muy Alta",'Mapa de Riesgos'!$AA$66="Moderado"),CONCATENATE("R9C",'Mapa de Riesgos'!$O$66),"")</f>
        <v/>
      </c>
      <c r="Y14" s="53" t="str">
        <f>IF(AND('Mapa de Riesgos'!$Y$67="Muy Alta",'Mapa de Riesgos'!$AA$67="Moderado"),CONCATENATE("R9C",'Mapa de Riesgos'!$O$67),"")</f>
        <v/>
      </c>
      <c r="Z14" s="53" t="str">
        <f>IF(AND('Mapa de Riesgos'!$Y$68="Muy Alta",'Mapa de Riesgos'!$AA$68="Moderado"),CONCATENATE("R9C",'Mapa de Riesgos'!$O$68),"")</f>
        <v/>
      </c>
      <c r="AA14" s="54" t="str">
        <f>IF(AND('Mapa de Riesgos'!$Y$69="Muy Alta",'Mapa de Riesgos'!$AA$69="Moderado"),CONCATENATE("R9C",'Mapa de Riesgos'!$O$69),"")</f>
        <v/>
      </c>
      <c r="AB14" s="52" t="str">
        <f>IF(AND('Mapa de Riesgos'!$Y$64="Muy Alta",'Mapa de Riesgos'!$AA$64="Mayor"),CONCATENATE("R9C",'Mapa de Riesgos'!$O$64),"")</f>
        <v/>
      </c>
      <c r="AC14" s="53" t="str">
        <f>IF(AND('Mapa de Riesgos'!$Y$65="Muy Alta",'Mapa de Riesgos'!$AA$65="Mayor"),CONCATENATE("R9C",'Mapa de Riesgos'!$O$65),"")</f>
        <v/>
      </c>
      <c r="AD14" s="53" t="str">
        <f>IF(AND('Mapa de Riesgos'!$Y$66="Muy Alta",'Mapa de Riesgos'!$AA$66="Mayor"),CONCATENATE("R9C",'Mapa de Riesgos'!$O$66),"")</f>
        <v/>
      </c>
      <c r="AE14" s="53" t="str">
        <f>IF(AND('Mapa de Riesgos'!$Y$67="Muy Alta",'Mapa de Riesgos'!$AA$67="Mayor"),CONCATENATE("R9C",'Mapa de Riesgos'!$O$67),"")</f>
        <v/>
      </c>
      <c r="AF14" s="53" t="str">
        <f>IF(AND('Mapa de Riesgos'!$Y$68="Muy Alta",'Mapa de Riesgos'!$AA$68="Mayor"),CONCATENATE("R9C",'Mapa de Riesgos'!$O$68),"")</f>
        <v/>
      </c>
      <c r="AG14" s="54" t="str">
        <f>IF(AND('Mapa de Riesgos'!$Y$69="Muy Alta",'Mapa de Riesgos'!$AA$69="Mayor"),CONCATENATE("R9C",'Mapa de Riesgos'!$O$69),"")</f>
        <v/>
      </c>
      <c r="AH14" s="55" t="str">
        <f>IF(AND('Mapa de Riesgos'!$Y$64="Muy Alta",'Mapa de Riesgos'!$AA$64="Catastrófico"),CONCATENATE("R9C",'Mapa de Riesgos'!$O$64),"")</f>
        <v/>
      </c>
      <c r="AI14" s="56" t="str">
        <f>IF(AND('Mapa de Riesgos'!$Y$65="Muy Alta",'Mapa de Riesgos'!$AA$65="Catastrófico"),CONCATENATE("R9C",'Mapa de Riesgos'!$O$65),"")</f>
        <v/>
      </c>
      <c r="AJ14" s="56" t="str">
        <f>IF(AND('Mapa de Riesgos'!$Y$66="Muy Alta",'Mapa de Riesgos'!$AA$66="Catastrófico"),CONCATENATE("R9C",'Mapa de Riesgos'!$O$66),"")</f>
        <v/>
      </c>
      <c r="AK14" s="56" t="str">
        <f>IF(AND('Mapa de Riesgos'!$Y$67="Muy Alta",'Mapa de Riesgos'!$AA$67="Catastrófico"),CONCATENATE("R9C",'Mapa de Riesgos'!$O$67),"")</f>
        <v/>
      </c>
      <c r="AL14" s="56" t="str">
        <f>IF(AND('Mapa de Riesgos'!$Y$68="Muy Alta",'Mapa de Riesgos'!$AA$68="Catastrófico"),CONCATENATE("R9C",'Mapa de Riesgos'!$O$68),"")</f>
        <v/>
      </c>
      <c r="AM14" s="57" t="str">
        <f>IF(AND('Mapa de Riesgos'!$Y$69="Muy Alta",'Mapa de Riesgos'!$AA$69="Catastrófico"),CONCATENATE("R9C",'Mapa de Riesgos'!$O$69),"")</f>
        <v/>
      </c>
      <c r="AN14" s="83"/>
      <c r="AO14" s="590"/>
      <c r="AP14" s="591"/>
      <c r="AQ14" s="591"/>
      <c r="AR14" s="591"/>
      <c r="AS14" s="591"/>
      <c r="AT14" s="592"/>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529"/>
      <c r="C15" s="529"/>
      <c r="D15" s="530"/>
      <c r="E15" s="573"/>
      <c r="F15" s="574"/>
      <c r="G15" s="574"/>
      <c r="H15" s="574"/>
      <c r="I15" s="575"/>
      <c r="J15" s="58" t="str">
        <f>IF(AND('Mapa de Riesgos'!$Y$70="Muy Alta",'Mapa de Riesgos'!$AA$70="Leve"),CONCATENATE("R10C",'Mapa de Riesgos'!$O$70),"")</f>
        <v/>
      </c>
      <c r="K15" s="59" t="str">
        <f>IF(AND('Mapa de Riesgos'!$Y$71="Muy Alta",'Mapa de Riesgos'!$AA$71="Leve"),CONCATENATE("R10C",'Mapa de Riesgos'!$O$71),"")</f>
        <v/>
      </c>
      <c r="L15" s="59" t="str">
        <f>IF(AND('Mapa de Riesgos'!$Y$72="Muy Alta",'Mapa de Riesgos'!$AA$72="Leve"),CONCATENATE("R10C",'Mapa de Riesgos'!$O$72),"")</f>
        <v/>
      </c>
      <c r="M15" s="59" t="str">
        <f>IF(AND('Mapa de Riesgos'!$Y$73="Muy Alta",'Mapa de Riesgos'!$AA$73="Leve"),CONCATENATE("R10C",'Mapa de Riesgos'!$O$73),"")</f>
        <v/>
      </c>
      <c r="N15" s="59" t="str">
        <f>IF(AND('Mapa de Riesgos'!$Y$74="Muy Alta",'Mapa de Riesgos'!$AA$74="Leve"),CONCATENATE("R10C",'Mapa de Riesgos'!$O$74),"")</f>
        <v/>
      </c>
      <c r="O15" s="60" t="str">
        <f>IF(AND('Mapa de Riesgos'!$Y$75="Muy Alta",'Mapa de Riesgos'!$AA$75="Leve"),CONCATENATE("R10C",'Mapa de Riesgos'!$O$75),"")</f>
        <v/>
      </c>
      <c r="P15" s="52" t="str">
        <f>IF(AND('Mapa de Riesgos'!$Y$70="Muy Alta",'Mapa de Riesgos'!$AA$70="Menor"),CONCATENATE("R10C",'Mapa de Riesgos'!$O$70),"")</f>
        <v/>
      </c>
      <c r="Q15" s="53" t="str">
        <f>IF(AND('Mapa de Riesgos'!$Y$71="Muy Alta",'Mapa de Riesgos'!$AA$71="Menor"),CONCATENATE("R10C",'Mapa de Riesgos'!$O$71),"")</f>
        <v/>
      </c>
      <c r="R15" s="53" t="str">
        <f>IF(AND('Mapa de Riesgos'!$Y$72="Muy Alta",'Mapa de Riesgos'!$AA$72="Menor"),CONCATENATE("R10C",'Mapa de Riesgos'!$O$72),"")</f>
        <v/>
      </c>
      <c r="S15" s="53" t="str">
        <f>IF(AND('Mapa de Riesgos'!$Y$73="Muy Alta",'Mapa de Riesgos'!$AA$73="Menor"),CONCATENATE("R10C",'Mapa de Riesgos'!$O$73),"")</f>
        <v/>
      </c>
      <c r="T15" s="53" t="str">
        <f>IF(AND('Mapa de Riesgos'!$Y$74="Muy Alta",'Mapa de Riesgos'!$AA$74="Menor"),CONCATENATE("R10C",'Mapa de Riesgos'!$O$74),"")</f>
        <v/>
      </c>
      <c r="U15" s="54" t="str">
        <f>IF(AND('Mapa de Riesgos'!$Y$75="Muy Alta",'Mapa de Riesgos'!$AA$75="Menor"),CONCATENATE("R10C",'Mapa de Riesgos'!$O$75),"")</f>
        <v/>
      </c>
      <c r="V15" s="58" t="str">
        <f>IF(AND('Mapa de Riesgos'!$Y$70="Muy Alta",'Mapa de Riesgos'!$AA$70="Moderado"),CONCATENATE("R10C",'Mapa de Riesgos'!$O$70),"")</f>
        <v/>
      </c>
      <c r="W15" s="59" t="str">
        <f>IF(AND('Mapa de Riesgos'!$Y$71="Muy Alta",'Mapa de Riesgos'!$AA$71="Moderado"),CONCATENATE("R10C",'Mapa de Riesgos'!$O$71),"")</f>
        <v/>
      </c>
      <c r="X15" s="59" t="str">
        <f>IF(AND('Mapa de Riesgos'!$Y$72="Muy Alta",'Mapa de Riesgos'!$AA$72="Moderado"),CONCATENATE("R10C",'Mapa de Riesgos'!$O$72),"")</f>
        <v/>
      </c>
      <c r="Y15" s="59" t="str">
        <f>IF(AND('Mapa de Riesgos'!$Y$73="Muy Alta",'Mapa de Riesgos'!$AA$73="Moderado"),CONCATENATE("R10C",'Mapa de Riesgos'!$O$73),"")</f>
        <v/>
      </c>
      <c r="Z15" s="59" t="str">
        <f>IF(AND('Mapa de Riesgos'!$Y$74="Muy Alta",'Mapa de Riesgos'!$AA$74="Moderado"),CONCATENATE("R10C",'Mapa de Riesgos'!$O$74),"")</f>
        <v/>
      </c>
      <c r="AA15" s="60" t="str">
        <f>IF(AND('Mapa de Riesgos'!$Y$75="Muy Alta",'Mapa de Riesgos'!$AA$75="Moderado"),CONCATENATE("R10C",'Mapa de Riesgos'!$O$75),"")</f>
        <v/>
      </c>
      <c r="AB15" s="52" t="str">
        <f>IF(AND('Mapa de Riesgos'!$Y$70="Muy Alta",'Mapa de Riesgos'!$AA$70="Mayor"),CONCATENATE("R10C",'Mapa de Riesgos'!$O$70),"")</f>
        <v/>
      </c>
      <c r="AC15" s="53" t="str">
        <f>IF(AND('Mapa de Riesgos'!$Y$71="Muy Alta",'Mapa de Riesgos'!$AA$71="Mayor"),CONCATENATE("R10C",'Mapa de Riesgos'!$O$71),"")</f>
        <v/>
      </c>
      <c r="AD15" s="53" t="str">
        <f>IF(AND('Mapa de Riesgos'!$Y$72="Muy Alta",'Mapa de Riesgos'!$AA$72="Mayor"),CONCATENATE("R10C",'Mapa de Riesgos'!$O$72),"")</f>
        <v/>
      </c>
      <c r="AE15" s="53" t="str">
        <f>IF(AND('Mapa de Riesgos'!$Y$73="Muy Alta",'Mapa de Riesgos'!$AA$73="Mayor"),CONCATENATE("R10C",'Mapa de Riesgos'!$O$73),"")</f>
        <v/>
      </c>
      <c r="AF15" s="53" t="str">
        <f>IF(AND('Mapa de Riesgos'!$Y$74="Muy Alta",'Mapa de Riesgos'!$AA$74="Mayor"),CONCATENATE("R10C",'Mapa de Riesgos'!$O$74),"")</f>
        <v/>
      </c>
      <c r="AG15" s="54" t="str">
        <f>IF(AND('Mapa de Riesgos'!$Y$75="Muy Alta",'Mapa de Riesgos'!$AA$75="Mayor"),CONCATENATE("R10C",'Mapa de Riesgos'!$O$75),"")</f>
        <v/>
      </c>
      <c r="AH15" s="61" t="str">
        <f>IF(AND('Mapa de Riesgos'!$Y$70="Muy Alta",'Mapa de Riesgos'!$AA$70="Catastrófico"),CONCATENATE("R10C",'Mapa de Riesgos'!$O$70),"")</f>
        <v/>
      </c>
      <c r="AI15" s="62" t="str">
        <f>IF(AND('Mapa de Riesgos'!$Y$71="Muy Alta",'Mapa de Riesgos'!$AA$71="Catastrófico"),CONCATENATE("R10C",'Mapa de Riesgos'!$O$71),"")</f>
        <v/>
      </c>
      <c r="AJ15" s="62" t="str">
        <f>IF(AND('Mapa de Riesgos'!$Y$72="Muy Alta",'Mapa de Riesgos'!$AA$72="Catastrófico"),CONCATENATE("R10C",'Mapa de Riesgos'!$O$72),"")</f>
        <v/>
      </c>
      <c r="AK15" s="62" t="str">
        <f>IF(AND('Mapa de Riesgos'!$Y$73="Muy Alta",'Mapa de Riesgos'!$AA$73="Catastrófico"),CONCATENATE("R10C",'Mapa de Riesgos'!$O$73),"")</f>
        <v/>
      </c>
      <c r="AL15" s="62" t="str">
        <f>IF(AND('Mapa de Riesgos'!$Y$74="Muy Alta",'Mapa de Riesgos'!$AA$74="Catastrófico"),CONCATENATE("R10C",'Mapa de Riesgos'!$O$74),"")</f>
        <v/>
      </c>
      <c r="AM15" s="63" t="str">
        <f>IF(AND('Mapa de Riesgos'!$Y$75="Muy Alta",'Mapa de Riesgos'!$AA$75="Catastrófico"),CONCATENATE("R10C",'Mapa de Riesgos'!$O$75),"")</f>
        <v/>
      </c>
      <c r="AN15" s="83"/>
      <c r="AO15" s="593"/>
      <c r="AP15" s="594"/>
      <c r="AQ15" s="594"/>
      <c r="AR15" s="594"/>
      <c r="AS15" s="594"/>
      <c r="AT15" s="595"/>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529"/>
      <c r="C16" s="529"/>
      <c r="D16" s="530"/>
      <c r="E16" s="567" t="s">
        <v>244</v>
      </c>
      <c r="F16" s="568"/>
      <c r="G16" s="568"/>
      <c r="H16" s="568"/>
      <c r="I16" s="568"/>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77" t="s">
        <v>245</v>
      </c>
      <c r="AP16" s="578"/>
      <c r="AQ16" s="578"/>
      <c r="AR16" s="578"/>
      <c r="AS16" s="578"/>
      <c r="AT16" s="579"/>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529"/>
      <c r="C17" s="529"/>
      <c r="D17" s="530"/>
      <c r="E17" s="586"/>
      <c r="F17" s="571"/>
      <c r="G17" s="571"/>
      <c r="H17" s="571"/>
      <c r="I17" s="571"/>
      <c r="J17" s="67" t="str">
        <f>IF(AND('Mapa de Riesgos'!$Y$18="Alta",'Mapa de Riesgos'!$AA$18="Leve"),CONCATENATE("R2C",'Mapa de Riesgos'!$O$18),"")</f>
        <v/>
      </c>
      <c r="K17" s="68" t="str">
        <f>IF(AND('Mapa de Riesgos'!$Y$20="Alta",'Mapa de Riesgos'!$AA$20="Leve"),CONCATENATE("R2C",'Mapa de Riesgos'!$O$20),"")</f>
        <v/>
      </c>
      <c r="L17" s="68" t="str">
        <f>IF(AND('Mapa de Riesgos'!$Y$21="Alta",'Mapa de Riesgos'!$AA$21="Leve"),CONCATENATE("R2C",'Mapa de Riesgos'!$O$21),"")</f>
        <v/>
      </c>
      <c r="M17" s="68" t="str">
        <f>IF(AND('Mapa de Riesgos'!$Y$22="Alta",'Mapa de Riesgos'!$AA$22="Leve"),CONCATENATE("R2C",'Mapa de Riesgos'!$O$22),"")</f>
        <v/>
      </c>
      <c r="N17" s="68" t="str">
        <f>IF(AND('Mapa de Riesgos'!$Y$23="Alta",'Mapa de Riesgos'!$AA$23="Leve"),CONCATENATE("R2C",'Mapa de Riesgos'!$O$23),"")</f>
        <v/>
      </c>
      <c r="O17" s="69" t="str">
        <f>IF(AND('Mapa de Riesgos'!$Y$24="Alta",'Mapa de Riesgos'!$AA$24="Leve"),CONCATENATE("R2C",'Mapa de Riesgos'!$O$24),"")</f>
        <v/>
      </c>
      <c r="P17" s="67" t="str">
        <f>IF(AND('Mapa de Riesgos'!$Y$18="Alta",'Mapa de Riesgos'!$AA$18="Menor"),CONCATENATE("R2C",'Mapa de Riesgos'!$O$18),"")</f>
        <v/>
      </c>
      <c r="Q17" s="68" t="str">
        <f>IF(AND('Mapa de Riesgos'!$Y$20="Alta",'Mapa de Riesgos'!$AA$20="Menor"),CONCATENATE("R2C",'Mapa de Riesgos'!$O$20),"")</f>
        <v/>
      </c>
      <c r="R17" s="68" t="str">
        <f>IF(AND('Mapa de Riesgos'!$Y$21="Alta",'Mapa de Riesgos'!$AA$21="Menor"),CONCATENATE("R2C",'Mapa de Riesgos'!$O$21),"")</f>
        <v/>
      </c>
      <c r="S17" s="68" t="str">
        <f>IF(AND('Mapa de Riesgos'!$Y$22="Alta",'Mapa de Riesgos'!$AA$22="Menor"),CONCATENATE("R2C",'Mapa de Riesgos'!$O$22),"")</f>
        <v/>
      </c>
      <c r="T17" s="68" t="str">
        <f>IF(AND('Mapa de Riesgos'!$Y$23="Alta",'Mapa de Riesgos'!$AA$23="Menor"),CONCATENATE("R2C",'Mapa de Riesgos'!$O$23),"")</f>
        <v/>
      </c>
      <c r="U17" s="69" t="str">
        <f>IF(AND('Mapa de Riesgos'!$Y$24="Alta",'Mapa de Riesgos'!$AA$24="Menor"),CONCATENATE("R2C",'Mapa de Riesgos'!$O$24),"")</f>
        <v/>
      </c>
      <c r="V17" s="52" t="str">
        <f>IF(AND('Mapa de Riesgos'!$Y$18="Alta",'Mapa de Riesgos'!$AA$18="Moderado"),CONCATENATE("R2C",'Mapa de Riesgos'!$O$18),"")</f>
        <v/>
      </c>
      <c r="W17" s="53" t="str">
        <f>IF(AND('Mapa de Riesgos'!$Y$20="Alta",'Mapa de Riesgos'!$AA$20="Moderado"),CONCATENATE("R2C",'Mapa de Riesgos'!$O$20),"")</f>
        <v/>
      </c>
      <c r="X17" s="53" t="str">
        <f>IF(AND('Mapa de Riesgos'!$Y$21="Alta",'Mapa de Riesgos'!$AA$21="Moderado"),CONCATENATE("R2C",'Mapa de Riesgos'!$O$21),"")</f>
        <v/>
      </c>
      <c r="Y17" s="53" t="str">
        <f>IF(AND('Mapa de Riesgos'!$Y$22="Alta",'Mapa de Riesgos'!$AA$22="Moderado"),CONCATENATE("R2C",'Mapa de Riesgos'!$O$22),"")</f>
        <v/>
      </c>
      <c r="Z17" s="53" t="str">
        <f>IF(AND('Mapa de Riesgos'!$Y$23="Alta",'Mapa de Riesgos'!$AA$23="Moderado"),CONCATENATE("R2C",'Mapa de Riesgos'!$O$23),"")</f>
        <v/>
      </c>
      <c r="AA17" s="54" t="str">
        <f>IF(AND('Mapa de Riesgos'!$Y$24="Alta",'Mapa de Riesgos'!$AA$24="Moderado"),CONCATENATE("R2C",'Mapa de Riesgos'!$O$24),"")</f>
        <v/>
      </c>
      <c r="AB17" s="52" t="str">
        <f>IF(AND('Mapa de Riesgos'!$Y$18="Alta",'Mapa de Riesgos'!$AA$18="Mayor"),CONCATENATE("R2C",'Mapa de Riesgos'!$O$18),"")</f>
        <v/>
      </c>
      <c r="AC17" s="53" t="str">
        <f>IF(AND('Mapa de Riesgos'!$Y$20="Alta",'Mapa de Riesgos'!$AA$20="Mayor"),CONCATENATE("R2C",'Mapa de Riesgos'!$O$20),"")</f>
        <v/>
      </c>
      <c r="AD17" s="53" t="str">
        <f>IF(AND('Mapa de Riesgos'!$Y$21="Alta",'Mapa de Riesgos'!$AA$21="Mayor"),CONCATENATE("R2C",'Mapa de Riesgos'!$O$21),"")</f>
        <v/>
      </c>
      <c r="AE17" s="53" t="str">
        <f>IF(AND('Mapa de Riesgos'!$Y$22="Alta",'Mapa de Riesgos'!$AA$22="Mayor"),CONCATENATE("R2C",'Mapa de Riesgos'!$O$22),"")</f>
        <v/>
      </c>
      <c r="AF17" s="53" t="str">
        <f>IF(AND('Mapa de Riesgos'!$Y$23="Alta",'Mapa de Riesgos'!$AA$23="Mayor"),CONCATENATE("R2C",'Mapa de Riesgos'!$O$23),"")</f>
        <v/>
      </c>
      <c r="AG17" s="54" t="str">
        <f>IF(AND('Mapa de Riesgos'!$Y$24="Alta",'Mapa de Riesgos'!$AA$24="Mayor"),CONCATENATE("R2C",'Mapa de Riesgos'!$O$24),"")</f>
        <v/>
      </c>
      <c r="AH17" s="55" t="str">
        <f>IF(AND('Mapa de Riesgos'!$Y$18="Alta",'Mapa de Riesgos'!$AA$18="Catastrófico"),CONCATENATE("R2C",'Mapa de Riesgos'!$O$18),"")</f>
        <v/>
      </c>
      <c r="AI17" s="56" t="str">
        <f>IF(AND('Mapa de Riesgos'!$Y$20="Alta",'Mapa de Riesgos'!$AA$20="Catastrófico"),CONCATENATE("R2C",'Mapa de Riesgos'!$O$20),"")</f>
        <v/>
      </c>
      <c r="AJ17" s="56" t="str">
        <f>IF(AND('Mapa de Riesgos'!$Y$21="Alta",'Mapa de Riesgos'!$AA$21="Catastrófico"),CONCATENATE("R2C",'Mapa de Riesgos'!$O$21),"")</f>
        <v/>
      </c>
      <c r="AK17" s="56" t="str">
        <f>IF(AND('Mapa de Riesgos'!$Y$22="Alta",'Mapa de Riesgos'!$AA$22="Catastrófico"),CONCATENATE("R2C",'Mapa de Riesgos'!$O$22),"")</f>
        <v/>
      </c>
      <c r="AL17" s="56" t="str">
        <f>IF(AND('Mapa de Riesgos'!$Y$23="Alta",'Mapa de Riesgos'!$AA$23="Catastrófico"),CONCATENATE("R2C",'Mapa de Riesgos'!$O$23),"")</f>
        <v/>
      </c>
      <c r="AM17" s="57" t="str">
        <f>IF(AND('Mapa de Riesgos'!$Y$24="Alta",'Mapa de Riesgos'!$AA$24="Catastrófico"),CONCATENATE("R2C",'Mapa de Riesgos'!$O$24),"")</f>
        <v/>
      </c>
      <c r="AN17" s="83"/>
      <c r="AO17" s="580"/>
      <c r="AP17" s="581"/>
      <c r="AQ17" s="581"/>
      <c r="AR17" s="581"/>
      <c r="AS17" s="581"/>
      <c r="AT17" s="582"/>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529"/>
      <c r="C18" s="529"/>
      <c r="D18" s="530"/>
      <c r="E18" s="570"/>
      <c r="F18" s="571"/>
      <c r="G18" s="571"/>
      <c r="H18" s="571"/>
      <c r="I18" s="571"/>
      <c r="J18" s="67" t="str">
        <f>IF(AND('Mapa de Riesgos'!$Y$25="Alta",'Mapa de Riesgos'!$AA$25="Leve"),CONCATENATE("R3C",'Mapa de Riesgos'!$O$25),"")</f>
        <v/>
      </c>
      <c r="K18" s="68" t="str">
        <f>IF(AND('Mapa de Riesgos'!$Y$28="Alta",'Mapa de Riesgos'!$AA$28="Leve"),CONCATENATE("R3C",'Mapa de Riesgos'!$O$28),"")</f>
        <v/>
      </c>
      <c r="L18" s="68" t="str">
        <f>IF(AND('Mapa de Riesgos'!$Y$29="Alta",'Mapa de Riesgos'!$AA$29="Leve"),CONCATENATE("R3C",'Mapa de Riesgos'!$O$29),"")</f>
        <v/>
      </c>
      <c r="M18" s="68" t="str">
        <f>IF(AND('Mapa de Riesgos'!$Y$30="Alta",'Mapa de Riesgos'!$AA$30="Leve"),CONCATENATE("R3C",'Mapa de Riesgos'!$O$30),"")</f>
        <v/>
      </c>
      <c r="N18" s="68" t="str">
        <f>IF(AND('Mapa de Riesgos'!$Y$31="Alta",'Mapa de Riesgos'!$AA$31="Leve"),CONCATENATE("R3C",'Mapa de Riesgos'!$O$31),"")</f>
        <v/>
      </c>
      <c r="O18" s="69" t="str">
        <f>IF(AND('Mapa de Riesgos'!$Y$32="Alta",'Mapa de Riesgos'!$AA$32="Leve"),CONCATENATE("R3C",'Mapa de Riesgos'!$O$32),"")</f>
        <v/>
      </c>
      <c r="P18" s="67" t="str">
        <f>IF(AND('Mapa de Riesgos'!$Y$25="Alta",'Mapa de Riesgos'!$AA$25="Menor"),CONCATENATE("R3C",'Mapa de Riesgos'!$O$25),"")</f>
        <v/>
      </c>
      <c r="Q18" s="68" t="str">
        <f>IF(AND('Mapa de Riesgos'!$Y$28="Alta",'Mapa de Riesgos'!$AA$28="Menor"),CONCATENATE("R3C",'Mapa de Riesgos'!$O$28),"")</f>
        <v/>
      </c>
      <c r="R18" s="68" t="str">
        <f>IF(AND('Mapa de Riesgos'!$Y$29="Alta",'Mapa de Riesgos'!$AA$29="Menor"),CONCATENATE("R3C",'Mapa de Riesgos'!$O$29),"")</f>
        <v/>
      </c>
      <c r="S18" s="68" t="str">
        <f>IF(AND('Mapa de Riesgos'!$Y$30="Alta",'Mapa de Riesgos'!$AA$30="Menor"),CONCATENATE("R3C",'Mapa de Riesgos'!$O$30),"")</f>
        <v/>
      </c>
      <c r="T18" s="68" t="str">
        <f>IF(AND('Mapa de Riesgos'!$Y$31="Alta",'Mapa de Riesgos'!$AA$31="Menor"),CONCATENATE("R3C",'Mapa de Riesgos'!$O$31),"")</f>
        <v/>
      </c>
      <c r="U18" s="69" t="str">
        <f>IF(AND('Mapa de Riesgos'!$Y$32="Alta",'Mapa de Riesgos'!$AA$32="Menor"),CONCATENATE("R3C",'Mapa de Riesgos'!$O$32),"")</f>
        <v/>
      </c>
      <c r="V18" s="52" t="str">
        <f>IF(AND('Mapa de Riesgos'!$Y$25="Alta",'Mapa de Riesgos'!$AA$25="Moderado"),CONCATENATE("R3C",'Mapa de Riesgos'!$O$25),"")</f>
        <v/>
      </c>
      <c r="W18" s="53" t="str">
        <f>IF(AND('Mapa de Riesgos'!$Y$28="Alta",'Mapa de Riesgos'!$AA$28="Moderado"),CONCATENATE("R3C",'Mapa de Riesgos'!$O$28),"")</f>
        <v/>
      </c>
      <c r="X18" s="53" t="str">
        <f>IF(AND('Mapa de Riesgos'!$Y$29="Alta",'Mapa de Riesgos'!$AA$29="Moderado"),CONCATENATE("R3C",'Mapa de Riesgos'!$O$29),"")</f>
        <v/>
      </c>
      <c r="Y18" s="53" t="str">
        <f>IF(AND('Mapa de Riesgos'!$Y$30="Alta",'Mapa de Riesgos'!$AA$30="Moderado"),CONCATENATE("R3C",'Mapa de Riesgos'!$O$30),"")</f>
        <v/>
      </c>
      <c r="Z18" s="53" t="str">
        <f>IF(AND('Mapa de Riesgos'!$Y$31="Alta",'Mapa de Riesgos'!$AA$31="Moderado"),CONCATENATE("R3C",'Mapa de Riesgos'!$O$31),"")</f>
        <v/>
      </c>
      <c r="AA18" s="54" t="str">
        <f>IF(AND('Mapa de Riesgos'!$Y$32="Alta",'Mapa de Riesgos'!$AA$32="Moderado"),CONCATENATE("R3C",'Mapa de Riesgos'!$O$32),"")</f>
        <v/>
      </c>
      <c r="AB18" s="52" t="str">
        <f>IF(AND('Mapa de Riesgos'!$Y$25="Alta",'Mapa de Riesgos'!$AA$25="Mayor"),CONCATENATE("R3C",'Mapa de Riesgos'!$O$25),"")</f>
        <v/>
      </c>
      <c r="AC18" s="53" t="str">
        <f>IF(AND('Mapa de Riesgos'!$Y$28="Alta",'Mapa de Riesgos'!$AA$28="Mayor"),CONCATENATE("R3C",'Mapa de Riesgos'!$O$28),"")</f>
        <v/>
      </c>
      <c r="AD18" s="53" t="str">
        <f>IF(AND('Mapa de Riesgos'!$Y$29="Alta",'Mapa de Riesgos'!$AA$29="Mayor"),CONCATENATE("R3C",'Mapa de Riesgos'!$O$29),"")</f>
        <v/>
      </c>
      <c r="AE18" s="53" t="str">
        <f>IF(AND('Mapa de Riesgos'!$Y$30="Alta",'Mapa de Riesgos'!$AA$30="Mayor"),CONCATENATE("R3C",'Mapa de Riesgos'!$O$30),"")</f>
        <v/>
      </c>
      <c r="AF18" s="53" t="str">
        <f>IF(AND('Mapa de Riesgos'!$Y$31="Alta",'Mapa de Riesgos'!$AA$31="Mayor"),CONCATENATE("R3C",'Mapa de Riesgos'!$O$31),"")</f>
        <v/>
      </c>
      <c r="AG18" s="54" t="str">
        <f>IF(AND('Mapa de Riesgos'!$Y$32="Alta",'Mapa de Riesgos'!$AA$32="Mayor"),CONCATENATE("R3C",'Mapa de Riesgos'!$O$32),"")</f>
        <v/>
      </c>
      <c r="AH18" s="55" t="str">
        <f>IF(AND('Mapa de Riesgos'!$Y$25="Alta",'Mapa de Riesgos'!$AA$25="Catastrófico"),CONCATENATE("R3C",'Mapa de Riesgos'!$O$25),"")</f>
        <v/>
      </c>
      <c r="AI18" s="56" t="str">
        <f>IF(AND('Mapa de Riesgos'!$Y$28="Alta",'Mapa de Riesgos'!$AA$28="Catastrófico"),CONCATENATE("R3C",'Mapa de Riesgos'!$O$28),"")</f>
        <v/>
      </c>
      <c r="AJ18" s="56" t="str">
        <f>IF(AND('Mapa de Riesgos'!$Y$29="Alta",'Mapa de Riesgos'!$AA$29="Catastrófico"),CONCATENATE("R3C",'Mapa de Riesgos'!$O$29),"")</f>
        <v/>
      </c>
      <c r="AK18" s="56" t="str">
        <f>IF(AND('Mapa de Riesgos'!$Y$30="Alta",'Mapa de Riesgos'!$AA$30="Catastrófico"),CONCATENATE("R3C",'Mapa de Riesgos'!$O$30),"")</f>
        <v/>
      </c>
      <c r="AL18" s="56" t="str">
        <f>IF(AND('Mapa de Riesgos'!$Y$31="Alta",'Mapa de Riesgos'!$AA$31="Catastrófico"),CONCATENATE("R3C",'Mapa de Riesgos'!$O$31),"")</f>
        <v/>
      </c>
      <c r="AM18" s="57" t="str">
        <f>IF(AND('Mapa de Riesgos'!$Y$32="Alta",'Mapa de Riesgos'!$AA$32="Catastrófico"),CONCATENATE("R3C",'Mapa de Riesgos'!$O$32),"")</f>
        <v/>
      </c>
      <c r="AN18" s="83"/>
      <c r="AO18" s="580"/>
      <c r="AP18" s="581"/>
      <c r="AQ18" s="581"/>
      <c r="AR18" s="581"/>
      <c r="AS18" s="581"/>
      <c r="AT18" s="582"/>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529"/>
      <c r="C19" s="529"/>
      <c r="D19" s="530"/>
      <c r="E19" s="570"/>
      <c r="F19" s="571"/>
      <c r="G19" s="571"/>
      <c r="H19" s="571"/>
      <c r="I19" s="571"/>
      <c r="J19" s="67" t="str">
        <f>IF(AND('Mapa de Riesgos'!$Y$33="Alta",'Mapa de Riesgos'!$AA$33="Leve"),CONCATENATE("R4C",'Mapa de Riesgos'!$O$33),"")</f>
        <v/>
      </c>
      <c r="K19" s="68" t="str">
        <f>IF(AND('Mapa de Riesgos'!$Y$34="Alta",'Mapa de Riesgos'!$AA$34="Leve"),CONCATENATE("R4C",'Mapa de Riesgos'!$O$34),"")</f>
        <v/>
      </c>
      <c r="L19" s="68" t="str">
        <f>IF(AND('Mapa de Riesgos'!$Y$35="Alta",'Mapa de Riesgos'!$AA$35="Leve"),CONCATENATE("R4C",'Mapa de Riesgos'!$O$35),"")</f>
        <v/>
      </c>
      <c r="M19" s="68" t="str">
        <f>IF(AND('Mapa de Riesgos'!$Y$36="Alta",'Mapa de Riesgos'!$AA$36="Leve"),CONCATENATE("R4C",'Mapa de Riesgos'!$O$36),"")</f>
        <v/>
      </c>
      <c r="N19" s="68" t="str">
        <f>IF(AND('Mapa de Riesgos'!$Y$37="Alta",'Mapa de Riesgos'!$AA$37="Leve"),CONCATENATE("R4C",'Mapa de Riesgos'!$O$37),"")</f>
        <v/>
      </c>
      <c r="O19" s="69" t="str">
        <f>IF(AND('Mapa de Riesgos'!$Y$38="Alta",'Mapa de Riesgos'!$AA$38="Leve"),CONCATENATE("R4C",'Mapa de Riesgos'!$O$38),"")</f>
        <v/>
      </c>
      <c r="P19" s="67" t="str">
        <f>IF(AND('Mapa de Riesgos'!$Y$33="Alta",'Mapa de Riesgos'!$AA$33="Menor"),CONCATENATE("R4C",'Mapa de Riesgos'!$O$33),"")</f>
        <v/>
      </c>
      <c r="Q19" s="68" t="str">
        <f>IF(AND('Mapa de Riesgos'!$Y$34="Alta",'Mapa de Riesgos'!$AA$34="Menor"),CONCATENATE("R4C",'Mapa de Riesgos'!$O$34),"")</f>
        <v/>
      </c>
      <c r="R19" s="68" t="str">
        <f>IF(AND('Mapa de Riesgos'!$Y$35="Alta",'Mapa de Riesgos'!$AA$35="Menor"),CONCATENATE("R4C",'Mapa de Riesgos'!$O$35),"")</f>
        <v/>
      </c>
      <c r="S19" s="68" t="str">
        <f>IF(AND('Mapa de Riesgos'!$Y$36="Alta",'Mapa de Riesgos'!$AA$36="Menor"),CONCATENATE("R4C",'Mapa de Riesgos'!$O$36),"")</f>
        <v/>
      </c>
      <c r="T19" s="68" t="str">
        <f>IF(AND('Mapa de Riesgos'!$Y$37="Alta",'Mapa de Riesgos'!$AA$37="Menor"),CONCATENATE("R4C",'Mapa de Riesgos'!$O$37),"")</f>
        <v/>
      </c>
      <c r="U19" s="69" t="str">
        <f>IF(AND('Mapa de Riesgos'!$Y$38="Alta",'Mapa de Riesgos'!$AA$38="Menor"),CONCATENATE("R4C",'Mapa de Riesgos'!$O$38),"")</f>
        <v/>
      </c>
      <c r="V19" s="52" t="str">
        <f>IF(AND('Mapa de Riesgos'!$Y$33="Alta",'Mapa de Riesgos'!$AA$33="Moderado"),CONCATENATE("R4C",'Mapa de Riesgos'!$O$33),"")</f>
        <v/>
      </c>
      <c r="W19" s="53" t="str">
        <f>IF(AND('Mapa de Riesgos'!$Y$34="Alta",'Mapa de Riesgos'!$AA$34="Moderado"),CONCATENATE("R4C",'Mapa de Riesgos'!$O$34),"")</f>
        <v/>
      </c>
      <c r="X19" s="53" t="str">
        <f>IF(AND('Mapa de Riesgos'!$Y$35="Alta",'Mapa de Riesgos'!$AA$35="Moderado"),CONCATENATE("R4C",'Mapa de Riesgos'!$O$35),"")</f>
        <v/>
      </c>
      <c r="Y19" s="53" t="str">
        <f>IF(AND('Mapa de Riesgos'!$Y$36="Alta",'Mapa de Riesgos'!$AA$36="Moderado"),CONCATENATE("R4C",'Mapa de Riesgos'!$O$36),"")</f>
        <v/>
      </c>
      <c r="Z19" s="53" t="str">
        <f>IF(AND('Mapa de Riesgos'!$Y$37="Alta",'Mapa de Riesgos'!$AA$37="Moderado"),CONCATENATE("R4C",'Mapa de Riesgos'!$O$37),"")</f>
        <v/>
      </c>
      <c r="AA19" s="54" t="str">
        <f>IF(AND('Mapa de Riesgos'!$Y$38="Alta",'Mapa de Riesgos'!$AA$38="Moderado"),CONCATENATE("R4C",'Mapa de Riesgos'!$O$38),"")</f>
        <v/>
      </c>
      <c r="AB19" s="52" t="str">
        <f>IF(AND('Mapa de Riesgos'!$Y$33="Alta",'Mapa de Riesgos'!$AA$33="Mayor"),CONCATENATE("R4C",'Mapa de Riesgos'!$O$33),"")</f>
        <v/>
      </c>
      <c r="AC19" s="53" t="str">
        <f>IF(AND('Mapa de Riesgos'!$Y$34="Alta",'Mapa de Riesgos'!$AA$34="Mayor"),CONCATENATE("R4C",'Mapa de Riesgos'!$O$34),"")</f>
        <v/>
      </c>
      <c r="AD19" s="53" t="str">
        <f>IF(AND('Mapa de Riesgos'!$Y$35="Alta",'Mapa de Riesgos'!$AA$35="Mayor"),CONCATENATE("R4C",'Mapa de Riesgos'!$O$35),"")</f>
        <v/>
      </c>
      <c r="AE19" s="53" t="str">
        <f>IF(AND('Mapa de Riesgos'!$Y$36="Alta",'Mapa de Riesgos'!$AA$36="Mayor"),CONCATENATE("R4C",'Mapa de Riesgos'!$O$36),"")</f>
        <v/>
      </c>
      <c r="AF19" s="53" t="str">
        <f>IF(AND('Mapa de Riesgos'!$Y$37="Alta",'Mapa de Riesgos'!$AA$37="Mayor"),CONCATENATE("R4C",'Mapa de Riesgos'!$O$37),"")</f>
        <v/>
      </c>
      <c r="AG19" s="54" t="str">
        <f>IF(AND('Mapa de Riesgos'!$Y$38="Alta",'Mapa de Riesgos'!$AA$38="Mayor"),CONCATENATE("R4C",'Mapa de Riesgos'!$O$38),"")</f>
        <v/>
      </c>
      <c r="AH19" s="55" t="str">
        <f>IF(AND('Mapa de Riesgos'!$Y$33="Alta",'Mapa de Riesgos'!$AA$33="Catastrófico"),CONCATENATE("R4C",'Mapa de Riesgos'!$O$33),"")</f>
        <v/>
      </c>
      <c r="AI19" s="56" t="str">
        <f>IF(AND('Mapa de Riesgos'!$Y$34="Alta",'Mapa de Riesgos'!$AA$34="Catastrófico"),CONCATENATE("R4C",'Mapa de Riesgos'!$O$34),"")</f>
        <v/>
      </c>
      <c r="AJ19" s="56" t="str">
        <f>IF(AND('Mapa de Riesgos'!$Y$35="Alta",'Mapa de Riesgos'!$AA$35="Catastrófico"),CONCATENATE("R4C",'Mapa de Riesgos'!$O$35),"")</f>
        <v/>
      </c>
      <c r="AK19" s="56" t="str">
        <f>IF(AND('Mapa de Riesgos'!$Y$36="Alta",'Mapa de Riesgos'!$AA$36="Catastrófico"),CONCATENATE("R4C",'Mapa de Riesgos'!$O$36),"")</f>
        <v/>
      </c>
      <c r="AL19" s="56" t="str">
        <f>IF(AND('Mapa de Riesgos'!$Y$37="Alta",'Mapa de Riesgos'!$AA$37="Catastrófico"),CONCATENATE("R4C",'Mapa de Riesgos'!$O$37),"")</f>
        <v/>
      </c>
      <c r="AM19" s="57" t="str">
        <f>IF(AND('Mapa de Riesgos'!$Y$38="Alta",'Mapa de Riesgos'!$AA$38="Catastrófico"),CONCATENATE("R4C",'Mapa de Riesgos'!$O$38),"")</f>
        <v/>
      </c>
      <c r="AN19" s="83"/>
      <c r="AO19" s="580"/>
      <c r="AP19" s="581"/>
      <c r="AQ19" s="581"/>
      <c r="AR19" s="581"/>
      <c r="AS19" s="581"/>
      <c r="AT19" s="582"/>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529"/>
      <c r="C20" s="529"/>
      <c r="D20" s="530"/>
      <c r="E20" s="570"/>
      <c r="F20" s="571"/>
      <c r="G20" s="571"/>
      <c r="H20" s="571"/>
      <c r="I20" s="571"/>
      <c r="J20" s="67" t="str">
        <f>IF(AND('Mapa de Riesgos'!$Y$39="Alta",'Mapa de Riesgos'!$AA$39="Leve"),CONCATENATE("R5C",'Mapa de Riesgos'!$O$39),"")</f>
        <v/>
      </c>
      <c r="K20" s="68" t="str">
        <f>IF(AND('Mapa de Riesgos'!$Y$41="Alta",'Mapa de Riesgos'!$AA$41="Leve"),CONCATENATE("R5C",'Mapa de Riesgos'!$O$41),"")</f>
        <v/>
      </c>
      <c r="L20" s="68" t="str">
        <f>IF(AND('Mapa de Riesgos'!$Y$42="Alta",'Mapa de Riesgos'!$AA$42="Leve"),CONCATENATE("R5C",'Mapa de Riesgos'!$O$42),"")</f>
        <v/>
      </c>
      <c r="M20" s="68" t="str">
        <f>IF(AND('Mapa de Riesgos'!$Y$43="Alta",'Mapa de Riesgos'!$AA$43="Leve"),CONCATENATE("R5C",'Mapa de Riesgos'!$O$43),"")</f>
        <v/>
      </c>
      <c r="N20" s="68" t="str">
        <f>IF(AND('Mapa de Riesgos'!$Y$44="Alta",'Mapa de Riesgos'!$AA$44="Leve"),CONCATENATE("R5C",'Mapa de Riesgos'!$O$44),"")</f>
        <v/>
      </c>
      <c r="O20" s="69" t="str">
        <f>IF(AND('Mapa de Riesgos'!$Y$45="Alta",'Mapa de Riesgos'!$AA$45="Leve"),CONCATENATE("R5C",'Mapa de Riesgos'!$O$45),"")</f>
        <v/>
      </c>
      <c r="P20" s="67" t="str">
        <f>IF(AND('Mapa de Riesgos'!$Y$39="Alta",'Mapa de Riesgos'!$AA$39="Menor"),CONCATENATE("R5C",'Mapa de Riesgos'!$O$39),"")</f>
        <v/>
      </c>
      <c r="Q20" s="68" t="str">
        <f>IF(AND('Mapa de Riesgos'!$Y$41="Alta",'Mapa de Riesgos'!$AA$41="Menor"),CONCATENATE("R5C",'Mapa de Riesgos'!$O$41),"")</f>
        <v/>
      </c>
      <c r="R20" s="68" t="str">
        <f>IF(AND('Mapa de Riesgos'!$Y$42="Alta",'Mapa de Riesgos'!$AA$42="Menor"),CONCATENATE("R5C",'Mapa de Riesgos'!$O$42),"")</f>
        <v/>
      </c>
      <c r="S20" s="68" t="str">
        <f>IF(AND('Mapa de Riesgos'!$Y$43="Alta",'Mapa de Riesgos'!$AA$43="Menor"),CONCATENATE("R5C",'Mapa de Riesgos'!$O$43),"")</f>
        <v/>
      </c>
      <c r="T20" s="68" t="str">
        <f>IF(AND('Mapa de Riesgos'!$Y$44="Alta",'Mapa de Riesgos'!$AA$44="Menor"),CONCATENATE("R5C",'Mapa de Riesgos'!$O$44),"")</f>
        <v/>
      </c>
      <c r="U20" s="69" t="str">
        <f>IF(AND('Mapa de Riesgos'!$Y$45="Alta",'Mapa de Riesgos'!$AA$45="Menor"),CONCATENATE("R5C",'Mapa de Riesgos'!$O$45),"")</f>
        <v/>
      </c>
      <c r="V20" s="52" t="str">
        <f>IF(AND('Mapa de Riesgos'!$Y$39="Alta",'Mapa de Riesgos'!$AA$39="Moderado"),CONCATENATE("R5C",'Mapa de Riesgos'!$O$39),"")</f>
        <v/>
      </c>
      <c r="W20" s="53" t="str">
        <f>IF(AND('Mapa de Riesgos'!$Y$41="Alta",'Mapa de Riesgos'!$AA$41="Moderado"),CONCATENATE("R5C",'Mapa de Riesgos'!$O$41),"")</f>
        <v/>
      </c>
      <c r="X20" s="53" t="str">
        <f>IF(AND('Mapa de Riesgos'!$Y$42="Alta",'Mapa de Riesgos'!$AA$42="Moderado"),CONCATENATE("R5C",'Mapa de Riesgos'!$O$42),"")</f>
        <v/>
      </c>
      <c r="Y20" s="53" t="str">
        <f>IF(AND('Mapa de Riesgos'!$Y$43="Alta",'Mapa de Riesgos'!$AA$43="Moderado"),CONCATENATE("R5C",'Mapa de Riesgos'!$O$43),"")</f>
        <v/>
      </c>
      <c r="Z20" s="53" t="str">
        <f>IF(AND('Mapa de Riesgos'!$Y$44="Alta",'Mapa de Riesgos'!$AA$44="Moderado"),CONCATENATE("R5C",'Mapa de Riesgos'!$O$44),"")</f>
        <v/>
      </c>
      <c r="AA20" s="54" t="str">
        <f>IF(AND('Mapa de Riesgos'!$Y$45="Alta",'Mapa de Riesgos'!$AA$45="Moderado"),CONCATENATE("R5C",'Mapa de Riesgos'!$O$45),"")</f>
        <v/>
      </c>
      <c r="AB20" s="52" t="str">
        <f>IF(AND('Mapa de Riesgos'!$Y$39="Alta",'Mapa de Riesgos'!$AA$39="Mayor"),CONCATENATE("R5C",'Mapa de Riesgos'!$O$39),"")</f>
        <v/>
      </c>
      <c r="AC20" s="53" t="str">
        <f>IF(AND('Mapa de Riesgos'!$Y$41="Alta",'Mapa de Riesgos'!$AA$41="Mayor"),CONCATENATE("R5C",'Mapa de Riesgos'!$O$41),"")</f>
        <v/>
      </c>
      <c r="AD20" s="53" t="str">
        <f>IF(AND('Mapa de Riesgos'!$Y$42="Alta",'Mapa de Riesgos'!$AA$42="Mayor"),CONCATENATE("R5C",'Mapa de Riesgos'!$O$42),"")</f>
        <v/>
      </c>
      <c r="AE20" s="53" t="str">
        <f>IF(AND('Mapa de Riesgos'!$Y$43="Alta",'Mapa de Riesgos'!$AA$43="Mayor"),CONCATENATE("R5C",'Mapa de Riesgos'!$O$43),"")</f>
        <v/>
      </c>
      <c r="AF20" s="53" t="str">
        <f>IF(AND('Mapa de Riesgos'!$Y$44="Alta",'Mapa de Riesgos'!$AA$44="Mayor"),CONCATENATE("R5C",'Mapa de Riesgos'!$O$44),"")</f>
        <v/>
      </c>
      <c r="AG20" s="54" t="str">
        <f>IF(AND('Mapa de Riesgos'!$Y$45="Alta",'Mapa de Riesgos'!$AA$45="Mayor"),CONCATENATE("R5C",'Mapa de Riesgos'!$O$45),"")</f>
        <v/>
      </c>
      <c r="AH20" s="55" t="str">
        <f>IF(AND('Mapa de Riesgos'!$Y$39="Alta",'Mapa de Riesgos'!$AA$39="Catastrófico"),CONCATENATE("R5C",'Mapa de Riesgos'!$O$39),"")</f>
        <v/>
      </c>
      <c r="AI20" s="56" t="str">
        <f>IF(AND('Mapa de Riesgos'!$Y$41="Alta",'Mapa de Riesgos'!$AA$41="Catastrófico"),CONCATENATE("R5C",'Mapa de Riesgos'!$O$41),"")</f>
        <v/>
      </c>
      <c r="AJ20" s="56" t="str">
        <f>IF(AND('Mapa de Riesgos'!$Y$42="Alta",'Mapa de Riesgos'!$AA$42="Catastrófico"),CONCATENATE("R5C",'Mapa de Riesgos'!$O$42),"")</f>
        <v/>
      </c>
      <c r="AK20" s="56" t="str">
        <f>IF(AND('Mapa de Riesgos'!$Y$43="Alta",'Mapa de Riesgos'!$AA$43="Catastrófico"),CONCATENATE("R5C",'Mapa de Riesgos'!$O$43),"")</f>
        <v/>
      </c>
      <c r="AL20" s="56" t="str">
        <f>IF(AND('Mapa de Riesgos'!$Y$44="Alta",'Mapa de Riesgos'!$AA$44="Catastrófico"),CONCATENATE("R5C",'Mapa de Riesgos'!$O$44),"")</f>
        <v/>
      </c>
      <c r="AM20" s="57" t="str">
        <f>IF(AND('Mapa de Riesgos'!$Y$45="Alta",'Mapa de Riesgos'!$AA$45="Catastrófico"),CONCATENATE("R5C",'Mapa de Riesgos'!$O$45),"")</f>
        <v/>
      </c>
      <c r="AN20" s="83"/>
      <c r="AO20" s="580"/>
      <c r="AP20" s="581"/>
      <c r="AQ20" s="581"/>
      <c r="AR20" s="581"/>
      <c r="AS20" s="581"/>
      <c r="AT20" s="582"/>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529"/>
      <c r="C21" s="529"/>
      <c r="D21" s="530"/>
      <c r="E21" s="570"/>
      <c r="F21" s="571"/>
      <c r="G21" s="571"/>
      <c r="H21" s="571"/>
      <c r="I21" s="571"/>
      <c r="J21" s="67" t="str">
        <f>IF(AND('Mapa de Riesgos'!$Y$46="Alta",'Mapa de Riesgos'!$AA$46="Leve"),CONCATENATE("R6C",'Mapa de Riesgos'!$O$46),"")</f>
        <v/>
      </c>
      <c r="K21" s="68" t="str">
        <f>IF(AND('Mapa de Riesgos'!$Y$47="Alta",'Mapa de Riesgos'!$AA$47="Leve"),CONCATENATE("R6C",'Mapa de Riesgos'!$O$47),"")</f>
        <v/>
      </c>
      <c r="L21" s="68" t="str">
        <f>IF(AND('Mapa de Riesgos'!$Y$48="Alta",'Mapa de Riesgos'!$AA$48="Leve"),CONCATENATE("R6C",'Mapa de Riesgos'!$O$48),"")</f>
        <v/>
      </c>
      <c r="M21" s="68" t="str">
        <f>IF(AND('Mapa de Riesgos'!$Y$49="Alta",'Mapa de Riesgos'!$AA$49="Leve"),CONCATENATE("R6C",'Mapa de Riesgos'!$O$49),"")</f>
        <v/>
      </c>
      <c r="N21" s="68" t="str">
        <f>IF(AND('Mapa de Riesgos'!$Y$50="Alta",'Mapa de Riesgos'!$AA$50="Leve"),CONCATENATE("R6C",'Mapa de Riesgos'!$O$50),"")</f>
        <v/>
      </c>
      <c r="O21" s="69" t="str">
        <f>IF(AND('Mapa de Riesgos'!$Y$51="Alta",'Mapa de Riesgos'!$AA$51="Leve"),CONCATENATE("R6C",'Mapa de Riesgos'!$O$51),"")</f>
        <v/>
      </c>
      <c r="P21" s="67" t="str">
        <f>IF(AND('Mapa de Riesgos'!$Y$46="Alta",'Mapa de Riesgos'!$AA$46="Menor"),CONCATENATE("R6C",'Mapa de Riesgos'!$O$46),"")</f>
        <v/>
      </c>
      <c r="Q21" s="68" t="str">
        <f>IF(AND('Mapa de Riesgos'!$Y$47="Alta",'Mapa de Riesgos'!$AA$47="Menor"),CONCATENATE("R6C",'Mapa de Riesgos'!$O$47),"")</f>
        <v/>
      </c>
      <c r="R21" s="68" t="str">
        <f>IF(AND('Mapa de Riesgos'!$Y$48="Alta",'Mapa de Riesgos'!$AA$48="Menor"),CONCATENATE("R6C",'Mapa de Riesgos'!$O$48),"")</f>
        <v/>
      </c>
      <c r="S21" s="68" t="str">
        <f>IF(AND('Mapa de Riesgos'!$Y$49="Alta",'Mapa de Riesgos'!$AA$49="Menor"),CONCATENATE("R6C",'Mapa de Riesgos'!$O$49),"")</f>
        <v/>
      </c>
      <c r="T21" s="68" t="str">
        <f>IF(AND('Mapa de Riesgos'!$Y$50="Alta",'Mapa de Riesgos'!$AA$50="Menor"),CONCATENATE("R6C",'Mapa de Riesgos'!$O$50),"")</f>
        <v/>
      </c>
      <c r="U21" s="69" t="str">
        <f>IF(AND('Mapa de Riesgos'!$Y$51="Alta",'Mapa de Riesgos'!$AA$51="Menor"),CONCATENATE("R6C",'Mapa de Riesgos'!$O$51),"")</f>
        <v/>
      </c>
      <c r="V21" s="52" t="str">
        <f>IF(AND('Mapa de Riesgos'!$Y$46="Alta",'Mapa de Riesgos'!$AA$46="Moderado"),CONCATENATE("R6C",'Mapa de Riesgos'!$O$46),"")</f>
        <v/>
      </c>
      <c r="W21" s="53" t="str">
        <f>IF(AND('Mapa de Riesgos'!$Y$47="Alta",'Mapa de Riesgos'!$AA$47="Moderado"),CONCATENATE("R6C",'Mapa de Riesgos'!$O$47),"")</f>
        <v/>
      </c>
      <c r="X21" s="53" t="str">
        <f>IF(AND('Mapa de Riesgos'!$Y$48="Alta",'Mapa de Riesgos'!$AA$48="Moderado"),CONCATENATE("R6C",'Mapa de Riesgos'!$O$48),"")</f>
        <v/>
      </c>
      <c r="Y21" s="53" t="str">
        <f>IF(AND('Mapa de Riesgos'!$Y$49="Alta",'Mapa de Riesgos'!$AA$49="Moderado"),CONCATENATE("R6C",'Mapa de Riesgos'!$O$49),"")</f>
        <v/>
      </c>
      <c r="Z21" s="53" t="str">
        <f>IF(AND('Mapa de Riesgos'!$Y$50="Alta",'Mapa de Riesgos'!$AA$50="Moderado"),CONCATENATE("R6C",'Mapa de Riesgos'!$O$50),"")</f>
        <v/>
      </c>
      <c r="AA21" s="54" t="str">
        <f>IF(AND('Mapa de Riesgos'!$Y$51="Alta",'Mapa de Riesgos'!$AA$51="Moderado"),CONCATENATE("R6C",'Mapa de Riesgos'!$O$51),"")</f>
        <v/>
      </c>
      <c r="AB21" s="52" t="str">
        <f>IF(AND('Mapa de Riesgos'!$Y$46="Alta",'Mapa de Riesgos'!$AA$46="Mayor"),CONCATENATE("R6C",'Mapa de Riesgos'!$O$46),"")</f>
        <v/>
      </c>
      <c r="AC21" s="53" t="str">
        <f>IF(AND('Mapa de Riesgos'!$Y$47="Alta",'Mapa de Riesgos'!$AA$47="Mayor"),CONCATENATE("R6C",'Mapa de Riesgos'!$O$47),"")</f>
        <v/>
      </c>
      <c r="AD21" s="53" t="str">
        <f>IF(AND('Mapa de Riesgos'!$Y$48="Alta",'Mapa de Riesgos'!$AA$48="Mayor"),CONCATENATE("R6C",'Mapa de Riesgos'!$O$48),"")</f>
        <v/>
      </c>
      <c r="AE21" s="53" t="str">
        <f>IF(AND('Mapa de Riesgos'!$Y$49="Alta",'Mapa de Riesgos'!$AA$49="Mayor"),CONCATENATE("R6C",'Mapa de Riesgos'!$O$49),"")</f>
        <v/>
      </c>
      <c r="AF21" s="53" t="str">
        <f>IF(AND('Mapa de Riesgos'!$Y$50="Alta",'Mapa de Riesgos'!$AA$50="Mayor"),CONCATENATE("R6C",'Mapa de Riesgos'!$O$50),"")</f>
        <v/>
      </c>
      <c r="AG21" s="54" t="str">
        <f>IF(AND('Mapa de Riesgos'!$Y$51="Alta",'Mapa de Riesgos'!$AA$51="Mayor"),CONCATENATE("R6C",'Mapa de Riesgos'!$O$51),"")</f>
        <v/>
      </c>
      <c r="AH21" s="55" t="str">
        <f>IF(AND('Mapa de Riesgos'!$Y$46="Alta",'Mapa de Riesgos'!$AA$46="Catastrófico"),CONCATENATE("R6C",'Mapa de Riesgos'!$O$46),"")</f>
        <v/>
      </c>
      <c r="AI21" s="56" t="str">
        <f>IF(AND('Mapa de Riesgos'!$Y$47="Alta",'Mapa de Riesgos'!$AA$47="Catastrófico"),CONCATENATE("R6C",'Mapa de Riesgos'!$O$47),"")</f>
        <v/>
      </c>
      <c r="AJ21" s="56" t="str">
        <f>IF(AND('Mapa de Riesgos'!$Y$48="Alta",'Mapa de Riesgos'!$AA$48="Catastrófico"),CONCATENATE("R6C",'Mapa de Riesgos'!$O$48),"")</f>
        <v/>
      </c>
      <c r="AK21" s="56" t="str">
        <f>IF(AND('Mapa de Riesgos'!$Y$49="Alta",'Mapa de Riesgos'!$AA$49="Catastrófico"),CONCATENATE("R6C",'Mapa de Riesgos'!$O$49),"")</f>
        <v/>
      </c>
      <c r="AL21" s="56" t="str">
        <f>IF(AND('Mapa de Riesgos'!$Y$50="Alta",'Mapa de Riesgos'!$AA$50="Catastrófico"),CONCATENATE("R6C",'Mapa de Riesgos'!$O$50),"")</f>
        <v/>
      </c>
      <c r="AM21" s="57" t="str">
        <f>IF(AND('Mapa de Riesgos'!$Y$51="Alta",'Mapa de Riesgos'!$AA$51="Catastrófico"),CONCATENATE("R6C",'Mapa de Riesgos'!$O$51),"")</f>
        <v/>
      </c>
      <c r="AN21" s="83"/>
      <c r="AO21" s="580"/>
      <c r="AP21" s="581"/>
      <c r="AQ21" s="581"/>
      <c r="AR21" s="581"/>
      <c r="AS21" s="581"/>
      <c r="AT21" s="582"/>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529"/>
      <c r="C22" s="529"/>
      <c r="D22" s="530"/>
      <c r="E22" s="570"/>
      <c r="F22" s="571"/>
      <c r="G22" s="571"/>
      <c r="H22" s="571"/>
      <c r="I22" s="571"/>
      <c r="J22" s="67" t="str">
        <f>IF(AND('Mapa de Riesgos'!$Y$52="Alta",'Mapa de Riesgos'!$AA$52="Leve"),CONCATENATE("R7C",'Mapa de Riesgos'!$O$52),"")</f>
        <v/>
      </c>
      <c r="K22" s="68" t="str">
        <f>IF(AND('Mapa de Riesgos'!$Y$53="Alta",'Mapa de Riesgos'!$AA$53="Leve"),CONCATENATE("R7C",'Mapa de Riesgos'!$O$53),"")</f>
        <v/>
      </c>
      <c r="L22" s="68" t="str">
        <f>IF(AND('Mapa de Riesgos'!$Y$54="Alta",'Mapa de Riesgos'!$AA$54="Leve"),CONCATENATE("R7C",'Mapa de Riesgos'!$O$54),"")</f>
        <v/>
      </c>
      <c r="M22" s="68" t="str">
        <f>IF(AND('Mapa de Riesgos'!$Y$55="Alta",'Mapa de Riesgos'!$AA$55="Leve"),CONCATENATE("R7C",'Mapa de Riesgos'!$O$55),"")</f>
        <v/>
      </c>
      <c r="N22" s="68" t="str">
        <f>IF(AND('Mapa de Riesgos'!$Y$56="Alta",'Mapa de Riesgos'!$AA$56="Leve"),CONCATENATE("R7C",'Mapa de Riesgos'!$O$56),"")</f>
        <v/>
      </c>
      <c r="O22" s="69" t="str">
        <f>IF(AND('Mapa de Riesgos'!$Y$57="Alta",'Mapa de Riesgos'!$AA$57="Leve"),CONCATENATE("R7C",'Mapa de Riesgos'!$O$57),"")</f>
        <v/>
      </c>
      <c r="P22" s="67" t="str">
        <f>IF(AND('Mapa de Riesgos'!$Y$52="Alta",'Mapa de Riesgos'!$AA$52="Menor"),CONCATENATE("R7C",'Mapa de Riesgos'!$O$52),"")</f>
        <v/>
      </c>
      <c r="Q22" s="68" t="str">
        <f>IF(AND('Mapa de Riesgos'!$Y$53="Alta",'Mapa de Riesgos'!$AA$53="Menor"),CONCATENATE("R7C",'Mapa de Riesgos'!$O$53),"")</f>
        <v/>
      </c>
      <c r="R22" s="68" t="str">
        <f>IF(AND('Mapa de Riesgos'!$Y$54="Alta",'Mapa de Riesgos'!$AA$54="Menor"),CONCATENATE("R7C",'Mapa de Riesgos'!$O$54),"")</f>
        <v/>
      </c>
      <c r="S22" s="68" t="str">
        <f>IF(AND('Mapa de Riesgos'!$Y$55="Alta",'Mapa de Riesgos'!$AA$55="Menor"),CONCATENATE("R7C",'Mapa de Riesgos'!$O$55),"")</f>
        <v/>
      </c>
      <c r="T22" s="68" t="str">
        <f>IF(AND('Mapa de Riesgos'!$Y$56="Alta",'Mapa de Riesgos'!$AA$56="Menor"),CONCATENATE("R7C",'Mapa de Riesgos'!$O$56),"")</f>
        <v/>
      </c>
      <c r="U22" s="69" t="str">
        <f>IF(AND('Mapa de Riesgos'!$Y$57="Alta",'Mapa de Riesgos'!$AA$57="Menor"),CONCATENATE("R7C",'Mapa de Riesgos'!$O$57),"")</f>
        <v/>
      </c>
      <c r="V22" s="52" t="str">
        <f>IF(AND('Mapa de Riesgos'!$Y$52="Alta",'Mapa de Riesgos'!$AA$52="Moderado"),CONCATENATE("R7C",'Mapa de Riesgos'!$O$52),"")</f>
        <v/>
      </c>
      <c r="W22" s="53" t="str">
        <f>IF(AND('Mapa de Riesgos'!$Y$53="Alta",'Mapa de Riesgos'!$AA$53="Moderado"),CONCATENATE("R7C",'Mapa de Riesgos'!$O$53),"")</f>
        <v/>
      </c>
      <c r="X22" s="53" t="str">
        <f>IF(AND('Mapa de Riesgos'!$Y$54="Alta",'Mapa de Riesgos'!$AA$54="Moderado"),CONCATENATE("R7C",'Mapa de Riesgos'!$O$54),"")</f>
        <v/>
      </c>
      <c r="Y22" s="53" t="str">
        <f>IF(AND('Mapa de Riesgos'!$Y$55="Alta",'Mapa de Riesgos'!$AA$55="Moderado"),CONCATENATE("R7C",'Mapa de Riesgos'!$O$55),"")</f>
        <v/>
      </c>
      <c r="Z22" s="53" t="str">
        <f>IF(AND('Mapa de Riesgos'!$Y$56="Alta",'Mapa de Riesgos'!$AA$56="Moderado"),CONCATENATE("R7C",'Mapa de Riesgos'!$O$56),"")</f>
        <v/>
      </c>
      <c r="AA22" s="54" t="str">
        <f>IF(AND('Mapa de Riesgos'!$Y$57="Alta",'Mapa de Riesgos'!$AA$57="Moderado"),CONCATENATE("R7C",'Mapa de Riesgos'!$O$57),"")</f>
        <v/>
      </c>
      <c r="AB22" s="52" t="str">
        <f>IF(AND('Mapa de Riesgos'!$Y$52="Alta",'Mapa de Riesgos'!$AA$52="Mayor"),CONCATENATE("R7C",'Mapa de Riesgos'!$O$52),"")</f>
        <v/>
      </c>
      <c r="AC22" s="53" t="str">
        <f>IF(AND('Mapa de Riesgos'!$Y$53="Alta",'Mapa de Riesgos'!$AA$53="Mayor"),CONCATENATE("R7C",'Mapa de Riesgos'!$O$53),"")</f>
        <v/>
      </c>
      <c r="AD22" s="53" t="str">
        <f>IF(AND('Mapa de Riesgos'!$Y$54="Alta",'Mapa de Riesgos'!$AA$54="Mayor"),CONCATENATE("R7C",'Mapa de Riesgos'!$O$54),"")</f>
        <v/>
      </c>
      <c r="AE22" s="53" t="str">
        <f>IF(AND('Mapa de Riesgos'!$Y$55="Alta",'Mapa de Riesgos'!$AA$55="Mayor"),CONCATENATE("R7C",'Mapa de Riesgos'!$O$55),"")</f>
        <v/>
      </c>
      <c r="AF22" s="53" t="str">
        <f>IF(AND('Mapa de Riesgos'!$Y$56="Alta",'Mapa de Riesgos'!$AA$56="Mayor"),CONCATENATE("R7C",'Mapa de Riesgos'!$O$56),"")</f>
        <v/>
      </c>
      <c r="AG22" s="54" t="str">
        <f>IF(AND('Mapa de Riesgos'!$Y$57="Alta",'Mapa de Riesgos'!$AA$57="Mayor"),CONCATENATE("R7C",'Mapa de Riesgos'!$O$57),"")</f>
        <v/>
      </c>
      <c r="AH22" s="55" t="str">
        <f>IF(AND('Mapa de Riesgos'!$Y$52="Alta",'Mapa de Riesgos'!$AA$52="Catastrófico"),CONCATENATE("R7C",'Mapa de Riesgos'!$O$52),"")</f>
        <v/>
      </c>
      <c r="AI22" s="56" t="str">
        <f>IF(AND('Mapa de Riesgos'!$Y$53="Alta",'Mapa de Riesgos'!$AA$53="Catastrófico"),CONCATENATE("R7C",'Mapa de Riesgos'!$O$53),"")</f>
        <v/>
      </c>
      <c r="AJ22" s="56" t="str">
        <f>IF(AND('Mapa de Riesgos'!$Y$54="Alta",'Mapa de Riesgos'!$AA$54="Catastrófico"),CONCATENATE("R7C",'Mapa de Riesgos'!$O$54),"")</f>
        <v/>
      </c>
      <c r="AK22" s="56" t="str">
        <f>IF(AND('Mapa de Riesgos'!$Y$55="Alta",'Mapa de Riesgos'!$AA$55="Catastrófico"),CONCATENATE("R7C",'Mapa de Riesgos'!$O$55),"")</f>
        <v/>
      </c>
      <c r="AL22" s="56" t="str">
        <f>IF(AND('Mapa de Riesgos'!$Y$56="Alta",'Mapa de Riesgos'!$AA$56="Catastrófico"),CONCATENATE("R7C",'Mapa de Riesgos'!$O$56),"")</f>
        <v/>
      </c>
      <c r="AM22" s="57" t="str">
        <f>IF(AND('Mapa de Riesgos'!$Y$57="Alta",'Mapa de Riesgos'!$AA$57="Catastrófico"),CONCATENATE("R7C",'Mapa de Riesgos'!$O$57),"")</f>
        <v/>
      </c>
      <c r="AN22" s="83"/>
      <c r="AO22" s="580"/>
      <c r="AP22" s="581"/>
      <c r="AQ22" s="581"/>
      <c r="AR22" s="581"/>
      <c r="AS22" s="581"/>
      <c r="AT22" s="582"/>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529"/>
      <c r="C23" s="529"/>
      <c r="D23" s="530"/>
      <c r="E23" s="570"/>
      <c r="F23" s="571"/>
      <c r="G23" s="571"/>
      <c r="H23" s="571"/>
      <c r="I23" s="571"/>
      <c r="J23" s="67" t="str">
        <f>IF(AND('Mapa de Riesgos'!$Y$58="Alta",'Mapa de Riesgos'!$AA$58="Leve"),CONCATENATE("R8C",'Mapa de Riesgos'!$O$58),"")</f>
        <v/>
      </c>
      <c r="K23" s="68" t="str">
        <f>IF(AND('Mapa de Riesgos'!$Y$59="Alta",'Mapa de Riesgos'!$AA$59="Leve"),CONCATENATE("R8C",'Mapa de Riesgos'!$O$59),"")</f>
        <v/>
      </c>
      <c r="L23" s="68" t="str">
        <f>IF(AND('Mapa de Riesgos'!$Y$60="Alta",'Mapa de Riesgos'!$AA$60="Leve"),CONCATENATE("R8C",'Mapa de Riesgos'!$O$60),"")</f>
        <v/>
      </c>
      <c r="M23" s="68" t="str">
        <f>IF(AND('Mapa de Riesgos'!$Y$61="Alta",'Mapa de Riesgos'!$AA$61="Leve"),CONCATENATE("R8C",'Mapa de Riesgos'!$O$61),"")</f>
        <v/>
      </c>
      <c r="N23" s="68" t="str">
        <f>IF(AND('Mapa de Riesgos'!$Y$62="Alta",'Mapa de Riesgos'!$AA$62="Leve"),CONCATENATE("R8C",'Mapa de Riesgos'!$O$62),"")</f>
        <v/>
      </c>
      <c r="O23" s="69" t="str">
        <f>IF(AND('Mapa de Riesgos'!$Y$63="Alta",'Mapa de Riesgos'!$AA$63="Leve"),CONCATENATE("R8C",'Mapa de Riesgos'!$O$63),"")</f>
        <v/>
      </c>
      <c r="P23" s="67" t="str">
        <f>IF(AND('Mapa de Riesgos'!$Y$58="Alta",'Mapa de Riesgos'!$AA$58="Menor"),CONCATENATE("R8C",'Mapa de Riesgos'!$O$58),"")</f>
        <v/>
      </c>
      <c r="Q23" s="68" t="str">
        <f>IF(AND('Mapa de Riesgos'!$Y$59="Alta",'Mapa de Riesgos'!$AA$59="Menor"),CONCATENATE("R8C",'Mapa de Riesgos'!$O$59),"")</f>
        <v/>
      </c>
      <c r="R23" s="68" t="str">
        <f>IF(AND('Mapa de Riesgos'!$Y$60="Alta",'Mapa de Riesgos'!$AA$60="Menor"),CONCATENATE("R8C",'Mapa de Riesgos'!$O$60),"")</f>
        <v/>
      </c>
      <c r="S23" s="68" t="str">
        <f>IF(AND('Mapa de Riesgos'!$Y$61="Alta",'Mapa de Riesgos'!$AA$61="Menor"),CONCATENATE("R8C",'Mapa de Riesgos'!$O$61),"")</f>
        <v/>
      </c>
      <c r="T23" s="68" t="str">
        <f>IF(AND('Mapa de Riesgos'!$Y$62="Alta",'Mapa de Riesgos'!$AA$62="Menor"),CONCATENATE("R8C",'Mapa de Riesgos'!$O$62),"")</f>
        <v/>
      </c>
      <c r="U23" s="69" t="str">
        <f>IF(AND('Mapa de Riesgos'!$Y$63="Alta",'Mapa de Riesgos'!$AA$63="Menor"),CONCATENATE("R8C",'Mapa de Riesgos'!$O$63),"")</f>
        <v/>
      </c>
      <c r="V23" s="52" t="str">
        <f>IF(AND('Mapa de Riesgos'!$Y$58="Alta",'Mapa de Riesgos'!$AA$58="Moderado"),CONCATENATE("R8C",'Mapa de Riesgos'!$O$58),"")</f>
        <v/>
      </c>
      <c r="W23" s="53" t="str">
        <f>IF(AND('Mapa de Riesgos'!$Y$59="Alta",'Mapa de Riesgos'!$AA$59="Moderado"),CONCATENATE("R8C",'Mapa de Riesgos'!$O$59),"")</f>
        <v/>
      </c>
      <c r="X23" s="53" t="str">
        <f>IF(AND('Mapa de Riesgos'!$Y$60="Alta",'Mapa de Riesgos'!$AA$60="Moderado"),CONCATENATE("R8C",'Mapa de Riesgos'!$O$60),"")</f>
        <v/>
      </c>
      <c r="Y23" s="53" t="str">
        <f>IF(AND('Mapa de Riesgos'!$Y$61="Alta",'Mapa de Riesgos'!$AA$61="Moderado"),CONCATENATE("R8C",'Mapa de Riesgos'!$O$61),"")</f>
        <v/>
      </c>
      <c r="Z23" s="53" t="str">
        <f>IF(AND('Mapa de Riesgos'!$Y$62="Alta",'Mapa de Riesgos'!$AA$62="Moderado"),CONCATENATE("R8C",'Mapa de Riesgos'!$O$62),"")</f>
        <v/>
      </c>
      <c r="AA23" s="54" t="str">
        <f>IF(AND('Mapa de Riesgos'!$Y$63="Alta",'Mapa de Riesgos'!$AA$63="Moderado"),CONCATENATE("R8C",'Mapa de Riesgos'!$O$63),"")</f>
        <v/>
      </c>
      <c r="AB23" s="52" t="str">
        <f>IF(AND('Mapa de Riesgos'!$Y$58="Alta",'Mapa de Riesgos'!$AA$58="Mayor"),CONCATENATE("R8C",'Mapa de Riesgos'!$O$58),"")</f>
        <v/>
      </c>
      <c r="AC23" s="53" t="str">
        <f>IF(AND('Mapa de Riesgos'!$Y$59="Alta",'Mapa de Riesgos'!$AA$59="Mayor"),CONCATENATE("R8C",'Mapa de Riesgos'!$O$59),"")</f>
        <v/>
      </c>
      <c r="AD23" s="53" t="str">
        <f>IF(AND('Mapa de Riesgos'!$Y$60="Alta",'Mapa de Riesgos'!$AA$60="Mayor"),CONCATENATE("R8C",'Mapa de Riesgos'!$O$60),"")</f>
        <v/>
      </c>
      <c r="AE23" s="53" t="str">
        <f>IF(AND('Mapa de Riesgos'!$Y$61="Alta",'Mapa de Riesgos'!$AA$61="Mayor"),CONCATENATE("R8C",'Mapa de Riesgos'!$O$61),"")</f>
        <v/>
      </c>
      <c r="AF23" s="53" t="str">
        <f>IF(AND('Mapa de Riesgos'!$Y$62="Alta",'Mapa de Riesgos'!$AA$62="Mayor"),CONCATENATE("R8C",'Mapa de Riesgos'!$O$62),"")</f>
        <v/>
      </c>
      <c r="AG23" s="54" t="str">
        <f>IF(AND('Mapa de Riesgos'!$Y$63="Alta",'Mapa de Riesgos'!$AA$63="Mayor"),CONCATENATE("R8C",'Mapa de Riesgos'!$O$63),"")</f>
        <v/>
      </c>
      <c r="AH23" s="55" t="str">
        <f>IF(AND('Mapa de Riesgos'!$Y$58="Alta",'Mapa de Riesgos'!$AA$58="Catastrófico"),CONCATENATE("R8C",'Mapa de Riesgos'!$O$58),"")</f>
        <v/>
      </c>
      <c r="AI23" s="56" t="str">
        <f>IF(AND('Mapa de Riesgos'!$Y$59="Alta",'Mapa de Riesgos'!$AA$59="Catastrófico"),CONCATENATE("R8C",'Mapa de Riesgos'!$O$59),"")</f>
        <v/>
      </c>
      <c r="AJ23" s="56" t="str">
        <f>IF(AND('Mapa de Riesgos'!$Y$60="Alta",'Mapa de Riesgos'!$AA$60="Catastrófico"),CONCATENATE("R8C",'Mapa de Riesgos'!$O$60),"")</f>
        <v/>
      </c>
      <c r="AK23" s="56" t="str">
        <f>IF(AND('Mapa de Riesgos'!$Y$61="Alta",'Mapa de Riesgos'!$AA$61="Catastrófico"),CONCATENATE("R8C",'Mapa de Riesgos'!$O$61),"")</f>
        <v/>
      </c>
      <c r="AL23" s="56" t="str">
        <f>IF(AND('Mapa de Riesgos'!$Y$62="Alta",'Mapa de Riesgos'!$AA$62="Catastrófico"),CONCATENATE("R8C",'Mapa de Riesgos'!$O$62),"")</f>
        <v/>
      </c>
      <c r="AM23" s="57" t="str">
        <f>IF(AND('Mapa de Riesgos'!$Y$63="Alta",'Mapa de Riesgos'!$AA$63="Catastrófico"),CONCATENATE("R8C",'Mapa de Riesgos'!$O$63),"")</f>
        <v/>
      </c>
      <c r="AN23" s="83"/>
      <c r="AO23" s="580"/>
      <c r="AP23" s="581"/>
      <c r="AQ23" s="581"/>
      <c r="AR23" s="581"/>
      <c r="AS23" s="581"/>
      <c r="AT23" s="582"/>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529"/>
      <c r="C24" s="529"/>
      <c r="D24" s="530"/>
      <c r="E24" s="570"/>
      <c r="F24" s="571"/>
      <c r="G24" s="571"/>
      <c r="H24" s="571"/>
      <c r="I24" s="571"/>
      <c r="J24" s="67" t="str">
        <f>IF(AND('Mapa de Riesgos'!$Y$64="Alta",'Mapa de Riesgos'!$AA$64="Leve"),CONCATENATE("R9C",'Mapa de Riesgos'!$O$64),"")</f>
        <v/>
      </c>
      <c r="K24" s="68" t="str">
        <f>IF(AND('Mapa de Riesgos'!$Y$65="Alta",'Mapa de Riesgos'!$AA$65="Leve"),CONCATENATE("R9C",'Mapa de Riesgos'!$O$65),"")</f>
        <v/>
      </c>
      <c r="L24" s="68" t="str">
        <f>IF(AND('Mapa de Riesgos'!$Y$66="Alta",'Mapa de Riesgos'!$AA$66="Leve"),CONCATENATE("R9C",'Mapa de Riesgos'!$O$66),"")</f>
        <v/>
      </c>
      <c r="M24" s="68" t="str">
        <f>IF(AND('Mapa de Riesgos'!$Y$67="Alta",'Mapa de Riesgos'!$AA$67="Leve"),CONCATENATE("R9C",'Mapa de Riesgos'!$O$67),"")</f>
        <v/>
      </c>
      <c r="N24" s="68" t="str">
        <f>IF(AND('Mapa de Riesgos'!$Y$68="Alta",'Mapa de Riesgos'!$AA$68="Leve"),CONCATENATE("R9C",'Mapa de Riesgos'!$O$68),"")</f>
        <v/>
      </c>
      <c r="O24" s="69" t="str">
        <f>IF(AND('Mapa de Riesgos'!$Y$69="Alta",'Mapa de Riesgos'!$AA$69="Leve"),CONCATENATE("R9C",'Mapa de Riesgos'!$O$69),"")</f>
        <v/>
      </c>
      <c r="P24" s="67" t="str">
        <f>IF(AND('Mapa de Riesgos'!$Y$64="Alta",'Mapa de Riesgos'!$AA$64="Menor"),CONCATENATE("R9C",'Mapa de Riesgos'!$O$64),"")</f>
        <v/>
      </c>
      <c r="Q24" s="68" t="str">
        <f>IF(AND('Mapa de Riesgos'!$Y$65="Alta",'Mapa de Riesgos'!$AA$65="Menor"),CONCATENATE("R9C",'Mapa de Riesgos'!$O$65),"")</f>
        <v/>
      </c>
      <c r="R24" s="68" t="str">
        <f>IF(AND('Mapa de Riesgos'!$Y$66="Alta",'Mapa de Riesgos'!$AA$66="Menor"),CONCATENATE("R9C",'Mapa de Riesgos'!$O$66),"")</f>
        <v/>
      </c>
      <c r="S24" s="68" t="str">
        <f>IF(AND('Mapa de Riesgos'!$Y$67="Alta",'Mapa de Riesgos'!$AA$67="Menor"),CONCATENATE("R9C",'Mapa de Riesgos'!$O$67),"")</f>
        <v/>
      </c>
      <c r="T24" s="68" t="str">
        <f>IF(AND('Mapa de Riesgos'!$Y$68="Alta",'Mapa de Riesgos'!$AA$68="Menor"),CONCATENATE("R9C",'Mapa de Riesgos'!$O$68),"")</f>
        <v/>
      </c>
      <c r="U24" s="69" t="str">
        <f>IF(AND('Mapa de Riesgos'!$Y$69="Alta",'Mapa de Riesgos'!$AA$69="Menor"),CONCATENATE("R9C",'Mapa de Riesgos'!$O$69),"")</f>
        <v/>
      </c>
      <c r="V24" s="52" t="str">
        <f>IF(AND('Mapa de Riesgos'!$Y$64="Alta",'Mapa de Riesgos'!$AA$64="Moderado"),CONCATENATE("R9C",'Mapa de Riesgos'!$O$64),"")</f>
        <v/>
      </c>
      <c r="W24" s="53" t="str">
        <f>IF(AND('Mapa de Riesgos'!$Y$65="Alta",'Mapa de Riesgos'!$AA$65="Moderado"),CONCATENATE("R9C",'Mapa de Riesgos'!$O$65),"")</f>
        <v/>
      </c>
      <c r="X24" s="53" t="str">
        <f>IF(AND('Mapa de Riesgos'!$Y$66="Alta",'Mapa de Riesgos'!$AA$66="Moderado"),CONCATENATE("R9C",'Mapa de Riesgos'!$O$66),"")</f>
        <v/>
      </c>
      <c r="Y24" s="53" t="str">
        <f>IF(AND('Mapa de Riesgos'!$Y$67="Alta",'Mapa de Riesgos'!$AA$67="Moderado"),CONCATENATE("R9C",'Mapa de Riesgos'!$O$67),"")</f>
        <v/>
      </c>
      <c r="Z24" s="53" t="str">
        <f>IF(AND('Mapa de Riesgos'!$Y$68="Alta",'Mapa de Riesgos'!$AA$68="Moderado"),CONCATENATE("R9C",'Mapa de Riesgos'!$O$68),"")</f>
        <v/>
      </c>
      <c r="AA24" s="54" t="str">
        <f>IF(AND('Mapa de Riesgos'!$Y$69="Alta",'Mapa de Riesgos'!$AA$69="Moderado"),CONCATENATE("R9C",'Mapa de Riesgos'!$O$69),"")</f>
        <v/>
      </c>
      <c r="AB24" s="52" t="str">
        <f>IF(AND('Mapa de Riesgos'!$Y$64="Alta",'Mapa de Riesgos'!$AA$64="Mayor"),CONCATENATE("R9C",'Mapa de Riesgos'!$O$64),"")</f>
        <v/>
      </c>
      <c r="AC24" s="53" t="str">
        <f>IF(AND('Mapa de Riesgos'!$Y$65="Alta",'Mapa de Riesgos'!$AA$65="Mayor"),CONCATENATE("R9C",'Mapa de Riesgos'!$O$65),"")</f>
        <v/>
      </c>
      <c r="AD24" s="53" t="str">
        <f>IF(AND('Mapa de Riesgos'!$Y$66="Alta",'Mapa de Riesgos'!$AA$66="Mayor"),CONCATENATE("R9C",'Mapa de Riesgos'!$O$66),"")</f>
        <v/>
      </c>
      <c r="AE24" s="53" t="str">
        <f>IF(AND('Mapa de Riesgos'!$Y$67="Alta",'Mapa de Riesgos'!$AA$67="Mayor"),CONCATENATE("R9C",'Mapa de Riesgos'!$O$67),"")</f>
        <v/>
      </c>
      <c r="AF24" s="53" t="str">
        <f>IF(AND('Mapa de Riesgos'!$Y$68="Alta",'Mapa de Riesgos'!$AA$68="Mayor"),CONCATENATE("R9C",'Mapa de Riesgos'!$O$68),"")</f>
        <v/>
      </c>
      <c r="AG24" s="54" t="str">
        <f>IF(AND('Mapa de Riesgos'!$Y$69="Alta",'Mapa de Riesgos'!$AA$69="Mayor"),CONCATENATE("R9C",'Mapa de Riesgos'!$O$69),"")</f>
        <v/>
      </c>
      <c r="AH24" s="55" t="str">
        <f>IF(AND('Mapa de Riesgos'!$Y$64="Alta",'Mapa de Riesgos'!$AA$64="Catastrófico"),CONCATENATE("R9C",'Mapa de Riesgos'!$O$64),"")</f>
        <v/>
      </c>
      <c r="AI24" s="56" t="str">
        <f>IF(AND('Mapa de Riesgos'!$Y$65="Alta",'Mapa de Riesgos'!$AA$65="Catastrófico"),CONCATENATE("R9C",'Mapa de Riesgos'!$O$65),"")</f>
        <v/>
      </c>
      <c r="AJ24" s="56" t="str">
        <f>IF(AND('Mapa de Riesgos'!$Y$66="Alta",'Mapa de Riesgos'!$AA$66="Catastrófico"),CONCATENATE("R9C",'Mapa de Riesgos'!$O$66),"")</f>
        <v/>
      </c>
      <c r="AK24" s="56" t="str">
        <f>IF(AND('Mapa de Riesgos'!$Y$67="Alta",'Mapa de Riesgos'!$AA$67="Catastrófico"),CONCATENATE("R9C",'Mapa de Riesgos'!$O$67),"")</f>
        <v/>
      </c>
      <c r="AL24" s="56" t="str">
        <f>IF(AND('Mapa de Riesgos'!$Y$68="Alta",'Mapa de Riesgos'!$AA$68="Catastrófico"),CONCATENATE("R9C",'Mapa de Riesgos'!$O$68),"")</f>
        <v/>
      </c>
      <c r="AM24" s="57" t="str">
        <f>IF(AND('Mapa de Riesgos'!$Y$69="Alta",'Mapa de Riesgos'!$AA$69="Catastrófico"),CONCATENATE("R9C",'Mapa de Riesgos'!$O$69),"")</f>
        <v/>
      </c>
      <c r="AN24" s="83"/>
      <c r="AO24" s="580"/>
      <c r="AP24" s="581"/>
      <c r="AQ24" s="581"/>
      <c r="AR24" s="581"/>
      <c r="AS24" s="581"/>
      <c r="AT24" s="582"/>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529"/>
      <c r="C25" s="529"/>
      <c r="D25" s="530"/>
      <c r="E25" s="573"/>
      <c r="F25" s="574"/>
      <c r="G25" s="574"/>
      <c r="H25" s="574"/>
      <c r="I25" s="574"/>
      <c r="J25" s="70" t="str">
        <f>IF(AND('Mapa de Riesgos'!$Y$70="Alta",'Mapa de Riesgos'!$AA$70="Leve"),CONCATENATE("R10C",'Mapa de Riesgos'!$O$70),"")</f>
        <v/>
      </c>
      <c r="K25" s="71" t="str">
        <f>IF(AND('Mapa de Riesgos'!$Y$71="Alta",'Mapa de Riesgos'!$AA$71="Leve"),CONCATENATE("R10C",'Mapa de Riesgos'!$O$71),"")</f>
        <v/>
      </c>
      <c r="L25" s="71" t="str">
        <f>IF(AND('Mapa de Riesgos'!$Y$72="Alta",'Mapa de Riesgos'!$AA$72="Leve"),CONCATENATE("R10C",'Mapa de Riesgos'!$O$72),"")</f>
        <v/>
      </c>
      <c r="M25" s="71" t="str">
        <f>IF(AND('Mapa de Riesgos'!$Y$73="Alta",'Mapa de Riesgos'!$AA$73="Leve"),CONCATENATE("R10C",'Mapa de Riesgos'!$O$73),"")</f>
        <v/>
      </c>
      <c r="N25" s="71" t="str">
        <f>IF(AND('Mapa de Riesgos'!$Y$74="Alta",'Mapa de Riesgos'!$AA$74="Leve"),CONCATENATE("R10C",'Mapa de Riesgos'!$O$74),"")</f>
        <v/>
      </c>
      <c r="O25" s="72" t="str">
        <f>IF(AND('Mapa de Riesgos'!$Y$75="Alta",'Mapa de Riesgos'!$AA$75="Leve"),CONCATENATE("R10C",'Mapa de Riesgos'!$O$75),"")</f>
        <v/>
      </c>
      <c r="P25" s="70" t="str">
        <f>IF(AND('Mapa de Riesgos'!$Y$70="Alta",'Mapa de Riesgos'!$AA$70="Menor"),CONCATENATE("R10C",'Mapa de Riesgos'!$O$70),"")</f>
        <v/>
      </c>
      <c r="Q25" s="71" t="str">
        <f>IF(AND('Mapa de Riesgos'!$Y$71="Alta",'Mapa de Riesgos'!$AA$71="Menor"),CONCATENATE("R10C",'Mapa de Riesgos'!$O$71),"")</f>
        <v/>
      </c>
      <c r="R25" s="71" t="str">
        <f>IF(AND('Mapa de Riesgos'!$Y$72="Alta",'Mapa de Riesgos'!$AA$72="Menor"),CONCATENATE("R10C",'Mapa de Riesgos'!$O$72),"")</f>
        <v/>
      </c>
      <c r="S25" s="71" t="str">
        <f>IF(AND('Mapa de Riesgos'!$Y$73="Alta",'Mapa de Riesgos'!$AA$73="Menor"),CONCATENATE("R10C",'Mapa de Riesgos'!$O$73),"")</f>
        <v/>
      </c>
      <c r="T25" s="71" t="str">
        <f>IF(AND('Mapa de Riesgos'!$Y$74="Alta",'Mapa de Riesgos'!$AA$74="Menor"),CONCATENATE("R10C",'Mapa de Riesgos'!$O$74),"")</f>
        <v/>
      </c>
      <c r="U25" s="72" t="str">
        <f>IF(AND('Mapa de Riesgos'!$Y$75="Alta",'Mapa de Riesgos'!$AA$75="Menor"),CONCATENATE("R10C",'Mapa de Riesgos'!$O$75),"")</f>
        <v/>
      </c>
      <c r="V25" s="58" t="str">
        <f>IF(AND('Mapa de Riesgos'!$Y$70="Alta",'Mapa de Riesgos'!$AA$70="Moderado"),CONCATENATE("R10C",'Mapa de Riesgos'!$O$70),"")</f>
        <v/>
      </c>
      <c r="W25" s="59" t="str">
        <f>IF(AND('Mapa de Riesgos'!$Y$71="Alta",'Mapa de Riesgos'!$AA$71="Moderado"),CONCATENATE("R10C",'Mapa de Riesgos'!$O$71),"")</f>
        <v/>
      </c>
      <c r="X25" s="59" t="str">
        <f>IF(AND('Mapa de Riesgos'!$Y$72="Alta",'Mapa de Riesgos'!$AA$72="Moderado"),CONCATENATE("R10C",'Mapa de Riesgos'!$O$72),"")</f>
        <v/>
      </c>
      <c r="Y25" s="59" t="str">
        <f>IF(AND('Mapa de Riesgos'!$Y$73="Alta",'Mapa de Riesgos'!$AA$73="Moderado"),CONCATENATE("R10C",'Mapa de Riesgos'!$O$73),"")</f>
        <v/>
      </c>
      <c r="Z25" s="59" t="str">
        <f>IF(AND('Mapa de Riesgos'!$Y$74="Alta",'Mapa de Riesgos'!$AA$74="Moderado"),CONCATENATE("R10C",'Mapa de Riesgos'!$O$74),"")</f>
        <v/>
      </c>
      <c r="AA25" s="60" t="str">
        <f>IF(AND('Mapa de Riesgos'!$Y$75="Alta",'Mapa de Riesgos'!$AA$75="Moderado"),CONCATENATE("R10C",'Mapa de Riesgos'!$O$75),"")</f>
        <v/>
      </c>
      <c r="AB25" s="58" t="str">
        <f>IF(AND('Mapa de Riesgos'!$Y$70="Alta",'Mapa de Riesgos'!$AA$70="Mayor"),CONCATENATE("R10C",'Mapa de Riesgos'!$O$70),"")</f>
        <v/>
      </c>
      <c r="AC25" s="59" t="str">
        <f>IF(AND('Mapa de Riesgos'!$Y$71="Alta",'Mapa de Riesgos'!$AA$71="Mayor"),CONCATENATE("R10C",'Mapa de Riesgos'!$O$71),"")</f>
        <v/>
      </c>
      <c r="AD25" s="59" t="str">
        <f>IF(AND('Mapa de Riesgos'!$Y$72="Alta",'Mapa de Riesgos'!$AA$72="Mayor"),CONCATENATE("R10C",'Mapa de Riesgos'!$O$72),"")</f>
        <v/>
      </c>
      <c r="AE25" s="59" t="str">
        <f>IF(AND('Mapa de Riesgos'!$Y$73="Alta",'Mapa de Riesgos'!$AA$73="Mayor"),CONCATENATE("R10C",'Mapa de Riesgos'!$O$73),"")</f>
        <v/>
      </c>
      <c r="AF25" s="59" t="str">
        <f>IF(AND('Mapa de Riesgos'!$Y$74="Alta",'Mapa de Riesgos'!$AA$74="Mayor"),CONCATENATE("R10C",'Mapa de Riesgos'!$O$74),"")</f>
        <v/>
      </c>
      <c r="AG25" s="60" t="str">
        <f>IF(AND('Mapa de Riesgos'!$Y$75="Alta",'Mapa de Riesgos'!$AA$75="Mayor"),CONCATENATE("R10C",'Mapa de Riesgos'!$O$75),"")</f>
        <v/>
      </c>
      <c r="AH25" s="61" t="str">
        <f>IF(AND('Mapa de Riesgos'!$Y$70="Alta",'Mapa de Riesgos'!$AA$70="Catastrófico"),CONCATENATE("R10C",'Mapa de Riesgos'!$O$70),"")</f>
        <v/>
      </c>
      <c r="AI25" s="62" t="str">
        <f>IF(AND('Mapa de Riesgos'!$Y$71="Alta",'Mapa de Riesgos'!$AA$71="Catastrófico"),CONCATENATE("R10C",'Mapa de Riesgos'!$O$71),"")</f>
        <v/>
      </c>
      <c r="AJ25" s="62" t="str">
        <f>IF(AND('Mapa de Riesgos'!$Y$72="Alta",'Mapa de Riesgos'!$AA$72="Catastrófico"),CONCATENATE("R10C",'Mapa de Riesgos'!$O$72),"")</f>
        <v/>
      </c>
      <c r="AK25" s="62" t="str">
        <f>IF(AND('Mapa de Riesgos'!$Y$73="Alta",'Mapa de Riesgos'!$AA$73="Catastrófico"),CONCATENATE("R10C",'Mapa de Riesgos'!$O$73),"")</f>
        <v/>
      </c>
      <c r="AL25" s="62" t="str">
        <f>IF(AND('Mapa de Riesgos'!$Y$74="Alta",'Mapa de Riesgos'!$AA$74="Catastrófico"),CONCATENATE("R10C",'Mapa de Riesgos'!$O$74),"")</f>
        <v/>
      </c>
      <c r="AM25" s="63" t="str">
        <f>IF(AND('Mapa de Riesgos'!$Y$75="Alta",'Mapa de Riesgos'!$AA$75="Catastrófico"),CONCATENATE("R10C",'Mapa de Riesgos'!$O$75),"")</f>
        <v/>
      </c>
      <c r="AN25" s="83"/>
      <c r="AO25" s="583"/>
      <c r="AP25" s="584"/>
      <c r="AQ25" s="584"/>
      <c r="AR25" s="584"/>
      <c r="AS25" s="584"/>
      <c r="AT25" s="585"/>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529"/>
      <c r="C26" s="529"/>
      <c r="D26" s="530"/>
      <c r="E26" s="567" t="s">
        <v>246</v>
      </c>
      <c r="F26" s="568"/>
      <c r="G26" s="568"/>
      <c r="H26" s="568"/>
      <c r="I26" s="569"/>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607" t="s">
        <v>247</v>
      </c>
      <c r="AP26" s="608"/>
      <c r="AQ26" s="608"/>
      <c r="AR26" s="608"/>
      <c r="AS26" s="608"/>
      <c r="AT26" s="609"/>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529"/>
      <c r="C27" s="529"/>
      <c r="D27" s="530"/>
      <c r="E27" s="586"/>
      <c r="F27" s="571"/>
      <c r="G27" s="571"/>
      <c r="H27" s="571"/>
      <c r="I27" s="572"/>
      <c r="J27" s="67" t="str">
        <f>IF(AND('Mapa de Riesgos'!$Y$18="Media",'Mapa de Riesgos'!$AA$18="Leve"),CONCATENATE("R2C",'Mapa de Riesgos'!$O$18),"")</f>
        <v/>
      </c>
      <c r="K27" s="68" t="str">
        <f>IF(AND('Mapa de Riesgos'!$Y$20="Media",'Mapa de Riesgos'!$AA$20="Leve"),CONCATENATE("R2C",'Mapa de Riesgos'!$O$20),"")</f>
        <v/>
      </c>
      <c r="L27" s="68" t="str">
        <f>IF(AND('Mapa de Riesgos'!$Y$21="Media",'Mapa de Riesgos'!$AA$21="Leve"),CONCATENATE("R2C",'Mapa de Riesgos'!$O$21),"")</f>
        <v/>
      </c>
      <c r="M27" s="68" t="str">
        <f>IF(AND('Mapa de Riesgos'!$Y$22="Media",'Mapa de Riesgos'!$AA$22="Leve"),CONCATENATE("R2C",'Mapa de Riesgos'!$O$22),"")</f>
        <v/>
      </c>
      <c r="N27" s="68" t="str">
        <f>IF(AND('Mapa de Riesgos'!$Y$23="Media",'Mapa de Riesgos'!$AA$23="Leve"),CONCATENATE("R2C",'Mapa de Riesgos'!$O$23),"")</f>
        <v/>
      </c>
      <c r="O27" s="69" t="str">
        <f>IF(AND('Mapa de Riesgos'!$Y$24="Media",'Mapa de Riesgos'!$AA$24="Leve"),CONCATENATE("R2C",'Mapa de Riesgos'!$O$24),"")</f>
        <v/>
      </c>
      <c r="P27" s="67" t="str">
        <f>IF(AND('Mapa de Riesgos'!$Y$18="Media",'Mapa de Riesgos'!$AA$18="Menor"),CONCATENATE("R2C",'Mapa de Riesgos'!$O$18),"")</f>
        <v/>
      </c>
      <c r="Q27" s="68" t="str">
        <f>IF(AND('Mapa de Riesgos'!$Y$20="Media",'Mapa de Riesgos'!$AA$20="Menor"),CONCATENATE("R2C",'Mapa de Riesgos'!$O$20),"")</f>
        <v/>
      </c>
      <c r="R27" s="68" t="str">
        <f>IF(AND('Mapa de Riesgos'!$Y$21="Media",'Mapa de Riesgos'!$AA$21="Menor"),CONCATENATE("R2C",'Mapa de Riesgos'!$O$21),"")</f>
        <v/>
      </c>
      <c r="S27" s="68" t="str">
        <f>IF(AND('Mapa de Riesgos'!$Y$22="Media",'Mapa de Riesgos'!$AA$22="Menor"),CONCATENATE("R2C",'Mapa de Riesgos'!$O$22),"")</f>
        <v/>
      </c>
      <c r="T27" s="68" t="str">
        <f>IF(AND('Mapa de Riesgos'!$Y$23="Media",'Mapa de Riesgos'!$AA$23="Menor"),CONCATENATE("R2C",'Mapa de Riesgos'!$O$23),"")</f>
        <v/>
      </c>
      <c r="U27" s="69" t="str">
        <f>IF(AND('Mapa de Riesgos'!$Y$24="Media",'Mapa de Riesgos'!$AA$24="Menor"),CONCATENATE("R2C",'Mapa de Riesgos'!$O$24),"")</f>
        <v/>
      </c>
      <c r="V27" s="67" t="str">
        <f>IF(AND('Mapa de Riesgos'!$Y$18="Media",'Mapa de Riesgos'!$AA$18="Moderado"),CONCATENATE("R2C",'Mapa de Riesgos'!$O$18),"")</f>
        <v/>
      </c>
      <c r="W27" s="68" t="str">
        <f>IF(AND('Mapa de Riesgos'!$Y$20="Media",'Mapa de Riesgos'!$AA$20="Moderado"),CONCATENATE("R2C",'Mapa de Riesgos'!$O$20),"")</f>
        <v/>
      </c>
      <c r="X27" s="68" t="str">
        <f>IF(AND('Mapa de Riesgos'!$Y$21="Media",'Mapa de Riesgos'!$AA$21="Moderado"),CONCATENATE("R2C",'Mapa de Riesgos'!$O$21),"")</f>
        <v/>
      </c>
      <c r="Y27" s="68" t="str">
        <f>IF(AND('Mapa de Riesgos'!$Y$22="Media",'Mapa de Riesgos'!$AA$22="Moderado"),CONCATENATE("R2C",'Mapa de Riesgos'!$O$22),"")</f>
        <v/>
      </c>
      <c r="Z27" s="68" t="str">
        <f>IF(AND('Mapa de Riesgos'!$Y$23="Media",'Mapa de Riesgos'!$AA$23="Moderado"),CONCATENATE("R2C",'Mapa de Riesgos'!$O$23),"")</f>
        <v/>
      </c>
      <c r="AA27" s="69" t="str">
        <f>IF(AND('Mapa de Riesgos'!$Y$24="Media",'Mapa de Riesgos'!$AA$24="Moderado"),CONCATENATE("R2C",'Mapa de Riesgos'!$O$24),"")</f>
        <v/>
      </c>
      <c r="AB27" s="52" t="str">
        <f>IF(AND('Mapa de Riesgos'!$Y$18="Media",'Mapa de Riesgos'!$AA$18="Mayor"),CONCATENATE("R2C",'Mapa de Riesgos'!$O$18),"")</f>
        <v/>
      </c>
      <c r="AC27" s="53" t="str">
        <f>IF(AND('Mapa de Riesgos'!$Y$20="Media",'Mapa de Riesgos'!$AA$20="Mayor"),CONCATENATE("R2C",'Mapa de Riesgos'!$O$20),"")</f>
        <v/>
      </c>
      <c r="AD27" s="53" t="str">
        <f>IF(AND('Mapa de Riesgos'!$Y$21="Media",'Mapa de Riesgos'!$AA$21="Mayor"),CONCATENATE("R2C",'Mapa de Riesgos'!$O$21),"")</f>
        <v/>
      </c>
      <c r="AE27" s="53" t="str">
        <f>IF(AND('Mapa de Riesgos'!$Y$22="Media",'Mapa de Riesgos'!$AA$22="Mayor"),CONCATENATE("R2C",'Mapa de Riesgos'!$O$22),"")</f>
        <v/>
      </c>
      <c r="AF27" s="53" t="str">
        <f>IF(AND('Mapa de Riesgos'!$Y$23="Media",'Mapa de Riesgos'!$AA$23="Mayor"),CONCATENATE("R2C",'Mapa de Riesgos'!$O$23),"")</f>
        <v/>
      </c>
      <c r="AG27" s="54" t="str">
        <f>IF(AND('Mapa de Riesgos'!$Y$24="Media",'Mapa de Riesgos'!$AA$24="Mayor"),CONCATENATE("R2C",'Mapa de Riesgos'!$O$24),"")</f>
        <v/>
      </c>
      <c r="AH27" s="55" t="str">
        <f>IF(AND('Mapa de Riesgos'!$Y$18="Media",'Mapa de Riesgos'!$AA$18="Catastrófico"),CONCATENATE("R2C",'Mapa de Riesgos'!$O$18),"")</f>
        <v/>
      </c>
      <c r="AI27" s="56" t="str">
        <f>IF(AND('Mapa de Riesgos'!$Y$20="Media",'Mapa de Riesgos'!$AA$20="Catastrófico"),CONCATENATE("R2C",'Mapa de Riesgos'!$O$20),"")</f>
        <v/>
      </c>
      <c r="AJ27" s="56" t="str">
        <f>IF(AND('Mapa de Riesgos'!$Y$21="Media",'Mapa de Riesgos'!$AA$21="Catastrófico"),CONCATENATE("R2C",'Mapa de Riesgos'!$O$21),"")</f>
        <v/>
      </c>
      <c r="AK27" s="56" t="str">
        <f>IF(AND('Mapa de Riesgos'!$Y$22="Media",'Mapa de Riesgos'!$AA$22="Catastrófico"),CONCATENATE("R2C",'Mapa de Riesgos'!$O$22),"")</f>
        <v/>
      </c>
      <c r="AL27" s="56" t="str">
        <f>IF(AND('Mapa de Riesgos'!$Y$23="Media",'Mapa de Riesgos'!$AA$23="Catastrófico"),CONCATENATE("R2C",'Mapa de Riesgos'!$O$23),"")</f>
        <v/>
      </c>
      <c r="AM27" s="57" t="str">
        <f>IF(AND('Mapa de Riesgos'!$Y$24="Media",'Mapa de Riesgos'!$AA$24="Catastrófico"),CONCATENATE("R2C",'Mapa de Riesgos'!$O$24),"")</f>
        <v/>
      </c>
      <c r="AN27" s="83"/>
      <c r="AO27" s="610"/>
      <c r="AP27" s="611"/>
      <c r="AQ27" s="611"/>
      <c r="AR27" s="611"/>
      <c r="AS27" s="611"/>
      <c r="AT27" s="612"/>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529"/>
      <c r="C28" s="529"/>
      <c r="D28" s="530"/>
      <c r="E28" s="570"/>
      <c r="F28" s="571"/>
      <c r="G28" s="571"/>
      <c r="H28" s="571"/>
      <c r="I28" s="572"/>
      <c r="J28" s="67" t="str">
        <f>IF(AND('Mapa de Riesgos'!$Y$25="Media",'Mapa de Riesgos'!$AA$25="Leve"),CONCATENATE("R3C",'Mapa de Riesgos'!$O$25),"")</f>
        <v/>
      </c>
      <c r="K28" s="68" t="str">
        <f>IF(AND('Mapa de Riesgos'!$Y$28="Media",'Mapa de Riesgos'!$AA$28="Leve"),CONCATENATE("R3C",'Mapa de Riesgos'!$O$28),"")</f>
        <v/>
      </c>
      <c r="L28" s="68" t="str">
        <f>IF(AND('Mapa de Riesgos'!$Y$29="Media",'Mapa de Riesgos'!$AA$29="Leve"),CONCATENATE("R3C",'Mapa de Riesgos'!$O$29),"")</f>
        <v/>
      </c>
      <c r="M28" s="68" t="str">
        <f>IF(AND('Mapa de Riesgos'!$Y$30="Media",'Mapa de Riesgos'!$AA$30="Leve"),CONCATENATE("R3C",'Mapa de Riesgos'!$O$30),"")</f>
        <v/>
      </c>
      <c r="N28" s="68" t="str">
        <f>IF(AND('Mapa de Riesgos'!$Y$31="Media",'Mapa de Riesgos'!$AA$31="Leve"),CONCATENATE("R3C",'Mapa de Riesgos'!$O$31),"")</f>
        <v/>
      </c>
      <c r="O28" s="69" t="str">
        <f>IF(AND('Mapa de Riesgos'!$Y$32="Media",'Mapa de Riesgos'!$AA$32="Leve"),CONCATENATE("R3C",'Mapa de Riesgos'!$O$32),"")</f>
        <v/>
      </c>
      <c r="P28" s="67" t="str">
        <f>IF(AND('Mapa de Riesgos'!$Y$25="Media",'Mapa de Riesgos'!$AA$25="Menor"),CONCATENATE("R3C",'Mapa de Riesgos'!$O$25),"")</f>
        <v/>
      </c>
      <c r="Q28" s="68" t="str">
        <f>IF(AND('Mapa de Riesgos'!$Y$28="Media",'Mapa de Riesgos'!$AA$28="Menor"),CONCATENATE("R3C",'Mapa de Riesgos'!$O$28),"")</f>
        <v/>
      </c>
      <c r="R28" s="68" t="str">
        <f>IF(AND('Mapa de Riesgos'!$Y$29="Media",'Mapa de Riesgos'!$AA$29="Menor"),CONCATENATE("R3C",'Mapa de Riesgos'!$O$29),"")</f>
        <v/>
      </c>
      <c r="S28" s="68" t="str">
        <f>IF(AND('Mapa de Riesgos'!$Y$30="Media",'Mapa de Riesgos'!$AA$30="Menor"),CONCATENATE("R3C",'Mapa de Riesgos'!$O$30),"")</f>
        <v/>
      </c>
      <c r="T28" s="68" t="str">
        <f>IF(AND('Mapa de Riesgos'!$Y$31="Media",'Mapa de Riesgos'!$AA$31="Menor"),CONCATENATE("R3C",'Mapa de Riesgos'!$O$31),"")</f>
        <v/>
      </c>
      <c r="U28" s="69" t="str">
        <f>IF(AND('Mapa de Riesgos'!$Y$32="Media",'Mapa de Riesgos'!$AA$32="Menor"),CONCATENATE("R3C",'Mapa de Riesgos'!$O$32),"")</f>
        <v/>
      </c>
      <c r="V28" s="67" t="str">
        <f>IF(AND('Mapa de Riesgos'!$Y$25="Media",'Mapa de Riesgos'!$AA$25="Moderado"),CONCATENATE("R3C",'Mapa de Riesgos'!$O$25),"")</f>
        <v/>
      </c>
      <c r="W28" s="68" t="str">
        <f>IF(AND('Mapa de Riesgos'!$Y$28="Media",'Mapa de Riesgos'!$AA$28="Moderado"),CONCATENATE("R3C",'Mapa de Riesgos'!$O$28),"")</f>
        <v/>
      </c>
      <c r="X28" s="68" t="str">
        <f>IF(AND('Mapa de Riesgos'!$Y$29="Media",'Mapa de Riesgos'!$AA$29="Moderado"),CONCATENATE("R3C",'Mapa de Riesgos'!$O$29),"")</f>
        <v/>
      </c>
      <c r="Y28" s="68" t="str">
        <f>IF(AND('Mapa de Riesgos'!$Y$30="Media",'Mapa de Riesgos'!$AA$30="Moderado"),CONCATENATE("R3C",'Mapa de Riesgos'!$O$30),"")</f>
        <v/>
      </c>
      <c r="Z28" s="68" t="str">
        <f>IF(AND('Mapa de Riesgos'!$Y$31="Media",'Mapa de Riesgos'!$AA$31="Moderado"),CONCATENATE("R3C",'Mapa de Riesgos'!$O$31),"")</f>
        <v/>
      </c>
      <c r="AA28" s="69" t="str">
        <f>IF(AND('Mapa de Riesgos'!$Y$32="Media",'Mapa de Riesgos'!$AA$32="Moderado"),CONCATENATE("R3C",'Mapa de Riesgos'!$O$32),"")</f>
        <v/>
      </c>
      <c r="AB28" s="52" t="str">
        <f>IF(AND('Mapa de Riesgos'!$Y$25="Media",'Mapa de Riesgos'!$AA$25="Mayor"),CONCATENATE("R3C",'Mapa de Riesgos'!$O$25),"")</f>
        <v/>
      </c>
      <c r="AC28" s="53" t="str">
        <f>IF(AND('Mapa de Riesgos'!$Y$28="Media",'Mapa de Riesgos'!$AA$28="Mayor"),CONCATENATE("R3C",'Mapa de Riesgos'!$O$28),"")</f>
        <v/>
      </c>
      <c r="AD28" s="53" t="str">
        <f>IF(AND('Mapa de Riesgos'!$Y$29="Media",'Mapa de Riesgos'!$AA$29="Mayor"),CONCATENATE("R3C",'Mapa de Riesgos'!$O$29),"")</f>
        <v/>
      </c>
      <c r="AE28" s="53" t="str">
        <f>IF(AND('Mapa de Riesgos'!$Y$30="Media",'Mapa de Riesgos'!$AA$30="Mayor"),CONCATENATE("R3C",'Mapa de Riesgos'!$O$30),"")</f>
        <v/>
      </c>
      <c r="AF28" s="53" t="str">
        <f>IF(AND('Mapa de Riesgos'!$Y$31="Media",'Mapa de Riesgos'!$AA$31="Mayor"),CONCATENATE("R3C",'Mapa de Riesgos'!$O$31),"")</f>
        <v/>
      </c>
      <c r="AG28" s="54" t="str">
        <f>IF(AND('Mapa de Riesgos'!$Y$32="Media",'Mapa de Riesgos'!$AA$32="Mayor"),CONCATENATE("R3C",'Mapa de Riesgos'!$O$32),"")</f>
        <v/>
      </c>
      <c r="AH28" s="55" t="str">
        <f>IF(AND('Mapa de Riesgos'!$Y$25="Media",'Mapa de Riesgos'!$AA$25="Catastrófico"),CONCATENATE("R3C",'Mapa de Riesgos'!$O$25),"")</f>
        <v/>
      </c>
      <c r="AI28" s="56" t="str">
        <f>IF(AND('Mapa de Riesgos'!$Y$28="Media",'Mapa de Riesgos'!$AA$28="Catastrófico"),CONCATENATE("R3C",'Mapa de Riesgos'!$O$28),"")</f>
        <v/>
      </c>
      <c r="AJ28" s="56" t="str">
        <f>IF(AND('Mapa de Riesgos'!$Y$29="Media",'Mapa de Riesgos'!$AA$29="Catastrófico"),CONCATENATE("R3C",'Mapa de Riesgos'!$O$29),"")</f>
        <v/>
      </c>
      <c r="AK28" s="56" t="str">
        <f>IF(AND('Mapa de Riesgos'!$Y$30="Media",'Mapa de Riesgos'!$AA$30="Catastrófico"),CONCATENATE("R3C",'Mapa de Riesgos'!$O$30),"")</f>
        <v/>
      </c>
      <c r="AL28" s="56" t="str">
        <f>IF(AND('Mapa de Riesgos'!$Y$31="Media",'Mapa de Riesgos'!$AA$31="Catastrófico"),CONCATENATE("R3C",'Mapa de Riesgos'!$O$31),"")</f>
        <v/>
      </c>
      <c r="AM28" s="57" t="str">
        <f>IF(AND('Mapa de Riesgos'!$Y$32="Media",'Mapa de Riesgos'!$AA$32="Catastrófico"),CONCATENATE("R3C",'Mapa de Riesgos'!$O$32),"")</f>
        <v/>
      </c>
      <c r="AN28" s="83"/>
      <c r="AO28" s="610"/>
      <c r="AP28" s="611"/>
      <c r="AQ28" s="611"/>
      <c r="AR28" s="611"/>
      <c r="AS28" s="611"/>
      <c r="AT28" s="612"/>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529"/>
      <c r="C29" s="529"/>
      <c r="D29" s="530"/>
      <c r="E29" s="570"/>
      <c r="F29" s="571"/>
      <c r="G29" s="571"/>
      <c r="H29" s="571"/>
      <c r="I29" s="572"/>
      <c r="J29" s="67" t="str">
        <f>IF(AND('Mapa de Riesgos'!$Y$33="Media",'Mapa de Riesgos'!$AA$33="Leve"),CONCATENATE("R4C",'Mapa de Riesgos'!$O$33),"")</f>
        <v/>
      </c>
      <c r="K29" s="68" t="str">
        <f>IF(AND('Mapa de Riesgos'!$Y$34="Media",'Mapa de Riesgos'!$AA$34="Leve"),CONCATENATE("R4C",'Mapa de Riesgos'!$O$34),"")</f>
        <v/>
      </c>
      <c r="L29" s="68" t="str">
        <f>IF(AND('Mapa de Riesgos'!$Y$35="Media",'Mapa de Riesgos'!$AA$35="Leve"),CONCATENATE("R4C",'Mapa de Riesgos'!$O$35),"")</f>
        <v/>
      </c>
      <c r="M29" s="68" t="str">
        <f>IF(AND('Mapa de Riesgos'!$Y$36="Media",'Mapa de Riesgos'!$AA$36="Leve"),CONCATENATE("R4C",'Mapa de Riesgos'!$O$36),"")</f>
        <v/>
      </c>
      <c r="N29" s="68" t="str">
        <f>IF(AND('Mapa de Riesgos'!$Y$37="Media",'Mapa de Riesgos'!$AA$37="Leve"),CONCATENATE("R4C",'Mapa de Riesgos'!$O$37),"")</f>
        <v/>
      </c>
      <c r="O29" s="69" t="str">
        <f>IF(AND('Mapa de Riesgos'!$Y$38="Media",'Mapa de Riesgos'!$AA$38="Leve"),CONCATENATE("R4C",'Mapa de Riesgos'!$O$38),"")</f>
        <v/>
      </c>
      <c r="P29" s="67" t="str">
        <f>IF(AND('Mapa de Riesgos'!$Y$33="Media",'Mapa de Riesgos'!$AA$33="Menor"),CONCATENATE("R4C",'Mapa de Riesgos'!$O$33),"")</f>
        <v/>
      </c>
      <c r="Q29" s="68" t="str">
        <f>IF(AND('Mapa de Riesgos'!$Y$34="Media",'Mapa de Riesgos'!$AA$34="Menor"),CONCATENATE("R4C",'Mapa de Riesgos'!$O$34),"")</f>
        <v/>
      </c>
      <c r="R29" s="68" t="str">
        <f>IF(AND('Mapa de Riesgos'!$Y$35="Media",'Mapa de Riesgos'!$AA$35="Menor"),CONCATENATE("R4C",'Mapa de Riesgos'!$O$35),"")</f>
        <v/>
      </c>
      <c r="S29" s="68" t="str">
        <f>IF(AND('Mapa de Riesgos'!$Y$36="Media",'Mapa de Riesgos'!$AA$36="Menor"),CONCATENATE("R4C",'Mapa de Riesgos'!$O$36),"")</f>
        <v/>
      </c>
      <c r="T29" s="68" t="str">
        <f>IF(AND('Mapa de Riesgos'!$Y$37="Media",'Mapa de Riesgos'!$AA$37="Menor"),CONCATENATE("R4C",'Mapa de Riesgos'!$O$37),"")</f>
        <v/>
      </c>
      <c r="U29" s="69" t="str">
        <f>IF(AND('Mapa de Riesgos'!$Y$38="Media",'Mapa de Riesgos'!$AA$38="Menor"),CONCATENATE("R4C",'Mapa de Riesgos'!$O$38),"")</f>
        <v/>
      </c>
      <c r="V29" s="67" t="str">
        <f>IF(AND('Mapa de Riesgos'!$Y$33="Media",'Mapa de Riesgos'!$AA$33="Moderado"),CONCATENATE("R4C",'Mapa de Riesgos'!$O$33),"")</f>
        <v/>
      </c>
      <c r="W29" s="68" t="str">
        <f>IF(AND('Mapa de Riesgos'!$Y$34="Media",'Mapa de Riesgos'!$AA$34="Moderado"),CONCATENATE("R4C",'Mapa de Riesgos'!$O$34),"")</f>
        <v/>
      </c>
      <c r="X29" s="68" t="str">
        <f>IF(AND('Mapa de Riesgos'!$Y$35="Media",'Mapa de Riesgos'!$AA$35="Moderado"),CONCATENATE("R4C",'Mapa de Riesgos'!$O$35),"")</f>
        <v/>
      </c>
      <c r="Y29" s="68" t="str">
        <f>IF(AND('Mapa de Riesgos'!$Y$36="Media",'Mapa de Riesgos'!$AA$36="Moderado"),CONCATENATE("R4C",'Mapa de Riesgos'!$O$36),"")</f>
        <v/>
      </c>
      <c r="Z29" s="68" t="str">
        <f>IF(AND('Mapa de Riesgos'!$Y$37="Media",'Mapa de Riesgos'!$AA$37="Moderado"),CONCATENATE("R4C",'Mapa de Riesgos'!$O$37),"")</f>
        <v/>
      </c>
      <c r="AA29" s="69" t="str">
        <f>IF(AND('Mapa de Riesgos'!$Y$38="Media",'Mapa de Riesgos'!$AA$38="Moderado"),CONCATENATE("R4C",'Mapa de Riesgos'!$O$38),"")</f>
        <v/>
      </c>
      <c r="AB29" s="52" t="str">
        <f>IF(AND('Mapa de Riesgos'!$Y$33="Media",'Mapa de Riesgos'!$AA$33="Mayor"),CONCATENATE("R4C",'Mapa de Riesgos'!$O$33),"")</f>
        <v/>
      </c>
      <c r="AC29" s="53" t="str">
        <f>IF(AND('Mapa de Riesgos'!$Y$34="Media",'Mapa de Riesgos'!$AA$34="Mayor"),CONCATENATE("R4C",'Mapa de Riesgos'!$O$34),"")</f>
        <v/>
      </c>
      <c r="AD29" s="53" t="str">
        <f>IF(AND('Mapa de Riesgos'!$Y$35="Media",'Mapa de Riesgos'!$AA$35="Mayor"),CONCATENATE("R4C",'Mapa de Riesgos'!$O$35),"")</f>
        <v/>
      </c>
      <c r="AE29" s="53" t="str">
        <f>IF(AND('Mapa de Riesgos'!$Y$36="Media",'Mapa de Riesgos'!$AA$36="Mayor"),CONCATENATE("R4C",'Mapa de Riesgos'!$O$36),"")</f>
        <v/>
      </c>
      <c r="AF29" s="53" t="str">
        <f>IF(AND('Mapa de Riesgos'!$Y$37="Media",'Mapa de Riesgos'!$AA$37="Mayor"),CONCATENATE("R4C",'Mapa de Riesgos'!$O$37),"")</f>
        <v/>
      </c>
      <c r="AG29" s="54" t="str">
        <f>IF(AND('Mapa de Riesgos'!$Y$38="Media",'Mapa de Riesgos'!$AA$38="Mayor"),CONCATENATE("R4C",'Mapa de Riesgos'!$O$38),"")</f>
        <v/>
      </c>
      <c r="AH29" s="55" t="str">
        <f>IF(AND('Mapa de Riesgos'!$Y$33="Media",'Mapa de Riesgos'!$AA$33="Catastrófico"),CONCATENATE("R4C",'Mapa de Riesgos'!$O$33),"")</f>
        <v/>
      </c>
      <c r="AI29" s="56" t="str">
        <f>IF(AND('Mapa de Riesgos'!$Y$34="Media",'Mapa de Riesgos'!$AA$34="Catastrófico"),CONCATENATE("R4C",'Mapa de Riesgos'!$O$34),"")</f>
        <v/>
      </c>
      <c r="AJ29" s="56" t="str">
        <f>IF(AND('Mapa de Riesgos'!$Y$35="Media",'Mapa de Riesgos'!$AA$35="Catastrófico"),CONCATENATE("R4C",'Mapa de Riesgos'!$O$35),"")</f>
        <v/>
      </c>
      <c r="AK29" s="56" t="str">
        <f>IF(AND('Mapa de Riesgos'!$Y$36="Media",'Mapa de Riesgos'!$AA$36="Catastrófico"),CONCATENATE("R4C",'Mapa de Riesgos'!$O$36),"")</f>
        <v/>
      </c>
      <c r="AL29" s="56" t="str">
        <f>IF(AND('Mapa de Riesgos'!$Y$37="Media",'Mapa de Riesgos'!$AA$37="Catastrófico"),CONCATENATE("R4C",'Mapa de Riesgos'!$O$37),"")</f>
        <v/>
      </c>
      <c r="AM29" s="57" t="str">
        <f>IF(AND('Mapa de Riesgos'!$Y$38="Media",'Mapa de Riesgos'!$AA$38="Catastrófico"),CONCATENATE("R4C",'Mapa de Riesgos'!$O$38),"")</f>
        <v/>
      </c>
      <c r="AN29" s="83"/>
      <c r="AO29" s="610"/>
      <c r="AP29" s="611"/>
      <c r="AQ29" s="611"/>
      <c r="AR29" s="611"/>
      <c r="AS29" s="611"/>
      <c r="AT29" s="612"/>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529"/>
      <c r="C30" s="529"/>
      <c r="D30" s="530"/>
      <c r="E30" s="570"/>
      <c r="F30" s="571"/>
      <c r="G30" s="571"/>
      <c r="H30" s="571"/>
      <c r="I30" s="572"/>
      <c r="J30" s="67" t="str">
        <f>IF(AND('Mapa de Riesgos'!$Y$39="Media",'Mapa de Riesgos'!$AA$39="Leve"),CONCATENATE("R5C",'Mapa de Riesgos'!$O$39),"")</f>
        <v/>
      </c>
      <c r="K30" s="68" t="str">
        <f>IF(AND('Mapa de Riesgos'!$Y$41="Media",'Mapa de Riesgos'!$AA$41="Leve"),CONCATENATE("R5C",'Mapa de Riesgos'!$O$41),"")</f>
        <v/>
      </c>
      <c r="L30" s="68" t="str">
        <f>IF(AND('Mapa de Riesgos'!$Y$42="Media",'Mapa de Riesgos'!$AA$42="Leve"),CONCATENATE("R5C",'Mapa de Riesgos'!$O$42),"")</f>
        <v/>
      </c>
      <c r="M30" s="68" t="str">
        <f>IF(AND('Mapa de Riesgos'!$Y$43="Media",'Mapa de Riesgos'!$AA$43="Leve"),CONCATENATE("R5C",'Mapa de Riesgos'!$O$43),"")</f>
        <v/>
      </c>
      <c r="N30" s="68" t="str">
        <f>IF(AND('Mapa de Riesgos'!$Y$44="Media",'Mapa de Riesgos'!$AA$44="Leve"),CONCATENATE("R5C",'Mapa de Riesgos'!$O$44),"")</f>
        <v/>
      </c>
      <c r="O30" s="69" t="str">
        <f>IF(AND('Mapa de Riesgos'!$Y$45="Media",'Mapa de Riesgos'!$AA$45="Leve"),CONCATENATE("R5C",'Mapa de Riesgos'!$O$45),"")</f>
        <v/>
      </c>
      <c r="P30" s="67" t="str">
        <f>IF(AND('Mapa de Riesgos'!$Y$39="Media",'Mapa de Riesgos'!$AA$39="Menor"),CONCATENATE("R5C",'Mapa de Riesgos'!$O$39),"")</f>
        <v/>
      </c>
      <c r="Q30" s="68" t="str">
        <f>IF(AND('Mapa de Riesgos'!$Y$41="Media",'Mapa de Riesgos'!$AA$41="Menor"),CONCATENATE("R5C",'Mapa de Riesgos'!$O$41),"")</f>
        <v/>
      </c>
      <c r="R30" s="68" t="str">
        <f>IF(AND('Mapa de Riesgos'!$Y$42="Media",'Mapa de Riesgos'!$AA$42="Menor"),CONCATENATE("R5C",'Mapa de Riesgos'!$O$42),"")</f>
        <v/>
      </c>
      <c r="S30" s="68" t="str">
        <f>IF(AND('Mapa de Riesgos'!$Y$43="Media",'Mapa de Riesgos'!$AA$43="Menor"),CONCATENATE("R5C",'Mapa de Riesgos'!$O$43),"")</f>
        <v/>
      </c>
      <c r="T30" s="68" t="str">
        <f>IF(AND('Mapa de Riesgos'!$Y$44="Media",'Mapa de Riesgos'!$AA$44="Menor"),CONCATENATE("R5C",'Mapa de Riesgos'!$O$44),"")</f>
        <v/>
      </c>
      <c r="U30" s="69" t="str">
        <f>IF(AND('Mapa de Riesgos'!$Y$45="Media",'Mapa de Riesgos'!$AA$45="Menor"),CONCATENATE("R5C",'Mapa de Riesgos'!$O$45),"")</f>
        <v/>
      </c>
      <c r="V30" s="67" t="str">
        <f>IF(AND('Mapa de Riesgos'!$Y$39="Media",'Mapa de Riesgos'!$AA$39="Moderado"),CONCATENATE("R5C",'Mapa de Riesgos'!$O$39),"")</f>
        <v/>
      </c>
      <c r="W30" s="68" t="str">
        <f>IF(AND('Mapa de Riesgos'!$Y$41="Media",'Mapa de Riesgos'!$AA$41="Moderado"),CONCATENATE("R5C",'Mapa de Riesgos'!$O$41),"")</f>
        <v/>
      </c>
      <c r="X30" s="68" t="str">
        <f>IF(AND('Mapa de Riesgos'!$Y$42="Media",'Mapa de Riesgos'!$AA$42="Moderado"),CONCATENATE("R5C",'Mapa de Riesgos'!$O$42),"")</f>
        <v/>
      </c>
      <c r="Y30" s="68" t="str">
        <f>IF(AND('Mapa de Riesgos'!$Y$43="Media",'Mapa de Riesgos'!$AA$43="Moderado"),CONCATENATE("R5C",'Mapa de Riesgos'!$O$43),"")</f>
        <v/>
      </c>
      <c r="Z30" s="68" t="str">
        <f>IF(AND('Mapa de Riesgos'!$Y$44="Media",'Mapa de Riesgos'!$AA$44="Moderado"),CONCATENATE("R5C",'Mapa de Riesgos'!$O$44),"")</f>
        <v/>
      </c>
      <c r="AA30" s="69" t="str">
        <f>IF(AND('Mapa de Riesgos'!$Y$45="Media",'Mapa de Riesgos'!$AA$45="Moderado"),CONCATENATE("R5C",'Mapa de Riesgos'!$O$45),"")</f>
        <v/>
      </c>
      <c r="AB30" s="52" t="str">
        <f>IF(AND('Mapa de Riesgos'!$Y$39="Media",'Mapa de Riesgos'!$AA$39="Mayor"),CONCATENATE("R5C",'Mapa de Riesgos'!$O$39),"")</f>
        <v/>
      </c>
      <c r="AC30" s="53" t="str">
        <f>IF(AND('Mapa de Riesgos'!$Y$41="Media",'Mapa de Riesgos'!$AA$41="Mayor"),CONCATENATE("R5C",'Mapa de Riesgos'!$O$41),"")</f>
        <v/>
      </c>
      <c r="AD30" s="53" t="str">
        <f>IF(AND('Mapa de Riesgos'!$Y$42="Media",'Mapa de Riesgos'!$AA$42="Mayor"),CONCATENATE("R5C",'Mapa de Riesgos'!$O$42),"")</f>
        <v/>
      </c>
      <c r="AE30" s="53" t="str">
        <f>IF(AND('Mapa de Riesgos'!$Y$43="Media",'Mapa de Riesgos'!$AA$43="Mayor"),CONCATENATE("R5C",'Mapa de Riesgos'!$O$43),"")</f>
        <v/>
      </c>
      <c r="AF30" s="53" t="str">
        <f>IF(AND('Mapa de Riesgos'!$Y$44="Media",'Mapa de Riesgos'!$AA$44="Mayor"),CONCATENATE("R5C",'Mapa de Riesgos'!$O$44),"")</f>
        <v/>
      </c>
      <c r="AG30" s="54" t="str">
        <f>IF(AND('Mapa de Riesgos'!$Y$45="Media",'Mapa de Riesgos'!$AA$45="Mayor"),CONCATENATE("R5C",'Mapa de Riesgos'!$O$45),"")</f>
        <v/>
      </c>
      <c r="AH30" s="55" t="str">
        <f>IF(AND('Mapa de Riesgos'!$Y$39="Media",'Mapa de Riesgos'!$AA$39="Catastrófico"),CONCATENATE("R5C",'Mapa de Riesgos'!$O$39),"")</f>
        <v/>
      </c>
      <c r="AI30" s="56" t="str">
        <f>IF(AND('Mapa de Riesgos'!$Y$41="Media",'Mapa de Riesgos'!$AA$41="Catastrófico"),CONCATENATE("R5C",'Mapa de Riesgos'!$O$41),"")</f>
        <v/>
      </c>
      <c r="AJ30" s="56" t="str">
        <f>IF(AND('Mapa de Riesgos'!$Y$42="Media",'Mapa de Riesgos'!$AA$42="Catastrófico"),CONCATENATE("R5C",'Mapa de Riesgos'!$O$42),"")</f>
        <v/>
      </c>
      <c r="AK30" s="56" t="str">
        <f>IF(AND('Mapa de Riesgos'!$Y$43="Media",'Mapa de Riesgos'!$AA$43="Catastrófico"),CONCATENATE("R5C",'Mapa de Riesgos'!$O$43),"")</f>
        <v/>
      </c>
      <c r="AL30" s="56" t="str">
        <f>IF(AND('Mapa de Riesgos'!$Y$44="Media",'Mapa de Riesgos'!$AA$44="Catastrófico"),CONCATENATE("R5C",'Mapa de Riesgos'!$O$44),"")</f>
        <v/>
      </c>
      <c r="AM30" s="57" t="str">
        <f>IF(AND('Mapa de Riesgos'!$Y$45="Media",'Mapa de Riesgos'!$AA$45="Catastrófico"),CONCATENATE("R5C",'Mapa de Riesgos'!$O$45),"")</f>
        <v/>
      </c>
      <c r="AN30" s="83"/>
      <c r="AO30" s="610"/>
      <c r="AP30" s="611"/>
      <c r="AQ30" s="611"/>
      <c r="AR30" s="611"/>
      <c r="AS30" s="611"/>
      <c r="AT30" s="612"/>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529"/>
      <c r="C31" s="529"/>
      <c r="D31" s="530"/>
      <c r="E31" s="570"/>
      <c r="F31" s="571"/>
      <c r="G31" s="571"/>
      <c r="H31" s="571"/>
      <c r="I31" s="572"/>
      <c r="J31" s="67" t="str">
        <f>IF(AND('Mapa de Riesgos'!$Y$46="Media",'Mapa de Riesgos'!$AA$46="Leve"),CONCATENATE("R6C",'Mapa de Riesgos'!$O$46),"")</f>
        <v/>
      </c>
      <c r="K31" s="68" t="str">
        <f>IF(AND('Mapa de Riesgos'!$Y$47="Media",'Mapa de Riesgos'!$AA$47="Leve"),CONCATENATE("R6C",'Mapa de Riesgos'!$O$47),"")</f>
        <v/>
      </c>
      <c r="L31" s="68" t="str">
        <f>IF(AND('Mapa de Riesgos'!$Y$48="Media",'Mapa de Riesgos'!$AA$48="Leve"),CONCATENATE("R6C",'Mapa de Riesgos'!$O$48),"")</f>
        <v/>
      </c>
      <c r="M31" s="68" t="str">
        <f>IF(AND('Mapa de Riesgos'!$Y$49="Media",'Mapa de Riesgos'!$AA$49="Leve"),CONCATENATE("R6C",'Mapa de Riesgos'!$O$49),"")</f>
        <v/>
      </c>
      <c r="N31" s="68" t="str">
        <f>IF(AND('Mapa de Riesgos'!$Y$50="Media",'Mapa de Riesgos'!$AA$50="Leve"),CONCATENATE("R6C",'Mapa de Riesgos'!$O$50),"")</f>
        <v/>
      </c>
      <c r="O31" s="69" t="str">
        <f>IF(AND('Mapa de Riesgos'!$Y$51="Media",'Mapa de Riesgos'!$AA$51="Leve"),CONCATENATE("R6C",'Mapa de Riesgos'!$O$51),"")</f>
        <v/>
      </c>
      <c r="P31" s="67" t="str">
        <f>IF(AND('Mapa de Riesgos'!$Y$46="Media",'Mapa de Riesgos'!$AA$46="Menor"),CONCATENATE("R6C",'Mapa de Riesgos'!$O$46),"")</f>
        <v/>
      </c>
      <c r="Q31" s="68" t="str">
        <f>IF(AND('Mapa de Riesgos'!$Y$47="Media",'Mapa de Riesgos'!$AA$47="Menor"),CONCATENATE("R6C",'Mapa de Riesgos'!$O$47),"")</f>
        <v/>
      </c>
      <c r="R31" s="68" t="str">
        <f>IF(AND('Mapa de Riesgos'!$Y$48="Media",'Mapa de Riesgos'!$AA$48="Menor"),CONCATENATE("R6C",'Mapa de Riesgos'!$O$48),"")</f>
        <v/>
      </c>
      <c r="S31" s="68" t="str">
        <f>IF(AND('Mapa de Riesgos'!$Y$49="Media",'Mapa de Riesgos'!$AA$49="Menor"),CONCATENATE("R6C",'Mapa de Riesgos'!$O$49),"")</f>
        <v/>
      </c>
      <c r="T31" s="68" t="str">
        <f>IF(AND('Mapa de Riesgos'!$Y$50="Media",'Mapa de Riesgos'!$AA$50="Menor"),CONCATENATE("R6C",'Mapa de Riesgos'!$O$50),"")</f>
        <v/>
      </c>
      <c r="U31" s="69" t="str">
        <f>IF(AND('Mapa de Riesgos'!$Y$51="Media",'Mapa de Riesgos'!$AA$51="Menor"),CONCATENATE("R6C",'Mapa de Riesgos'!$O$51),"")</f>
        <v/>
      </c>
      <c r="V31" s="67" t="str">
        <f>IF(AND('Mapa de Riesgos'!$Y$46="Media",'Mapa de Riesgos'!$AA$46="Moderado"),CONCATENATE("R6C",'Mapa de Riesgos'!$O$46),"")</f>
        <v/>
      </c>
      <c r="W31" s="68" t="str">
        <f>IF(AND('Mapa de Riesgos'!$Y$47="Media",'Mapa de Riesgos'!$AA$47="Moderado"),CONCATENATE("R6C",'Mapa de Riesgos'!$O$47),"")</f>
        <v/>
      </c>
      <c r="X31" s="68" t="str">
        <f>IF(AND('Mapa de Riesgos'!$Y$48="Media",'Mapa de Riesgos'!$AA$48="Moderado"),CONCATENATE("R6C",'Mapa de Riesgos'!$O$48),"")</f>
        <v/>
      </c>
      <c r="Y31" s="68" t="str">
        <f>IF(AND('Mapa de Riesgos'!$Y$49="Media",'Mapa de Riesgos'!$AA$49="Moderado"),CONCATENATE("R6C",'Mapa de Riesgos'!$O$49),"")</f>
        <v/>
      </c>
      <c r="Z31" s="68" t="str">
        <f>IF(AND('Mapa de Riesgos'!$Y$50="Media",'Mapa de Riesgos'!$AA$50="Moderado"),CONCATENATE("R6C",'Mapa de Riesgos'!$O$50),"")</f>
        <v/>
      </c>
      <c r="AA31" s="69" t="str">
        <f>IF(AND('Mapa de Riesgos'!$Y$51="Media",'Mapa de Riesgos'!$AA$51="Moderado"),CONCATENATE("R6C",'Mapa de Riesgos'!$O$51),"")</f>
        <v/>
      </c>
      <c r="AB31" s="52" t="str">
        <f>IF(AND('Mapa de Riesgos'!$Y$46="Media",'Mapa de Riesgos'!$AA$46="Mayor"),CONCATENATE("R6C",'Mapa de Riesgos'!$O$46),"")</f>
        <v/>
      </c>
      <c r="AC31" s="53" t="str">
        <f>IF(AND('Mapa de Riesgos'!$Y$47="Media",'Mapa de Riesgos'!$AA$47="Mayor"),CONCATENATE("R6C",'Mapa de Riesgos'!$O$47),"")</f>
        <v/>
      </c>
      <c r="AD31" s="53" t="str">
        <f>IF(AND('Mapa de Riesgos'!$Y$48="Media",'Mapa de Riesgos'!$AA$48="Mayor"),CONCATENATE("R6C",'Mapa de Riesgos'!$O$48),"")</f>
        <v/>
      </c>
      <c r="AE31" s="53" t="str">
        <f>IF(AND('Mapa de Riesgos'!$Y$49="Media",'Mapa de Riesgos'!$AA$49="Mayor"),CONCATENATE("R6C",'Mapa de Riesgos'!$O$49),"")</f>
        <v/>
      </c>
      <c r="AF31" s="53" t="str">
        <f>IF(AND('Mapa de Riesgos'!$Y$50="Media",'Mapa de Riesgos'!$AA$50="Mayor"),CONCATENATE("R6C",'Mapa de Riesgos'!$O$50),"")</f>
        <v/>
      </c>
      <c r="AG31" s="54" t="str">
        <f>IF(AND('Mapa de Riesgos'!$Y$51="Media",'Mapa de Riesgos'!$AA$51="Mayor"),CONCATENATE("R6C",'Mapa de Riesgos'!$O$51),"")</f>
        <v/>
      </c>
      <c r="AH31" s="55" t="str">
        <f>IF(AND('Mapa de Riesgos'!$Y$46="Media",'Mapa de Riesgos'!$AA$46="Catastrófico"),CONCATENATE("R6C",'Mapa de Riesgos'!$O$46),"")</f>
        <v/>
      </c>
      <c r="AI31" s="56" t="str">
        <f>IF(AND('Mapa de Riesgos'!$Y$47="Media",'Mapa de Riesgos'!$AA$47="Catastrófico"),CONCATENATE("R6C",'Mapa de Riesgos'!$O$47),"")</f>
        <v/>
      </c>
      <c r="AJ31" s="56" t="str">
        <f>IF(AND('Mapa de Riesgos'!$Y$48="Media",'Mapa de Riesgos'!$AA$48="Catastrófico"),CONCATENATE("R6C",'Mapa de Riesgos'!$O$48),"")</f>
        <v/>
      </c>
      <c r="AK31" s="56" t="str">
        <f>IF(AND('Mapa de Riesgos'!$Y$49="Media",'Mapa de Riesgos'!$AA$49="Catastrófico"),CONCATENATE("R6C",'Mapa de Riesgos'!$O$49),"")</f>
        <v/>
      </c>
      <c r="AL31" s="56" t="str">
        <f>IF(AND('Mapa de Riesgos'!$Y$50="Media",'Mapa de Riesgos'!$AA$50="Catastrófico"),CONCATENATE("R6C",'Mapa de Riesgos'!$O$50),"")</f>
        <v/>
      </c>
      <c r="AM31" s="57" t="str">
        <f>IF(AND('Mapa de Riesgos'!$Y$51="Media",'Mapa de Riesgos'!$AA$51="Catastrófico"),CONCATENATE("R6C",'Mapa de Riesgos'!$O$51),"")</f>
        <v/>
      </c>
      <c r="AN31" s="83"/>
      <c r="AO31" s="610"/>
      <c r="AP31" s="611"/>
      <c r="AQ31" s="611"/>
      <c r="AR31" s="611"/>
      <c r="AS31" s="611"/>
      <c r="AT31" s="612"/>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529"/>
      <c r="C32" s="529"/>
      <c r="D32" s="530"/>
      <c r="E32" s="570"/>
      <c r="F32" s="571"/>
      <c r="G32" s="571"/>
      <c r="H32" s="571"/>
      <c r="I32" s="572"/>
      <c r="J32" s="67" t="str">
        <f>IF(AND('Mapa de Riesgos'!$Y$52="Media",'Mapa de Riesgos'!$AA$52="Leve"),CONCATENATE("R7C",'Mapa de Riesgos'!$O$52),"")</f>
        <v/>
      </c>
      <c r="K32" s="68" t="str">
        <f>IF(AND('Mapa de Riesgos'!$Y$53="Media",'Mapa de Riesgos'!$AA$53="Leve"),CONCATENATE("R7C",'Mapa de Riesgos'!$O$53),"")</f>
        <v/>
      </c>
      <c r="L32" s="68" t="str">
        <f>IF(AND('Mapa de Riesgos'!$Y$54="Media",'Mapa de Riesgos'!$AA$54="Leve"),CONCATENATE("R7C",'Mapa de Riesgos'!$O$54),"")</f>
        <v/>
      </c>
      <c r="M32" s="68" t="str">
        <f>IF(AND('Mapa de Riesgos'!$Y$55="Media",'Mapa de Riesgos'!$AA$55="Leve"),CONCATENATE("R7C",'Mapa de Riesgos'!$O$55),"")</f>
        <v/>
      </c>
      <c r="N32" s="68" t="str">
        <f>IF(AND('Mapa de Riesgos'!$Y$56="Media",'Mapa de Riesgos'!$AA$56="Leve"),CONCATENATE("R7C",'Mapa de Riesgos'!$O$56),"")</f>
        <v/>
      </c>
      <c r="O32" s="69" t="str">
        <f>IF(AND('Mapa de Riesgos'!$Y$57="Media",'Mapa de Riesgos'!$AA$57="Leve"),CONCATENATE("R7C",'Mapa de Riesgos'!$O$57),"")</f>
        <v/>
      </c>
      <c r="P32" s="67" t="str">
        <f>IF(AND('Mapa de Riesgos'!$Y$52="Media",'Mapa de Riesgos'!$AA$52="Menor"),CONCATENATE("R7C",'Mapa de Riesgos'!$O$52),"")</f>
        <v/>
      </c>
      <c r="Q32" s="68" t="str">
        <f>IF(AND('Mapa de Riesgos'!$Y$53="Media",'Mapa de Riesgos'!$AA$53="Menor"),CONCATENATE("R7C",'Mapa de Riesgos'!$O$53),"")</f>
        <v/>
      </c>
      <c r="R32" s="68" t="str">
        <f>IF(AND('Mapa de Riesgos'!$Y$54="Media",'Mapa de Riesgos'!$AA$54="Menor"),CONCATENATE("R7C",'Mapa de Riesgos'!$O$54),"")</f>
        <v/>
      </c>
      <c r="S32" s="68" t="str">
        <f>IF(AND('Mapa de Riesgos'!$Y$55="Media",'Mapa de Riesgos'!$AA$55="Menor"),CONCATENATE("R7C",'Mapa de Riesgos'!$O$55),"")</f>
        <v/>
      </c>
      <c r="T32" s="68" t="str">
        <f>IF(AND('Mapa de Riesgos'!$Y$56="Media",'Mapa de Riesgos'!$AA$56="Menor"),CONCATENATE("R7C",'Mapa de Riesgos'!$O$56),"")</f>
        <v/>
      </c>
      <c r="U32" s="69" t="str">
        <f>IF(AND('Mapa de Riesgos'!$Y$57="Media",'Mapa de Riesgos'!$AA$57="Menor"),CONCATENATE("R7C",'Mapa de Riesgos'!$O$57),"")</f>
        <v/>
      </c>
      <c r="V32" s="67" t="str">
        <f>IF(AND('Mapa de Riesgos'!$Y$52="Media",'Mapa de Riesgos'!$AA$52="Moderado"),CONCATENATE("R7C",'Mapa de Riesgos'!$O$52),"")</f>
        <v/>
      </c>
      <c r="W32" s="68" t="str">
        <f>IF(AND('Mapa de Riesgos'!$Y$53="Media",'Mapa de Riesgos'!$AA$53="Moderado"),CONCATENATE("R7C",'Mapa de Riesgos'!$O$53),"")</f>
        <v/>
      </c>
      <c r="X32" s="68" t="str">
        <f>IF(AND('Mapa de Riesgos'!$Y$54="Media",'Mapa de Riesgos'!$AA$54="Moderado"),CONCATENATE("R7C",'Mapa de Riesgos'!$O$54),"")</f>
        <v/>
      </c>
      <c r="Y32" s="68" t="str">
        <f>IF(AND('Mapa de Riesgos'!$Y$55="Media",'Mapa de Riesgos'!$AA$55="Moderado"),CONCATENATE("R7C",'Mapa de Riesgos'!$O$55),"")</f>
        <v/>
      </c>
      <c r="Z32" s="68" t="str">
        <f>IF(AND('Mapa de Riesgos'!$Y$56="Media",'Mapa de Riesgos'!$AA$56="Moderado"),CONCATENATE("R7C",'Mapa de Riesgos'!$O$56),"")</f>
        <v/>
      </c>
      <c r="AA32" s="69" t="str">
        <f>IF(AND('Mapa de Riesgos'!$Y$57="Media",'Mapa de Riesgos'!$AA$57="Moderado"),CONCATENATE("R7C",'Mapa de Riesgos'!$O$57),"")</f>
        <v/>
      </c>
      <c r="AB32" s="52" t="str">
        <f>IF(AND('Mapa de Riesgos'!$Y$52="Media",'Mapa de Riesgos'!$AA$52="Mayor"),CONCATENATE("R7C",'Mapa de Riesgos'!$O$52),"")</f>
        <v/>
      </c>
      <c r="AC32" s="53" t="str">
        <f>IF(AND('Mapa de Riesgos'!$Y$53="Media",'Mapa de Riesgos'!$AA$53="Mayor"),CONCATENATE("R7C",'Mapa de Riesgos'!$O$53),"")</f>
        <v/>
      </c>
      <c r="AD32" s="53" t="str">
        <f>IF(AND('Mapa de Riesgos'!$Y$54="Media",'Mapa de Riesgos'!$AA$54="Mayor"),CONCATENATE("R7C",'Mapa de Riesgos'!$O$54),"")</f>
        <v/>
      </c>
      <c r="AE32" s="53" t="str">
        <f>IF(AND('Mapa de Riesgos'!$Y$55="Media",'Mapa de Riesgos'!$AA$55="Mayor"),CONCATENATE("R7C",'Mapa de Riesgos'!$O$55),"")</f>
        <v/>
      </c>
      <c r="AF32" s="53" t="str">
        <f>IF(AND('Mapa de Riesgos'!$Y$56="Media",'Mapa de Riesgos'!$AA$56="Mayor"),CONCATENATE("R7C",'Mapa de Riesgos'!$O$56),"")</f>
        <v/>
      </c>
      <c r="AG32" s="54" t="str">
        <f>IF(AND('Mapa de Riesgos'!$Y$57="Media",'Mapa de Riesgos'!$AA$57="Mayor"),CONCATENATE("R7C",'Mapa de Riesgos'!$O$57),"")</f>
        <v/>
      </c>
      <c r="AH32" s="55" t="str">
        <f>IF(AND('Mapa de Riesgos'!$Y$52="Media",'Mapa de Riesgos'!$AA$52="Catastrófico"),CONCATENATE("R7C",'Mapa de Riesgos'!$O$52),"")</f>
        <v/>
      </c>
      <c r="AI32" s="56" t="str">
        <f>IF(AND('Mapa de Riesgos'!$Y$53="Media",'Mapa de Riesgos'!$AA$53="Catastrófico"),CONCATENATE("R7C",'Mapa de Riesgos'!$O$53),"")</f>
        <v/>
      </c>
      <c r="AJ32" s="56" t="str">
        <f>IF(AND('Mapa de Riesgos'!$Y$54="Media",'Mapa de Riesgos'!$AA$54="Catastrófico"),CONCATENATE("R7C",'Mapa de Riesgos'!$O$54),"")</f>
        <v/>
      </c>
      <c r="AK32" s="56" t="str">
        <f>IF(AND('Mapa de Riesgos'!$Y$55="Media",'Mapa de Riesgos'!$AA$55="Catastrófico"),CONCATENATE("R7C",'Mapa de Riesgos'!$O$55),"")</f>
        <v/>
      </c>
      <c r="AL32" s="56" t="str">
        <f>IF(AND('Mapa de Riesgos'!$Y$56="Media",'Mapa de Riesgos'!$AA$56="Catastrófico"),CONCATENATE("R7C",'Mapa de Riesgos'!$O$56),"")</f>
        <v/>
      </c>
      <c r="AM32" s="57" t="str">
        <f>IF(AND('Mapa de Riesgos'!$Y$57="Media",'Mapa de Riesgos'!$AA$57="Catastrófico"),CONCATENATE("R7C",'Mapa de Riesgos'!$O$57),"")</f>
        <v/>
      </c>
      <c r="AN32" s="83"/>
      <c r="AO32" s="610"/>
      <c r="AP32" s="611"/>
      <c r="AQ32" s="611"/>
      <c r="AR32" s="611"/>
      <c r="AS32" s="611"/>
      <c r="AT32" s="612"/>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529"/>
      <c r="C33" s="529"/>
      <c r="D33" s="530"/>
      <c r="E33" s="570"/>
      <c r="F33" s="571"/>
      <c r="G33" s="571"/>
      <c r="H33" s="571"/>
      <c r="I33" s="572"/>
      <c r="J33" s="67" t="str">
        <f>IF(AND('Mapa de Riesgos'!$Y$58="Media",'Mapa de Riesgos'!$AA$58="Leve"),CONCATENATE("R8C",'Mapa de Riesgos'!$O$58),"")</f>
        <v/>
      </c>
      <c r="K33" s="68" t="str">
        <f>IF(AND('Mapa de Riesgos'!$Y$59="Media",'Mapa de Riesgos'!$AA$59="Leve"),CONCATENATE("R8C",'Mapa de Riesgos'!$O$59),"")</f>
        <v/>
      </c>
      <c r="L33" s="68" t="str">
        <f>IF(AND('Mapa de Riesgos'!$Y$60="Media",'Mapa de Riesgos'!$AA$60="Leve"),CONCATENATE("R8C",'Mapa de Riesgos'!$O$60),"")</f>
        <v/>
      </c>
      <c r="M33" s="68" t="str">
        <f>IF(AND('Mapa de Riesgos'!$Y$61="Media",'Mapa de Riesgos'!$AA$61="Leve"),CONCATENATE("R8C",'Mapa de Riesgos'!$O$61),"")</f>
        <v/>
      </c>
      <c r="N33" s="68" t="str">
        <f>IF(AND('Mapa de Riesgos'!$Y$62="Media",'Mapa de Riesgos'!$AA$62="Leve"),CONCATENATE("R8C",'Mapa de Riesgos'!$O$62),"")</f>
        <v/>
      </c>
      <c r="O33" s="69" t="str">
        <f>IF(AND('Mapa de Riesgos'!$Y$63="Media",'Mapa de Riesgos'!$AA$63="Leve"),CONCATENATE("R8C",'Mapa de Riesgos'!$O$63),"")</f>
        <v/>
      </c>
      <c r="P33" s="67" t="str">
        <f>IF(AND('Mapa de Riesgos'!$Y$58="Media",'Mapa de Riesgos'!$AA$58="Menor"),CONCATENATE("R8C",'Mapa de Riesgos'!$O$58),"")</f>
        <v/>
      </c>
      <c r="Q33" s="68" t="str">
        <f>IF(AND('Mapa de Riesgos'!$Y$59="Media",'Mapa de Riesgos'!$AA$59="Menor"),CONCATENATE("R8C",'Mapa de Riesgos'!$O$59),"")</f>
        <v/>
      </c>
      <c r="R33" s="68" t="str">
        <f>IF(AND('Mapa de Riesgos'!$Y$60="Media",'Mapa de Riesgos'!$AA$60="Menor"),CONCATENATE("R8C",'Mapa de Riesgos'!$O$60),"")</f>
        <v/>
      </c>
      <c r="S33" s="68" t="str">
        <f>IF(AND('Mapa de Riesgos'!$Y$61="Media",'Mapa de Riesgos'!$AA$61="Menor"),CONCATENATE("R8C",'Mapa de Riesgos'!$O$61),"")</f>
        <v/>
      </c>
      <c r="T33" s="68" t="str">
        <f>IF(AND('Mapa de Riesgos'!$Y$62="Media",'Mapa de Riesgos'!$AA$62="Menor"),CONCATENATE("R8C",'Mapa de Riesgos'!$O$62),"")</f>
        <v/>
      </c>
      <c r="U33" s="69" t="str">
        <f>IF(AND('Mapa de Riesgos'!$Y$63="Media",'Mapa de Riesgos'!$AA$63="Menor"),CONCATENATE("R8C",'Mapa de Riesgos'!$O$63),"")</f>
        <v/>
      </c>
      <c r="V33" s="67" t="str">
        <f>IF(AND('Mapa de Riesgos'!$Y$58="Media",'Mapa de Riesgos'!$AA$58="Moderado"),CONCATENATE("R8C",'Mapa de Riesgos'!$O$58),"")</f>
        <v/>
      </c>
      <c r="W33" s="68" t="str">
        <f>IF(AND('Mapa de Riesgos'!$Y$59="Media",'Mapa de Riesgos'!$AA$59="Moderado"),CONCATENATE("R8C",'Mapa de Riesgos'!$O$59),"")</f>
        <v/>
      </c>
      <c r="X33" s="68" t="str">
        <f>IF(AND('Mapa de Riesgos'!$Y$60="Media",'Mapa de Riesgos'!$AA$60="Moderado"),CONCATENATE("R8C",'Mapa de Riesgos'!$O$60),"")</f>
        <v/>
      </c>
      <c r="Y33" s="68" t="str">
        <f>IF(AND('Mapa de Riesgos'!$Y$61="Media",'Mapa de Riesgos'!$AA$61="Moderado"),CONCATENATE("R8C",'Mapa de Riesgos'!$O$61),"")</f>
        <v/>
      </c>
      <c r="Z33" s="68" t="str">
        <f>IF(AND('Mapa de Riesgos'!$Y$62="Media",'Mapa de Riesgos'!$AA$62="Moderado"),CONCATENATE("R8C",'Mapa de Riesgos'!$O$62),"")</f>
        <v/>
      </c>
      <c r="AA33" s="69" t="str">
        <f>IF(AND('Mapa de Riesgos'!$Y$63="Media",'Mapa de Riesgos'!$AA$63="Moderado"),CONCATENATE("R8C",'Mapa de Riesgos'!$O$63),"")</f>
        <v/>
      </c>
      <c r="AB33" s="52" t="str">
        <f>IF(AND('Mapa de Riesgos'!$Y$58="Media",'Mapa de Riesgos'!$AA$58="Mayor"),CONCATENATE("R8C",'Mapa de Riesgos'!$O$58),"")</f>
        <v/>
      </c>
      <c r="AC33" s="53" t="str">
        <f>IF(AND('Mapa de Riesgos'!$Y$59="Media",'Mapa de Riesgos'!$AA$59="Mayor"),CONCATENATE("R8C",'Mapa de Riesgos'!$O$59),"")</f>
        <v/>
      </c>
      <c r="AD33" s="53" t="str">
        <f>IF(AND('Mapa de Riesgos'!$Y$60="Media",'Mapa de Riesgos'!$AA$60="Mayor"),CONCATENATE("R8C",'Mapa de Riesgos'!$O$60),"")</f>
        <v/>
      </c>
      <c r="AE33" s="53" t="str">
        <f>IF(AND('Mapa de Riesgos'!$Y$61="Media",'Mapa de Riesgos'!$AA$61="Mayor"),CONCATENATE("R8C",'Mapa de Riesgos'!$O$61),"")</f>
        <v/>
      </c>
      <c r="AF33" s="53" t="str">
        <f>IF(AND('Mapa de Riesgos'!$Y$62="Media",'Mapa de Riesgos'!$AA$62="Mayor"),CONCATENATE("R8C",'Mapa de Riesgos'!$O$62),"")</f>
        <v/>
      </c>
      <c r="AG33" s="54" t="str">
        <f>IF(AND('Mapa de Riesgos'!$Y$63="Media",'Mapa de Riesgos'!$AA$63="Mayor"),CONCATENATE("R8C",'Mapa de Riesgos'!$O$63),"")</f>
        <v/>
      </c>
      <c r="AH33" s="55" t="str">
        <f>IF(AND('Mapa de Riesgos'!$Y$58="Media",'Mapa de Riesgos'!$AA$58="Catastrófico"),CONCATENATE("R8C",'Mapa de Riesgos'!$O$58),"")</f>
        <v/>
      </c>
      <c r="AI33" s="56" t="str">
        <f>IF(AND('Mapa de Riesgos'!$Y$59="Media",'Mapa de Riesgos'!$AA$59="Catastrófico"),CONCATENATE("R8C",'Mapa de Riesgos'!$O$59),"")</f>
        <v/>
      </c>
      <c r="AJ33" s="56" t="str">
        <f>IF(AND('Mapa de Riesgos'!$Y$60="Media",'Mapa de Riesgos'!$AA$60="Catastrófico"),CONCATENATE("R8C",'Mapa de Riesgos'!$O$60),"")</f>
        <v/>
      </c>
      <c r="AK33" s="56" t="str">
        <f>IF(AND('Mapa de Riesgos'!$Y$61="Media",'Mapa de Riesgos'!$AA$61="Catastrófico"),CONCATENATE("R8C",'Mapa de Riesgos'!$O$61),"")</f>
        <v/>
      </c>
      <c r="AL33" s="56" t="str">
        <f>IF(AND('Mapa de Riesgos'!$Y$62="Media",'Mapa de Riesgos'!$AA$62="Catastrófico"),CONCATENATE("R8C",'Mapa de Riesgos'!$O$62),"")</f>
        <v/>
      </c>
      <c r="AM33" s="57" t="str">
        <f>IF(AND('Mapa de Riesgos'!$Y$63="Media",'Mapa de Riesgos'!$AA$63="Catastrófico"),CONCATENATE("R8C",'Mapa de Riesgos'!$O$63),"")</f>
        <v/>
      </c>
      <c r="AN33" s="83"/>
      <c r="AO33" s="610"/>
      <c r="AP33" s="611"/>
      <c r="AQ33" s="611"/>
      <c r="AR33" s="611"/>
      <c r="AS33" s="611"/>
      <c r="AT33" s="612"/>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529"/>
      <c r="C34" s="529"/>
      <c r="D34" s="530"/>
      <c r="E34" s="570"/>
      <c r="F34" s="571"/>
      <c r="G34" s="571"/>
      <c r="H34" s="571"/>
      <c r="I34" s="572"/>
      <c r="J34" s="67" t="str">
        <f>IF(AND('Mapa de Riesgos'!$Y$64="Media",'Mapa de Riesgos'!$AA$64="Leve"),CONCATENATE("R9C",'Mapa de Riesgos'!$O$64),"")</f>
        <v/>
      </c>
      <c r="K34" s="68" t="str">
        <f>IF(AND('Mapa de Riesgos'!$Y$65="Media",'Mapa de Riesgos'!$AA$65="Leve"),CONCATENATE("R9C",'Mapa de Riesgos'!$O$65),"")</f>
        <v/>
      </c>
      <c r="L34" s="68" t="str">
        <f>IF(AND('Mapa de Riesgos'!$Y$66="Media",'Mapa de Riesgos'!$AA$66="Leve"),CONCATENATE("R9C",'Mapa de Riesgos'!$O$66),"")</f>
        <v/>
      </c>
      <c r="M34" s="68" t="str">
        <f>IF(AND('Mapa de Riesgos'!$Y$67="Media",'Mapa de Riesgos'!$AA$67="Leve"),CONCATENATE("R9C",'Mapa de Riesgos'!$O$67),"")</f>
        <v/>
      </c>
      <c r="N34" s="68" t="str">
        <f>IF(AND('Mapa de Riesgos'!$Y$68="Media",'Mapa de Riesgos'!$AA$68="Leve"),CONCATENATE("R9C",'Mapa de Riesgos'!$O$68),"")</f>
        <v/>
      </c>
      <c r="O34" s="69" t="str">
        <f>IF(AND('Mapa de Riesgos'!$Y$69="Media",'Mapa de Riesgos'!$AA$69="Leve"),CONCATENATE("R9C",'Mapa de Riesgos'!$O$69),"")</f>
        <v/>
      </c>
      <c r="P34" s="67" t="str">
        <f>IF(AND('Mapa de Riesgos'!$Y$64="Media",'Mapa de Riesgos'!$AA$64="Menor"),CONCATENATE("R9C",'Mapa de Riesgos'!$O$64),"")</f>
        <v/>
      </c>
      <c r="Q34" s="68" t="str">
        <f>IF(AND('Mapa de Riesgos'!$Y$65="Media",'Mapa de Riesgos'!$AA$65="Menor"),CONCATENATE("R9C",'Mapa de Riesgos'!$O$65),"")</f>
        <v/>
      </c>
      <c r="R34" s="68" t="str">
        <f>IF(AND('Mapa de Riesgos'!$Y$66="Media",'Mapa de Riesgos'!$AA$66="Menor"),CONCATENATE("R9C",'Mapa de Riesgos'!$O$66),"")</f>
        <v/>
      </c>
      <c r="S34" s="68" t="str">
        <f>IF(AND('Mapa de Riesgos'!$Y$67="Media",'Mapa de Riesgos'!$AA$67="Menor"),CONCATENATE("R9C",'Mapa de Riesgos'!$O$67),"")</f>
        <v/>
      </c>
      <c r="T34" s="68" t="str">
        <f>IF(AND('Mapa de Riesgos'!$Y$68="Media",'Mapa de Riesgos'!$AA$68="Menor"),CONCATENATE("R9C",'Mapa de Riesgos'!$O$68),"")</f>
        <v/>
      </c>
      <c r="U34" s="69" t="str">
        <f>IF(AND('Mapa de Riesgos'!$Y$69="Media",'Mapa de Riesgos'!$AA$69="Menor"),CONCATENATE("R9C",'Mapa de Riesgos'!$O$69),"")</f>
        <v/>
      </c>
      <c r="V34" s="67" t="str">
        <f>IF(AND('Mapa de Riesgos'!$Y$64="Media",'Mapa de Riesgos'!$AA$64="Moderado"),CONCATENATE("R9C",'Mapa de Riesgos'!$O$64),"")</f>
        <v/>
      </c>
      <c r="W34" s="68" t="str">
        <f>IF(AND('Mapa de Riesgos'!$Y$65="Media",'Mapa de Riesgos'!$AA$65="Moderado"),CONCATENATE("R9C",'Mapa de Riesgos'!$O$65),"")</f>
        <v/>
      </c>
      <c r="X34" s="68" t="str">
        <f>IF(AND('Mapa de Riesgos'!$Y$66="Media",'Mapa de Riesgos'!$AA$66="Moderado"),CONCATENATE("R9C",'Mapa de Riesgos'!$O$66),"")</f>
        <v/>
      </c>
      <c r="Y34" s="68" t="str">
        <f>IF(AND('Mapa de Riesgos'!$Y$67="Media",'Mapa de Riesgos'!$AA$67="Moderado"),CONCATENATE("R9C",'Mapa de Riesgos'!$O$67),"")</f>
        <v/>
      </c>
      <c r="Z34" s="68" t="str">
        <f>IF(AND('Mapa de Riesgos'!$Y$68="Media",'Mapa de Riesgos'!$AA$68="Moderado"),CONCATENATE("R9C",'Mapa de Riesgos'!$O$68),"")</f>
        <v/>
      </c>
      <c r="AA34" s="69" t="str">
        <f>IF(AND('Mapa de Riesgos'!$Y$69="Media",'Mapa de Riesgos'!$AA$69="Moderado"),CONCATENATE("R9C",'Mapa de Riesgos'!$O$69),"")</f>
        <v/>
      </c>
      <c r="AB34" s="52" t="str">
        <f>IF(AND('Mapa de Riesgos'!$Y$64="Media",'Mapa de Riesgos'!$AA$64="Mayor"),CONCATENATE("R9C",'Mapa de Riesgos'!$O$64),"")</f>
        <v/>
      </c>
      <c r="AC34" s="53" t="str">
        <f>IF(AND('Mapa de Riesgos'!$Y$65="Media",'Mapa de Riesgos'!$AA$65="Mayor"),CONCATENATE("R9C",'Mapa de Riesgos'!$O$65),"")</f>
        <v/>
      </c>
      <c r="AD34" s="53" t="str">
        <f>IF(AND('Mapa de Riesgos'!$Y$66="Media",'Mapa de Riesgos'!$AA$66="Mayor"),CONCATENATE("R9C",'Mapa de Riesgos'!$O$66),"")</f>
        <v/>
      </c>
      <c r="AE34" s="53" t="str">
        <f>IF(AND('Mapa de Riesgos'!$Y$67="Media",'Mapa de Riesgos'!$AA$67="Mayor"),CONCATENATE("R9C",'Mapa de Riesgos'!$O$67),"")</f>
        <v/>
      </c>
      <c r="AF34" s="53" t="str">
        <f>IF(AND('Mapa de Riesgos'!$Y$68="Media",'Mapa de Riesgos'!$AA$68="Mayor"),CONCATENATE("R9C",'Mapa de Riesgos'!$O$68),"")</f>
        <v/>
      </c>
      <c r="AG34" s="54" t="str">
        <f>IF(AND('Mapa de Riesgos'!$Y$69="Media",'Mapa de Riesgos'!$AA$69="Mayor"),CONCATENATE("R9C",'Mapa de Riesgos'!$O$69),"")</f>
        <v/>
      </c>
      <c r="AH34" s="55" t="str">
        <f>IF(AND('Mapa de Riesgos'!$Y$64="Media",'Mapa de Riesgos'!$AA$64="Catastrófico"),CONCATENATE("R9C",'Mapa de Riesgos'!$O$64),"")</f>
        <v/>
      </c>
      <c r="AI34" s="56" t="str">
        <f>IF(AND('Mapa de Riesgos'!$Y$65="Media",'Mapa de Riesgos'!$AA$65="Catastrófico"),CONCATENATE("R9C",'Mapa de Riesgos'!$O$65),"")</f>
        <v/>
      </c>
      <c r="AJ34" s="56" t="str">
        <f>IF(AND('Mapa de Riesgos'!$Y$66="Media",'Mapa de Riesgos'!$AA$66="Catastrófico"),CONCATENATE("R9C",'Mapa de Riesgos'!$O$66),"")</f>
        <v/>
      </c>
      <c r="AK34" s="56" t="str">
        <f>IF(AND('Mapa de Riesgos'!$Y$67="Media",'Mapa de Riesgos'!$AA$67="Catastrófico"),CONCATENATE("R9C",'Mapa de Riesgos'!$O$67),"")</f>
        <v/>
      </c>
      <c r="AL34" s="56" t="str">
        <f>IF(AND('Mapa de Riesgos'!$Y$68="Media",'Mapa de Riesgos'!$AA$68="Catastrófico"),CONCATENATE("R9C",'Mapa de Riesgos'!$O$68),"")</f>
        <v/>
      </c>
      <c r="AM34" s="57" t="str">
        <f>IF(AND('Mapa de Riesgos'!$Y$69="Media",'Mapa de Riesgos'!$AA$69="Catastrófico"),CONCATENATE("R9C",'Mapa de Riesgos'!$O$69),"")</f>
        <v/>
      </c>
      <c r="AN34" s="83"/>
      <c r="AO34" s="610"/>
      <c r="AP34" s="611"/>
      <c r="AQ34" s="611"/>
      <c r="AR34" s="611"/>
      <c r="AS34" s="611"/>
      <c r="AT34" s="612"/>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529"/>
      <c r="C35" s="529"/>
      <c r="D35" s="530"/>
      <c r="E35" s="573"/>
      <c r="F35" s="574"/>
      <c r="G35" s="574"/>
      <c r="H35" s="574"/>
      <c r="I35" s="575"/>
      <c r="J35" s="67" t="str">
        <f>IF(AND('Mapa de Riesgos'!$Y$70="Media",'Mapa de Riesgos'!$AA$70="Leve"),CONCATENATE("R10C",'Mapa de Riesgos'!$O$70),"")</f>
        <v/>
      </c>
      <c r="K35" s="68" t="str">
        <f>IF(AND('Mapa de Riesgos'!$Y$71="Media",'Mapa de Riesgos'!$AA$71="Leve"),CONCATENATE("R10C",'Mapa de Riesgos'!$O$71),"")</f>
        <v/>
      </c>
      <c r="L35" s="68" t="str">
        <f>IF(AND('Mapa de Riesgos'!$Y$72="Media",'Mapa de Riesgos'!$AA$72="Leve"),CONCATENATE("R10C",'Mapa de Riesgos'!$O$72),"")</f>
        <v/>
      </c>
      <c r="M35" s="68" t="str">
        <f>IF(AND('Mapa de Riesgos'!$Y$73="Media",'Mapa de Riesgos'!$AA$73="Leve"),CONCATENATE("R10C",'Mapa de Riesgos'!$O$73),"")</f>
        <v/>
      </c>
      <c r="N35" s="68" t="str">
        <f>IF(AND('Mapa de Riesgos'!$Y$74="Media",'Mapa de Riesgos'!$AA$74="Leve"),CONCATENATE("R10C",'Mapa de Riesgos'!$O$74),"")</f>
        <v/>
      </c>
      <c r="O35" s="69" t="str">
        <f>IF(AND('Mapa de Riesgos'!$Y$75="Media",'Mapa de Riesgos'!$AA$75="Leve"),CONCATENATE("R10C",'Mapa de Riesgos'!$O$75),"")</f>
        <v/>
      </c>
      <c r="P35" s="67" t="str">
        <f>IF(AND('Mapa de Riesgos'!$Y$70="Media",'Mapa de Riesgos'!$AA$70="Menor"),CONCATENATE("R10C",'Mapa de Riesgos'!$O$70),"")</f>
        <v/>
      </c>
      <c r="Q35" s="68" t="str">
        <f>IF(AND('Mapa de Riesgos'!$Y$71="Media",'Mapa de Riesgos'!$AA$71="Menor"),CONCATENATE("R10C",'Mapa de Riesgos'!$O$71),"")</f>
        <v/>
      </c>
      <c r="R35" s="68" t="str">
        <f>IF(AND('Mapa de Riesgos'!$Y$72="Media",'Mapa de Riesgos'!$AA$72="Menor"),CONCATENATE("R10C",'Mapa de Riesgos'!$O$72),"")</f>
        <v/>
      </c>
      <c r="S35" s="68" t="str">
        <f>IF(AND('Mapa de Riesgos'!$Y$73="Media",'Mapa de Riesgos'!$AA$73="Menor"),CONCATENATE("R10C",'Mapa de Riesgos'!$O$73),"")</f>
        <v/>
      </c>
      <c r="T35" s="68" t="str">
        <f>IF(AND('Mapa de Riesgos'!$Y$74="Media",'Mapa de Riesgos'!$AA$74="Menor"),CONCATENATE("R10C",'Mapa de Riesgos'!$O$74),"")</f>
        <v/>
      </c>
      <c r="U35" s="69" t="str">
        <f>IF(AND('Mapa de Riesgos'!$Y$75="Media",'Mapa de Riesgos'!$AA$75="Menor"),CONCATENATE("R10C",'Mapa de Riesgos'!$O$75),"")</f>
        <v/>
      </c>
      <c r="V35" s="67" t="str">
        <f>IF(AND('Mapa de Riesgos'!$Y$70="Media",'Mapa de Riesgos'!$AA$70="Moderado"),CONCATENATE("R10C",'Mapa de Riesgos'!$O$70),"")</f>
        <v/>
      </c>
      <c r="W35" s="68" t="str">
        <f>IF(AND('Mapa de Riesgos'!$Y$71="Media",'Mapa de Riesgos'!$AA$71="Moderado"),CONCATENATE("R10C",'Mapa de Riesgos'!$O$71),"")</f>
        <v/>
      </c>
      <c r="X35" s="68" t="str">
        <f>IF(AND('Mapa de Riesgos'!$Y$72="Media",'Mapa de Riesgos'!$AA$72="Moderado"),CONCATENATE("R10C",'Mapa de Riesgos'!$O$72),"")</f>
        <v/>
      </c>
      <c r="Y35" s="68" t="str">
        <f>IF(AND('Mapa de Riesgos'!$Y$73="Media",'Mapa de Riesgos'!$AA$73="Moderado"),CONCATENATE("R10C",'Mapa de Riesgos'!$O$73),"")</f>
        <v/>
      </c>
      <c r="Z35" s="68" t="str">
        <f>IF(AND('Mapa de Riesgos'!$Y$74="Media",'Mapa de Riesgos'!$AA$74="Moderado"),CONCATENATE("R10C",'Mapa de Riesgos'!$O$74),"")</f>
        <v/>
      </c>
      <c r="AA35" s="69" t="str">
        <f>IF(AND('Mapa de Riesgos'!$Y$75="Media",'Mapa de Riesgos'!$AA$75="Moderado"),CONCATENATE("R10C",'Mapa de Riesgos'!$O$75),"")</f>
        <v/>
      </c>
      <c r="AB35" s="58" t="str">
        <f>IF(AND('Mapa de Riesgos'!$Y$70="Media",'Mapa de Riesgos'!$AA$70="Mayor"),CONCATENATE("R10C",'Mapa de Riesgos'!$O$70),"")</f>
        <v/>
      </c>
      <c r="AC35" s="59" t="str">
        <f>IF(AND('Mapa de Riesgos'!$Y$71="Media",'Mapa de Riesgos'!$AA$71="Mayor"),CONCATENATE("R10C",'Mapa de Riesgos'!$O$71),"")</f>
        <v/>
      </c>
      <c r="AD35" s="59" t="str">
        <f>IF(AND('Mapa de Riesgos'!$Y$72="Media",'Mapa de Riesgos'!$AA$72="Mayor"),CONCATENATE("R10C",'Mapa de Riesgos'!$O$72),"")</f>
        <v/>
      </c>
      <c r="AE35" s="59" t="str">
        <f>IF(AND('Mapa de Riesgos'!$Y$73="Media",'Mapa de Riesgos'!$AA$73="Mayor"),CONCATENATE("R10C",'Mapa de Riesgos'!$O$73),"")</f>
        <v/>
      </c>
      <c r="AF35" s="59" t="str">
        <f>IF(AND('Mapa de Riesgos'!$Y$74="Media",'Mapa de Riesgos'!$AA$74="Mayor"),CONCATENATE("R10C",'Mapa de Riesgos'!$O$74),"")</f>
        <v/>
      </c>
      <c r="AG35" s="60" t="str">
        <f>IF(AND('Mapa de Riesgos'!$Y$75="Media",'Mapa de Riesgos'!$AA$75="Mayor"),CONCATENATE("R10C",'Mapa de Riesgos'!$O$75),"")</f>
        <v/>
      </c>
      <c r="AH35" s="61" t="str">
        <f>IF(AND('Mapa de Riesgos'!$Y$70="Media",'Mapa de Riesgos'!$AA$70="Catastrófico"),CONCATENATE("R10C",'Mapa de Riesgos'!$O$70),"")</f>
        <v/>
      </c>
      <c r="AI35" s="62" t="str">
        <f>IF(AND('Mapa de Riesgos'!$Y$71="Media",'Mapa de Riesgos'!$AA$71="Catastrófico"),CONCATENATE("R10C",'Mapa de Riesgos'!$O$71),"")</f>
        <v/>
      </c>
      <c r="AJ35" s="62" t="str">
        <f>IF(AND('Mapa de Riesgos'!$Y$72="Media",'Mapa de Riesgos'!$AA$72="Catastrófico"),CONCATENATE("R10C",'Mapa de Riesgos'!$O$72),"")</f>
        <v/>
      </c>
      <c r="AK35" s="62" t="str">
        <f>IF(AND('Mapa de Riesgos'!$Y$73="Media",'Mapa de Riesgos'!$AA$73="Catastrófico"),CONCATENATE("R10C",'Mapa de Riesgos'!$O$73),"")</f>
        <v/>
      </c>
      <c r="AL35" s="62" t="str">
        <f>IF(AND('Mapa de Riesgos'!$Y$74="Media",'Mapa de Riesgos'!$AA$74="Catastrófico"),CONCATENATE("R10C",'Mapa de Riesgos'!$O$74),"")</f>
        <v/>
      </c>
      <c r="AM35" s="63" t="str">
        <f>IF(AND('Mapa de Riesgos'!$Y$75="Media",'Mapa de Riesgos'!$AA$75="Catastrófico"),CONCATENATE("R10C",'Mapa de Riesgos'!$O$75),"")</f>
        <v/>
      </c>
      <c r="AN35" s="83"/>
      <c r="AO35" s="613"/>
      <c r="AP35" s="614"/>
      <c r="AQ35" s="614"/>
      <c r="AR35" s="614"/>
      <c r="AS35" s="614"/>
      <c r="AT35" s="615"/>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529"/>
      <c r="C36" s="529"/>
      <c r="D36" s="530"/>
      <c r="E36" s="567" t="s">
        <v>248</v>
      </c>
      <c r="F36" s="568"/>
      <c r="G36" s="568"/>
      <c r="H36" s="568"/>
      <c r="I36" s="568"/>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R1C1</v>
      </c>
      <c r="AC36" s="47" t="str">
        <f>IF(AND('Mapa de Riesgos'!$Y$13="Baja",'Mapa de Riesgos'!$AA$13="Mayor"),CONCATENATE("R1C",'Mapa de Riesgos'!$O$13),"")</f>
        <v>R1C2</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98" t="s">
        <v>249</v>
      </c>
      <c r="AP36" s="599"/>
      <c r="AQ36" s="599"/>
      <c r="AR36" s="599"/>
      <c r="AS36" s="599"/>
      <c r="AT36" s="600"/>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529"/>
      <c r="C37" s="529"/>
      <c r="D37" s="530"/>
      <c r="E37" s="586"/>
      <c r="F37" s="571"/>
      <c r="G37" s="571"/>
      <c r="H37" s="571"/>
      <c r="I37" s="571"/>
      <c r="J37" s="76" t="str">
        <f>IF(AND('Mapa de Riesgos'!$Y$18="Baja",'Mapa de Riesgos'!$AA$18="Leve"),CONCATENATE("R2C",'Mapa de Riesgos'!$O$18),"")</f>
        <v/>
      </c>
      <c r="K37" s="77" t="str">
        <f>IF(AND('Mapa de Riesgos'!$Y$20="Baja",'Mapa de Riesgos'!$AA$20="Leve"),CONCATENATE("R2C",'Mapa de Riesgos'!$O$20),"")</f>
        <v/>
      </c>
      <c r="L37" s="77" t="str">
        <f>IF(AND('Mapa de Riesgos'!$Y$21="Baja",'Mapa de Riesgos'!$AA$21="Leve"),CONCATENATE("R2C",'Mapa de Riesgos'!$O$21),"")</f>
        <v/>
      </c>
      <c r="M37" s="77" t="str">
        <f>IF(AND('Mapa de Riesgos'!$Y$22="Baja",'Mapa de Riesgos'!$AA$22="Leve"),CONCATENATE("R2C",'Mapa de Riesgos'!$O$22),"")</f>
        <v/>
      </c>
      <c r="N37" s="77" t="str">
        <f>IF(AND('Mapa de Riesgos'!$Y$23="Baja",'Mapa de Riesgos'!$AA$23="Leve"),CONCATENATE("R2C",'Mapa de Riesgos'!$O$23),"")</f>
        <v/>
      </c>
      <c r="O37" s="78" t="str">
        <f>IF(AND('Mapa de Riesgos'!$Y$24="Baja",'Mapa de Riesgos'!$AA$24="Leve"),CONCATENATE("R2C",'Mapa de Riesgos'!$O$24),"")</f>
        <v/>
      </c>
      <c r="P37" s="67" t="str">
        <f>IF(AND('Mapa de Riesgos'!$Y$18="Baja",'Mapa de Riesgos'!$AA$18="Menor"),CONCATENATE("R2C",'Mapa de Riesgos'!$O$18),"")</f>
        <v/>
      </c>
      <c r="Q37" s="68" t="str">
        <f>IF(AND('Mapa de Riesgos'!$Y$20="Baja",'Mapa de Riesgos'!$AA$20="Menor"),CONCATENATE("R2C",'Mapa de Riesgos'!$O$20),"")</f>
        <v/>
      </c>
      <c r="R37" s="68" t="str">
        <f>IF(AND('Mapa de Riesgos'!$Y$21="Baja",'Mapa de Riesgos'!$AA$21="Menor"),CONCATENATE("R2C",'Mapa de Riesgos'!$O$21),"")</f>
        <v/>
      </c>
      <c r="S37" s="68" t="str">
        <f>IF(AND('Mapa de Riesgos'!$Y$22="Baja",'Mapa de Riesgos'!$AA$22="Menor"),CONCATENATE("R2C",'Mapa de Riesgos'!$O$22),"")</f>
        <v/>
      </c>
      <c r="T37" s="68" t="str">
        <f>IF(AND('Mapa de Riesgos'!$Y$23="Baja",'Mapa de Riesgos'!$AA$23="Menor"),CONCATENATE("R2C",'Mapa de Riesgos'!$O$23),"")</f>
        <v/>
      </c>
      <c r="U37" s="69" t="str">
        <f>IF(AND('Mapa de Riesgos'!$Y$24="Baja",'Mapa de Riesgos'!$AA$24="Menor"),CONCATENATE("R2C",'Mapa de Riesgos'!$O$24),"")</f>
        <v/>
      </c>
      <c r="V37" s="67" t="str">
        <f>IF(AND('Mapa de Riesgos'!$Y$18="Baja",'Mapa de Riesgos'!$AA$18="Moderado"),CONCATENATE("R2C",'Mapa de Riesgos'!$O$18),"")</f>
        <v>R2C1</v>
      </c>
      <c r="W37" s="68" t="str">
        <f>IF(AND('Mapa de Riesgos'!$Y$20="Baja",'Mapa de Riesgos'!$AA$20="Moderado"),CONCATENATE("R2C",'Mapa de Riesgos'!$O$20),"")</f>
        <v/>
      </c>
      <c r="X37" s="68" t="str">
        <f>IF(AND('Mapa de Riesgos'!$Y$21="Baja",'Mapa de Riesgos'!$AA$21="Moderado"),CONCATENATE("R2C",'Mapa de Riesgos'!$O$21),"")</f>
        <v/>
      </c>
      <c r="Y37" s="68" t="str">
        <f>IF(AND('Mapa de Riesgos'!$Y$22="Baja",'Mapa de Riesgos'!$AA$22="Moderado"),CONCATENATE("R2C",'Mapa de Riesgos'!$O$22),"")</f>
        <v/>
      </c>
      <c r="Z37" s="68" t="str">
        <f>IF(AND('Mapa de Riesgos'!$Y$23="Baja",'Mapa de Riesgos'!$AA$23="Moderado"),CONCATENATE("R2C",'Mapa de Riesgos'!$O$23),"")</f>
        <v/>
      </c>
      <c r="AA37" s="69" t="str">
        <f>IF(AND('Mapa de Riesgos'!$Y$24="Baja",'Mapa de Riesgos'!$AA$24="Moderado"),CONCATENATE("R2C",'Mapa de Riesgos'!$O$24),"")</f>
        <v/>
      </c>
      <c r="AB37" s="52" t="str">
        <f>IF(AND('Mapa de Riesgos'!$Y$18="Baja",'Mapa de Riesgos'!$AA$18="Mayor"),CONCATENATE("R2C",'Mapa de Riesgos'!$O$18),"")</f>
        <v/>
      </c>
      <c r="AC37" s="53" t="str">
        <f>IF(AND('Mapa de Riesgos'!$Y$20="Baja",'Mapa de Riesgos'!$AA$20="Mayor"),CONCATENATE("R2C",'Mapa de Riesgos'!$O$20),"")</f>
        <v/>
      </c>
      <c r="AD37" s="53" t="str">
        <f>IF(AND('Mapa de Riesgos'!$Y$21="Baja",'Mapa de Riesgos'!$AA$21="Mayor"),CONCATENATE("R2C",'Mapa de Riesgos'!$O$21),"")</f>
        <v/>
      </c>
      <c r="AE37" s="53" t="str">
        <f>IF(AND('Mapa de Riesgos'!$Y$22="Baja",'Mapa de Riesgos'!$AA$22="Mayor"),CONCATENATE("R2C",'Mapa de Riesgos'!$O$22),"")</f>
        <v/>
      </c>
      <c r="AF37" s="53" t="str">
        <f>IF(AND('Mapa de Riesgos'!$Y$23="Baja",'Mapa de Riesgos'!$AA$23="Mayor"),CONCATENATE("R2C",'Mapa de Riesgos'!$O$23),"")</f>
        <v/>
      </c>
      <c r="AG37" s="54" t="str">
        <f>IF(AND('Mapa de Riesgos'!$Y$24="Baja",'Mapa de Riesgos'!$AA$24="Mayor"),CONCATENATE("R2C",'Mapa de Riesgos'!$O$24),"")</f>
        <v/>
      </c>
      <c r="AH37" s="55" t="str">
        <f>IF(AND('Mapa de Riesgos'!$Y$18="Baja",'Mapa de Riesgos'!$AA$18="Catastrófico"),CONCATENATE("R2C",'Mapa de Riesgos'!$O$18),"")</f>
        <v/>
      </c>
      <c r="AI37" s="56" t="str">
        <f>IF(AND('Mapa de Riesgos'!$Y$20="Baja",'Mapa de Riesgos'!$AA$20="Catastrófico"),CONCATENATE("R2C",'Mapa de Riesgos'!$O$20),"")</f>
        <v/>
      </c>
      <c r="AJ37" s="56" t="str">
        <f>IF(AND('Mapa de Riesgos'!$Y$21="Baja",'Mapa de Riesgos'!$AA$21="Catastrófico"),CONCATENATE("R2C",'Mapa de Riesgos'!$O$21),"")</f>
        <v/>
      </c>
      <c r="AK37" s="56" t="str">
        <f>IF(AND('Mapa de Riesgos'!$Y$22="Baja",'Mapa de Riesgos'!$AA$22="Catastrófico"),CONCATENATE("R2C",'Mapa de Riesgos'!$O$22),"")</f>
        <v/>
      </c>
      <c r="AL37" s="56" t="str">
        <f>IF(AND('Mapa de Riesgos'!$Y$23="Baja",'Mapa de Riesgos'!$AA$23="Catastrófico"),CONCATENATE("R2C",'Mapa de Riesgos'!$O$23),"")</f>
        <v/>
      </c>
      <c r="AM37" s="57" t="str">
        <f>IF(AND('Mapa de Riesgos'!$Y$24="Baja",'Mapa de Riesgos'!$AA$24="Catastrófico"),CONCATENATE("R2C",'Mapa de Riesgos'!$O$24),"")</f>
        <v/>
      </c>
      <c r="AN37" s="83"/>
      <c r="AO37" s="601"/>
      <c r="AP37" s="602"/>
      <c r="AQ37" s="602"/>
      <c r="AR37" s="602"/>
      <c r="AS37" s="602"/>
      <c r="AT37" s="60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529"/>
      <c r="C38" s="529"/>
      <c r="D38" s="530"/>
      <c r="E38" s="570"/>
      <c r="F38" s="571"/>
      <c r="G38" s="571"/>
      <c r="H38" s="571"/>
      <c r="I38" s="571"/>
      <c r="J38" s="76" t="str">
        <f>IF(AND('Mapa de Riesgos'!$Y$25="Baja",'Mapa de Riesgos'!$AA$25="Leve"),CONCATENATE("R3C",'Mapa de Riesgos'!$O$25),"")</f>
        <v/>
      </c>
      <c r="K38" s="77" t="str">
        <f>IF(AND('Mapa de Riesgos'!$Y$28="Baja",'Mapa de Riesgos'!$AA$28="Leve"),CONCATENATE("R3C",'Mapa de Riesgos'!$O$28),"")</f>
        <v/>
      </c>
      <c r="L38" s="77" t="str">
        <f>IF(AND('Mapa de Riesgos'!$Y$29="Baja",'Mapa de Riesgos'!$AA$29="Leve"),CONCATENATE("R3C",'Mapa de Riesgos'!$O$29),"")</f>
        <v/>
      </c>
      <c r="M38" s="77" t="str">
        <f>IF(AND('Mapa de Riesgos'!$Y$30="Baja",'Mapa de Riesgos'!$AA$30="Leve"),CONCATENATE("R3C",'Mapa de Riesgos'!$O$30),"")</f>
        <v/>
      </c>
      <c r="N38" s="77" t="str">
        <f>IF(AND('Mapa de Riesgos'!$Y$31="Baja",'Mapa de Riesgos'!$AA$31="Leve"),CONCATENATE("R3C",'Mapa de Riesgos'!$O$31),"")</f>
        <v/>
      </c>
      <c r="O38" s="78" t="str">
        <f>IF(AND('Mapa de Riesgos'!$Y$32="Baja",'Mapa de Riesgos'!$AA$32="Leve"),CONCATENATE("R3C",'Mapa de Riesgos'!$O$32),"")</f>
        <v/>
      </c>
      <c r="P38" s="67" t="str">
        <f>IF(AND('Mapa de Riesgos'!$Y$25="Baja",'Mapa de Riesgos'!$AA$25="Menor"),CONCATENATE("R3C",'Mapa de Riesgos'!$O$25),"")</f>
        <v/>
      </c>
      <c r="Q38" s="68" t="str">
        <f>IF(AND('Mapa de Riesgos'!$Y$28="Baja",'Mapa de Riesgos'!$AA$28="Menor"),CONCATENATE("R3C",'Mapa de Riesgos'!$O$28),"")</f>
        <v/>
      </c>
      <c r="R38" s="68" t="str">
        <f>IF(AND('Mapa de Riesgos'!$Y$29="Baja",'Mapa de Riesgos'!$AA$29="Menor"),CONCATENATE("R3C",'Mapa de Riesgos'!$O$29),"")</f>
        <v/>
      </c>
      <c r="S38" s="68" t="str">
        <f>IF(AND('Mapa de Riesgos'!$Y$30="Baja",'Mapa de Riesgos'!$AA$30="Menor"),CONCATENATE("R3C",'Mapa de Riesgos'!$O$30),"")</f>
        <v/>
      </c>
      <c r="T38" s="68" t="str">
        <f>IF(AND('Mapa de Riesgos'!$Y$31="Baja",'Mapa de Riesgos'!$AA$31="Menor"),CONCATENATE("R3C",'Mapa de Riesgos'!$O$31),"")</f>
        <v/>
      </c>
      <c r="U38" s="69" t="str">
        <f>IF(AND('Mapa de Riesgos'!$Y$32="Baja",'Mapa de Riesgos'!$AA$32="Menor"),CONCATENATE("R3C",'Mapa de Riesgos'!$O$32),"")</f>
        <v/>
      </c>
      <c r="V38" s="67" t="str">
        <f>IF(AND('Mapa de Riesgos'!$Y$25="Baja",'Mapa de Riesgos'!$AA$25="Moderado"),CONCATENATE("R3C",'Mapa de Riesgos'!$O$25),"")</f>
        <v/>
      </c>
      <c r="W38" s="68" t="str">
        <f>IF(AND('Mapa de Riesgos'!$Y$28="Baja",'Mapa de Riesgos'!$AA$28="Moderado"),CONCATENATE("R3C",'Mapa de Riesgos'!$O$28),"")</f>
        <v/>
      </c>
      <c r="X38" s="68" t="str">
        <f>IF(AND('Mapa de Riesgos'!$Y$29="Baja",'Mapa de Riesgos'!$AA$29="Moderado"),CONCATENATE("R3C",'Mapa de Riesgos'!$O$29),"")</f>
        <v/>
      </c>
      <c r="Y38" s="68" t="str">
        <f>IF(AND('Mapa de Riesgos'!$Y$30="Baja",'Mapa de Riesgos'!$AA$30="Moderado"),CONCATENATE("R3C",'Mapa de Riesgos'!$O$30),"")</f>
        <v/>
      </c>
      <c r="Z38" s="68" t="str">
        <f>IF(AND('Mapa de Riesgos'!$Y$31="Baja",'Mapa de Riesgos'!$AA$31="Moderado"),CONCATENATE("R3C",'Mapa de Riesgos'!$O$31),"")</f>
        <v/>
      </c>
      <c r="AA38" s="69" t="str">
        <f>IF(AND('Mapa de Riesgos'!$Y$32="Baja",'Mapa de Riesgos'!$AA$32="Moderado"),CONCATENATE("R3C",'Mapa de Riesgos'!$O$32),"")</f>
        <v/>
      </c>
      <c r="AB38" s="52" t="str">
        <f>IF(AND('Mapa de Riesgos'!$Y$25="Baja",'Mapa de Riesgos'!$AA$25="Mayor"),CONCATENATE("R3C",'Mapa de Riesgos'!$O$25),"")</f>
        <v>R3C1</v>
      </c>
      <c r="AC38" s="53" t="str">
        <f>IF(AND('Mapa de Riesgos'!$Y$28="Baja",'Mapa de Riesgos'!$AA$28="Mayor"),CONCATENATE("R3C",'Mapa de Riesgos'!$O$28),"")</f>
        <v/>
      </c>
      <c r="AD38" s="53" t="str">
        <f>IF(AND('Mapa de Riesgos'!$Y$29="Baja",'Mapa de Riesgos'!$AA$29="Mayor"),CONCATENATE("R3C",'Mapa de Riesgos'!$O$29),"")</f>
        <v/>
      </c>
      <c r="AE38" s="53" t="str">
        <f>IF(AND('Mapa de Riesgos'!$Y$30="Baja",'Mapa de Riesgos'!$AA$30="Mayor"),CONCATENATE("R3C",'Mapa de Riesgos'!$O$30),"")</f>
        <v/>
      </c>
      <c r="AF38" s="53" t="str">
        <f>IF(AND('Mapa de Riesgos'!$Y$31="Baja",'Mapa de Riesgos'!$AA$31="Mayor"),CONCATENATE("R3C",'Mapa de Riesgos'!$O$31),"")</f>
        <v/>
      </c>
      <c r="AG38" s="54" t="str">
        <f>IF(AND('Mapa de Riesgos'!$Y$32="Baja",'Mapa de Riesgos'!$AA$32="Mayor"),CONCATENATE("R3C",'Mapa de Riesgos'!$O$32),"")</f>
        <v/>
      </c>
      <c r="AH38" s="55" t="str">
        <f>IF(AND('Mapa de Riesgos'!$Y$25="Baja",'Mapa de Riesgos'!$AA$25="Catastrófico"),CONCATENATE("R3C",'Mapa de Riesgos'!$O$25),"")</f>
        <v/>
      </c>
      <c r="AI38" s="56" t="str">
        <f>IF(AND('Mapa de Riesgos'!$Y$28="Baja",'Mapa de Riesgos'!$AA$28="Catastrófico"),CONCATENATE("R3C",'Mapa de Riesgos'!$O$28),"")</f>
        <v/>
      </c>
      <c r="AJ38" s="56" t="str">
        <f>IF(AND('Mapa de Riesgos'!$Y$29="Baja",'Mapa de Riesgos'!$AA$29="Catastrófico"),CONCATENATE("R3C",'Mapa de Riesgos'!$O$29),"")</f>
        <v/>
      </c>
      <c r="AK38" s="56" t="str">
        <f>IF(AND('Mapa de Riesgos'!$Y$30="Baja",'Mapa de Riesgos'!$AA$30="Catastrófico"),CONCATENATE("R3C",'Mapa de Riesgos'!$O$30),"")</f>
        <v/>
      </c>
      <c r="AL38" s="56" t="str">
        <f>IF(AND('Mapa de Riesgos'!$Y$31="Baja",'Mapa de Riesgos'!$AA$31="Catastrófico"),CONCATENATE("R3C",'Mapa de Riesgos'!$O$31),"")</f>
        <v/>
      </c>
      <c r="AM38" s="57" t="str">
        <f>IF(AND('Mapa de Riesgos'!$Y$32="Baja",'Mapa de Riesgos'!$AA$32="Catastrófico"),CONCATENATE("R3C",'Mapa de Riesgos'!$O$32),"")</f>
        <v/>
      </c>
      <c r="AN38" s="83"/>
      <c r="AO38" s="601"/>
      <c r="AP38" s="602"/>
      <c r="AQ38" s="602"/>
      <c r="AR38" s="602"/>
      <c r="AS38" s="602"/>
      <c r="AT38" s="60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529"/>
      <c r="C39" s="529"/>
      <c r="D39" s="530"/>
      <c r="E39" s="570"/>
      <c r="F39" s="571"/>
      <c r="G39" s="571"/>
      <c r="H39" s="571"/>
      <c r="I39" s="571"/>
      <c r="J39" s="76" t="str">
        <f>IF(AND('Mapa de Riesgos'!$Y$33="Baja",'Mapa de Riesgos'!$AA$33="Leve"),CONCATENATE("R4C",'Mapa de Riesgos'!$O$33),"")</f>
        <v/>
      </c>
      <c r="K39" s="77" t="str">
        <f>IF(AND('Mapa de Riesgos'!$Y$34="Baja",'Mapa de Riesgos'!$AA$34="Leve"),CONCATENATE("R4C",'Mapa de Riesgos'!$O$34),"")</f>
        <v/>
      </c>
      <c r="L39" s="77" t="str">
        <f>IF(AND('Mapa de Riesgos'!$Y$35="Baja",'Mapa de Riesgos'!$AA$35="Leve"),CONCATENATE("R4C",'Mapa de Riesgos'!$O$35),"")</f>
        <v/>
      </c>
      <c r="M39" s="77" t="str">
        <f>IF(AND('Mapa de Riesgos'!$Y$36="Baja",'Mapa de Riesgos'!$AA$36="Leve"),CONCATENATE("R4C",'Mapa de Riesgos'!$O$36),"")</f>
        <v/>
      </c>
      <c r="N39" s="77" t="str">
        <f>IF(AND('Mapa de Riesgos'!$Y$37="Baja",'Mapa de Riesgos'!$AA$37="Leve"),CONCATENATE("R4C",'Mapa de Riesgos'!$O$37),"")</f>
        <v/>
      </c>
      <c r="O39" s="78" t="str">
        <f>IF(AND('Mapa de Riesgos'!$Y$38="Baja",'Mapa de Riesgos'!$AA$38="Leve"),CONCATENATE("R4C",'Mapa de Riesgos'!$O$38),"")</f>
        <v/>
      </c>
      <c r="P39" s="67" t="str">
        <f>IF(AND('Mapa de Riesgos'!$Y$33="Baja",'Mapa de Riesgos'!$AA$33="Menor"),CONCATENATE("R4C",'Mapa de Riesgos'!$O$33),"")</f>
        <v/>
      </c>
      <c r="Q39" s="68" t="str">
        <f>IF(AND('Mapa de Riesgos'!$Y$34="Baja",'Mapa de Riesgos'!$AA$34="Menor"),CONCATENATE("R4C",'Mapa de Riesgos'!$O$34),"")</f>
        <v/>
      </c>
      <c r="R39" s="68" t="str">
        <f>IF(AND('Mapa de Riesgos'!$Y$35="Baja",'Mapa de Riesgos'!$AA$35="Menor"),CONCATENATE("R4C",'Mapa de Riesgos'!$O$35),"")</f>
        <v/>
      </c>
      <c r="S39" s="68" t="str">
        <f>IF(AND('Mapa de Riesgos'!$Y$36="Baja",'Mapa de Riesgos'!$AA$36="Menor"),CONCATENATE("R4C",'Mapa de Riesgos'!$O$36),"")</f>
        <v/>
      </c>
      <c r="T39" s="68" t="str">
        <f>IF(AND('Mapa de Riesgos'!$Y$37="Baja",'Mapa de Riesgos'!$AA$37="Menor"),CONCATENATE("R4C",'Mapa de Riesgos'!$O$37),"")</f>
        <v/>
      </c>
      <c r="U39" s="69" t="str">
        <f>IF(AND('Mapa de Riesgos'!$Y$38="Baja",'Mapa de Riesgos'!$AA$38="Menor"),CONCATENATE("R4C",'Mapa de Riesgos'!$O$38),"")</f>
        <v/>
      </c>
      <c r="V39" s="67" t="str">
        <f>IF(AND('Mapa de Riesgos'!$Y$33="Baja",'Mapa de Riesgos'!$AA$33="Moderado"),CONCATENATE("R4C",'Mapa de Riesgos'!$O$33),"")</f>
        <v>R4C1</v>
      </c>
      <c r="W39" s="68" t="str">
        <f>IF(AND('Mapa de Riesgos'!$Y$34="Baja",'Mapa de Riesgos'!$AA$34="Moderado"),CONCATENATE("R4C",'Mapa de Riesgos'!$O$34),"")</f>
        <v/>
      </c>
      <c r="X39" s="68" t="str">
        <f>IF(AND('Mapa de Riesgos'!$Y$35="Baja",'Mapa de Riesgos'!$AA$35="Moderado"),CONCATENATE("R4C",'Mapa de Riesgos'!$O$35),"")</f>
        <v/>
      </c>
      <c r="Y39" s="68" t="str">
        <f>IF(AND('Mapa de Riesgos'!$Y$36="Baja",'Mapa de Riesgos'!$AA$36="Moderado"),CONCATENATE("R4C",'Mapa de Riesgos'!$O$36),"")</f>
        <v/>
      </c>
      <c r="Z39" s="68" t="str">
        <f>IF(AND('Mapa de Riesgos'!$Y$37="Baja",'Mapa de Riesgos'!$AA$37="Moderado"),CONCATENATE("R4C",'Mapa de Riesgos'!$O$37),"")</f>
        <v/>
      </c>
      <c r="AA39" s="69" t="str">
        <f>IF(AND('Mapa de Riesgos'!$Y$38="Baja",'Mapa de Riesgos'!$AA$38="Moderado"),CONCATENATE("R4C",'Mapa de Riesgos'!$O$38),"")</f>
        <v/>
      </c>
      <c r="AB39" s="52" t="str">
        <f>IF(AND('Mapa de Riesgos'!$Y$33="Baja",'Mapa de Riesgos'!$AA$33="Mayor"),CONCATENATE("R4C",'Mapa de Riesgos'!$O$33),"")</f>
        <v/>
      </c>
      <c r="AC39" s="53" t="str">
        <f>IF(AND('Mapa de Riesgos'!$Y$34="Baja",'Mapa de Riesgos'!$AA$34="Mayor"),CONCATENATE("R4C",'Mapa de Riesgos'!$O$34),"")</f>
        <v/>
      </c>
      <c r="AD39" s="53" t="str">
        <f>IF(AND('Mapa de Riesgos'!$Y$35="Baja",'Mapa de Riesgos'!$AA$35="Mayor"),CONCATENATE("R4C",'Mapa de Riesgos'!$O$35),"")</f>
        <v/>
      </c>
      <c r="AE39" s="53" t="str">
        <f>IF(AND('Mapa de Riesgos'!$Y$36="Baja",'Mapa de Riesgos'!$AA$36="Mayor"),CONCATENATE("R4C",'Mapa de Riesgos'!$O$36),"")</f>
        <v/>
      </c>
      <c r="AF39" s="53" t="str">
        <f>IF(AND('Mapa de Riesgos'!$Y$37="Baja",'Mapa de Riesgos'!$AA$37="Mayor"),CONCATENATE("R4C",'Mapa de Riesgos'!$O$37),"")</f>
        <v/>
      </c>
      <c r="AG39" s="54" t="str">
        <f>IF(AND('Mapa de Riesgos'!$Y$38="Baja",'Mapa de Riesgos'!$AA$38="Mayor"),CONCATENATE("R4C",'Mapa de Riesgos'!$O$38),"")</f>
        <v/>
      </c>
      <c r="AH39" s="55" t="str">
        <f>IF(AND('Mapa de Riesgos'!$Y$33="Baja",'Mapa de Riesgos'!$AA$33="Catastrófico"),CONCATENATE("R4C",'Mapa de Riesgos'!$O$33),"")</f>
        <v/>
      </c>
      <c r="AI39" s="56" t="str">
        <f>IF(AND('Mapa de Riesgos'!$Y$34="Baja",'Mapa de Riesgos'!$AA$34="Catastrófico"),CONCATENATE("R4C",'Mapa de Riesgos'!$O$34),"")</f>
        <v/>
      </c>
      <c r="AJ39" s="56" t="str">
        <f>IF(AND('Mapa de Riesgos'!$Y$35="Baja",'Mapa de Riesgos'!$AA$35="Catastrófico"),CONCATENATE("R4C",'Mapa de Riesgos'!$O$35),"")</f>
        <v/>
      </c>
      <c r="AK39" s="56" t="str">
        <f>IF(AND('Mapa de Riesgos'!$Y$36="Baja",'Mapa de Riesgos'!$AA$36="Catastrófico"),CONCATENATE("R4C",'Mapa de Riesgos'!$O$36),"")</f>
        <v/>
      </c>
      <c r="AL39" s="56" t="str">
        <f>IF(AND('Mapa de Riesgos'!$Y$37="Baja",'Mapa de Riesgos'!$AA$37="Catastrófico"),CONCATENATE("R4C",'Mapa de Riesgos'!$O$37),"")</f>
        <v/>
      </c>
      <c r="AM39" s="57" t="str">
        <f>IF(AND('Mapa de Riesgos'!$Y$38="Baja",'Mapa de Riesgos'!$AA$38="Catastrófico"),CONCATENATE("R4C",'Mapa de Riesgos'!$O$38),"")</f>
        <v/>
      </c>
      <c r="AN39" s="83"/>
      <c r="AO39" s="601"/>
      <c r="AP39" s="602"/>
      <c r="AQ39" s="602"/>
      <c r="AR39" s="602"/>
      <c r="AS39" s="602"/>
      <c r="AT39" s="60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529"/>
      <c r="C40" s="529"/>
      <c r="D40" s="530"/>
      <c r="E40" s="570"/>
      <c r="F40" s="571"/>
      <c r="G40" s="571"/>
      <c r="H40" s="571"/>
      <c r="I40" s="571"/>
      <c r="J40" s="76" t="str">
        <f>IF(AND('Mapa de Riesgos'!$Y$39="Baja",'Mapa de Riesgos'!$AA$39="Leve"),CONCATENATE("R5C",'Mapa de Riesgos'!$O$39),"")</f>
        <v/>
      </c>
      <c r="K40" s="77" t="str">
        <f>IF(AND('Mapa de Riesgos'!$Y$41="Baja",'Mapa de Riesgos'!$AA$41="Leve"),CONCATENATE("R5C",'Mapa de Riesgos'!$O$41),"")</f>
        <v/>
      </c>
      <c r="L40" s="77" t="str">
        <f>IF(AND('Mapa de Riesgos'!$Y$42="Baja",'Mapa de Riesgos'!$AA$42="Leve"),CONCATENATE("R5C",'Mapa de Riesgos'!$O$42),"")</f>
        <v/>
      </c>
      <c r="M40" s="77" t="str">
        <f>IF(AND('Mapa de Riesgos'!$Y$43="Baja",'Mapa de Riesgos'!$AA$43="Leve"),CONCATENATE("R5C",'Mapa de Riesgos'!$O$43),"")</f>
        <v/>
      </c>
      <c r="N40" s="77" t="str">
        <f>IF(AND('Mapa de Riesgos'!$Y$44="Baja",'Mapa de Riesgos'!$AA$44="Leve"),CONCATENATE("R5C",'Mapa de Riesgos'!$O$44),"")</f>
        <v/>
      </c>
      <c r="O40" s="78" t="str">
        <f>IF(AND('Mapa de Riesgos'!$Y$45="Baja",'Mapa de Riesgos'!$AA$45="Leve"),CONCATENATE("R5C",'Mapa de Riesgos'!$O$45),"")</f>
        <v/>
      </c>
      <c r="P40" s="67" t="str">
        <f>IF(AND('Mapa de Riesgos'!$Y$39="Baja",'Mapa de Riesgos'!$AA$39="Menor"),CONCATENATE("R5C",'Mapa de Riesgos'!$O$39),"")</f>
        <v/>
      </c>
      <c r="Q40" s="68" t="str">
        <f>IF(AND('Mapa de Riesgos'!$Y$41="Baja",'Mapa de Riesgos'!$AA$41="Menor"),CONCATENATE("R5C",'Mapa de Riesgos'!$O$41),"")</f>
        <v/>
      </c>
      <c r="R40" s="68" t="str">
        <f>IF(AND('Mapa de Riesgos'!$Y$42="Baja",'Mapa de Riesgos'!$AA$42="Menor"),CONCATENATE("R5C",'Mapa de Riesgos'!$O$42),"")</f>
        <v/>
      </c>
      <c r="S40" s="68" t="str">
        <f>IF(AND('Mapa de Riesgos'!$Y$43="Baja",'Mapa de Riesgos'!$AA$43="Menor"),CONCATENATE("R5C",'Mapa de Riesgos'!$O$43),"")</f>
        <v/>
      </c>
      <c r="T40" s="68" t="str">
        <f>IF(AND('Mapa de Riesgos'!$Y$44="Baja",'Mapa de Riesgos'!$AA$44="Menor"),CONCATENATE("R5C",'Mapa de Riesgos'!$O$44),"")</f>
        <v/>
      </c>
      <c r="U40" s="69" t="str">
        <f>IF(AND('Mapa de Riesgos'!$Y$45="Baja",'Mapa de Riesgos'!$AA$45="Menor"),CONCATENATE("R5C",'Mapa de Riesgos'!$O$45),"")</f>
        <v/>
      </c>
      <c r="V40" s="67" t="str">
        <f>IF(AND('Mapa de Riesgos'!$Y$39="Baja",'Mapa de Riesgos'!$AA$39="Moderado"),CONCATENATE("R5C",'Mapa de Riesgos'!$O$39),"")</f>
        <v/>
      </c>
      <c r="W40" s="68" t="str">
        <f>IF(AND('Mapa de Riesgos'!$Y$41="Baja",'Mapa de Riesgos'!$AA$41="Moderado"),CONCATENATE("R5C",'Mapa de Riesgos'!$O$41),"")</f>
        <v/>
      </c>
      <c r="X40" s="68" t="str">
        <f>IF(AND('Mapa de Riesgos'!$Y$42="Baja",'Mapa de Riesgos'!$AA$42="Moderado"),CONCATENATE("R5C",'Mapa de Riesgos'!$O$42),"")</f>
        <v/>
      </c>
      <c r="Y40" s="68" t="str">
        <f>IF(AND('Mapa de Riesgos'!$Y$43="Baja",'Mapa de Riesgos'!$AA$43="Moderado"),CONCATENATE("R5C",'Mapa de Riesgos'!$O$43),"")</f>
        <v/>
      </c>
      <c r="Z40" s="68" t="str">
        <f>IF(AND('Mapa de Riesgos'!$Y$44="Baja",'Mapa de Riesgos'!$AA$44="Moderado"),CONCATENATE("R5C",'Mapa de Riesgos'!$O$44),"")</f>
        <v/>
      </c>
      <c r="AA40" s="69" t="str">
        <f>IF(AND('Mapa de Riesgos'!$Y$45="Baja",'Mapa de Riesgos'!$AA$45="Moderado"),CONCATENATE("R5C",'Mapa de Riesgos'!$O$45),"")</f>
        <v/>
      </c>
      <c r="AB40" s="52" t="str">
        <f>IF(AND('Mapa de Riesgos'!$Y$39="Baja",'Mapa de Riesgos'!$AA$39="Mayor"),CONCATENATE("R5C",'Mapa de Riesgos'!$O$39),"")</f>
        <v/>
      </c>
      <c r="AC40" s="53" t="str">
        <f>IF(AND('Mapa de Riesgos'!$Y$41="Baja",'Mapa de Riesgos'!$AA$41="Mayor"),CONCATENATE("R5C",'Mapa de Riesgos'!$O$41),"")</f>
        <v/>
      </c>
      <c r="AD40" s="53" t="str">
        <f>IF(AND('Mapa de Riesgos'!$Y$42="Baja",'Mapa de Riesgos'!$AA$42="Mayor"),CONCATENATE("R5C",'Mapa de Riesgos'!$O$42),"")</f>
        <v/>
      </c>
      <c r="AE40" s="53" t="str">
        <f>IF(AND('Mapa de Riesgos'!$Y$43="Baja",'Mapa de Riesgos'!$AA$43="Mayor"),CONCATENATE("R5C",'Mapa de Riesgos'!$O$43),"")</f>
        <v/>
      </c>
      <c r="AF40" s="53" t="str">
        <f>IF(AND('Mapa de Riesgos'!$Y$44="Baja",'Mapa de Riesgos'!$AA$44="Mayor"),CONCATENATE("R5C",'Mapa de Riesgos'!$O$44),"")</f>
        <v/>
      </c>
      <c r="AG40" s="54" t="str">
        <f>IF(AND('Mapa de Riesgos'!$Y$45="Baja",'Mapa de Riesgos'!$AA$45="Mayor"),CONCATENATE("R5C",'Mapa de Riesgos'!$O$45),"")</f>
        <v/>
      </c>
      <c r="AH40" s="55" t="str">
        <f>IF(AND('Mapa de Riesgos'!$Y$39="Baja",'Mapa de Riesgos'!$AA$39="Catastrófico"),CONCATENATE("R5C",'Mapa de Riesgos'!$O$39),"")</f>
        <v>R5C1</v>
      </c>
      <c r="AI40" s="56" t="str">
        <f>IF(AND('Mapa de Riesgos'!$Y$41="Baja",'Mapa de Riesgos'!$AA$41="Catastrófico"),CONCATENATE("R5C",'Mapa de Riesgos'!$O$41),"")</f>
        <v/>
      </c>
      <c r="AJ40" s="56" t="str">
        <f>IF(AND('Mapa de Riesgos'!$Y$42="Baja",'Mapa de Riesgos'!$AA$42="Catastrófico"),CONCATENATE("R5C",'Mapa de Riesgos'!$O$42),"")</f>
        <v/>
      </c>
      <c r="AK40" s="56" t="str">
        <f>IF(AND('Mapa de Riesgos'!$Y$43="Baja",'Mapa de Riesgos'!$AA$43="Catastrófico"),CONCATENATE("R5C",'Mapa de Riesgos'!$O$43),"")</f>
        <v/>
      </c>
      <c r="AL40" s="56" t="str">
        <f>IF(AND('Mapa de Riesgos'!$Y$44="Baja",'Mapa de Riesgos'!$AA$44="Catastrófico"),CONCATENATE("R5C",'Mapa de Riesgos'!$O$44),"")</f>
        <v/>
      </c>
      <c r="AM40" s="57" t="str">
        <f>IF(AND('Mapa de Riesgos'!$Y$45="Baja",'Mapa de Riesgos'!$AA$45="Catastrófico"),CONCATENATE("R5C",'Mapa de Riesgos'!$O$45),"")</f>
        <v/>
      </c>
      <c r="AN40" s="83"/>
      <c r="AO40" s="601"/>
      <c r="AP40" s="602"/>
      <c r="AQ40" s="602"/>
      <c r="AR40" s="602"/>
      <c r="AS40" s="602"/>
      <c r="AT40" s="60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529"/>
      <c r="C41" s="529"/>
      <c r="D41" s="530"/>
      <c r="E41" s="570"/>
      <c r="F41" s="571"/>
      <c r="G41" s="571"/>
      <c r="H41" s="571"/>
      <c r="I41" s="571"/>
      <c r="J41" s="76" t="str">
        <f>IF(AND('Mapa de Riesgos'!$Y$46="Baja",'Mapa de Riesgos'!$AA$46="Leve"),CONCATENATE("R6C",'Mapa de Riesgos'!$O$46),"")</f>
        <v/>
      </c>
      <c r="K41" s="77" t="str">
        <f>IF(AND('Mapa de Riesgos'!$Y$47="Baja",'Mapa de Riesgos'!$AA$47="Leve"),CONCATENATE("R6C",'Mapa de Riesgos'!$O$47),"")</f>
        <v/>
      </c>
      <c r="L41" s="77" t="str">
        <f>IF(AND('Mapa de Riesgos'!$Y$48="Baja",'Mapa de Riesgos'!$AA$48="Leve"),CONCATENATE("R6C",'Mapa de Riesgos'!$O$48),"")</f>
        <v/>
      </c>
      <c r="M41" s="77" t="str">
        <f>IF(AND('Mapa de Riesgos'!$Y$49="Baja",'Mapa de Riesgos'!$AA$49="Leve"),CONCATENATE("R6C",'Mapa de Riesgos'!$O$49),"")</f>
        <v/>
      </c>
      <c r="N41" s="77" t="str">
        <f>IF(AND('Mapa de Riesgos'!$Y$50="Baja",'Mapa de Riesgos'!$AA$50="Leve"),CONCATENATE("R6C",'Mapa de Riesgos'!$O$50),"")</f>
        <v/>
      </c>
      <c r="O41" s="78" t="str">
        <f>IF(AND('Mapa de Riesgos'!$Y$51="Baja",'Mapa de Riesgos'!$AA$51="Leve"),CONCATENATE("R6C",'Mapa de Riesgos'!$O$51),"")</f>
        <v/>
      </c>
      <c r="P41" s="67" t="str">
        <f>IF(AND('Mapa de Riesgos'!$Y$46="Baja",'Mapa de Riesgos'!$AA$46="Menor"),CONCATENATE("R6C",'Mapa de Riesgos'!$O$46),"")</f>
        <v/>
      </c>
      <c r="Q41" s="68" t="str">
        <f>IF(AND('Mapa de Riesgos'!$Y$47="Baja",'Mapa de Riesgos'!$AA$47="Menor"),CONCATENATE("R6C",'Mapa de Riesgos'!$O$47),"")</f>
        <v/>
      </c>
      <c r="R41" s="68" t="str">
        <f>IF(AND('Mapa de Riesgos'!$Y$48="Baja",'Mapa de Riesgos'!$AA$48="Menor"),CONCATENATE("R6C",'Mapa de Riesgos'!$O$48),"")</f>
        <v/>
      </c>
      <c r="S41" s="68" t="str">
        <f>IF(AND('Mapa de Riesgos'!$Y$49="Baja",'Mapa de Riesgos'!$AA$49="Menor"),CONCATENATE("R6C",'Mapa de Riesgos'!$O$49),"")</f>
        <v/>
      </c>
      <c r="T41" s="68" t="str">
        <f>IF(AND('Mapa de Riesgos'!$Y$50="Baja",'Mapa de Riesgos'!$AA$50="Menor"),CONCATENATE("R6C",'Mapa de Riesgos'!$O$50),"")</f>
        <v/>
      </c>
      <c r="U41" s="69" t="str">
        <f>IF(AND('Mapa de Riesgos'!$Y$51="Baja",'Mapa de Riesgos'!$AA$51="Menor"),CONCATENATE("R6C",'Mapa de Riesgos'!$O$51),"")</f>
        <v/>
      </c>
      <c r="V41" s="67" t="str">
        <f>IF(AND('Mapa de Riesgos'!$Y$46="Baja",'Mapa de Riesgos'!$AA$46="Moderado"),CONCATENATE("R6C",'Mapa de Riesgos'!$O$46),"")</f>
        <v>R6C1</v>
      </c>
      <c r="W41" s="68" t="str">
        <f>IF(AND('Mapa de Riesgos'!$Y$47="Baja",'Mapa de Riesgos'!$AA$47="Moderado"),CONCATENATE("R6C",'Mapa de Riesgos'!$O$47),"")</f>
        <v/>
      </c>
      <c r="X41" s="68" t="str">
        <f>IF(AND('Mapa de Riesgos'!$Y$48="Baja",'Mapa de Riesgos'!$AA$48="Moderado"),CONCATENATE("R6C",'Mapa de Riesgos'!$O$48),"")</f>
        <v/>
      </c>
      <c r="Y41" s="68" t="str">
        <f>IF(AND('Mapa de Riesgos'!$Y$49="Baja",'Mapa de Riesgos'!$AA$49="Moderado"),CONCATENATE("R6C",'Mapa de Riesgos'!$O$49),"")</f>
        <v/>
      </c>
      <c r="Z41" s="68" t="str">
        <f>IF(AND('Mapa de Riesgos'!$Y$50="Baja",'Mapa de Riesgos'!$AA$50="Moderado"),CONCATENATE("R6C",'Mapa de Riesgos'!$O$50),"")</f>
        <v/>
      </c>
      <c r="AA41" s="69" t="str">
        <f>IF(AND('Mapa de Riesgos'!$Y$51="Baja",'Mapa de Riesgos'!$AA$51="Moderado"),CONCATENATE("R6C",'Mapa de Riesgos'!$O$51),"")</f>
        <v/>
      </c>
      <c r="AB41" s="52" t="str">
        <f>IF(AND('Mapa de Riesgos'!$Y$46="Baja",'Mapa de Riesgos'!$AA$46="Mayor"),CONCATENATE("R6C",'Mapa de Riesgos'!$O$46),"")</f>
        <v/>
      </c>
      <c r="AC41" s="53" t="str">
        <f>IF(AND('Mapa de Riesgos'!$Y$47="Baja",'Mapa de Riesgos'!$AA$47="Mayor"),CONCATENATE("R6C",'Mapa de Riesgos'!$O$47),"")</f>
        <v/>
      </c>
      <c r="AD41" s="53" t="str">
        <f>IF(AND('Mapa de Riesgos'!$Y$48="Baja",'Mapa de Riesgos'!$AA$48="Mayor"),CONCATENATE("R6C",'Mapa de Riesgos'!$O$48),"")</f>
        <v/>
      </c>
      <c r="AE41" s="53" t="str">
        <f>IF(AND('Mapa de Riesgos'!$Y$49="Baja",'Mapa de Riesgos'!$AA$49="Mayor"),CONCATENATE("R6C",'Mapa de Riesgos'!$O$49),"")</f>
        <v/>
      </c>
      <c r="AF41" s="53" t="str">
        <f>IF(AND('Mapa de Riesgos'!$Y$50="Baja",'Mapa de Riesgos'!$AA$50="Mayor"),CONCATENATE("R6C",'Mapa de Riesgos'!$O$50),"")</f>
        <v/>
      </c>
      <c r="AG41" s="54" t="str">
        <f>IF(AND('Mapa de Riesgos'!$Y$51="Baja",'Mapa de Riesgos'!$AA$51="Mayor"),CONCATENATE("R6C",'Mapa de Riesgos'!$O$51),"")</f>
        <v/>
      </c>
      <c r="AH41" s="55" t="str">
        <f>IF(AND('Mapa de Riesgos'!$Y$46="Baja",'Mapa de Riesgos'!$AA$46="Catastrófico"),CONCATENATE("R6C",'Mapa de Riesgos'!$O$46),"")</f>
        <v/>
      </c>
      <c r="AI41" s="56" t="str">
        <f>IF(AND('Mapa de Riesgos'!$Y$47="Baja",'Mapa de Riesgos'!$AA$47="Catastrófico"),CONCATENATE("R6C",'Mapa de Riesgos'!$O$47),"")</f>
        <v/>
      </c>
      <c r="AJ41" s="56" t="str">
        <f>IF(AND('Mapa de Riesgos'!$Y$48="Baja",'Mapa de Riesgos'!$AA$48="Catastrófico"),CONCATENATE("R6C",'Mapa de Riesgos'!$O$48),"")</f>
        <v/>
      </c>
      <c r="AK41" s="56" t="str">
        <f>IF(AND('Mapa de Riesgos'!$Y$49="Baja",'Mapa de Riesgos'!$AA$49="Catastrófico"),CONCATENATE("R6C",'Mapa de Riesgos'!$O$49),"")</f>
        <v/>
      </c>
      <c r="AL41" s="56" t="str">
        <f>IF(AND('Mapa de Riesgos'!$Y$50="Baja",'Mapa de Riesgos'!$AA$50="Catastrófico"),CONCATENATE("R6C",'Mapa de Riesgos'!$O$50),"")</f>
        <v/>
      </c>
      <c r="AM41" s="57" t="str">
        <f>IF(AND('Mapa de Riesgos'!$Y$51="Baja",'Mapa de Riesgos'!$AA$51="Catastrófico"),CONCATENATE("R6C",'Mapa de Riesgos'!$O$51),"")</f>
        <v/>
      </c>
      <c r="AN41" s="83"/>
      <c r="AO41" s="601"/>
      <c r="AP41" s="602"/>
      <c r="AQ41" s="602"/>
      <c r="AR41" s="602"/>
      <c r="AS41" s="602"/>
      <c r="AT41" s="60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529"/>
      <c r="C42" s="529"/>
      <c r="D42" s="530"/>
      <c r="E42" s="570"/>
      <c r="F42" s="571"/>
      <c r="G42" s="571"/>
      <c r="H42" s="571"/>
      <c r="I42" s="571"/>
      <c r="J42" s="76" t="str">
        <f>IF(AND('Mapa de Riesgos'!$Y$52="Baja",'Mapa de Riesgos'!$AA$52="Leve"),CONCATENATE("R7C",'Mapa de Riesgos'!$O$52),"")</f>
        <v/>
      </c>
      <c r="K42" s="77" t="str">
        <f>IF(AND('Mapa de Riesgos'!$Y$53="Baja",'Mapa de Riesgos'!$AA$53="Leve"),CONCATENATE("R7C",'Mapa de Riesgos'!$O$53),"")</f>
        <v/>
      </c>
      <c r="L42" s="77" t="str">
        <f>IF(AND('Mapa de Riesgos'!$Y$54="Baja",'Mapa de Riesgos'!$AA$54="Leve"),CONCATENATE("R7C",'Mapa de Riesgos'!$O$54),"")</f>
        <v/>
      </c>
      <c r="M42" s="77" t="str">
        <f>IF(AND('Mapa de Riesgos'!$Y$55="Baja",'Mapa de Riesgos'!$AA$55="Leve"),CONCATENATE("R7C",'Mapa de Riesgos'!$O$55),"")</f>
        <v/>
      </c>
      <c r="N42" s="77" t="str">
        <f>IF(AND('Mapa de Riesgos'!$Y$56="Baja",'Mapa de Riesgos'!$AA$56="Leve"),CONCATENATE("R7C",'Mapa de Riesgos'!$O$56),"")</f>
        <v/>
      </c>
      <c r="O42" s="78" t="str">
        <f>IF(AND('Mapa de Riesgos'!$Y$57="Baja",'Mapa de Riesgos'!$AA$57="Leve"),CONCATENATE("R7C",'Mapa de Riesgos'!$O$57),"")</f>
        <v/>
      </c>
      <c r="P42" s="67" t="str">
        <f>IF(AND('Mapa de Riesgos'!$Y$52="Baja",'Mapa de Riesgos'!$AA$52="Menor"),CONCATENATE("R7C",'Mapa de Riesgos'!$O$52),"")</f>
        <v/>
      </c>
      <c r="Q42" s="68" t="str">
        <f>IF(AND('Mapa de Riesgos'!$Y$53="Baja",'Mapa de Riesgos'!$AA$53="Menor"),CONCATENATE("R7C",'Mapa de Riesgos'!$O$53),"")</f>
        <v/>
      </c>
      <c r="R42" s="68" t="str">
        <f>IF(AND('Mapa de Riesgos'!$Y$54="Baja",'Mapa de Riesgos'!$AA$54="Menor"),CONCATENATE("R7C",'Mapa de Riesgos'!$O$54),"")</f>
        <v/>
      </c>
      <c r="S42" s="68" t="str">
        <f>IF(AND('Mapa de Riesgos'!$Y$55="Baja",'Mapa de Riesgos'!$AA$55="Menor"),CONCATENATE("R7C",'Mapa de Riesgos'!$O$55),"")</f>
        <v/>
      </c>
      <c r="T42" s="68" t="str">
        <f>IF(AND('Mapa de Riesgos'!$Y$56="Baja",'Mapa de Riesgos'!$AA$56="Menor"),CONCATENATE("R7C",'Mapa de Riesgos'!$O$56),"")</f>
        <v/>
      </c>
      <c r="U42" s="69" t="str">
        <f>IF(AND('Mapa de Riesgos'!$Y$57="Baja",'Mapa de Riesgos'!$AA$57="Menor"),CONCATENATE("R7C",'Mapa de Riesgos'!$O$57),"")</f>
        <v/>
      </c>
      <c r="V42" s="67" t="str">
        <f>IF(AND('Mapa de Riesgos'!$Y$52="Baja",'Mapa de Riesgos'!$AA$52="Moderado"),CONCATENATE("R7C",'Mapa de Riesgos'!$O$52),"")</f>
        <v>R7C1</v>
      </c>
      <c r="W42" s="68" t="str">
        <f>IF(AND('Mapa de Riesgos'!$Y$53="Baja",'Mapa de Riesgos'!$AA$53="Moderado"),CONCATENATE("R7C",'Mapa de Riesgos'!$O$53),"")</f>
        <v/>
      </c>
      <c r="X42" s="68" t="str">
        <f>IF(AND('Mapa de Riesgos'!$Y$54="Baja",'Mapa de Riesgos'!$AA$54="Moderado"),CONCATENATE("R7C",'Mapa de Riesgos'!$O$54),"")</f>
        <v/>
      </c>
      <c r="Y42" s="68" t="str">
        <f>IF(AND('Mapa de Riesgos'!$Y$55="Baja",'Mapa de Riesgos'!$AA$55="Moderado"),CONCATENATE("R7C",'Mapa de Riesgos'!$O$55),"")</f>
        <v/>
      </c>
      <c r="Z42" s="68" t="str">
        <f>IF(AND('Mapa de Riesgos'!$Y$56="Baja",'Mapa de Riesgos'!$AA$56="Moderado"),CONCATENATE("R7C",'Mapa de Riesgos'!$O$56),"")</f>
        <v/>
      </c>
      <c r="AA42" s="69" t="str">
        <f>IF(AND('Mapa de Riesgos'!$Y$57="Baja",'Mapa de Riesgos'!$AA$57="Moderado"),CONCATENATE("R7C",'Mapa de Riesgos'!$O$57),"")</f>
        <v/>
      </c>
      <c r="AB42" s="52" t="str">
        <f>IF(AND('Mapa de Riesgos'!$Y$52="Baja",'Mapa de Riesgos'!$AA$52="Mayor"),CONCATENATE("R7C",'Mapa de Riesgos'!$O$52),"")</f>
        <v/>
      </c>
      <c r="AC42" s="53" t="str">
        <f>IF(AND('Mapa de Riesgos'!$Y$53="Baja",'Mapa de Riesgos'!$AA$53="Mayor"),CONCATENATE("R7C",'Mapa de Riesgos'!$O$53),"")</f>
        <v/>
      </c>
      <c r="AD42" s="53" t="str">
        <f>IF(AND('Mapa de Riesgos'!$Y$54="Baja",'Mapa de Riesgos'!$AA$54="Mayor"),CONCATENATE("R7C",'Mapa de Riesgos'!$O$54),"")</f>
        <v/>
      </c>
      <c r="AE42" s="53" t="str">
        <f>IF(AND('Mapa de Riesgos'!$Y$55="Baja",'Mapa de Riesgos'!$AA$55="Mayor"),CONCATENATE("R7C",'Mapa de Riesgos'!$O$55),"")</f>
        <v/>
      </c>
      <c r="AF42" s="53" t="str">
        <f>IF(AND('Mapa de Riesgos'!$Y$56="Baja",'Mapa de Riesgos'!$AA$56="Mayor"),CONCATENATE("R7C",'Mapa de Riesgos'!$O$56),"")</f>
        <v/>
      </c>
      <c r="AG42" s="54" t="str">
        <f>IF(AND('Mapa de Riesgos'!$Y$57="Baja",'Mapa de Riesgos'!$AA$57="Mayor"),CONCATENATE("R7C",'Mapa de Riesgos'!$O$57),"")</f>
        <v/>
      </c>
      <c r="AH42" s="55" t="str">
        <f>IF(AND('Mapa de Riesgos'!$Y$52="Baja",'Mapa de Riesgos'!$AA$52="Catastrófico"),CONCATENATE("R7C",'Mapa de Riesgos'!$O$52),"")</f>
        <v/>
      </c>
      <c r="AI42" s="56" t="str">
        <f>IF(AND('Mapa de Riesgos'!$Y$53="Baja",'Mapa de Riesgos'!$AA$53="Catastrófico"),CONCATENATE("R7C",'Mapa de Riesgos'!$O$53),"")</f>
        <v/>
      </c>
      <c r="AJ42" s="56" t="str">
        <f>IF(AND('Mapa de Riesgos'!$Y$54="Baja",'Mapa de Riesgos'!$AA$54="Catastrófico"),CONCATENATE("R7C",'Mapa de Riesgos'!$O$54),"")</f>
        <v/>
      </c>
      <c r="AK42" s="56" t="str">
        <f>IF(AND('Mapa de Riesgos'!$Y$55="Baja",'Mapa de Riesgos'!$AA$55="Catastrófico"),CONCATENATE("R7C",'Mapa de Riesgos'!$O$55),"")</f>
        <v/>
      </c>
      <c r="AL42" s="56" t="str">
        <f>IF(AND('Mapa de Riesgos'!$Y$56="Baja",'Mapa de Riesgos'!$AA$56="Catastrófico"),CONCATENATE("R7C",'Mapa de Riesgos'!$O$56),"")</f>
        <v/>
      </c>
      <c r="AM42" s="57" t="str">
        <f>IF(AND('Mapa de Riesgos'!$Y$57="Baja",'Mapa de Riesgos'!$AA$57="Catastrófico"),CONCATENATE("R7C",'Mapa de Riesgos'!$O$57),"")</f>
        <v/>
      </c>
      <c r="AN42" s="83"/>
      <c r="AO42" s="601"/>
      <c r="AP42" s="602"/>
      <c r="AQ42" s="602"/>
      <c r="AR42" s="602"/>
      <c r="AS42" s="602"/>
      <c r="AT42" s="60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529"/>
      <c r="C43" s="529"/>
      <c r="D43" s="530"/>
      <c r="E43" s="570"/>
      <c r="F43" s="571"/>
      <c r="G43" s="571"/>
      <c r="H43" s="571"/>
      <c r="I43" s="571"/>
      <c r="J43" s="76" t="str">
        <f>IF(AND('Mapa de Riesgos'!$Y$58="Baja",'Mapa de Riesgos'!$AA$58="Leve"),CONCATENATE("R8C",'Mapa de Riesgos'!$O$58),"")</f>
        <v/>
      </c>
      <c r="K43" s="77" t="str">
        <f>IF(AND('Mapa de Riesgos'!$Y$59="Baja",'Mapa de Riesgos'!$AA$59="Leve"),CONCATENATE("R8C",'Mapa de Riesgos'!$O$59),"")</f>
        <v/>
      </c>
      <c r="L43" s="77" t="str">
        <f>IF(AND('Mapa de Riesgos'!$Y$60="Baja",'Mapa de Riesgos'!$AA$60="Leve"),CONCATENATE("R8C",'Mapa de Riesgos'!$O$60),"")</f>
        <v/>
      </c>
      <c r="M43" s="77" t="str">
        <f>IF(AND('Mapa de Riesgos'!$Y$61="Baja",'Mapa de Riesgos'!$AA$61="Leve"),CONCATENATE("R8C",'Mapa de Riesgos'!$O$61),"")</f>
        <v/>
      </c>
      <c r="N43" s="77" t="str">
        <f>IF(AND('Mapa de Riesgos'!$Y$62="Baja",'Mapa de Riesgos'!$AA$62="Leve"),CONCATENATE("R8C",'Mapa de Riesgos'!$O$62),"")</f>
        <v/>
      </c>
      <c r="O43" s="78" t="str">
        <f>IF(AND('Mapa de Riesgos'!$Y$63="Baja",'Mapa de Riesgos'!$AA$63="Leve"),CONCATENATE("R8C",'Mapa de Riesgos'!$O$63),"")</f>
        <v/>
      </c>
      <c r="P43" s="67" t="str">
        <f>IF(AND('Mapa de Riesgos'!$Y$58="Baja",'Mapa de Riesgos'!$AA$58="Menor"),CONCATENATE("R8C",'Mapa de Riesgos'!$O$58),"")</f>
        <v/>
      </c>
      <c r="Q43" s="68" t="str">
        <f>IF(AND('Mapa de Riesgos'!$Y$59="Baja",'Mapa de Riesgos'!$AA$59="Menor"),CONCATENATE("R8C",'Mapa de Riesgos'!$O$59),"")</f>
        <v/>
      </c>
      <c r="R43" s="68" t="str">
        <f>IF(AND('Mapa de Riesgos'!$Y$60="Baja",'Mapa de Riesgos'!$AA$60="Menor"),CONCATENATE("R8C",'Mapa de Riesgos'!$O$60),"")</f>
        <v/>
      </c>
      <c r="S43" s="68" t="str">
        <f>IF(AND('Mapa de Riesgos'!$Y$61="Baja",'Mapa de Riesgos'!$AA$61="Menor"),CONCATENATE("R8C",'Mapa de Riesgos'!$O$61),"")</f>
        <v/>
      </c>
      <c r="T43" s="68" t="str">
        <f>IF(AND('Mapa de Riesgos'!$Y$62="Baja",'Mapa de Riesgos'!$AA$62="Menor"),CONCATENATE("R8C",'Mapa de Riesgos'!$O$62),"")</f>
        <v/>
      </c>
      <c r="U43" s="69" t="str">
        <f>IF(AND('Mapa de Riesgos'!$Y$63="Baja",'Mapa de Riesgos'!$AA$63="Menor"),CONCATENATE("R8C",'Mapa de Riesgos'!$O$63),"")</f>
        <v/>
      </c>
      <c r="V43" s="67" t="str">
        <f>IF(AND('Mapa de Riesgos'!$Y$58="Baja",'Mapa de Riesgos'!$AA$58="Moderado"),CONCATENATE("R8C",'Mapa de Riesgos'!$O$58),"")</f>
        <v>R8C1</v>
      </c>
      <c r="W43" s="68" t="str">
        <f>IF(AND('Mapa de Riesgos'!$Y$59="Baja",'Mapa de Riesgos'!$AA$59="Moderado"),CONCATENATE("R8C",'Mapa de Riesgos'!$O$59),"")</f>
        <v/>
      </c>
      <c r="X43" s="68" t="str">
        <f>IF(AND('Mapa de Riesgos'!$Y$60="Baja",'Mapa de Riesgos'!$AA$60="Moderado"),CONCATENATE("R8C",'Mapa de Riesgos'!$O$60),"")</f>
        <v/>
      </c>
      <c r="Y43" s="68" t="str">
        <f>IF(AND('Mapa de Riesgos'!$Y$61="Baja",'Mapa de Riesgos'!$AA$61="Moderado"),CONCATENATE("R8C",'Mapa de Riesgos'!$O$61),"")</f>
        <v/>
      </c>
      <c r="Z43" s="68" t="str">
        <f>IF(AND('Mapa de Riesgos'!$Y$62="Baja",'Mapa de Riesgos'!$AA$62="Moderado"),CONCATENATE("R8C",'Mapa de Riesgos'!$O$62),"")</f>
        <v/>
      </c>
      <c r="AA43" s="69" t="str">
        <f>IF(AND('Mapa de Riesgos'!$Y$63="Baja",'Mapa de Riesgos'!$AA$63="Moderado"),CONCATENATE("R8C",'Mapa de Riesgos'!$O$63),"")</f>
        <v/>
      </c>
      <c r="AB43" s="52" t="str">
        <f>IF(AND('Mapa de Riesgos'!$Y$58="Baja",'Mapa de Riesgos'!$AA$58="Mayor"),CONCATENATE("R8C",'Mapa de Riesgos'!$O$58),"")</f>
        <v/>
      </c>
      <c r="AC43" s="53" t="str">
        <f>IF(AND('Mapa de Riesgos'!$Y$59="Baja",'Mapa de Riesgos'!$AA$59="Mayor"),CONCATENATE("R8C",'Mapa de Riesgos'!$O$59),"")</f>
        <v/>
      </c>
      <c r="AD43" s="53" t="str">
        <f>IF(AND('Mapa de Riesgos'!$Y$60="Baja",'Mapa de Riesgos'!$AA$60="Mayor"),CONCATENATE("R8C",'Mapa de Riesgos'!$O$60),"")</f>
        <v/>
      </c>
      <c r="AE43" s="53" t="str">
        <f>IF(AND('Mapa de Riesgos'!$Y$61="Baja",'Mapa de Riesgos'!$AA$61="Mayor"),CONCATENATE("R8C",'Mapa de Riesgos'!$O$61),"")</f>
        <v/>
      </c>
      <c r="AF43" s="53" t="str">
        <f>IF(AND('Mapa de Riesgos'!$Y$62="Baja",'Mapa de Riesgos'!$AA$62="Mayor"),CONCATENATE("R8C",'Mapa de Riesgos'!$O$62),"")</f>
        <v/>
      </c>
      <c r="AG43" s="54" t="str">
        <f>IF(AND('Mapa de Riesgos'!$Y$63="Baja",'Mapa de Riesgos'!$AA$63="Mayor"),CONCATENATE("R8C",'Mapa de Riesgos'!$O$63),"")</f>
        <v/>
      </c>
      <c r="AH43" s="55" t="str">
        <f>IF(AND('Mapa de Riesgos'!$Y$58="Baja",'Mapa de Riesgos'!$AA$58="Catastrófico"),CONCATENATE("R8C",'Mapa de Riesgos'!$O$58),"")</f>
        <v/>
      </c>
      <c r="AI43" s="56" t="str">
        <f>IF(AND('Mapa de Riesgos'!$Y$59="Baja",'Mapa de Riesgos'!$AA$59="Catastrófico"),CONCATENATE("R8C",'Mapa de Riesgos'!$O$59),"")</f>
        <v/>
      </c>
      <c r="AJ43" s="56" t="str">
        <f>IF(AND('Mapa de Riesgos'!$Y$60="Baja",'Mapa de Riesgos'!$AA$60="Catastrófico"),CONCATENATE("R8C",'Mapa de Riesgos'!$O$60),"")</f>
        <v/>
      </c>
      <c r="AK43" s="56" t="str">
        <f>IF(AND('Mapa de Riesgos'!$Y$61="Baja",'Mapa de Riesgos'!$AA$61="Catastrófico"),CONCATENATE("R8C",'Mapa de Riesgos'!$O$61),"")</f>
        <v/>
      </c>
      <c r="AL43" s="56" t="str">
        <f>IF(AND('Mapa de Riesgos'!$Y$62="Baja",'Mapa de Riesgos'!$AA$62="Catastrófico"),CONCATENATE("R8C",'Mapa de Riesgos'!$O$62),"")</f>
        <v/>
      </c>
      <c r="AM43" s="57" t="str">
        <f>IF(AND('Mapa de Riesgos'!$Y$63="Baja",'Mapa de Riesgos'!$AA$63="Catastrófico"),CONCATENATE("R8C",'Mapa de Riesgos'!$O$63),"")</f>
        <v/>
      </c>
      <c r="AN43" s="83"/>
      <c r="AO43" s="601"/>
      <c r="AP43" s="602"/>
      <c r="AQ43" s="602"/>
      <c r="AR43" s="602"/>
      <c r="AS43" s="602"/>
      <c r="AT43" s="60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529"/>
      <c r="C44" s="529"/>
      <c r="D44" s="530"/>
      <c r="E44" s="570"/>
      <c r="F44" s="571"/>
      <c r="G44" s="571"/>
      <c r="H44" s="571"/>
      <c r="I44" s="571"/>
      <c r="J44" s="76" t="str">
        <f>IF(AND('Mapa de Riesgos'!$Y$64="Baja",'Mapa de Riesgos'!$AA$64="Leve"),CONCATENATE("R9C",'Mapa de Riesgos'!$O$64),"")</f>
        <v/>
      </c>
      <c r="K44" s="77" t="str">
        <f>IF(AND('Mapa de Riesgos'!$Y$65="Baja",'Mapa de Riesgos'!$AA$65="Leve"),CONCATENATE("R9C",'Mapa de Riesgos'!$O$65),"")</f>
        <v/>
      </c>
      <c r="L44" s="77" t="str">
        <f>IF(AND('Mapa de Riesgos'!$Y$66="Baja",'Mapa de Riesgos'!$AA$66="Leve"),CONCATENATE("R9C",'Mapa de Riesgos'!$O$66),"")</f>
        <v/>
      </c>
      <c r="M44" s="77" t="str">
        <f>IF(AND('Mapa de Riesgos'!$Y$67="Baja",'Mapa de Riesgos'!$AA$67="Leve"),CONCATENATE("R9C",'Mapa de Riesgos'!$O$67),"")</f>
        <v/>
      </c>
      <c r="N44" s="77" t="str">
        <f>IF(AND('Mapa de Riesgos'!$Y$68="Baja",'Mapa de Riesgos'!$AA$68="Leve"),CONCATENATE("R9C",'Mapa de Riesgos'!$O$68),"")</f>
        <v/>
      </c>
      <c r="O44" s="78" t="str">
        <f>IF(AND('Mapa de Riesgos'!$Y$69="Baja",'Mapa de Riesgos'!$AA$69="Leve"),CONCATENATE("R9C",'Mapa de Riesgos'!$O$69),"")</f>
        <v/>
      </c>
      <c r="P44" s="67" t="str">
        <f>IF(AND('Mapa de Riesgos'!$Y$64="Baja",'Mapa de Riesgos'!$AA$64="Menor"),CONCATENATE("R9C",'Mapa de Riesgos'!$O$64),"")</f>
        <v/>
      </c>
      <c r="Q44" s="68" t="str">
        <f>IF(AND('Mapa de Riesgos'!$Y$65="Baja",'Mapa de Riesgos'!$AA$65="Menor"),CONCATENATE("R9C",'Mapa de Riesgos'!$O$65),"")</f>
        <v/>
      </c>
      <c r="R44" s="68" t="str">
        <f>IF(AND('Mapa de Riesgos'!$Y$66="Baja",'Mapa de Riesgos'!$AA$66="Menor"),CONCATENATE("R9C",'Mapa de Riesgos'!$O$66),"")</f>
        <v/>
      </c>
      <c r="S44" s="68" t="str">
        <f>IF(AND('Mapa de Riesgos'!$Y$67="Baja",'Mapa de Riesgos'!$AA$67="Menor"),CONCATENATE("R9C",'Mapa de Riesgos'!$O$67),"")</f>
        <v/>
      </c>
      <c r="T44" s="68" t="str">
        <f>IF(AND('Mapa de Riesgos'!$Y$68="Baja",'Mapa de Riesgos'!$AA$68="Menor"),CONCATENATE("R9C",'Mapa de Riesgos'!$O$68),"")</f>
        <v/>
      </c>
      <c r="U44" s="69" t="str">
        <f>IF(AND('Mapa de Riesgos'!$Y$69="Baja",'Mapa de Riesgos'!$AA$69="Menor"),CONCATENATE("R9C",'Mapa de Riesgos'!$O$69),"")</f>
        <v/>
      </c>
      <c r="V44" s="67" t="str">
        <f>IF(AND('Mapa de Riesgos'!$Y$64="Baja",'Mapa de Riesgos'!$AA$64="Moderado"),CONCATENATE("R9C",'Mapa de Riesgos'!$O$64),"")</f>
        <v>R9C1</v>
      </c>
      <c r="W44" s="68" t="str">
        <f>IF(AND('Mapa de Riesgos'!$Y$65="Baja",'Mapa de Riesgos'!$AA$65="Moderado"),CONCATENATE("R9C",'Mapa de Riesgos'!$O$65),"")</f>
        <v/>
      </c>
      <c r="X44" s="68" t="str">
        <f>IF(AND('Mapa de Riesgos'!$Y$66="Baja",'Mapa de Riesgos'!$AA$66="Moderado"),CONCATENATE("R9C",'Mapa de Riesgos'!$O$66),"")</f>
        <v/>
      </c>
      <c r="Y44" s="68" t="str">
        <f>IF(AND('Mapa de Riesgos'!$Y$67="Baja",'Mapa de Riesgos'!$AA$67="Moderado"),CONCATENATE("R9C",'Mapa de Riesgos'!$O$67),"")</f>
        <v/>
      </c>
      <c r="Z44" s="68" t="str">
        <f>IF(AND('Mapa de Riesgos'!$Y$68="Baja",'Mapa de Riesgos'!$AA$68="Moderado"),CONCATENATE("R9C",'Mapa de Riesgos'!$O$68),"")</f>
        <v/>
      </c>
      <c r="AA44" s="69" t="str">
        <f>IF(AND('Mapa de Riesgos'!$Y$69="Baja",'Mapa de Riesgos'!$AA$69="Moderado"),CONCATENATE("R9C",'Mapa de Riesgos'!$O$69),"")</f>
        <v/>
      </c>
      <c r="AB44" s="52" t="str">
        <f>IF(AND('Mapa de Riesgos'!$Y$64="Baja",'Mapa de Riesgos'!$AA$64="Mayor"),CONCATENATE("R9C",'Mapa de Riesgos'!$O$64),"")</f>
        <v/>
      </c>
      <c r="AC44" s="53" t="str">
        <f>IF(AND('Mapa de Riesgos'!$Y$65="Baja",'Mapa de Riesgos'!$AA$65="Mayor"),CONCATENATE("R9C",'Mapa de Riesgos'!$O$65),"")</f>
        <v/>
      </c>
      <c r="AD44" s="53" t="str">
        <f>IF(AND('Mapa de Riesgos'!$Y$66="Baja",'Mapa de Riesgos'!$AA$66="Mayor"),CONCATENATE("R9C",'Mapa de Riesgos'!$O$66),"")</f>
        <v/>
      </c>
      <c r="AE44" s="53" t="str">
        <f>IF(AND('Mapa de Riesgos'!$Y$67="Baja",'Mapa de Riesgos'!$AA$67="Mayor"),CONCATENATE("R9C",'Mapa de Riesgos'!$O$67),"")</f>
        <v/>
      </c>
      <c r="AF44" s="53" t="str">
        <f>IF(AND('Mapa de Riesgos'!$Y$68="Baja",'Mapa de Riesgos'!$AA$68="Mayor"),CONCATENATE("R9C",'Mapa de Riesgos'!$O$68),"")</f>
        <v/>
      </c>
      <c r="AG44" s="54" t="str">
        <f>IF(AND('Mapa de Riesgos'!$Y$69="Baja",'Mapa de Riesgos'!$AA$69="Mayor"),CONCATENATE("R9C",'Mapa de Riesgos'!$O$69),"")</f>
        <v/>
      </c>
      <c r="AH44" s="55" t="str">
        <f>IF(AND('Mapa de Riesgos'!$Y$64="Baja",'Mapa de Riesgos'!$AA$64="Catastrófico"),CONCATENATE("R9C",'Mapa de Riesgos'!$O$64),"")</f>
        <v/>
      </c>
      <c r="AI44" s="56" t="str">
        <f>IF(AND('Mapa de Riesgos'!$Y$65="Baja",'Mapa de Riesgos'!$AA$65="Catastrófico"),CONCATENATE("R9C",'Mapa de Riesgos'!$O$65),"")</f>
        <v/>
      </c>
      <c r="AJ44" s="56" t="str">
        <f>IF(AND('Mapa de Riesgos'!$Y$66="Baja",'Mapa de Riesgos'!$AA$66="Catastrófico"),CONCATENATE("R9C",'Mapa de Riesgos'!$O$66),"")</f>
        <v/>
      </c>
      <c r="AK44" s="56" t="str">
        <f>IF(AND('Mapa de Riesgos'!$Y$67="Baja",'Mapa de Riesgos'!$AA$67="Catastrófico"),CONCATENATE("R9C",'Mapa de Riesgos'!$O$67),"")</f>
        <v/>
      </c>
      <c r="AL44" s="56" t="str">
        <f>IF(AND('Mapa de Riesgos'!$Y$68="Baja",'Mapa de Riesgos'!$AA$68="Catastrófico"),CONCATENATE("R9C",'Mapa de Riesgos'!$O$68),"")</f>
        <v/>
      </c>
      <c r="AM44" s="57" t="str">
        <f>IF(AND('Mapa de Riesgos'!$Y$69="Baja",'Mapa de Riesgos'!$AA$69="Catastrófico"),CONCATENATE("R9C",'Mapa de Riesgos'!$O$69),"")</f>
        <v/>
      </c>
      <c r="AN44" s="83"/>
      <c r="AO44" s="601"/>
      <c r="AP44" s="602"/>
      <c r="AQ44" s="602"/>
      <c r="AR44" s="602"/>
      <c r="AS44" s="602"/>
      <c r="AT44" s="60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529"/>
      <c r="C45" s="529"/>
      <c r="D45" s="530"/>
      <c r="E45" s="573"/>
      <c r="F45" s="574"/>
      <c r="G45" s="574"/>
      <c r="H45" s="574"/>
      <c r="I45" s="574"/>
      <c r="J45" s="79" t="str">
        <f>IF(AND('Mapa de Riesgos'!$Y$70="Baja",'Mapa de Riesgos'!$AA$70="Leve"),CONCATENATE("R10C",'Mapa de Riesgos'!$O$70),"")</f>
        <v/>
      </c>
      <c r="K45" s="80" t="str">
        <f>IF(AND('Mapa de Riesgos'!$Y$71="Baja",'Mapa de Riesgos'!$AA$71="Leve"),CONCATENATE("R10C",'Mapa de Riesgos'!$O$71),"")</f>
        <v/>
      </c>
      <c r="L45" s="80" t="str">
        <f>IF(AND('Mapa de Riesgos'!$Y$72="Baja",'Mapa de Riesgos'!$AA$72="Leve"),CONCATENATE("R10C",'Mapa de Riesgos'!$O$72),"")</f>
        <v/>
      </c>
      <c r="M45" s="80" t="str">
        <f>IF(AND('Mapa de Riesgos'!$Y$73="Baja",'Mapa de Riesgos'!$AA$73="Leve"),CONCATENATE("R10C",'Mapa de Riesgos'!$O$73),"")</f>
        <v/>
      </c>
      <c r="N45" s="80" t="str">
        <f>IF(AND('Mapa de Riesgos'!$Y$74="Baja",'Mapa de Riesgos'!$AA$74="Leve"),CONCATENATE("R10C",'Mapa de Riesgos'!$O$74),"")</f>
        <v/>
      </c>
      <c r="O45" s="81" t="str">
        <f>IF(AND('Mapa de Riesgos'!$Y$75="Baja",'Mapa de Riesgos'!$AA$75="Leve"),CONCATENATE("R10C",'Mapa de Riesgos'!$O$75),"")</f>
        <v/>
      </c>
      <c r="P45" s="67" t="str">
        <f>IF(AND('Mapa de Riesgos'!$Y$70="Baja",'Mapa de Riesgos'!$AA$70="Menor"),CONCATENATE("R10C",'Mapa de Riesgos'!$O$70),"")</f>
        <v/>
      </c>
      <c r="Q45" s="68" t="str">
        <f>IF(AND('Mapa de Riesgos'!$Y$71="Baja",'Mapa de Riesgos'!$AA$71="Menor"),CONCATENATE("R10C",'Mapa de Riesgos'!$O$71),"")</f>
        <v/>
      </c>
      <c r="R45" s="68" t="str">
        <f>IF(AND('Mapa de Riesgos'!$Y$72="Baja",'Mapa de Riesgos'!$AA$72="Menor"),CONCATENATE("R10C",'Mapa de Riesgos'!$O$72),"")</f>
        <v/>
      </c>
      <c r="S45" s="68" t="str">
        <f>IF(AND('Mapa de Riesgos'!$Y$73="Baja",'Mapa de Riesgos'!$AA$73="Menor"),CONCATENATE("R10C",'Mapa de Riesgos'!$O$73),"")</f>
        <v/>
      </c>
      <c r="T45" s="68" t="str">
        <f>IF(AND('Mapa de Riesgos'!$Y$74="Baja",'Mapa de Riesgos'!$AA$74="Menor"),CONCATENATE("R10C",'Mapa de Riesgos'!$O$74),"")</f>
        <v/>
      </c>
      <c r="U45" s="69" t="str">
        <f>IF(AND('Mapa de Riesgos'!$Y$75="Baja",'Mapa de Riesgos'!$AA$75="Menor"),CONCATENATE("R10C",'Mapa de Riesgos'!$O$75),"")</f>
        <v/>
      </c>
      <c r="V45" s="70" t="str">
        <f>IF(AND('Mapa de Riesgos'!$Y$70="Baja",'Mapa de Riesgos'!$AA$70="Moderado"),CONCATENATE("R10C",'Mapa de Riesgos'!$O$70),"")</f>
        <v>R10C1</v>
      </c>
      <c r="W45" s="71" t="str">
        <f>IF(AND('Mapa de Riesgos'!$Y$71="Baja",'Mapa de Riesgos'!$AA$71="Moderado"),CONCATENATE("R10C",'Mapa de Riesgos'!$O$71),"")</f>
        <v>R10C1</v>
      </c>
      <c r="X45" s="71" t="str">
        <f>IF(AND('Mapa de Riesgos'!$Y$72="Baja",'Mapa de Riesgos'!$AA$72="Moderado"),CONCATENATE("R10C",'Mapa de Riesgos'!$O$72),"")</f>
        <v/>
      </c>
      <c r="Y45" s="71" t="str">
        <f>IF(AND('Mapa de Riesgos'!$Y$73="Baja",'Mapa de Riesgos'!$AA$73="Moderado"),CONCATENATE("R10C",'Mapa de Riesgos'!$O$73),"")</f>
        <v/>
      </c>
      <c r="Z45" s="71" t="str">
        <f>IF(AND('Mapa de Riesgos'!$Y$74="Baja",'Mapa de Riesgos'!$AA$74="Moderado"),CONCATENATE("R10C",'Mapa de Riesgos'!$O$74),"")</f>
        <v/>
      </c>
      <c r="AA45" s="72" t="str">
        <f>IF(AND('Mapa de Riesgos'!$Y$75="Baja",'Mapa de Riesgos'!$AA$75="Moderado"),CONCATENATE("R10C",'Mapa de Riesgos'!$O$75),"")</f>
        <v/>
      </c>
      <c r="AB45" s="58" t="str">
        <f>IF(AND('Mapa de Riesgos'!$Y$70="Baja",'Mapa de Riesgos'!$AA$70="Mayor"),CONCATENATE("R10C",'Mapa de Riesgos'!$O$70),"")</f>
        <v/>
      </c>
      <c r="AC45" s="59" t="str">
        <f>IF(AND('Mapa de Riesgos'!$Y$71="Baja",'Mapa de Riesgos'!$AA$71="Mayor"),CONCATENATE("R10C",'Mapa de Riesgos'!$O$71),"")</f>
        <v/>
      </c>
      <c r="AD45" s="59" t="str">
        <f>IF(AND('Mapa de Riesgos'!$Y$72="Baja",'Mapa de Riesgos'!$AA$72="Mayor"),CONCATENATE("R10C",'Mapa de Riesgos'!$O$72),"")</f>
        <v/>
      </c>
      <c r="AE45" s="59" t="str">
        <f>IF(AND('Mapa de Riesgos'!$Y$73="Baja",'Mapa de Riesgos'!$AA$73="Mayor"),CONCATENATE("R10C",'Mapa de Riesgos'!$O$73),"")</f>
        <v/>
      </c>
      <c r="AF45" s="59" t="str">
        <f>IF(AND('Mapa de Riesgos'!$Y$74="Baja",'Mapa de Riesgos'!$AA$74="Mayor"),CONCATENATE("R10C",'Mapa de Riesgos'!$O$74),"")</f>
        <v/>
      </c>
      <c r="AG45" s="60" t="str">
        <f>IF(AND('Mapa de Riesgos'!$Y$75="Baja",'Mapa de Riesgos'!$AA$75="Mayor"),CONCATENATE("R10C",'Mapa de Riesgos'!$O$75),"")</f>
        <v/>
      </c>
      <c r="AH45" s="61" t="str">
        <f>IF(AND('Mapa de Riesgos'!$Y$70="Baja",'Mapa de Riesgos'!$AA$70="Catastrófico"),CONCATENATE("R10C",'Mapa de Riesgos'!$O$70),"")</f>
        <v/>
      </c>
      <c r="AI45" s="62" t="str">
        <f>IF(AND('Mapa de Riesgos'!$Y$71="Baja",'Mapa de Riesgos'!$AA$71="Catastrófico"),CONCATENATE("R10C",'Mapa de Riesgos'!$O$71),"")</f>
        <v/>
      </c>
      <c r="AJ45" s="62" t="str">
        <f>IF(AND('Mapa de Riesgos'!$Y$72="Baja",'Mapa de Riesgos'!$AA$72="Catastrófico"),CONCATENATE("R10C",'Mapa de Riesgos'!$O$72),"")</f>
        <v/>
      </c>
      <c r="AK45" s="62" t="str">
        <f>IF(AND('Mapa de Riesgos'!$Y$73="Baja",'Mapa de Riesgos'!$AA$73="Catastrófico"),CONCATENATE("R10C",'Mapa de Riesgos'!$O$73),"")</f>
        <v/>
      </c>
      <c r="AL45" s="62" t="str">
        <f>IF(AND('Mapa de Riesgos'!$Y$74="Baja",'Mapa de Riesgos'!$AA$74="Catastrófico"),CONCATENATE("R10C",'Mapa de Riesgos'!$O$74),"")</f>
        <v/>
      </c>
      <c r="AM45" s="63" t="str">
        <f>IF(AND('Mapa de Riesgos'!$Y$75="Baja",'Mapa de Riesgos'!$AA$75="Catastrófico"),CONCATENATE("R10C",'Mapa de Riesgos'!$O$75),"")</f>
        <v/>
      </c>
      <c r="AN45" s="83"/>
      <c r="AO45" s="604"/>
      <c r="AP45" s="605"/>
      <c r="AQ45" s="605"/>
      <c r="AR45" s="605"/>
      <c r="AS45" s="605"/>
      <c r="AT45" s="606"/>
    </row>
    <row r="46" spans="1:80" ht="46.5" customHeight="1" x14ac:dyDescent="0.35">
      <c r="A46" s="83"/>
      <c r="B46" s="529"/>
      <c r="C46" s="529"/>
      <c r="D46" s="530"/>
      <c r="E46" s="567" t="s">
        <v>250</v>
      </c>
      <c r="F46" s="568"/>
      <c r="G46" s="568"/>
      <c r="H46" s="568"/>
      <c r="I46" s="569"/>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529"/>
      <c r="C47" s="529"/>
      <c r="D47" s="530"/>
      <c r="E47" s="586"/>
      <c r="F47" s="571"/>
      <c r="G47" s="571"/>
      <c r="H47" s="571"/>
      <c r="I47" s="572"/>
      <c r="J47" s="76" t="str">
        <f>IF(AND('Mapa de Riesgos'!$Y$18="Muy Baja",'Mapa de Riesgos'!$AA$18="Leve"),CONCATENATE("R2C",'Mapa de Riesgos'!$O$18),"")</f>
        <v/>
      </c>
      <c r="K47" s="77" t="str">
        <f>IF(AND('Mapa de Riesgos'!$Y$20="Muy Baja",'Mapa de Riesgos'!$AA$20="Leve"),CONCATENATE("R2C",'Mapa de Riesgos'!$O$20),"")</f>
        <v/>
      </c>
      <c r="L47" s="77" t="str">
        <f>IF(AND('Mapa de Riesgos'!$Y$21="Muy Baja",'Mapa de Riesgos'!$AA$21="Leve"),CONCATENATE("R2C",'Mapa de Riesgos'!$O$21),"")</f>
        <v/>
      </c>
      <c r="M47" s="77" t="str">
        <f>IF(AND('Mapa de Riesgos'!$Y$22="Muy Baja",'Mapa de Riesgos'!$AA$22="Leve"),CONCATENATE("R2C",'Mapa de Riesgos'!$O$22),"")</f>
        <v/>
      </c>
      <c r="N47" s="77" t="str">
        <f>IF(AND('Mapa de Riesgos'!$Y$23="Muy Baja",'Mapa de Riesgos'!$AA$23="Leve"),CONCATENATE("R2C",'Mapa de Riesgos'!$O$23),"")</f>
        <v/>
      </c>
      <c r="O47" s="78" t="str">
        <f>IF(AND('Mapa de Riesgos'!$Y$24="Muy Baja",'Mapa de Riesgos'!$AA$24="Leve"),CONCATENATE("R2C",'Mapa de Riesgos'!$O$24),"")</f>
        <v/>
      </c>
      <c r="P47" s="76" t="str">
        <f>IF(AND('Mapa de Riesgos'!$Y$18="Muy Baja",'Mapa de Riesgos'!$AA$18="Menor"),CONCATENATE("R2C",'Mapa de Riesgos'!$O$18),"")</f>
        <v/>
      </c>
      <c r="Q47" s="77" t="str">
        <f>IF(AND('Mapa de Riesgos'!$Y$20="Muy Baja",'Mapa de Riesgos'!$AA$20="Menor"),CONCATENATE("R2C",'Mapa de Riesgos'!$O$20),"")</f>
        <v/>
      </c>
      <c r="R47" s="77" t="str">
        <f>IF(AND('Mapa de Riesgos'!$Y$21="Muy Baja",'Mapa de Riesgos'!$AA$21="Menor"),CONCATENATE("R2C",'Mapa de Riesgos'!$O$21),"")</f>
        <v/>
      </c>
      <c r="S47" s="77" t="str">
        <f>IF(AND('Mapa de Riesgos'!$Y$22="Muy Baja",'Mapa de Riesgos'!$AA$22="Menor"),CONCATENATE("R2C",'Mapa de Riesgos'!$O$22),"")</f>
        <v/>
      </c>
      <c r="T47" s="77" t="str">
        <f>IF(AND('Mapa de Riesgos'!$Y$23="Muy Baja",'Mapa de Riesgos'!$AA$23="Menor"),CONCATENATE("R2C",'Mapa de Riesgos'!$O$23),"")</f>
        <v/>
      </c>
      <c r="U47" s="78" t="str">
        <f>IF(AND('Mapa de Riesgos'!$Y$24="Muy Baja",'Mapa de Riesgos'!$AA$24="Menor"),CONCATENATE("R2C",'Mapa de Riesgos'!$O$24),"")</f>
        <v/>
      </c>
      <c r="V47" s="67" t="str">
        <f>IF(AND('Mapa de Riesgos'!$Y$18="Muy Baja",'Mapa de Riesgos'!$AA$18="Moderado"),CONCATENATE("R2C",'Mapa de Riesgos'!$O$18),"")</f>
        <v/>
      </c>
      <c r="W47" s="68" t="str">
        <f>IF(AND('Mapa de Riesgos'!$Y$20="Muy Baja",'Mapa de Riesgos'!$AA$20="Moderado"),CONCATENATE("R2C",'Mapa de Riesgos'!$O$20),"")</f>
        <v/>
      </c>
      <c r="X47" s="68" t="str">
        <f>IF(AND('Mapa de Riesgos'!$Y$21="Muy Baja",'Mapa de Riesgos'!$AA$21="Moderado"),CONCATENATE("R2C",'Mapa de Riesgos'!$O$21),"")</f>
        <v/>
      </c>
      <c r="Y47" s="68" t="str">
        <f>IF(AND('Mapa de Riesgos'!$Y$22="Muy Baja",'Mapa de Riesgos'!$AA$22="Moderado"),CONCATENATE("R2C",'Mapa de Riesgos'!$O$22),"")</f>
        <v/>
      </c>
      <c r="Z47" s="68" t="str">
        <f>IF(AND('Mapa de Riesgos'!$Y$23="Muy Baja",'Mapa de Riesgos'!$AA$23="Moderado"),CONCATENATE("R2C",'Mapa de Riesgos'!$O$23),"")</f>
        <v/>
      </c>
      <c r="AA47" s="69" t="str">
        <f>IF(AND('Mapa de Riesgos'!$Y$24="Muy Baja",'Mapa de Riesgos'!$AA$24="Moderado"),CONCATENATE("R2C",'Mapa de Riesgos'!$O$24),"")</f>
        <v/>
      </c>
      <c r="AB47" s="52" t="str">
        <f>IF(AND('Mapa de Riesgos'!$Y$18="Muy Baja",'Mapa de Riesgos'!$AA$18="Mayor"),CONCATENATE("R2C",'Mapa de Riesgos'!$O$18),"")</f>
        <v/>
      </c>
      <c r="AC47" s="53" t="str">
        <f>IF(AND('Mapa de Riesgos'!$Y$20="Muy Baja",'Mapa de Riesgos'!$AA$20="Mayor"),CONCATENATE("R2C",'Mapa de Riesgos'!$O$20),"")</f>
        <v/>
      </c>
      <c r="AD47" s="53" t="str">
        <f>IF(AND('Mapa de Riesgos'!$Y$21="Muy Baja",'Mapa de Riesgos'!$AA$21="Mayor"),CONCATENATE("R2C",'Mapa de Riesgos'!$O$21),"")</f>
        <v/>
      </c>
      <c r="AE47" s="53" t="str">
        <f>IF(AND('Mapa de Riesgos'!$Y$22="Muy Baja",'Mapa de Riesgos'!$AA$22="Mayor"),CONCATENATE("R2C",'Mapa de Riesgos'!$O$22),"")</f>
        <v/>
      </c>
      <c r="AF47" s="53" t="str">
        <f>IF(AND('Mapa de Riesgos'!$Y$23="Muy Baja",'Mapa de Riesgos'!$AA$23="Mayor"),CONCATENATE("R2C",'Mapa de Riesgos'!$O$23),"")</f>
        <v/>
      </c>
      <c r="AG47" s="54" t="str">
        <f>IF(AND('Mapa de Riesgos'!$Y$24="Muy Baja",'Mapa de Riesgos'!$AA$24="Mayor"),CONCATENATE("R2C",'Mapa de Riesgos'!$O$24),"")</f>
        <v/>
      </c>
      <c r="AH47" s="55" t="str">
        <f>IF(AND('Mapa de Riesgos'!$Y$18="Muy Baja",'Mapa de Riesgos'!$AA$18="Catastrófico"),CONCATENATE("R2C",'Mapa de Riesgos'!$O$18),"")</f>
        <v/>
      </c>
      <c r="AI47" s="56" t="str">
        <f>IF(AND('Mapa de Riesgos'!$Y$20="Muy Baja",'Mapa de Riesgos'!$AA$20="Catastrófico"),CONCATENATE("R2C",'Mapa de Riesgos'!$O$20),"")</f>
        <v/>
      </c>
      <c r="AJ47" s="56" t="str">
        <f>IF(AND('Mapa de Riesgos'!$Y$21="Muy Baja",'Mapa de Riesgos'!$AA$21="Catastrófico"),CONCATENATE("R2C",'Mapa de Riesgos'!$O$21),"")</f>
        <v/>
      </c>
      <c r="AK47" s="56" t="str">
        <f>IF(AND('Mapa de Riesgos'!$Y$22="Muy Baja",'Mapa de Riesgos'!$AA$22="Catastrófico"),CONCATENATE("R2C",'Mapa de Riesgos'!$O$22),"")</f>
        <v/>
      </c>
      <c r="AL47" s="56" t="str">
        <f>IF(AND('Mapa de Riesgos'!$Y$23="Muy Baja",'Mapa de Riesgos'!$AA$23="Catastrófico"),CONCATENATE("R2C",'Mapa de Riesgos'!$O$23),"")</f>
        <v/>
      </c>
      <c r="AM47" s="57" t="str">
        <f>IF(AND('Mapa de Riesgos'!$Y$24="Muy Baja",'Mapa de Riesgos'!$AA$24="Catastrófico"),CONCATENATE("R2C",'Mapa de Riesgos'!$O$24),"")</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529"/>
      <c r="C48" s="529"/>
      <c r="D48" s="530"/>
      <c r="E48" s="586"/>
      <c r="F48" s="571"/>
      <c r="G48" s="571"/>
      <c r="H48" s="571"/>
      <c r="I48" s="572"/>
      <c r="J48" s="76" t="str">
        <f>IF(AND('Mapa de Riesgos'!$Y$25="Muy Baja",'Mapa de Riesgos'!$AA$25="Leve"),CONCATENATE("R3C",'Mapa de Riesgos'!$O$25),"")</f>
        <v/>
      </c>
      <c r="K48" s="77" t="str">
        <f>IF(AND('Mapa de Riesgos'!$Y$28="Muy Baja",'Mapa de Riesgos'!$AA$28="Leve"),CONCATENATE("R3C",'Mapa de Riesgos'!$O$28),"")</f>
        <v/>
      </c>
      <c r="L48" s="77" t="str">
        <f>IF(AND('Mapa de Riesgos'!$Y$29="Muy Baja",'Mapa de Riesgos'!$AA$29="Leve"),CONCATENATE("R3C",'Mapa de Riesgos'!$O$29),"")</f>
        <v/>
      </c>
      <c r="M48" s="77" t="str">
        <f>IF(AND('Mapa de Riesgos'!$Y$30="Muy Baja",'Mapa de Riesgos'!$AA$30="Leve"),CONCATENATE("R3C",'Mapa de Riesgos'!$O$30),"")</f>
        <v/>
      </c>
      <c r="N48" s="77" t="str">
        <f>IF(AND('Mapa de Riesgos'!$Y$31="Muy Baja",'Mapa de Riesgos'!$AA$31="Leve"),CONCATENATE("R3C",'Mapa de Riesgos'!$O$31),"")</f>
        <v/>
      </c>
      <c r="O48" s="78" t="str">
        <f>IF(AND('Mapa de Riesgos'!$Y$32="Muy Baja",'Mapa de Riesgos'!$AA$32="Leve"),CONCATENATE("R3C",'Mapa de Riesgos'!$O$32),"")</f>
        <v/>
      </c>
      <c r="P48" s="76" t="str">
        <f>IF(AND('Mapa de Riesgos'!$Y$25="Muy Baja",'Mapa de Riesgos'!$AA$25="Menor"),CONCATENATE("R3C",'Mapa de Riesgos'!$O$25),"")</f>
        <v/>
      </c>
      <c r="Q48" s="77" t="str">
        <f>IF(AND('Mapa de Riesgos'!$Y$28="Muy Baja",'Mapa de Riesgos'!$AA$28="Menor"),CONCATENATE("R3C",'Mapa de Riesgos'!$O$28),"")</f>
        <v/>
      </c>
      <c r="R48" s="77" t="str">
        <f>IF(AND('Mapa de Riesgos'!$Y$29="Muy Baja",'Mapa de Riesgos'!$AA$29="Menor"),CONCATENATE("R3C",'Mapa de Riesgos'!$O$29),"")</f>
        <v/>
      </c>
      <c r="S48" s="77" t="str">
        <f>IF(AND('Mapa de Riesgos'!$Y$30="Muy Baja",'Mapa de Riesgos'!$AA$30="Menor"),CONCATENATE("R3C",'Mapa de Riesgos'!$O$30),"")</f>
        <v/>
      </c>
      <c r="T48" s="77" t="str">
        <f>IF(AND('Mapa de Riesgos'!$Y$31="Muy Baja",'Mapa de Riesgos'!$AA$31="Menor"),CONCATENATE("R3C",'Mapa de Riesgos'!$O$31),"")</f>
        <v/>
      </c>
      <c r="U48" s="78" t="str">
        <f>IF(AND('Mapa de Riesgos'!$Y$32="Muy Baja",'Mapa de Riesgos'!$AA$32="Menor"),CONCATENATE("R3C",'Mapa de Riesgos'!$O$32),"")</f>
        <v/>
      </c>
      <c r="V48" s="67" t="str">
        <f>IF(AND('Mapa de Riesgos'!$Y$25="Muy Baja",'Mapa de Riesgos'!$AA$25="Moderado"),CONCATENATE("R3C",'Mapa de Riesgos'!$O$25),"")</f>
        <v/>
      </c>
      <c r="W48" s="68" t="str">
        <f>IF(AND('Mapa de Riesgos'!$Y$28="Muy Baja",'Mapa de Riesgos'!$AA$28="Moderado"),CONCATENATE("R3C",'Mapa de Riesgos'!$O$28),"")</f>
        <v/>
      </c>
      <c r="X48" s="68" t="str">
        <f>IF(AND('Mapa de Riesgos'!$Y$29="Muy Baja",'Mapa de Riesgos'!$AA$29="Moderado"),CONCATENATE("R3C",'Mapa de Riesgos'!$O$29),"")</f>
        <v/>
      </c>
      <c r="Y48" s="68" t="str">
        <f>IF(AND('Mapa de Riesgos'!$Y$30="Muy Baja",'Mapa de Riesgos'!$AA$30="Moderado"),CONCATENATE("R3C",'Mapa de Riesgos'!$O$30),"")</f>
        <v/>
      </c>
      <c r="Z48" s="68" t="str">
        <f>IF(AND('Mapa de Riesgos'!$Y$31="Muy Baja",'Mapa de Riesgos'!$AA$31="Moderado"),CONCATENATE("R3C",'Mapa de Riesgos'!$O$31),"")</f>
        <v/>
      </c>
      <c r="AA48" s="69" t="str">
        <f>IF(AND('Mapa de Riesgos'!$Y$32="Muy Baja",'Mapa de Riesgos'!$AA$32="Moderado"),CONCATENATE("R3C",'Mapa de Riesgos'!$O$32),"")</f>
        <v/>
      </c>
      <c r="AB48" s="52" t="str">
        <f>IF(AND('Mapa de Riesgos'!$Y$25="Muy Baja",'Mapa de Riesgos'!$AA$25="Mayor"),CONCATENATE("R3C",'Mapa de Riesgos'!$O$25),"")</f>
        <v/>
      </c>
      <c r="AC48" s="53" t="str">
        <f>IF(AND('Mapa de Riesgos'!$Y$28="Muy Baja",'Mapa de Riesgos'!$AA$28="Mayor"),CONCATENATE("R3C",'Mapa de Riesgos'!$O$28),"")</f>
        <v/>
      </c>
      <c r="AD48" s="53" t="str">
        <f>IF(AND('Mapa de Riesgos'!$Y$29="Muy Baja",'Mapa de Riesgos'!$AA$29="Mayor"),CONCATENATE("R3C",'Mapa de Riesgos'!$O$29),"")</f>
        <v/>
      </c>
      <c r="AE48" s="53" t="str">
        <f>IF(AND('Mapa de Riesgos'!$Y$30="Muy Baja",'Mapa de Riesgos'!$AA$30="Mayor"),CONCATENATE("R3C",'Mapa de Riesgos'!$O$30),"")</f>
        <v/>
      </c>
      <c r="AF48" s="53" t="str">
        <f>IF(AND('Mapa de Riesgos'!$Y$31="Muy Baja",'Mapa de Riesgos'!$AA$31="Mayor"),CONCATENATE("R3C",'Mapa de Riesgos'!$O$31),"")</f>
        <v/>
      </c>
      <c r="AG48" s="54" t="str">
        <f>IF(AND('Mapa de Riesgos'!$Y$32="Muy Baja",'Mapa de Riesgos'!$AA$32="Mayor"),CONCATENATE("R3C",'Mapa de Riesgos'!$O$32),"")</f>
        <v/>
      </c>
      <c r="AH48" s="55" t="str">
        <f>IF(AND('Mapa de Riesgos'!$Y$25="Muy Baja",'Mapa de Riesgos'!$AA$25="Catastrófico"),CONCATENATE("R3C",'Mapa de Riesgos'!$O$25),"")</f>
        <v/>
      </c>
      <c r="AI48" s="56" t="str">
        <f>IF(AND('Mapa de Riesgos'!$Y$28="Muy Baja",'Mapa de Riesgos'!$AA$28="Catastrófico"),CONCATENATE("R3C",'Mapa de Riesgos'!$O$28),"")</f>
        <v/>
      </c>
      <c r="AJ48" s="56" t="str">
        <f>IF(AND('Mapa de Riesgos'!$Y$29="Muy Baja",'Mapa de Riesgos'!$AA$29="Catastrófico"),CONCATENATE("R3C",'Mapa de Riesgos'!$O$29),"")</f>
        <v/>
      </c>
      <c r="AK48" s="56" t="str">
        <f>IF(AND('Mapa de Riesgos'!$Y$30="Muy Baja",'Mapa de Riesgos'!$AA$30="Catastrófico"),CONCATENATE("R3C",'Mapa de Riesgos'!$O$30),"")</f>
        <v/>
      </c>
      <c r="AL48" s="56" t="str">
        <f>IF(AND('Mapa de Riesgos'!$Y$31="Muy Baja",'Mapa de Riesgos'!$AA$31="Catastrófico"),CONCATENATE("R3C",'Mapa de Riesgos'!$O$31),"")</f>
        <v/>
      </c>
      <c r="AM48" s="57" t="str">
        <f>IF(AND('Mapa de Riesgos'!$Y$32="Muy Baja",'Mapa de Riesgos'!$AA$32="Catastrófico"),CONCATENATE("R3C",'Mapa de Riesgos'!$O$32),"")</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529"/>
      <c r="C49" s="529"/>
      <c r="D49" s="530"/>
      <c r="E49" s="570"/>
      <c r="F49" s="571"/>
      <c r="G49" s="571"/>
      <c r="H49" s="571"/>
      <c r="I49" s="572"/>
      <c r="J49" s="76" t="str">
        <f>IF(AND('Mapa de Riesgos'!$Y$33="Muy Baja",'Mapa de Riesgos'!$AA$33="Leve"),CONCATENATE("R4C",'Mapa de Riesgos'!$O$33),"")</f>
        <v/>
      </c>
      <c r="K49" s="77" t="str">
        <f>IF(AND('Mapa de Riesgos'!$Y$34="Muy Baja",'Mapa de Riesgos'!$AA$34="Leve"),CONCATENATE("R4C",'Mapa de Riesgos'!$O$34),"")</f>
        <v/>
      </c>
      <c r="L49" s="77" t="str">
        <f>IF(AND('Mapa de Riesgos'!$Y$35="Muy Baja",'Mapa de Riesgos'!$AA$35="Leve"),CONCATENATE("R4C",'Mapa de Riesgos'!$O$35),"")</f>
        <v/>
      </c>
      <c r="M49" s="77" t="str">
        <f>IF(AND('Mapa de Riesgos'!$Y$36="Muy Baja",'Mapa de Riesgos'!$AA$36="Leve"),CONCATENATE("R4C",'Mapa de Riesgos'!$O$36),"")</f>
        <v/>
      </c>
      <c r="N49" s="77" t="str">
        <f>IF(AND('Mapa de Riesgos'!$Y$37="Muy Baja",'Mapa de Riesgos'!$AA$37="Leve"),CONCATENATE("R4C",'Mapa de Riesgos'!$O$37),"")</f>
        <v/>
      </c>
      <c r="O49" s="78" t="str">
        <f>IF(AND('Mapa de Riesgos'!$Y$38="Muy Baja",'Mapa de Riesgos'!$AA$38="Leve"),CONCATENATE("R4C",'Mapa de Riesgos'!$O$38),"")</f>
        <v/>
      </c>
      <c r="P49" s="76" t="str">
        <f>IF(AND('Mapa de Riesgos'!$Y$33="Muy Baja",'Mapa de Riesgos'!$AA$33="Menor"),CONCATENATE("R4C",'Mapa de Riesgos'!$O$33),"")</f>
        <v/>
      </c>
      <c r="Q49" s="77" t="str">
        <f>IF(AND('Mapa de Riesgos'!$Y$34="Muy Baja",'Mapa de Riesgos'!$AA$34="Menor"),CONCATENATE("R4C",'Mapa de Riesgos'!$O$34),"")</f>
        <v/>
      </c>
      <c r="R49" s="77" t="str">
        <f>IF(AND('Mapa de Riesgos'!$Y$35="Muy Baja",'Mapa de Riesgos'!$AA$35="Menor"),CONCATENATE("R4C",'Mapa de Riesgos'!$O$35),"")</f>
        <v/>
      </c>
      <c r="S49" s="77" t="str">
        <f>IF(AND('Mapa de Riesgos'!$Y$36="Muy Baja",'Mapa de Riesgos'!$AA$36="Menor"),CONCATENATE("R4C",'Mapa de Riesgos'!$O$36),"")</f>
        <v/>
      </c>
      <c r="T49" s="77" t="str">
        <f>IF(AND('Mapa de Riesgos'!$Y$37="Muy Baja",'Mapa de Riesgos'!$AA$37="Menor"),CONCATENATE("R4C",'Mapa de Riesgos'!$O$37),"")</f>
        <v/>
      </c>
      <c r="U49" s="78" t="str">
        <f>IF(AND('Mapa de Riesgos'!$Y$38="Muy Baja",'Mapa de Riesgos'!$AA$38="Menor"),CONCATENATE("R4C",'Mapa de Riesgos'!$O$38),"")</f>
        <v/>
      </c>
      <c r="V49" s="67" t="str">
        <f>IF(AND('Mapa de Riesgos'!$Y$33="Muy Baja",'Mapa de Riesgos'!$AA$33="Moderado"),CONCATENATE("R4C",'Mapa de Riesgos'!$O$33),"")</f>
        <v/>
      </c>
      <c r="W49" s="68" t="str">
        <f>IF(AND('Mapa de Riesgos'!$Y$34="Muy Baja",'Mapa de Riesgos'!$AA$34="Moderado"),CONCATENATE("R4C",'Mapa de Riesgos'!$O$34),"")</f>
        <v/>
      </c>
      <c r="X49" s="68" t="str">
        <f>IF(AND('Mapa de Riesgos'!$Y$35="Muy Baja",'Mapa de Riesgos'!$AA$35="Moderado"),CONCATENATE("R4C",'Mapa de Riesgos'!$O$35),"")</f>
        <v/>
      </c>
      <c r="Y49" s="68" t="str">
        <f>IF(AND('Mapa de Riesgos'!$Y$36="Muy Baja",'Mapa de Riesgos'!$AA$36="Moderado"),CONCATENATE("R4C",'Mapa de Riesgos'!$O$36),"")</f>
        <v/>
      </c>
      <c r="Z49" s="68" t="str">
        <f>IF(AND('Mapa de Riesgos'!$Y$37="Muy Baja",'Mapa de Riesgos'!$AA$37="Moderado"),CONCATENATE("R4C",'Mapa de Riesgos'!$O$37),"")</f>
        <v/>
      </c>
      <c r="AA49" s="69" t="str">
        <f>IF(AND('Mapa de Riesgos'!$Y$38="Muy Baja",'Mapa de Riesgos'!$AA$38="Moderado"),CONCATENATE("R4C",'Mapa de Riesgos'!$O$38),"")</f>
        <v/>
      </c>
      <c r="AB49" s="52" t="str">
        <f>IF(AND('Mapa de Riesgos'!$Y$33="Muy Baja",'Mapa de Riesgos'!$AA$33="Mayor"),CONCATENATE("R4C",'Mapa de Riesgos'!$O$33),"")</f>
        <v/>
      </c>
      <c r="AC49" s="53" t="str">
        <f>IF(AND('Mapa de Riesgos'!$Y$34="Muy Baja",'Mapa de Riesgos'!$AA$34="Mayor"),CONCATENATE("R4C",'Mapa de Riesgos'!$O$34),"")</f>
        <v/>
      </c>
      <c r="AD49" s="53" t="str">
        <f>IF(AND('Mapa de Riesgos'!$Y$35="Muy Baja",'Mapa de Riesgos'!$AA$35="Mayor"),CONCATENATE("R4C",'Mapa de Riesgos'!$O$35),"")</f>
        <v/>
      </c>
      <c r="AE49" s="53" t="str">
        <f>IF(AND('Mapa de Riesgos'!$Y$36="Muy Baja",'Mapa de Riesgos'!$AA$36="Mayor"),CONCATENATE("R4C",'Mapa de Riesgos'!$O$36),"")</f>
        <v/>
      </c>
      <c r="AF49" s="53" t="str">
        <f>IF(AND('Mapa de Riesgos'!$Y$37="Muy Baja",'Mapa de Riesgos'!$AA$37="Mayor"),CONCATENATE("R4C",'Mapa de Riesgos'!$O$37),"")</f>
        <v/>
      </c>
      <c r="AG49" s="54" t="str">
        <f>IF(AND('Mapa de Riesgos'!$Y$38="Muy Baja",'Mapa de Riesgos'!$AA$38="Mayor"),CONCATENATE("R4C",'Mapa de Riesgos'!$O$38),"")</f>
        <v/>
      </c>
      <c r="AH49" s="55" t="str">
        <f>IF(AND('Mapa de Riesgos'!$Y$33="Muy Baja",'Mapa de Riesgos'!$AA$33="Catastrófico"),CONCATENATE("R4C",'Mapa de Riesgos'!$O$33),"")</f>
        <v/>
      </c>
      <c r="AI49" s="56" t="str">
        <f>IF(AND('Mapa de Riesgos'!$Y$34="Muy Baja",'Mapa de Riesgos'!$AA$34="Catastrófico"),CONCATENATE("R4C",'Mapa de Riesgos'!$O$34),"")</f>
        <v/>
      </c>
      <c r="AJ49" s="56" t="str">
        <f>IF(AND('Mapa de Riesgos'!$Y$35="Muy Baja",'Mapa de Riesgos'!$AA$35="Catastrófico"),CONCATENATE("R4C",'Mapa de Riesgos'!$O$35),"")</f>
        <v/>
      </c>
      <c r="AK49" s="56" t="str">
        <f>IF(AND('Mapa de Riesgos'!$Y$36="Muy Baja",'Mapa de Riesgos'!$AA$36="Catastrófico"),CONCATENATE("R4C",'Mapa de Riesgos'!$O$36),"")</f>
        <v/>
      </c>
      <c r="AL49" s="56" t="str">
        <f>IF(AND('Mapa de Riesgos'!$Y$37="Muy Baja",'Mapa de Riesgos'!$AA$37="Catastrófico"),CONCATENATE("R4C",'Mapa de Riesgos'!$O$37),"")</f>
        <v/>
      </c>
      <c r="AM49" s="57" t="str">
        <f>IF(AND('Mapa de Riesgos'!$Y$38="Muy Baja",'Mapa de Riesgos'!$AA$38="Catastrófico"),CONCATENATE("R4C",'Mapa de Riesgos'!$O$38),"")</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529"/>
      <c r="C50" s="529"/>
      <c r="D50" s="530"/>
      <c r="E50" s="570"/>
      <c r="F50" s="571"/>
      <c r="G50" s="571"/>
      <c r="H50" s="571"/>
      <c r="I50" s="572"/>
      <c r="J50" s="76" t="str">
        <f>IF(AND('Mapa de Riesgos'!$Y$39="Muy Baja",'Mapa de Riesgos'!$AA$39="Leve"),CONCATENATE("R5C",'Mapa de Riesgos'!$O$39),"")</f>
        <v/>
      </c>
      <c r="K50" s="77" t="str">
        <f>IF(AND('Mapa de Riesgos'!$Y$41="Muy Baja",'Mapa de Riesgos'!$AA$41="Leve"),CONCATENATE("R5C",'Mapa de Riesgos'!$O$41),"")</f>
        <v/>
      </c>
      <c r="L50" s="77" t="str">
        <f>IF(AND('Mapa de Riesgos'!$Y$42="Muy Baja",'Mapa de Riesgos'!$AA$42="Leve"),CONCATENATE("R5C",'Mapa de Riesgos'!$O$42),"")</f>
        <v/>
      </c>
      <c r="M50" s="77" t="str">
        <f>IF(AND('Mapa de Riesgos'!$Y$43="Muy Baja",'Mapa de Riesgos'!$AA$43="Leve"),CONCATENATE("R5C",'Mapa de Riesgos'!$O$43),"")</f>
        <v/>
      </c>
      <c r="N50" s="77" t="str">
        <f>IF(AND('Mapa de Riesgos'!$Y$44="Muy Baja",'Mapa de Riesgos'!$AA$44="Leve"),CONCATENATE("R5C",'Mapa de Riesgos'!$O$44),"")</f>
        <v/>
      </c>
      <c r="O50" s="78" t="str">
        <f>IF(AND('Mapa de Riesgos'!$Y$45="Muy Baja",'Mapa de Riesgos'!$AA$45="Leve"),CONCATENATE("R5C",'Mapa de Riesgos'!$O$45),"")</f>
        <v/>
      </c>
      <c r="P50" s="76" t="str">
        <f>IF(AND('Mapa de Riesgos'!$Y$39="Muy Baja",'Mapa de Riesgos'!$AA$39="Menor"),CONCATENATE("R5C",'Mapa de Riesgos'!$O$39),"")</f>
        <v/>
      </c>
      <c r="Q50" s="77" t="str">
        <f>IF(AND('Mapa de Riesgos'!$Y$41="Muy Baja",'Mapa de Riesgos'!$AA$41="Menor"),CONCATENATE("R5C",'Mapa de Riesgos'!$O$41),"")</f>
        <v/>
      </c>
      <c r="R50" s="77" t="str">
        <f>IF(AND('Mapa de Riesgos'!$Y$42="Muy Baja",'Mapa de Riesgos'!$AA$42="Menor"),CONCATENATE("R5C",'Mapa de Riesgos'!$O$42),"")</f>
        <v/>
      </c>
      <c r="S50" s="77" t="str">
        <f>IF(AND('Mapa de Riesgos'!$Y$43="Muy Baja",'Mapa de Riesgos'!$AA$43="Menor"),CONCATENATE("R5C",'Mapa de Riesgos'!$O$43),"")</f>
        <v/>
      </c>
      <c r="T50" s="77" t="str">
        <f>IF(AND('Mapa de Riesgos'!$Y$44="Muy Baja",'Mapa de Riesgos'!$AA$44="Menor"),CONCATENATE("R5C",'Mapa de Riesgos'!$O$44),"")</f>
        <v/>
      </c>
      <c r="U50" s="78" t="str">
        <f>IF(AND('Mapa de Riesgos'!$Y$45="Muy Baja",'Mapa de Riesgos'!$AA$45="Menor"),CONCATENATE("R5C",'Mapa de Riesgos'!$O$45),"")</f>
        <v/>
      </c>
      <c r="V50" s="67" t="str">
        <f>IF(AND('Mapa de Riesgos'!$Y$39="Muy Baja",'Mapa de Riesgos'!$AA$39="Moderado"),CONCATENATE("R5C",'Mapa de Riesgos'!$O$39),"")</f>
        <v/>
      </c>
      <c r="W50" s="68" t="str">
        <f>IF(AND('Mapa de Riesgos'!$Y$41="Muy Baja",'Mapa de Riesgos'!$AA$41="Moderado"),CONCATENATE("R5C",'Mapa de Riesgos'!$O$41),"")</f>
        <v/>
      </c>
      <c r="X50" s="68" t="str">
        <f>IF(AND('Mapa de Riesgos'!$Y$42="Muy Baja",'Mapa de Riesgos'!$AA$42="Moderado"),CONCATENATE("R5C",'Mapa de Riesgos'!$O$42),"")</f>
        <v/>
      </c>
      <c r="Y50" s="68" t="str">
        <f>IF(AND('Mapa de Riesgos'!$Y$43="Muy Baja",'Mapa de Riesgos'!$AA$43="Moderado"),CONCATENATE("R5C",'Mapa de Riesgos'!$O$43),"")</f>
        <v/>
      </c>
      <c r="Z50" s="68" t="str">
        <f>IF(AND('Mapa de Riesgos'!$Y$44="Muy Baja",'Mapa de Riesgos'!$AA$44="Moderado"),CONCATENATE("R5C",'Mapa de Riesgos'!$O$44),"")</f>
        <v/>
      </c>
      <c r="AA50" s="69" t="str">
        <f>IF(AND('Mapa de Riesgos'!$Y$45="Muy Baja",'Mapa de Riesgos'!$AA$45="Moderado"),CONCATENATE("R5C",'Mapa de Riesgos'!$O$45),"")</f>
        <v/>
      </c>
      <c r="AB50" s="52" t="str">
        <f>IF(AND('Mapa de Riesgos'!$Y$39="Muy Baja",'Mapa de Riesgos'!$AA$39="Mayor"),CONCATENATE("R5C",'Mapa de Riesgos'!$O$39),"")</f>
        <v/>
      </c>
      <c r="AC50" s="53" t="str">
        <f>IF(AND('Mapa de Riesgos'!$Y$41="Muy Baja",'Mapa de Riesgos'!$AA$41="Mayor"),CONCATENATE("R5C",'Mapa de Riesgos'!$O$41),"")</f>
        <v/>
      </c>
      <c r="AD50" s="53" t="str">
        <f>IF(AND('Mapa de Riesgos'!$Y$42="Muy Baja",'Mapa de Riesgos'!$AA$42="Mayor"),CONCATENATE("R5C",'Mapa de Riesgos'!$O$42),"")</f>
        <v/>
      </c>
      <c r="AE50" s="53" t="str">
        <f>IF(AND('Mapa de Riesgos'!$Y$43="Muy Baja",'Mapa de Riesgos'!$AA$43="Mayor"),CONCATENATE("R5C",'Mapa de Riesgos'!$O$43),"")</f>
        <v/>
      </c>
      <c r="AF50" s="53" t="str">
        <f>IF(AND('Mapa de Riesgos'!$Y$44="Muy Baja",'Mapa de Riesgos'!$AA$44="Mayor"),CONCATENATE("R5C",'Mapa de Riesgos'!$O$44),"")</f>
        <v/>
      </c>
      <c r="AG50" s="54" t="str">
        <f>IF(AND('Mapa de Riesgos'!$Y$45="Muy Baja",'Mapa de Riesgos'!$AA$45="Mayor"),CONCATENATE("R5C",'Mapa de Riesgos'!$O$45),"")</f>
        <v/>
      </c>
      <c r="AH50" s="55" t="str">
        <f>IF(AND('Mapa de Riesgos'!$Y$39="Muy Baja",'Mapa de Riesgos'!$AA$39="Catastrófico"),CONCATENATE("R5C",'Mapa de Riesgos'!$O$39),"")</f>
        <v/>
      </c>
      <c r="AI50" s="56" t="str">
        <f>IF(AND('Mapa de Riesgos'!$Y$41="Muy Baja",'Mapa de Riesgos'!$AA$41="Catastrófico"),CONCATENATE("R5C",'Mapa de Riesgos'!$O$41),"")</f>
        <v/>
      </c>
      <c r="AJ50" s="56" t="str">
        <f>IF(AND('Mapa de Riesgos'!$Y$42="Muy Baja",'Mapa de Riesgos'!$AA$42="Catastrófico"),CONCATENATE("R5C",'Mapa de Riesgos'!$O$42),"")</f>
        <v/>
      </c>
      <c r="AK50" s="56" t="str">
        <f>IF(AND('Mapa de Riesgos'!$Y$43="Muy Baja",'Mapa de Riesgos'!$AA$43="Catastrófico"),CONCATENATE("R5C",'Mapa de Riesgos'!$O$43),"")</f>
        <v/>
      </c>
      <c r="AL50" s="56" t="str">
        <f>IF(AND('Mapa de Riesgos'!$Y$44="Muy Baja",'Mapa de Riesgos'!$AA$44="Catastrófico"),CONCATENATE("R5C",'Mapa de Riesgos'!$O$44),"")</f>
        <v/>
      </c>
      <c r="AM50" s="57" t="str">
        <f>IF(AND('Mapa de Riesgos'!$Y$45="Muy Baja",'Mapa de Riesgos'!$AA$45="Catastrófico"),CONCATENATE("R5C",'Mapa de Riesgos'!$O$45),"")</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529"/>
      <c r="C51" s="529"/>
      <c r="D51" s="530"/>
      <c r="E51" s="570"/>
      <c r="F51" s="571"/>
      <c r="G51" s="571"/>
      <c r="H51" s="571"/>
      <c r="I51" s="572"/>
      <c r="J51" s="76" t="str">
        <f>IF(AND('Mapa de Riesgos'!$Y$46="Muy Baja",'Mapa de Riesgos'!$AA$46="Leve"),CONCATENATE("R6C",'Mapa de Riesgos'!$O$46),"")</f>
        <v/>
      </c>
      <c r="K51" s="77" t="str">
        <f>IF(AND('Mapa de Riesgos'!$Y$47="Muy Baja",'Mapa de Riesgos'!$AA$47="Leve"),CONCATENATE("R6C",'Mapa de Riesgos'!$O$47),"")</f>
        <v/>
      </c>
      <c r="L51" s="77" t="str">
        <f>IF(AND('Mapa de Riesgos'!$Y$48="Muy Baja",'Mapa de Riesgos'!$AA$48="Leve"),CONCATENATE("R6C",'Mapa de Riesgos'!$O$48),"")</f>
        <v/>
      </c>
      <c r="M51" s="77" t="str">
        <f>IF(AND('Mapa de Riesgos'!$Y$49="Muy Baja",'Mapa de Riesgos'!$AA$49="Leve"),CONCATENATE("R6C",'Mapa de Riesgos'!$O$49),"")</f>
        <v/>
      </c>
      <c r="N51" s="77" t="str">
        <f>IF(AND('Mapa de Riesgos'!$Y$50="Muy Baja",'Mapa de Riesgos'!$AA$50="Leve"),CONCATENATE("R6C",'Mapa de Riesgos'!$O$50),"")</f>
        <v/>
      </c>
      <c r="O51" s="78" t="str">
        <f>IF(AND('Mapa de Riesgos'!$Y$51="Muy Baja",'Mapa de Riesgos'!$AA$51="Leve"),CONCATENATE("R6C",'Mapa de Riesgos'!$O$51),"")</f>
        <v/>
      </c>
      <c r="P51" s="76" t="str">
        <f>IF(AND('Mapa de Riesgos'!$Y$46="Muy Baja",'Mapa de Riesgos'!$AA$46="Menor"),CONCATENATE("R6C",'Mapa de Riesgos'!$O$46),"")</f>
        <v/>
      </c>
      <c r="Q51" s="77" t="str">
        <f>IF(AND('Mapa de Riesgos'!$Y$47="Muy Baja",'Mapa de Riesgos'!$AA$47="Menor"),CONCATENATE("R6C",'Mapa de Riesgos'!$O$47),"")</f>
        <v/>
      </c>
      <c r="R51" s="77" t="str">
        <f>IF(AND('Mapa de Riesgos'!$Y$48="Muy Baja",'Mapa de Riesgos'!$AA$48="Menor"),CONCATENATE("R6C",'Mapa de Riesgos'!$O$48),"")</f>
        <v/>
      </c>
      <c r="S51" s="77" t="str">
        <f>IF(AND('Mapa de Riesgos'!$Y$49="Muy Baja",'Mapa de Riesgos'!$AA$49="Menor"),CONCATENATE("R6C",'Mapa de Riesgos'!$O$49),"")</f>
        <v/>
      </c>
      <c r="T51" s="77" t="str">
        <f>IF(AND('Mapa de Riesgos'!$Y$50="Muy Baja",'Mapa de Riesgos'!$AA$50="Menor"),CONCATENATE("R6C",'Mapa de Riesgos'!$O$50),"")</f>
        <v/>
      </c>
      <c r="U51" s="78" t="str">
        <f>IF(AND('Mapa de Riesgos'!$Y$51="Muy Baja",'Mapa de Riesgos'!$AA$51="Menor"),CONCATENATE("R6C",'Mapa de Riesgos'!$O$51),"")</f>
        <v/>
      </c>
      <c r="V51" s="67" t="str">
        <f>IF(AND('Mapa de Riesgos'!$Y$46="Muy Baja",'Mapa de Riesgos'!$AA$46="Moderado"),CONCATENATE("R6C",'Mapa de Riesgos'!$O$46),"")</f>
        <v/>
      </c>
      <c r="W51" s="68" t="str">
        <f>IF(AND('Mapa de Riesgos'!$Y$47="Muy Baja",'Mapa de Riesgos'!$AA$47="Moderado"),CONCATENATE("R6C",'Mapa de Riesgos'!$O$47),"")</f>
        <v/>
      </c>
      <c r="X51" s="68" t="str">
        <f>IF(AND('Mapa de Riesgos'!$Y$48="Muy Baja",'Mapa de Riesgos'!$AA$48="Moderado"),CONCATENATE("R6C",'Mapa de Riesgos'!$O$48),"")</f>
        <v/>
      </c>
      <c r="Y51" s="68" t="str">
        <f>IF(AND('Mapa de Riesgos'!$Y$49="Muy Baja",'Mapa de Riesgos'!$AA$49="Moderado"),CONCATENATE("R6C",'Mapa de Riesgos'!$O$49),"")</f>
        <v/>
      </c>
      <c r="Z51" s="68" t="str">
        <f>IF(AND('Mapa de Riesgos'!$Y$50="Muy Baja",'Mapa de Riesgos'!$AA$50="Moderado"),CONCATENATE("R6C",'Mapa de Riesgos'!$O$50),"")</f>
        <v/>
      </c>
      <c r="AA51" s="69" t="str">
        <f>IF(AND('Mapa de Riesgos'!$Y$51="Muy Baja",'Mapa de Riesgos'!$AA$51="Moderado"),CONCATENATE("R6C",'Mapa de Riesgos'!$O$51),"")</f>
        <v/>
      </c>
      <c r="AB51" s="52" t="str">
        <f>IF(AND('Mapa de Riesgos'!$Y$46="Muy Baja",'Mapa de Riesgos'!$AA$46="Mayor"),CONCATENATE("R6C",'Mapa de Riesgos'!$O$46),"")</f>
        <v/>
      </c>
      <c r="AC51" s="53" t="str">
        <f>IF(AND('Mapa de Riesgos'!$Y$47="Muy Baja",'Mapa de Riesgos'!$AA$47="Mayor"),CONCATENATE("R6C",'Mapa de Riesgos'!$O$47),"")</f>
        <v/>
      </c>
      <c r="AD51" s="53" t="str">
        <f>IF(AND('Mapa de Riesgos'!$Y$48="Muy Baja",'Mapa de Riesgos'!$AA$48="Mayor"),CONCATENATE("R6C",'Mapa de Riesgos'!$O$48),"")</f>
        <v/>
      </c>
      <c r="AE51" s="53" t="str">
        <f>IF(AND('Mapa de Riesgos'!$Y$49="Muy Baja",'Mapa de Riesgos'!$AA$49="Mayor"),CONCATENATE("R6C",'Mapa de Riesgos'!$O$49),"")</f>
        <v/>
      </c>
      <c r="AF51" s="53" t="str">
        <f>IF(AND('Mapa de Riesgos'!$Y$50="Muy Baja",'Mapa de Riesgos'!$AA$50="Mayor"),CONCATENATE("R6C",'Mapa de Riesgos'!$O$50),"")</f>
        <v/>
      </c>
      <c r="AG51" s="54" t="str">
        <f>IF(AND('Mapa de Riesgos'!$Y$51="Muy Baja",'Mapa de Riesgos'!$AA$51="Mayor"),CONCATENATE("R6C",'Mapa de Riesgos'!$O$51),"")</f>
        <v/>
      </c>
      <c r="AH51" s="55" t="str">
        <f>IF(AND('Mapa de Riesgos'!$Y$46="Muy Baja",'Mapa de Riesgos'!$AA$46="Catastrófico"),CONCATENATE("R6C",'Mapa de Riesgos'!$O$46),"")</f>
        <v/>
      </c>
      <c r="AI51" s="56" t="str">
        <f>IF(AND('Mapa de Riesgos'!$Y$47="Muy Baja",'Mapa de Riesgos'!$AA$47="Catastrófico"),CONCATENATE("R6C",'Mapa de Riesgos'!$O$47),"")</f>
        <v/>
      </c>
      <c r="AJ51" s="56" t="str">
        <f>IF(AND('Mapa de Riesgos'!$Y$48="Muy Baja",'Mapa de Riesgos'!$AA$48="Catastrófico"),CONCATENATE("R6C",'Mapa de Riesgos'!$O$48),"")</f>
        <v/>
      </c>
      <c r="AK51" s="56" t="str">
        <f>IF(AND('Mapa de Riesgos'!$Y$49="Muy Baja",'Mapa de Riesgos'!$AA$49="Catastrófico"),CONCATENATE("R6C",'Mapa de Riesgos'!$O$49),"")</f>
        <v/>
      </c>
      <c r="AL51" s="56" t="str">
        <f>IF(AND('Mapa de Riesgos'!$Y$50="Muy Baja",'Mapa de Riesgos'!$AA$50="Catastrófico"),CONCATENATE("R6C",'Mapa de Riesgos'!$O$50),"")</f>
        <v/>
      </c>
      <c r="AM51" s="57" t="str">
        <f>IF(AND('Mapa de Riesgos'!$Y$51="Muy Baja",'Mapa de Riesgos'!$AA$51="Catastrófico"),CONCATENATE("R6C",'Mapa de Riesgos'!$O$51),"")</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529"/>
      <c r="C52" s="529"/>
      <c r="D52" s="530"/>
      <c r="E52" s="570"/>
      <c r="F52" s="571"/>
      <c r="G52" s="571"/>
      <c r="H52" s="571"/>
      <c r="I52" s="572"/>
      <c r="J52" s="76" t="str">
        <f>IF(AND('Mapa de Riesgos'!$Y$52="Muy Baja",'Mapa de Riesgos'!$AA$52="Leve"),CONCATENATE("R7C",'Mapa de Riesgos'!$O$52),"")</f>
        <v/>
      </c>
      <c r="K52" s="77" t="str">
        <f>IF(AND('Mapa de Riesgos'!$Y$53="Muy Baja",'Mapa de Riesgos'!$AA$53="Leve"),CONCATENATE("R7C",'Mapa de Riesgos'!$O$53),"")</f>
        <v/>
      </c>
      <c r="L52" s="77" t="str">
        <f>IF(AND('Mapa de Riesgos'!$Y$54="Muy Baja",'Mapa de Riesgos'!$AA$54="Leve"),CONCATENATE("R7C",'Mapa de Riesgos'!$O$54),"")</f>
        <v/>
      </c>
      <c r="M52" s="77" t="str">
        <f>IF(AND('Mapa de Riesgos'!$Y$55="Muy Baja",'Mapa de Riesgos'!$AA$55="Leve"),CONCATENATE("R7C",'Mapa de Riesgos'!$O$55),"")</f>
        <v/>
      </c>
      <c r="N52" s="77" t="str">
        <f>IF(AND('Mapa de Riesgos'!$Y$56="Muy Baja",'Mapa de Riesgos'!$AA$56="Leve"),CONCATENATE("R7C",'Mapa de Riesgos'!$O$56),"")</f>
        <v/>
      </c>
      <c r="O52" s="78" t="str">
        <f>IF(AND('Mapa de Riesgos'!$Y$57="Muy Baja",'Mapa de Riesgos'!$AA$57="Leve"),CONCATENATE("R7C",'Mapa de Riesgos'!$O$57),"")</f>
        <v/>
      </c>
      <c r="P52" s="76" t="str">
        <f>IF(AND('Mapa de Riesgos'!$Y$52="Muy Baja",'Mapa de Riesgos'!$AA$52="Menor"),CONCATENATE("R7C",'Mapa de Riesgos'!$O$52),"")</f>
        <v/>
      </c>
      <c r="Q52" s="77" t="str">
        <f>IF(AND('Mapa de Riesgos'!$Y$53="Muy Baja",'Mapa de Riesgos'!$AA$53="Menor"),CONCATENATE("R7C",'Mapa de Riesgos'!$O$53),"")</f>
        <v/>
      </c>
      <c r="R52" s="77" t="str">
        <f>IF(AND('Mapa de Riesgos'!$Y$54="Muy Baja",'Mapa de Riesgos'!$AA$54="Menor"),CONCATENATE("R7C",'Mapa de Riesgos'!$O$54),"")</f>
        <v/>
      </c>
      <c r="S52" s="77" t="str">
        <f>IF(AND('Mapa de Riesgos'!$Y$55="Muy Baja",'Mapa de Riesgos'!$AA$55="Menor"),CONCATENATE("R7C",'Mapa de Riesgos'!$O$55),"")</f>
        <v/>
      </c>
      <c r="T52" s="77" t="str">
        <f>IF(AND('Mapa de Riesgos'!$Y$56="Muy Baja",'Mapa de Riesgos'!$AA$56="Menor"),CONCATENATE("R7C",'Mapa de Riesgos'!$O$56),"")</f>
        <v/>
      </c>
      <c r="U52" s="78" t="str">
        <f>IF(AND('Mapa de Riesgos'!$Y$57="Muy Baja",'Mapa de Riesgos'!$AA$57="Menor"),CONCATENATE("R7C",'Mapa de Riesgos'!$O$57),"")</f>
        <v/>
      </c>
      <c r="V52" s="67" t="str">
        <f>IF(AND('Mapa de Riesgos'!$Y$52="Muy Baja",'Mapa de Riesgos'!$AA$52="Moderado"),CONCATENATE("R7C",'Mapa de Riesgos'!$O$52),"")</f>
        <v/>
      </c>
      <c r="W52" s="68" t="str">
        <f>IF(AND('Mapa de Riesgos'!$Y$53="Muy Baja",'Mapa de Riesgos'!$AA$53="Moderado"),CONCATENATE("R7C",'Mapa de Riesgos'!$O$53),"")</f>
        <v/>
      </c>
      <c r="X52" s="68" t="str">
        <f>IF(AND('Mapa de Riesgos'!$Y$54="Muy Baja",'Mapa de Riesgos'!$AA$54="Moderado"),CONCATENATE("R7C",'Mapa de Riesgos'!$O$54),"")</f>
        <v/>
      </c>
      <c r="Y52" s="68" t="str">
        <f>IF(AND('Mapa de Riesgos'!$Y$55="Muy Baja",'Mapa de Riesgos'!$AA$55="Moderado"),CONCATENATE("R7C",'Mapa de Riesgos'!$O$55),"")</f>
        <v/>
      </c>
      <c r="Z52" s="68" t="str">
        <f>IF(AND('Mapa de Riesgos'!$Y$56="Muy Baja",'Mapa de Riesgos'!$AA$56="Moderado"),CONCATENATE("R7C",'Mapa de Riesgos'!$O$56),"")</f>
        <v/>
      </c>
      <c r="AA52" s="69" t="str">
        <f>IF(AND('Mapa de Riesgos'!$Y$57="Muy Baja",'Mapa de Riesgos'!$AA$57="Moderado"),CONCATENATE("R7C",'Mapa de Riesgos'!$O$57),"")</f>
        <v/>
      </c>
      <c r="AB52" s="52" t="str">
        <f>IF(AND('Mapa de Riesgos'!$Y$52="Muy Baja",'Mapa de Riesgos'!$AA$52="Mayor"),CONCATENATE("R7C",'Mapa de Riesgos'!$O$52),"")</f>
        <v/>
      </c>
      <c r="AC52" s="53" t="str">
        <f>IF(AND('Mapa de Riesgos'!$Y$53="Muy Baja",'Mapa de Riesgos'!$AA$53="Mayor"),CONCATENATE("R7C",'Mapa de Riesgos'!$O$53),"")</f>
        <v/>
      </c>
      <c r="AD52" s="53" t="str">
        <f>IF(AND('Mapa de Riesgos'!$Y$54="Muy Baja",'Mapa de Riesgos'!$AA$54="Mayor"),CONCATENATE("R7C",'Mapa de Riesgos'!$O$54),"")</f>
        <v/>
      </c>
      <c r="AE52" s="53" t="str">
        <f>IF(AND('Mapa de Riesgos'!$Y$55="Muy Baja",'Mapa de Riesgos'!$AA$55="Mayor"),CONCATENATE("R7C",'Mapa de Riesgos'!$O$55),"")</f>
        <v/>
      </c>
      <c r="AF52" s="53" t="str">
        <f>IF(AND('Mapa de Riesgos'!$Y$56="Muy Baja",'Mapa de Riesgos'!$AA$56="Mayor"),CONCATENATE("R7C",'Mapa de Riesgos'!$O$56),"")</f>
        <v/>
      </c>
      <c r="AG52" s="54" t="str">
        <f>IF(AND('Mapa de Riesgos'!$Y$57="Muy Baja",'Mapa de Riesgos'!$AA$57="Mayor"),CONCATENATE("R7C",'Mapa de Riesgos'!$O$57),"")</f>
        <v/>
      </c>
      <c r="AH52" s="55" t="str">
        <f>IF(AND('Mapa de Riesgos'!$Y$52="Muy Baja",'Mapa de Riesgos'!$AA$52="Catastrófico"),CONCATENATE("R7C",'Mapa de Riesgos'!$O$52),"")</f>
        <v/>
      </c>
      <c r="AI52" s="56" t="str">
        <f>IF(AND('Mapa de Riesgos'!$Y$53="Muy Baja",'Mapa de Riesgos'!$AA$53="Catastrófico"),CONCATENATE("R7C",'Mapa de Riesgos'!$O$53),"")</f>
        <v/>
      </c>
      <c r="AJ52" s="56" t="str">
        <f>IF(AND('Mapa de Riesgos'!$Y$54="Muy Baja",'Mapa de Riesgos'!$AA$54="Catastrófico"),CONCATENATE("R7C",'Mapa de Riesgos'!$O$54),"")</f>
        <v/>
      </c>
      <c r="AK52" s="56" t="str">
        <f>IF(AND('Mapa de Riesgos'!$Y$55="Muy Baja",'Mapa de Riesgos'!$AA$55="Catastrófico"),CONCATENATE("R7C",'Mapa de Riesgos'!$O$55),"")</f>
        <v/>
      </c>
      <c r="AL52" s="56" t="str">
        <f>IF(AND('Mapa de Riesgos'!$Y$56="Muy Baja",'Mapa de Riesgos'!$AA$56="Catastrófico"),CONCATENATE("R7C",'Mapa de Riesgos'!$O$56),"")</f>
        <v/>
      </c>
      <c r="AM52" s="57" t="str">
        <f>IF(AND('Mapa de Riesgos'!$Y$57="Muy Baja",'Mapa de Riesgos'!$AA$57="Catastrófico"),CONCATENATE("R7C",'Mapa de Riesgos'!$O$57),"")</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529"/>
      <c r="C53" s="529"/>
      <c r="D53" s="530"/>
      <c r="E53" s="570"/>
      <c r="F53" s="571"/>
      <c r="G53" s="571"/>
      <c r="H53" s="571"/>
      <c r="I53" s="572"/>
      <c r="J53" s="76" t="str">
        <f>IF(AND('Mapa de Riesgos'!$Y$58="Muy Baja",'Mapa de Riesgos'!$AA$58="Leve"),CONCATENATE("R8C",'Mapa de Riesgos'!$O$58),"")</f>
        <v/>
      </c>
      <c r="K53" s="77" t="str">
        <f>IF(AND('Mapa de Riesgos'!$Y$59="Muy Baja",'Mapa de Riesgos'!$AA$59="Leve"),CONCATENATE("R8C",'Mapa de Riesgos'!$O$59),"")</f>
        <v/>
      </c>
      <c r="L53" s="77" t="str">
        <f>IF(AND('Mapa de Riesgos'!$Y$60="Muy Baja",'Mapa de Riesgos'!$AA$60="Leve"),CONCATENATE("R8C",'Mapa de Riesgos'!$O$60),"")</f>
        <v/>
      </c>
      <c r="M53" s="77" t="str">
        <f>IF(AND('Mapa de Riesgos'!$Y$61="Muy Baja",'Mapa de Riesgos'!$AA$61="Leve"),CONCATENATE("R8C",'Mapa de Riesgos'!$O$61),"")</f>
        <v/>
      </c>
      <c r="N53" s="77" t="str">
        <f>IF(AND('Mapa de Riesgos'!$Y$62="Muy Baja",'Mapa de Riesgos'!$AA$62="Leve"),CONCATENATE("R8C",'Mapa de Riesgos'!$O$62),"")</f>
        <v/>
      </c>
      <c r="O53" s="78" t="str">
        <f>IF(AND('Mapa de Riesgos'!$Y$63="Muy Baja",'Mapa de Riesgos'!$AA$63="Leve"),CONCATENATE("R8C",'Mapa de Riesgos'!$O$63),"")</f>
        <v/>
      </c>
      <c r="P53" s="76" t="str">
        <f>IF(AND('Mapa de Riesgos'!$Y$58="Muy Baja",'Mapa de Riesgos'!$AA$58="Menor"),CONCATENATE("R8C",'Mapa de Riesgos'!$O$58),"")</f>
        <v/>
      </c>
      <c r="Q53" s="77" t="str">
        <f>IF(AND('Mapa de Riesgos'!$Y$59="Muy Baja",'Mapa de Riesgos'!$AA$59="Menor"),CONCATENATE("R8C",'Mapa de Riesgos'!$O$59),"")</f>
        <v/>
      </c>
      <c r="R53" s="77" t="str">
        <f>IF(AND('Mapa de Riesgos'!$Y$60="Muy Baja",'Mapa de Riesgos'!$AA$60="Menor"),CONCATENATE("R8C",'Mapa de Riesgos'!$O$60),"")</f>
        <v/>
      </c>
      <c r="S53" s="77" t="str">
        <f>IF(AND('Mapa de Riesgos'!$Y$61="Muy Baja",'Mapa de Riesgos'!$AA$61="Menor"),CONCATENATE("R8C",'Mapa de Riesgos'!$O$61),"")</f>
        <v/>
      </c>
      <c r="T53" s="77" t="str">
        <f>IF(AND('Mapa de Riesgos'!$Y$62="Muy Baja",'Mapa de Riesgos'!$AA$62="Menor"),CONCATENATE("R8C",'Mapa de Riesgos'!$O$62),"")</f>
        <v/>
      </c>
      <c r="U53" s="78" t="str">
        <f>IF(AND('Mapa de Riesgos'!$Y$63="Muy Baja",'Mapa de Riesgos'!$AA$63="Menor"),CONCATENATE("R8C",'Mapa de Riesgos'!$O$63),"")</f>
        <v/>
      </c>
      <c r="V53" s="67" t="str">
        <f>IF(AND('Mapa de Riesgos'!$Y$58="Muy Baja",'Mapa de Riesgos'!$AA$58="Moderado"),CONCATENATE("R8C",'Mapa de Riesgos'!$O$58),"")</f>
        <v/>
      </c>
      <c r="W53" s="68" t="str">
        <f>IF(AND('Mapa de Riesgos'!$Y$59="Muy Baja",'Mapa de Riesgos'!$AA$59="Moderado"),CONCATENATE("R8C",'Mapa de Riesgos'!$O$59),"")</f>
        <v/>
      </c>
      <c r="X53" s="68" t="str">
        <f>IF(AND('Mapa de Riesgos'!$Y$60="Muy Baja",'Mapa de Riesgos'!$AA$60="Moderado"),CONCATENATE("R8C",'Mapa de Riesgos'!$O$60),"")</f>
        <v/>
      </c>
      <c r="Y53" s="68" t="str">
        <f>IF(AND('Mapa de Riesgos'!$Y$61="Muy Baja",'Mapa de Riesgos'!$AA$61="Moderado"),CONCATENATE("R8C",'Mapa de Riesgos'!$O$61),"")</f>
        <v/>
      </c>
      <c r="Z53" s="68" t="str">
        <f>IF(AND('Mapa de Riesgos'!$Y$62="Muy Baja",'Mapa de Riesgos'!$AA$62="Moderado"),CONCATENATE("R8C",'Mapa de Riesgos'!$O$62),"")</f>
        <v/>
      </c>
      <c r="AA53" s="69" t="str">
        <f>IF(AND('Mapa de Riesgos'!$Y$63="Muy Baja",'Mapa de Riesgos'!$AA$63="Moderado"),CONCATENATE("R8C",'Mapa de Riesgos'!$O$63),"")</f>
        <v/>
      </c>
      <c r="AB53" s="52" t="str">
        <f>IF(AND('Mapa de Riesgos'!$Y$58="Muy Baja",'Mapa de Riesgos'!$AA$58="Mayor"),CONCATENATE("R8C",'Mapa de Riesgos'!$O$58),"")</f>
        <v/>
      </c>
      <c r="AC53" s="53" t="str">
        <f>IF(AND('Mapa de Riesgos'!$Y$59="Muy Baja",'Mapa de Riesgos'!$AA$59="Mayor"),CONCATENATE("R8C",'Mapa de Riesgos'!$O$59),"")</f>
        <v/>
      </c>
      <c r="AD53" s="53" t="str">
        <f>IF(AND('Mapa de Riesgos'!$Y$60="Muy Baja",'Mapa de Riesgos'!$AA$60="Mayor"),CONCATENATE("R8C",'Mapa de Riesgos'!$O$60),"")</f>
        <v/>
      </c>
      <c r="AE53" s="53" t="str">
        <f>IF(AND('Mapa de Riesgos'!$Y$61="Muy Baja",'Mapa de Riesgos'!$AA$61="Mayor"),CONCATENATE("R8C",'Mapa de Riesgos'!$O$61),"")</f>
        <v/>
      </c>
      <c r="AF53" s="53" t="str">
        <f>IF(AND('Mapa de Riesgos'!$Y$62="Muy Baja",'Mapa de Riesgos'!$AA$62="Mayor"),CONCATENATE("R8C",'Mapa de Riesgos'!$O$62),"")</f>
        <v/>
      </c>
      <c r="AG53" s="54" t="str">
        <f>IF(AND('Mapa de Riesgos'!$Y$63="Muy Baja",'Mapa de Riesgos'!$AA$63="Mayor"),CONCATENATE("R8C",'Mapa de Riesgos'!$O$63),"")</f>
        <v/>
      </c>
      <c r="AH53" s="55" t="str">
        <f>IF(AND('Mapa de Riesgos'!$Y$58="Muy Baja",'Mapa de Riesgos'!$AA$58="Catastrófico"),CONCATENATE("R8C",'Mapa de Riesgos'!$O$58),"")</f>
        <v/>
      </c>
      <c r="AI53" s="56" t="str">
        <f>IF(AND('Mapa de Riesgos'!$Y$59="Muy Baja",'Mapa de Riesgos'!$AA$59="Catastrófico"),CONCATENATE("R8C",'Mapa de Riesgos'!$O$59),"")</f>
        <v/>
      </c>
      <c r="AJ53" s="56" t="str">
        <f>IF(AND('Mapa de Riesgos'!$Y$60="Muy Baja",'Mapa de Riesgos'!$AA$60="Catastrófico"),CONCATENATE("R8C",'Mapa de Riesgos'!$O$60),"")</f>
        <v/>
      </c>
      <c r="AK53" s="56" t="str">
        <f>IF(AND('Mapa de Riesgos'!$Y$61="Muy Baja",'Mapa de Riesgos'!$AA$61="Catastrófico"),CONCATENATE("R8C",'Mapa de Riesgos'!$O$61),"")</f>
        <v/>
      </c>
      <c r="AL53" s="56" t="str">
        <f>IF(AND('Mapa de Riesgos'!$Y$62="Muy Baja",'Mapa de Riesgos'!$AA$62="Catastrófico"),CONCATENATE("R8C",'Mapa de Riesgos'!$O$62),"")</f>
        <v/>
      </c>
      <c r="AM53" s="57" t="str">
        <f>IF(AND('Mapa de Riesgos'!$Y$63="Muy Baja",'Mapa de Riesgos'!$AA$63="Catastrófico"),CONCATENATE("R8C",'Mapa de Riesgos'!$O$63),"")</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529"/>
      <c r="C54" s="529"/>
      <c r="D54" s="530"/>
      <c r="E54" s="570"/>
      <c r="F54" s="571"/>
      <c r="G54" s="571"/>
      <c r="H54" s="571"/>
      <c r="I54" s="572"/>
      <c r="J54" s="76" t="str">
        <f>IF(AND('Mapa de Riesgos'!$Y$64="Muy Baja",'Mapa de Riesgos'!$AA$64="Leve"),CONCATENATE("R9C",'Mapa de Riesgos'!$O$64),"")</f>
        <v/>
      </c>
      <c r="K54" s="77" t="str">
        <f>IF(AND('Mapa de Riesgos'!$Y$65="Muy Baja",'Mapa de Riesgos'!$AA$65="Leve"),CONCATENATE("R9C",'Mapa de Riesgos'!$O$65),"")</f>
        <v/>
      </c>
      <c r="L54" s="77" t="str">
        <f>IF(AND('Mapa de Riesgos'!$Y$66="Muy Baja",'Mapa de Riesgos'!$AA$66="Leve"),CONCATENATE("R9C",'Mapa de Riesgos'!$O$66),"")</f>
        <v/>
      </c>
      <c r="M54" s="77" t="str">
        <f>IF(AND('Mapa de Riesgos'!$Y$67="Muy Baja",'Mapa de Riesgos'!$AA$67="Leve"),CONCATENATE("R9C",'Mapa de Riesgos'!$O$67),"")</f>
        <v/>
      </c>
      <c r="N54" s="77" t="str">
        <f>IF(AND('Mapa de Riesgos'!$Y$68="Muy Baja",'Mapa de Riesgos'!$AA$68="Leve"),CONCATENATE("R9C",'Mapa de Riesgos'!$O$68),"")</f>
        <v/>
      </c>
      <c r="O54" s="78" t="str">
        <f>IF(AND('Mapa de Riesgos'!$Y$69="Muy Baja",'Mapa de Riesgos'!$AA$69="Leve"),CONCATENATE("R9C",'Mapa de Riesgos'!$O$69),"")</f>
        <v/>
      </c>
      <c r="P54" s="76" t="str">
        <f>IF(AND('Mapa de Riesgos'!$Y$64="Muy Baja",'Mapa de Riesgos'!$AA$64="Menor"),CONCATENATE("R9C",'Mapa de Riesgos'!$O$64),"")</f>
        <v/>
      </c>
      <c r="Q54" s="77" t="str">
        <f>IF(AND('Mapa de Riesgos'!$Y$65="Muy Baja",'Mapa de Riesgos'!$AA$65="Menor"),CONCATENATE("R9C",'Mapa de Riesgos'!$O$65),"")</f>
        <v/>
      </c>
      <c r="R54" s="77" t="str">
        <f>IF(AND('Mapa de Riesgos'!$Y$66="Muy Baja",'Mapa de Riesgos'!$AA$66="Menor"),CONCATENATE("R9C",'Mapa de Riesgos'!$O$66),"")</f>
        <v/>
      </c>
      <c r="S54" s="77" t="str">
        <f>IF(AND('Mapa de Riesgos'!$Y$67="Muy Baja",'Mapa de Riesgos'!$AA$67="Menor"),CONCATENATE("R9C",'Mapa de Riesgos'!$O$67),"")</f>
        <v/>
      </c>
      <c r="T54" s="77" t="str">
        <f>IF(AND('Mapa de Riesgos'!$Y$68="Muy Baja",'Mapa de Riesgos'!$AA$68="Menor"),CONCATENATE("R9C",'Mapa de Riesgos'!$O$68),"")</f>
        <v/>
      </c>
      <c r="U54" s="78" t="str">
        <f>IF(AND('Mapa de Riesgos'!$Y$69="Muy Baja",'Mapa de Riesgos'!$AA$69="Menor"),CONCATENATE("R9C",'Mapa de Riesgos'!$O$69),"")</f>
        <v/>
      </c>
      <c r="V54" s="67" t="str">
        <f>IF(AND('Mapa de Riesgos'!$Y$64="Muy Baja",'Mapa de Riesgos'!$AA$64="Moderado"),CONCATENATE("R9C",'Mapa de Riesgos'!$O$64),"")</f>
        <v/>
      </c>
      <c r="W54" s="68" t="str">
        <f>IF(AND('Mapa de Riesgos'!$Y$65="Muy Baja",'Mapa de Riesgos'!$AA$65="Moderado"),CONCATENATE("R9C",'Mapa de Riesgos'!$O$65),"")</f>
        <v/>
      </c>
      <c r="X54" s="68" t="str">
        <f>IF(AND('Mapa de Riesgos'!$Y$66="Muy Baja",'Mapa de Riesgos'!$AA$66="Moderado"),CONCATENATE("R9C",'Mapa de Riesgos'!$O$66),"")</f>
        <v/>
      </c>
      <c r="Y54" s="68" t="str">
        <f>IF(AND('Mapa de Riesgos'!$Y$67="Muy Baja",'Mapa de Riesgos'!$AA$67="Moderado"),CONCATENATE("R9C",'Mapa de Riesgos'!$O$67),"")</f>
        <v/>
      </c>
      <c r="Z54" s="68" t="str">
        <f>IF(AND('Mapa de Riesgos'!$Y$68="Muy Baja",'Mapa de Riesgos'!$AA$68="Moderado"),CONCATENATE("R9C",'Mapa de Riesgos'!$O$68),"")</f>
        <v/>
      </c>
      <c r="AA54" s="69" t="str">
        <f>IF(AND('Mapa de Riesgos'!$Y$69="Muy Baja",'Mapa de Riesgos'!$AA$69="Moderado"),CONCATENATE("R9C",'Mapa de Riesgos'!$O$69),"")</f>
        <v/>
      </c>
      <c r="AB54" s="52" t="str">
        <f>IF(AND('Mapa de Riesgos'!$Y$64="Muy Baja",'Mapa de Riesgos'!$AA$64="Mayor"),CONCATENATE("R9C",'Mapa de Riesgos'!$O$64),"")</f>
        <v/>
      </c>
      <c r="AC54" s="53" t="str">
        <f>IF(AND('Mapa de Riesgos'!$Y$65="Muy Baja",'Mapa de Riesgos'!$AA$65="Mayor"),CONCATENATE("R9C",'Mapa de Riesgos'!$O$65),"")</f>
        <v/>
      </c>
      <c r="AD54" s="53" t="str">
        <f>IF(AND('Mapa de Riesgos'!$Y$66="Muy Baja",'Mapa de Riesgos'!$AA$66="Mayor"),CONCATENATE("R9C",'Mapa de Riesgos'!$O$66),"")</f>
        <v/>
      </c>
      <c r="AE54" s="53" t="str">
        <f>IF(AND('Mapa de Riesgos'!$Y$67="Muy Baja",'Mapa de Riesgos'!$AA$67="Mayor"),CONCATENATE("R9C",'Mapa de Riesgos'!$O$67),"")</f>
        <v/>
      </c>
      <c r="AF54" s="53" t="str">
        <f>IF(AND('Mapa de Riesgos'!$Y$68="Muy Baja",'Mapa de Riesgos'!$AA$68="Mayor"),CONCATENATE("R9C",'Mapa de Riesgos'!$O$68),"")</f>
        <v/>
      </c>
      <c r="AG54" s="54" t="str">
        <f>IF(AND('Mapa de Riesgos'!$Y$69="Muy Baja",'Mapa de Riesgos'!$AA$69="Mayor"),CONCATENATE("R9C",'Mapa de Riesgos'!$O$69),"")</f>
        <v/>
      </c>
      <c r="AH54" s="55" t="str">
        <f>IF(AND('Mapa de Riesgos'!$Y$64="Muy Baja",'Mapa de Riesgos'!$AA$64="Catastrófico"),CONCATENATE("R9C",'Mapa de Riesgos'!$O$64),"")</f>
        <v/>
      </c>
      <c r="AI54" s="56" t="str">
        <f>IF(AND('Mapa de Riesgos'!$Y$65="Muy Baja",'Mapa de Riesgos'!$AA$65="Catastrófico"),CONCATENATE("R9C",'Mapa de Riesgos'!$O$65),"")</f>
        <v/>
      </c>
      <c r="AJ54" s="56" t="str">
        <f>IF(AND('Mapa de Riesgos'!$Y$66="Muy Baja",'Mapa de Riesgos'!$AA$66="Catastrófico"),CONCATENATE("R9C",'Mapa de Riesgos'!$O$66),"")</f>
        <v/>
      </c>
      <c r="AK54" s="56" t="str">
        <f>IF(AND('Mapa de Riesgos'!$Y$67="Muy Baja",'Mapa de Riesgos'!$AA$67="Catastrófico"),CONCATENATE("R9C",'Mapa de Riesgos'!$O$67),"")</f>
        <v/>
      </c>
      <c r="AL54" s="56" t="str">
        <f>IF(AND('Mapa de Riesgos'!$Y$68="Muy Baja",'Mapa de Riesgos'!$AA$68="Catastrófico"),CONCATENATE("R9C",'Mapa de Riesgos'!$O$68),"")</f>
        <v/>
      </c>
      <c r="AM54" s="57" t="str">
        <f>IF(AND('Mapa de Riesgos'!$Y$69="Muy Baja",'Mapa de Riesgos'!$AA$69="Catastrófico"),CONCATENATE("R9C",'Mapa de Riesgos'!$O$69),"")</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529"/>
      <c r="C55" s="529"/>
      <c r="D55" s="530"/>
      <c r="E55" s="573"/>
      <c r="F55" s="574"/>
      <c r="G55" s="574"/>
      <c r="H55" s="574"/>
      <c r="I55" s="575"/>
      <c r="J55" s="79" t="str">
        <f>IF(AND('Mapa de Riesgos'!$Y$70="Muy Baja",'Mapa de Riesgos'!$AA$70="Leve"),CONCATENATE("R10C",'Mapa de Riesgos'!$O$70),"")</f>
        <v/>
      </c>
      <c r="K55" s="80" t="str">
        <f>IF(AND('Mapa de Riesgos'!$Y$71="Muy Baja",'Mapa de Riesgos'!$AA$71="Leve"),CONCATENATE("R10C",'Mapa de Riesgos'!$O$71),"")</f>
        <v/>
      </c>
      <c r="L55" s="80" t="str">
        <f>IF(AND('Mapa de Riesgos'!$Y$72="Muy Baja",'Mapa de Riesgos'!$AA$72="Leve"),CONCATENATE("R10C",'Mapa de Riesgos'!$O$72),"")</f>
        <v/>
      </c>
      <c r="M55" s="80" t="str">
        <f>IF(AND('Mapa de Riesgos'!$Y$73="Muy Baja",'Mapa de Riesgos'!$AA$73="Leve"),CONCATENATE("R10C",'Mapa de Riesgos'!$O$73),"")</f>
        <v/>
      </c>
      <c r="N55" s="80" t="str">
        <f>IF(AND('Mapa de Riesgos'!$Y$74="Muy Baja",'Mapa de Riesgos'!$AA$74="Leve"),CONCATENATE("R10C",'Mapa de Riesgos'!$O$74),"")</f>
        <v/>
      </c>
      <c r="O55" s="81" t="str">
        <f>IF(AND('Mapa de Riesgos'!$Y$75="Muy Baja",'Mapa de Riesgos'!$AA$75="Leve"),CONCATENATE("R10C",'Mapa de Riesgos'!$O$75),"")</f>
        <v/>
      </c>
      <c r="P55" s="79" t="str">
        <f>IF(AND('Mapa de Riesgos'!$Y$70="Muy Baja",'Mapa de Riesgos'!$AA$70="Menor"),CONCATENATE("R10C",'Mapa de Riesgos'!$O$70),"")</f>
        <v/>
      </c>
      <c r="Q55" s="80" t="str">
        <f>IF(AND('Mapa de Riesgos'!$Y$71="Muy Baja",'Mapa de Riesgos'!$AA$71="Menor"),CONCATENATE("R10C",'Mapa de Riesgos'!$O$71),"")</f>
        <v/>
      </c>
      <c r="R55" s="80" t="str">
        <f>IF(AND('Mapa de Riesgos'!$Y$72="Muy Baja",'Mapa de Riesgos'!$AA$72="Menor"),CONCATENATE("R10C",'Mapa de Riesgos'!$O$72),"")</f>
        <v/>
      </c>
      <c r="S55" s="80" t="str">
        <f>IF(AND('Mapa de Riesgos'!$Y$73="Muy Baja",'Mapa de Riesgos'!$AA$73="Menor"),CONCATENATE("R10C",'Mapa de Riesgos'!$O$73),"")</f>
        <v/>
      </c>
      <c r="T55" s="80" t="str">
        <f>IF(AND('Mapa de Riesgos'!$Y$74="Muy Baja",'Mapa de Riesgos'!$AA$74="Menor"),CONCATENATE("R10C",'Mapa de Riesgos'!$O$74),"")</f>
        <v/>
      </c>
      <c r="U55" s="81" t="str">
        <f>IF(AND('Mapa de Riesgos'!$Y$75="Muy Baja",'Mapa de Riesgos'!$AA$75="Menor"),CONCATENATE("R10C",'Mapa de Riesgos'!$O$75),"")</f>
        <v/>
      </c>
      <c r="V55" s="70" t="str">
        <f>IF(AND('Mapa de Riesgos'!$Y$70="Muy Baja",'Mapa de Riesgos'!$AA$70="Moderado"),CONCATENATE("R10C",'Mapa de Riesgos'!$O$70),"")</f>
        <v/>
      </c>
      <c r="W55" s="71" t="str">
        <f>IF(AND('Mapa de Riesgos'!$Y$71="Muy Baja",'Mapa de Riesgos'!$AA$71="Moderado"),CONCATENATE("R10C",'Mapa de Riesgos'!$O$71),"")</f>
        <v/>
      </c>
      <c r="X55" s="71" t="str">
        <f>IF(AND('Mapa de Riesgos'!$Y$72="Muy Baja",'Mapa de Riesgos'!$AA$72="Moderado"),CONCATENATE("R10C",'Mapa de Riesgos'!$O$72),"")</f>
        <v>R10C1</v>
      </c>
      <c r="Y55" s="71" t="str">
        <f>IF(AND('Mapa de Riesgos'!$Y$73="Muy Baja",'Mapa de Riesgos'!$AA$73="Moderado"),CONCATENATE("R10C",'Mapa de Riesgos'!$O$73),"")</f>
        <v/>
      </c>
      <c r="Z55" s="71" t="str">
        <f>IF(AND('Mapa de Riesgos'!$Y$74="Muy Baja",'Mapa de Riesgos'!$AA$74="Moderado"),CONCATENATE("R10C",'Mapa de Riesgos'!$O$74),"")</f>
        <v/>
      </c>
      <c r="AA55" s="72" t="str">
        <f>IF(AND('Mapa de Riesgos'!$Y$75="Muy Baja",'Mapa de Riesgos'!$AA$75="Moderado"),CONCATENATE("R10C",'Mapa de Riesgos'!$O$75),"")</f>
        <v/>
      </c>
      <c r="AB55" s="58" t="str">
        <f>IF(AND('Mapa de Riesgos'!$Y$70="Muy Baja",'Mapa de Riesgos'!$AA$70="Mayor"),CONCATENATE("R10C",'Mapa de Riesgos'!$O$70),"")</f>
        <v/>
      </c>
      <c r="AC55" s="59" t="str">
        <f>IF(AND('Mapa de Riesgos'!$Y$71="Muy Baja",'Mapa de Riesgos'!$AA$71="Mayor"),CONCATENATE("R10C",'Mapa de Riesgos'!$O$71),"")</f>
        <v/>
      </c>
      <c r="AD55" s="59" t="str">
        <f>IF(AND('Mapa de Riesgos'!$Y$72="Muy Baja",'Mapa de Riesgos'!$AA$72="Mayor"),CONCATENATE("R10C",'Mapa de Riesgos'!$O$72),"")</f>
        <v/>
      </c>
      <c r="AE55" s="59" t="str">
        <f>IF(AND('Mapa de Riesgos'!$Y$73="Muy Baja",'Mapa de Riesgos'!$AA$73="Mayor"),CONCATENATE("R10C",'Mapa de Riesgos'!$O$73),"")</f>
        <v/>
      </c>
      <c r="AF55" s="59" t="str">
        <f>IF(AND('Mapa de Riesgos'!$Y$74="Muy Baja",'Mapa de Riesgos'!$AA$74="Mayor"),CONCATENATE("R10C",'Mapa de Riesgos'!$O$74),"")</f>
        <v/>
      </c>
      <c r="AG55" s="60" t="str">
        <f>IF(AND('Mapa de Riesgos'!$Y$75="Muy Baja",'Mapa de Riesgos'!$AA$75="Mayor"),CONCATENATE("R10C",'Mapa de Riesgos'!$O$75),"")</f>
        <v/>
      </c>
      <c r="AH55" s="61" t="str">
        <f>IF(AND('Mapa de Riesgos'!$Y$70="Muy Baja",'Mapa de Riesgos'!$AA$70="Catastrófico"),CONCATENATE("R10C",'Mapa de Riesgos'!$O$70),"")</f>
        <v/>
      </c>
      <c r="AI55" s="62" t="str">
        <f>IF(AND('Mapa de Riesgos'!$Y$71="Muy Baja",'Mapa de Riesgos'!$AA$71="Catastrófico"),CONCATENATE("R10C",'Mapa de Riesgos'!$O$71),"")</f>
        <v/>
      </c>
      <c r="AJ55" s="62" t="str">
        <f>IF(AND('Mapa de Riesgos'!$Y$72="Muy Baja",'Mapa de Riesgos'!$AA$72="Catastrófico"),CONCATENATE("R10C",'Mapa de Riesgos'!$O$72),"")</f>
        <v/>
      </c>
      <c r="AK55" s="62" t="str">
        <f>IF(AND('Mapa de Riesgos'!$Y$73="Muy Baja",'Mapa de Riesgos'!$AA$73="Catastrófico"),CONCATENATE("R10C",'Mapa de Riesgos'!$O$73),"")</f>
        <v/>
      </c>
      <c r="AL55" s="62" t="str">
        <f>IF(AND('Mapa de Riesgos'!$Y$74="Muy Baja",'Mapa de Riesgos'!$AA$74="Catastrófico"),CONCATENATE("R10C",'Mapa de Riesgos'!$O$74),"")</f>
        <v/>
      </c>
      <c r="AM55" s="63" t="str">
        <f>IF(AND('Mapa de Riesgos'!$Y$75="Muy Baja",'Mapa de Riesgos'!$AA$75="Catastrófico"),CONCATENATE("R10C",'Mapa de Riesgos'!$O$75),"")</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67" t="s">
        <v>251</v>
      </c>
      <c r="K56" s="568"/>
      <c r="L56" s="568"/>
      <c r="M56" s="568"/>
      <c r="N56" s="568"/>
      <c r="O56" s="569"/>
      <c r="P56" s="567" t="s">
        <v>252</v>
      </c>
      <c r="Q56" s="568"/>
      <c r="R56" s="568"/>
      <c r="S56" s="568"/>
      <c r="T56" s="568"/>
      <c r="U56" s="569"/>
      <c r="V56" s="567" t="s">
        <v>253</v>
      </c>
      <c r="W56" s="568"/>
      <c r="X56" s="568"/>
      <c r="Y56" s="568"/>
      <c r="Z56" s="568"/>
      <c r="AA56" s="569"/>
      <c r="AB56" s="567" t="s">
        <v>254</v>
      </c>
      <c r="AC56" s="576"/>
      <c r="AD56" s="568"/>
      <c r="AE56" s="568"/>
      <c r="AF56" s="568"/>
      <c r="AG56" s="569"/>
      <c r="AH56" s="567" t="s">
        <v>255</v>
      </c>
      <c r="AI56" s="568"/>
      <c r="AJ56" s="568"/>
      <c r="AK56" s="568"/>
      <c r="AL56" s="568"/>
      <c r="AM56" s="569"/>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70"/>
      <c r="K57" s="571"/>
      <c r="L57" s="571"/>
      <c r="M57" s="571"/>
      <c r="N57" s="571"/>
      <c r="O57" s="572"/>
      <c r="P57" s="570"/>
      <c r="Q57" s="571"/>
      <c r="R57" s="571"/>
      <c r="S57" s="571"/>
      <c r="T57" s="571"/>
      <c r="U57" s="572"/>
      <c r="V57" s="570"/>
      <c r="W57" s="571"/>
      <c r="X57" s="571"/>
      <c r="Y57" s="571"/>
      <c r="Z57" s="571"/>
      <c r="AA57" s="572"/>
      <c r="AB57" s="570"/>
      <c r="AC57" s="571"/>
      <c r="AD57" s="571"/>
      <c r="AE57" s="571"/>
      <c r="AF57" s="571"/>
      <c r="AG57" s="572"/>
      <c r="AH57" s="570"/>
      <c r="AI57" s="571"/>
      <c r="AJ57" s="571"/>
      <c r="AK57" s="571"/>
      <c r="AL57" s="571"/>
      <c r="AM57" s="57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70"/>
      <c r="K58" s="571"/>
      <c r="L58" s="571"/>
      <c r="M58" s="571"/>
      <c r="N58" s="571"/>
      <c r="O58" s="572"/>
      <c r="P58" s="570"/>
      <c r="Q58" s="571"/>
      <c r="R58" s="571"/>
      <c r="S58" s="571"/>
      <c r="T58" s="571"/>
      <c r="U58" s="572"/>
      <c r="V58" s="570"/>
      <c r="W58" s="571"/>
      <c r="X58" s="571"/>
      <c r="Y58" s="571"/>
      <c r="Z58" s="571"/>
      <c r="AA58" s="572"/>
      <c r="AB58" s="570"/>
      <c r="AC58" s="571"/>
      <c r="AD58" s="571"/>
      <c r="AE58" s="571"/>
      <c r="AF58" s="571"/>
      <c r="AG58" s="572"/>
      <c r="AH58" s="570"/>
      <c r="AI58" s="571"/>
      <c r="AJ58" s="571"/>
      <c r="AK58" s="571"/>
      <c r="AL58" s="571"/>
      <c r="AM58" s="57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70"/>
      <c r="K59" s="571"/>
      <c r="L59" s="571"/>
      <c r="M59" s="571"/>
      <c r="N59" s="571"/>
      <c r="O59" s="572"/>
      <c r="P59" s="570"/>
      <c r="Q59" s="571"/>
      <c r="R59" s="571"/>
      <c r="S59" s="571"/>
      <c r="T59" s="571"/>
      <c r="U59" s="572"/>
      <c r="V59" s="570"/>
      <c r="W59" s="571"/>
      <c r="X59" s="571"/>
      <c r="Y59" s="571"/>
      <c r="Z59" s="571"/>
      <c r="AA59" s="572"/>
      <c r="AB59" s="570"/>
      <c r="AC59" s="571"/>
      <c r="AD59" s="571"/>
      <c r="AE59" s="571"/>
      <c r="AF59" s="571"/>
      <c r="AG59" s="572"/>
      <c r="AH59" s="570"/>
      <c r="AI59" s="571"/>
      <c r="AJ59" s="571"/>
      <c r="AK59" s="571"/>
      <c r="AL59" s="571"/>
      <c r="AM59" s="57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70"/>
      <c r="K60" s="571"/>
      <c r="L60" s="571"/>
      <c r="M60" s="571"/>
      <c r="N60" s="571"/>
      <c r="O60" s="572"/>
      <c r="P60" s="570"/>
      <c r="Q60" s="571"/>
      <c r="R60" s="571"/>
      <c r="S60" s="571"/>
      <c r="T60" s="571"/>
      <c r="U60" s="572"/>
      <c r="V60" s="570"/>
      <c r="W60" s="571"/>
      <c r="X60" s="571"/>
      <c r="Y60" s="571"/>
      <c r="Z60" s="571"/>
      <c r="AA60" s="572"/>
      <c r="AB60" s="570"/>
      <c r="AC60" s="571"/>
      <c r="AD60" s="571"/>
      <c r="AE60" s="571"/>
      <c r="AF60" s="571"/>
      <c r="AG60" s="572"/>
      <c r="AH60" s="570"/>
      <c r="AI60" s="571"/>
      <c r="AJ60" s="571"/>
      <c r="AK60" s="571"/>
      <c r="AL60" s="571"/>
      <c r="AM60" s="572"/>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73"/>
      <c r="K61" s="574"/>
      <c r="L61" s="574"/>
      <c r="M61" s="574"/>
      <c r="N61" s="574"/>
      <c r="O61" s="575"/>
      <c r="P61" s="573"/>
      <c r="Q61" s="574"/>
      <c r="R61" s="574"/>
      <c r="S61" s="574"/>
      <c r="T61" s="574"/>
      <c r="U61" s="575"/>
      <c r="V61" s="573"/>
      <c r="W61" s="574"/>
      <c r="X61" s="574"/>
      <c r="Y61" s="574"/>
      <c r="Z61" s="574"/>
      <c r="AA61" s="575"/>
      <c r="AB61" s="573"/>
      <c r="AC61" s="574"/>
      <c r="AD61" s="574"/>
      <c r="AE61" s="574"/>
      <c r="AF61" s="574"/>
      <c r="AG61" s="575"/>
      <c r="AH61" s="573"/>
      <c r="AI61" s="574"/>
      <c r="AJ61" s="574"/>
      <c r="AK61" s="574"/>
      <c r="AL61" s="574"/>
      <c r="AM61" s="575"/>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616" t="s">
        <v>257</v>
      </c>
      <c r="C1" s="616"/>
      <c r="D1" s="616"/>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258</v>
      </c>
      <c r="D3" s="12" t="s">
        <v>241</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259</v>
      </c>
      <c r="C4" s="14" t="s">
        <v>260</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261</v>
      </c>
      <c r="C5" s="17" t="s">
        <v>262</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263</v>
      </c>
      <c r="C6" s="17" t="s">
        <v>264</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265</v>
      </c>
      <c r="C7" s="17" t="s">
        <v>266</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267</v>
      </c>
      <c r="C8" s="17" t="s">
        <v>268</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617" t="s">
        <v>269</v>
      </c>
      <c r="C1" s="617"/>
      <c r="D1" s="617"/>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270</v>
      </c>
      <c r="D3" s="36" t="s">
        <v>271</v>
      </c>
      <c r="E3" s="83"/>
      <c r="F3" s="83"/>
      <c r="G3" s="83"/>
      <c r="H3" s="83"/>
      <c r="I3" s="83"/>
      <c r="J3" s="83"/>
      <c r="K3" s="83"/>
      <c r="L3" s="83"/>
      <c r="M3" s="83"/>
      <c r="N3" s="83"/>
      <c r="O3" s="83"/>
      <c r="P3" s="83"/>
      <c r="Q3" s="83"/>
      <c r="R3" s="83"/>
      <c r="S3" s="83"/>
      <c r="T3" s="83"/>
      <c r="U3" s="83"/>
    </row>
    <row r="4" spans="1:21" ht="33.75" x14ac:dyDescent="0.25">
      <c r="A4" s="100" t="s">
        <v>272</v>
      </c>
      <c r="B4" s="39" t="s">
        <v>273</v>
      </c>
      <c r="C4" s="44" t="s">
        <v>274</v>
      </c>
      <c r="D4" s="37" t="s">
        <v>275</v>
      </c>
      <c r="E4" s="83"/>
      <c r="F4" s="83"/>
      <c r="G4" s="83"/>
      <c r="H4" s="83"/>
      <c r="I4" s="83"/>
      <c r="J4" s="83"/>
      <c r="K4" s="83"/>
      <c r="L4" s="83"/>
      <c r="M4" s="83"/>
      <c r="N4" s="83"/>
      <c r="O4" s="83"/>
      <c r="P4" s="83"/>
      <c r="Q4" s="83"/>
      <c r="R4" s="83"/>
      <c r="S4" s="83"/>
      <c r="T4" s="83"/>
      <c r="U4" s="83"/>
    </row>
    <row r="5" spans="1:21" ht="67.5" x14ac:dyDescent="0.25">
      <c r="A5" s="100" t="s">
        <v>276</v>
      </c>
      <c r="B5" s="40" t="s">
        <v>277</v>
      </c>
      <c r="C5" s="45" t="s">
        <v>278</v>
      </c>
      <c r="D5" s="38" t="s">
        <v>279</v>
      </c>
      <c r="E5" s="83"/>
      <c r="F5" s="83"/>
      <c r="G5" s="83"/>
      <c r="H5" s="83"/>
      <c r="I5" s="83"/>
      <c r="J5" s="83"/>
      <c r="K5" s="83"/>
      <c r="L5" s="83"/>
      <c r="M5" s="83"/>
      <c r="N5" s="83"/>
      <c r="O5" s="83"/>
      <c r="P5" s="83"/>
      <c r="Q5" s="83"/>
      <c r="R5" s="83"/>
      <c r="S5" s="83"/>
      <c r="T5" s="83"/>
      <c r="U5" s="83"/>
    </row>
    <row r="6" spans="1:21" ht="67.5" x14ac:dyDescent="0.25">
      <c r="A6" s="100" t="s">
        <v>247</v>
      </c>
      <c r="B6" s="41" t="s">
        <v>280</v>
      </c>
      <c r="C6" s="45" t="s">
        <v>281</v>
      </c>
      <c r="D6" s="38" t="s">
        <v>282</v>
      </c>
      <c r="E6" s="83"/>
      <c r="F6" s="83"/>
      <c r="G6" s="83"/>
      <c r="H6" s="83"/>
      <c r="I6" s="83"/>
      <c r="J6" s="83"/>
      <c r="K6" s="83"/>
      <c r="L6" s="83"/>
      <c r="M6" s="83"/>
      <c r="N6" s="83"/>
      <c r="O6" s="83"/>
      <c r="P6" s="83"/>
      <c r="Q6" s="83"/>
      <c r="R6" s="83"/>
      <c r="S6" s="83"/>
      <c r="T6" s="83"/>
      <c r="U6" s="83"/>
    </row>
    <row r="7" spans="1:21" ht="101.25" x14ac:dyDescent="0.25">
      <c r="A7" s="100" t="s">
        <v>283</v>
      </c>
      <c r="B7" s="42" t="s">
        <v>284</v>
      </c>
      <c r="C7" s="45" t="s">
        <v>285</v>
      </c>
      <c r="D7" s="38" t="s">
        <v>286</v>
      </c>
      <c r="E7" s="83"/>
      <c r="F7" s="83"/>
      <c r="G7" s="83"/>
      <c r="H7" s="83"/>
      <c r="I7" s="83"/>
      <c r="J7" s="83"/>
      <c r="K7" s="83"/>
      <c r="L7" s="83"/>
      <c r="M7" s="83"/>
      <c r="N7" s="83"/>
      <c r="O7" s="83"/>
      <c r="P7" s="83"/>
      <c r="Q7" s="83"/>
      <c r="R7" s="83"/>
      <c r="S7" s="83"/>
      <c r="T7" s="83"/>
      <c r="U7" s="83"/>
    </row>
    <row r="8" spans="1:21" ht="67.5" x14ac:dyDescent="0.25">
      <c r="A8" s="100" t="s">
        <v>287</v>
      </c>
      <c r="B8" s="43" t="s">
        <v>288</v>
      </c>
      <c r="C8" s="45" t="s">
        <v>289</v>
      </c>
      <c r="D8" s="38" t="s">
        <v>290</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291</v>
      </c>
      <c r="C11" s="100" t="s">
        <v>292</v>
      </c>
      <c r="D11" s="100" t="s">
        <v>229</v>
      </c>
      <c r="E11" s="83"/>
      <c r="F11" s="83"/>
      <c r="G11" s="83"/>
      <c r="H11" s="83"/>
      <c r="I11" s="83"/>
      <c r="J11" s="83"/>
      <c r="K11" s="83"/>
      <c r="L11" s="83"/>
      <c r="M11" s="83"/>
      <c r="N11" s="83"/>
      <c r="O11" s="83"/>
      <c r="P11" s="83"/>
      <c r="Q11" s="83"/>
      <c r="R11" s="83"/>
      <c r="S11" s="83"/>
      <c r="T11" s="83"/>
      <c r="U11" s="83"/>
    </row>
    <row r="12" spans="1:21" x14ac:dyDescent="0.25">
      <c r="A12" s="100"/>
      <c r="B12" s="100" t="s">
        <v>293</v>
      </c>
      <c r="C12" s="100" t="s">
        <v>294</v>
      </c>
      <c r="D12" s="100" t="s">
        <v>295</v>
      </c>
      <c r="E12" s="83"/>
      <c r="F12" s="83"/>
      <c r="G12" s="83"/>
      <c r="H12" s="83"/>
      <c r="I12" s="83"/>
      <c r="J12" s="83"/>
      <c r="K12" s="83"/>
      <c r="L12" s="83"/>
      <c r="M12" s="83"/>
      <c r="N12" s="83"/>
      <c r="O12" s="83"/>
      <c r="P12" s="83"/>
      <c r="Q12" s="83"/>
      <c r="R12" s="83"/>
      <c r="S12" s="83"/>
      <c r="T12" s="83"/>
      <c r="U12" s="83"/>
    </row>
    <row r="13" spans="1:21" x14ac:dyDescent="0.25">
      <c r="A13" s="100"/>
      <c r="B13" s="100"/>
      <c r="C13" s="100" t="s">
        <v>296</v>
      </c>
      <c r="D13" s="100" t="s">
        <v>169</v>
      </c>
      <c r="E13" s="83"/>
      <c r="F13" s="83"/>
      <c r="G13" s="83"/>
      <c r="H13" s="83"/>
      <c r="I13" s="83"/>
      <c r="J13" s="83"/>
      <c r="K13" s="83"/>
      <c r="L13" s="83"/>
      <c r="M13" s="83"/>
      <c r="N13" s="83"/>
      <c r="O13" s="83"/>
      <c r="P13" s="83"/>
      <c r="Q13" s="83"/>
      <c r="R13" s="83"/>
      <c r="S13" s="83"/>
      <c r="T13" s="83"/>
      <c r="U13" s="83"/>
    </row>
    <row r="14" spans="1:21" x14ac:dyDescent="0.25">
      <c r="A14" s="100"/>
      <c r="B14" s="100"/>
      <c r="C14" s="100" t="s">
        <v>178</v>
      </c>
      <c r="D14" s="100" t="s">
        <v>154</v>
      </c>
      <c r="E14" s="83"/>
      <c r="F14" s="83"/>
      <c r="G14" s="83"/>
      <c r="H14" s="83"/>
      <c r="I14" s="83"/>
      <c r="J14" s="83"/>
      <c r="K14" s="83"/>
      <c r="L14" s="83"/>
      <c r="M14" s="83"/>
      <c r="N14" s="83"/>
      <c r="O14" s="83"/>
      <c r="P14" s="83"/>
      <c r="Q14" s="83"/>
      <c r="R14" s="83"/>
      <c r="S14" s="83"/>
      <c r="T14" s="83"/>
      <c r="U14" s="83"/>
    </row>
    <row r="15" spans="1:21" x14ac:dyDescent="0.25">
      <c r="A15" s="100"/>
      <c r="B15" s="100"/>
      <c r="C15" s="100" t="s">
        <v>195</v>
      </c>
      <c r="D15" s="100" t="s">
        <v>297</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298</v>
      </c>
      <c r="C209" s="30" t="s">
        <v>299</v>
      </c>
      <c r="D209" s="33" t="s">
        <v>298</v>
      </c>
      <c r="E209" s="33" t="s">
        <v>299</v>
      </c>
    </row>
    <row r="210" spans="1:8" ht="21" x14ac:dyDescent="0.35">
      <c r="A210" s="83"/>
      <c r="B210" s="31" t="s">
        <v>300</v>
      </c>
      <c r="C210" s="31" t="s">
        <v>301</v>
      </c>
      <c r="D210" t="s">
        <v>300</v>
      </c>
      <c r="F210" t="str">
        <f>IF(NOT(ISBLANK(D210)),D210,IF(NOT(ISBLANK(E210)),"     "&amp;E210,FALSE))</f>
        <v>Afectación Económica o presupuestal</v>
      </c>
      <c r="G210" t="s">
        <v>300</v>
      </c>
      <c r="H210" t="str">
        <f>IF(NOT(ISERROR(MATCH(G210,_xlfn.ANCHORARRAY(B221),0))),F223&amp;"Por favor no seleccionar los criterios de impacto",G210)</f>
        <v>❌Por favor no seleccionar los criterios de impacto</v>
      </c>
    </row>
    <row r="211" spans="1:8" ht="21" x14ac:dyDescent="0.35">
      <c r="A211" s="83"/>
      <c r="B211" s="31" t="s">
        <v>300</v>
      </c>
      <c r="C211" s="31" t="s">
        <v>278</v>
      </c>
      <c r="E211" t="s">
        <v>301</v>
      </c>
      <c r="F211" t="str">
        <f t="shared" ref="F211:F221" si="0">IF(NOT(ISBLANK(D211)),D211,IF(NOT(ISBLANK(E211)),"     "&amp;E211,FALSE))</f>
        <v xml:space="preserve">     Afectación menor a 10 SMLMV .</v>
      </c>
    </row>
    <row r="212" spans="1:8" ht="21" x14ac:dyDescent="0.35">
      <c r="A212" s="83"/>
      <c r="B212" s="31" t="s">
        <v>300</v>
      </c>
      <c r="C212" s="31" t="s">
        <v>281</v>
      </c>
      <c r="E212" t="s">
        <v>278</v>
      </c>
      <c r="F212" t="str">
        <f t="shared" si="0"/>
        <v xml:space="preserve">     Entre 10 y 50 SMLMV </v>
      </c>
    </row>
    <row r="213" spans="1:8" ht="21" x14ac:dyDescent="0.35">
      <c r="A213" s="83"/>
      <c r="B213" s="31" t="s">
        <v>300</v>
      </c>
      <c r="C213" s="31" t="s">
        <v>285</v>
      </c>
      <c r="E213" t="s">
        <v>281</v>
      </c>
      <c r="F213" t="str">
        <f t="shared" si="0"/>
        <v xml:space="preserve">     Entre 50 y 100 SMLMV </v>
      </c>
    </row>
    <row r="214" spans="1:8" ht="21" x14ac:dyDescent="0.35">
      <c r="A214" s="83"/>
      <c r="B214" s="31" t="s">
        <v>300</v>
      </c>
      <c r="C214" s="31" t="s">
        <v>289</v>
      </c>
      <c r="E214" t="s">
        <v>285</v>
      </c>
      <c r="F214" t="str">
        <f t="shared" si="0"/>
        <v xml:space="preserve">     Entre 100 y 500 SMLMV </v>
      </c>
    </row>
    <row r="215" spans="1:8" ht="21" x14ac:dyDescent="0.35">
      <c r="A215" s="83"/>
      <c r="B215" s="31" t="s">
        <v>271</v>
      </c>
      <c r="C215" s="31" t="s">
        <v>275</v>
      </c>
      <c r="E215" t="s">
        <v>289</v>
      </c>
      <c r="F215" t="str">
        <f t="shared" si="0"/>
        <v xml:space="preserve">     Mayor a 500 SMLMV </v>
      </c>
    </row>
    <row r="216" spans="1:8" ht="21" x14ac:dyDescent="0.35">
      <c r="A216" s="83"/>
      <c r="B216" s="31" t="s">
        <v>271</v>
      </c>
      <c r="C216" s="31" t="s">
        <v>279</v>
      </c>
      <c r="D216" t="s">
        <v>271</v>
      </c>
      <c r="F216" t="str">
        <f t="shared" si="0"/>
        <v>Pérdida Reputacional</v>
      </c>
    </row>
    <row r="217" spans="1:8" ht="21" x14ac:dyDescent="0.35">
      <c r="A217" s="83"/>
      <c r="B217" s="31" t="s">
        <v>271</v>
      </c>
      <c r="C217" s="31" t="s">
        <v>282</v>
      </c>
      <c r="E217" t="s">
        <v>275</v>
      </c>
      <c r="F217" t="str">
        <f t="shared" si="0"/>
        <v xml:space="preserve">     El riesgo afecta la imagen de alguna área de la organización</v>
      </c>
    </row>
    <row r="218" spans="1:8" ht="21" x14ac:dyDescent="0.35">
      <c r="A218" s="83"/>
      <c r="B218" s="31" t="s">
        <v>271</v>
      </c>
      <c r="C218" s="31" t="s">
        <v>286</v>
      </c>
      <c r="E218" t="s">
        <v>279</v>
      </c>
      <c r="F218" t="str">
        <f t="shared" si="0"/>
        <v xml:space="preserve">     El riesgo afecta la imagen de la entidad internamente, de conocimiento general, nivel interno, de junta dircetiva y accionistas y/o de provedores</v>
      </c>
    </row>
    <row r="219" spans="1:8" ht="21" x14ac:dyDescent="0.35">
      <c r="A219" s="83"/>
      <c r="B219" s="31" t="s">
        <v>271</v>
      </c>
      <c r="C219" s="31" t="s">
        <v>290</v>
      </c>
      <c r="E219" t="s">
        <v>282</v>
      </c>
      <c r="F219" t="str">
        <f t="shared" si="0"/>
        <v xml:space="preserve">     El riesgo afecta la imagen de la entidad con algunos usuarios de relevancia frente al logro de los objetivos</v>
      </c>
    </row>
    <row r="220" spans="1:8" x14ac:dyDescent="0.25">
      <c r="A220" s="83"/>
      <c r="B220" s="32"/>
      <c r="C220" s="32"/>
      <c r="E220" t="s">
        <v>286</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290</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302</v>
      </c>
    </row>
    <row r="224" spans="1:8" x14ac:dyDescent="0.25">
      <c r="B224" s="22"/>
      <c r="C224" s="22"/>
      <c r="F224" s="35" t="s">
        <v>303</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618" t="s">
        <v>304</v>
      </c>
      <c r="C1" s="619"/>
      <c r="D1" s="619"/>
      <c r="E1" s="619"/>
      <c r="F1" s="620"/>
    </row>
    <row r="2" spans="2:6" ht="16.5" thickBot="1" x14ac:dyDescent="0.3">
      <c r="B2" s="86"/>
      <c r="C2" s="86"/>
      <c r="D2" s="86"/>
      <c r="E2" s="86"/>
      <c r="F2" s="86"/>
    </row>
    <row r="3" spans="2:6" ht="16.5" thickBot="1" x14ac:dyDescent="0.25">
      <c r="B3" s="622" t="s">
        <v>305</v>
      </c>
      <c r="C3" s="623"/>
      <c r="D3" s="623"/>
      <c r="E3" s="98" t="s">
        <v>306</v>
      </c>
      <c r="F3" s="99" t="s">
        <v>307</v>
      </c>
    </row>
    <row r="4" spans="2:6" ht="31.5" x14ac:dyDescent="0.2">
      <c r="B4" s="624" t="s">
        <v>308</v>
      </c>
      <c r="C4" s="626" t="s">
        <v>143</v>
      </c>
      <c r="D4" s="87" t="s">
        <v>156</v>
      </c>
      <c r="E4" s="88" t="s">
        <v>309</v>
      </c>
      <c r="F4" s="89">
        <v>0.25</v>
      </c>
    </row>
    <row r="5" spans="2:6" ht="47.25" x14ac:dyDescent="0.2">
      <c r="B5" s="625"/>
      <c r="C5" s="627"/>
      <c r="D5" s="90" t="s">
        <v>310</v>
      </c>
      <c r="E5" s="91" t="s">
        <v>311</v>
      </c>
      <c r="F5" s="92">
        <v>0.15</v>
      </c>
    </row>
    <row r="6" spans="2:6" ht="47.25" x14ac:dyDescent="0.2">
      <c r="B6" s="625"/>
      <c r="C6" s="627"/>
      <c r="D6" s="90" t="s">
        <v>312</v>
      </c>
      <c r="E6" s="91" t="s">
        <v>313</v>
      </c>
      <c r="F6" s="92">
        <v>0.1</v>
      </c>
    </row>
    <row r="7" spans="2:6" ht="63" x14ac:dyDescent="0.2">
      <c r="B7" s="625"/>
      <c r="C7" s="627" t="s">
        <v>144</v>
      </c>
      <c r="D7" s="90" t="s">
        <v>314</v>
      </c>
      <c r="E7" s="91" t="s">
        <v>315</v>
      </c>
      <c r="F7" s="92">
        <v>0.25</v>
      </c>
    </row>
    <row r="8" spans="2:6" ht="31.5" x14ac:dyDescent="0.2">
      <c r="B8" s="625"/>
      <c r="C8" s="627"/>
      <c r="D8" s="90" t="s">
        <v>157</v>
      </c>
      <c r="E8" s="91" t="s">
        <v>316</v>
      </c>
      <c r="F8" s="92">
        <v>0.15</v>
      </c>
    </row>
    <row r="9" spans="2:6" ht="47.25" x14ac:dyDescent="0.2">
      <c r="B9" s="625" t="s">
        <v>317</v>
      </c>
      <c r="C9" s="627" t="s">
        <v>146</v>
      </c>
      <c r="D9" s="90" t="s">
        <v>158</v>
      </c>
      <c r="E9" s="91" t="s">
        <v>318</v>
      </c>
      <c r="F9" s="93" t="s">
        <v>319</v>
      </c>
    </row>
    <row r="10" spans="2:6" ht="63" x14ac:dyDescent="0.2">
      <c r="B10" s="625"/>
      <c r="C10" s="627"/>
      <c r="D10" s="90" t="s">
        <v>320</v>
      </c>
      <c r="E10" s="91" t="s">
        <v>321</v>
      </c>
      <c r="F10" s="93" t="s">
        <v>319</v>
      </c>
    </row>
    <row r="11" spans="2:6" ht="47.25" x14ac:dyDescent="0.2">
      <c r="B11" s="625"/>
      <c r="C11" s="627" t="s">
        <v>147</v>
      </c>
      <c r="D11" s="90" t="s">
        <v>159</v>
      </c>
      <c r="E11" s="91" t="s">
        <v>322</v>
      </c>
      <c r="F11" s="93" t="s">
        <v>319</v>
      </c>
    </row>
    <row r="12" spans="2:6" ht="47.25" x14ac:dyDescent="0.2">
      <c r="B12" s="625"/>
      <c r="C12" s="627"/>
      <c r="D12" s="90" t="s">
        <v>323</v>
      </c>
      <c r="E12" s="91" t="s">
        <v>324</v>
      </c>
      <c r="F12" s="93" t="s">
        <v>319</v>
      </c>
    </row>
    <row r="13" spans="2:6" ht="31.5" x14ac:dyDescent="0.2">
      <c r="B13" s="625"/>
      <c r="C13" s="627" t="s">
        <v>148</v>
      </c>
      <c r="D13" s="90" t="s">
        <v>160</v>
      </c>
      <c r="E13" s="91" t="s">
        <v>325</v>
      </c>
      <c r="F13" s="93" t="s">
        <v>319</v>
      </c>
    </row>
    <row r="14" spans="2:6" ht="32.25" thickBot="1" x14ac:dyDescent="0.25">
      <c r="B14" s="628"/>
      <c r="C14" s="629"/>
      <c r="D14" s="94" t="s">
        <v>326</v>
      </c>
      <c r="E14" s="95" t="s">
        <v>327</v>
      </c>
      <c r="F14" s="96" t="s">
        <v>319</v>
      </c>
    </row>
    <row r="15" spans="2:6" ht="49.5" customHeight="1" x14ac:dyDescent="0.2">
      <c r="B15" s="621" t="s">
        <v>328</v>
      </c>
      <c r="C15" s="621"/>
      <c r="D15" s="621"/>
      <c r="E15" s="621"/>
      <c r="F15" s="621"/>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329</v>
      </c>
      <c r="E2" t="s">
        <v>330</v>
      </c>
    </row>
    <row r="3" spans="2:5" x14ac:dyDescent="0.25">
      <c r="B3" t="s">
        <v>331</v>
      </c>
      <c r="E3" t="s">
        <v>332</v>
      </c>
    </row>
    <row r="4" spans="2:5" x14ac:dyDescent="0.25">
      <c r="B4" t="s">
        <v>333</v>
      </c>
      <c r="E4" t="s">
        <v>149</v>
      </c>
    </row>
    <row r="5" spans="2:5" x14ac:dyDescent="0.25">
      <c r="B5" t="s">
        <v>161</v>
      </c>
    </row>
    <row r="8" spans="2:5" x14ac:dyDescent="0.25">
      <c r="B8" t="s">
        <v>334</v>
      </c>
    </row>
    <row r="9" spans="2:5" x14ac:dyDescent="0.25">
      <c r="B9" t="s">
        <v>335</v>
      </c>
    </row>
    <row r="10" spans="2:5" x14ac:dyDescent="0.25">
      <c r="B10" t="s">
        <v>336</v>
      </c>
    </row>
    <row r="13" spans="2:5" x14ac:dyDescent="0.25">
      <c r="B13" t="s">
        <v>337</v>
      </c>
    </row>
    <row r="14" spans="2:5" x14ac:dyDescent="0.25">
      <c r="B14" t="s">
        <v>153</v>
      </c>
    </row>
    <row r="15" spans="2:5" x14ac:dyDescent="0.25">
      <c r="B15" t="s">
        <v>338</v>
      </c>
    </row>
    <row r="16" spans="2:5" x14ac:dyDescent="0.25">
      <c r="B16" t="s">
        <v>339</v>
      </c>
    </row>
    <row r="17" spans="2:2" x14ac:dyDescent="0.25">
      <c r="B17" t="s">
        <v>340</v>
      </c>
    </row>
    <row r="18" spans="2:2" x14ac:dyDescent="0.25">
      <c r="B18" t="s">
        <v>341</v>
      </c>
    </row>
    <row r="19" spans="2:2" x14ac:dyDescent="0.25">
      <c r="B19" t="s">
        <v>342</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2024-04-05T16:14:54Z</dcterms:modified>
  <cp:category/>
  <cp:contentStatus/>
</cp:coreProperties>
</file>