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D:\ALCALDIA 2023\FORMULACION MRG 2023\MRG 2023 APROBADOS 29092023\"/>
    </mc:Choice>
  </mc:AlternateContent>
  <xr:revisionPtr revIDLastSave="0" documentId="13_ncr:1_{058F3953-4D2D-47E6-8663-23D43B415EBE}"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0" i="1" l="1"/>
  <c r="Q90" i="1"/>
  <c r="K90" i="1"/>
  <c r="X89" i="1"/>
  <c r="Y89" i="1" s="1"/>
  <c r="T89" i="1"/>
  <c r="Q89" i="1"/>
  <c r="AB90" i="1" s="1"/>
  <c r="AA90" i="1" s="1"/>
  <c r="K89" i="1"/>
  <c r="X88" i="1"/>
  <c r="Z88" i="1" s="1"/>
  <c r="T88" i="1"/>
  <c r="Q88" i="1"/>
  <c r="AB89" i="1" s="1"/>
  <c r="AA89" i="1" s="1"/>
  <c r="K88" i="1"/>
  <c r="AB87" i="1"/>
  <c r="AA87" i="1"/>
  <c r="Z87" i="1"/>
  <c r="Y87" i="1"/>
  <c r="AC87" i="1" s="1"/>
  <c r="X87" i="1"/>
  <c r="T87" i="1"/>
  <c r="Q87" i="1"/>
  <c r="AB88" i="1" s="1"/>
  <c r="AA88" i="1" s="1"/>
  <c r="K87" i="1"/>
  <c r="AB86" i="1"/>
  <c r="AA86" i="1"/>
  <c r="T86" i="1"/>
  <c r="Q86" i="1"/>
  <c r="K86" i="1"/>
  <c r="T85" i="1"/>
  <c r="Q85" i="1"/>
  <c r="X86" i="1" s="1"/>
  <c r="L85" i="1"/>
  <c r="N85" i="1" s="1"/>
  <c r="K85" i="1"/>
  <c r="I85" i="1"/>
  <c r="H85" i="1"/>
  <c r="T84" i="1"/>
  <c r="Q84" i="1"/>
  <c r="K84" i="1"/>
  <c r="T83" i="1"/>
  <c r="Q83" i="1"/>
  <c r="AB84" i="1" s="1"/>
  <c r="AA84" i="1" s="1"/>
  <c r="K83" i="1"/>
  <c r="T82" i="1"/>
  <c r="Q82" i="1"/>
  <c r="K82" i="1"/>
  <c r="T81" i="1"/>
  <c r="Q81" i="1"/>
  <c r="AB82" i="1" s="1"/>
  <c r="AA82" i="1" s="1"/>
  <c r="K81" i="1"/>
  <c r="T80" i="1"/>
  <c r="Q80" i="1"/>
  <c r="K80" i="1"/>
  <c r="T79" i="1"/>
  <c r="Q79" i="1"/>
  <c r="X79" i="1" s="1"/>
  <c r="K79" i="1"/>
  <c r="L79" i="1" s="1"/>
  <c r="I79" i="1"/>
  <c r="H79" i="1"/>
  <c r="T78" i="1"/>
  <c r="Q78" i="1"/>
  <c r="K78" i="1"/>
  <c r="T77" i="1"/>
  <c r="Q77" i="1"/>
  <c r="AB78" i="1" s="1"/>
  <c r="AA78" i="1" s="1"/>
  <c r="K77" i="1"/>
  <c r="T76" i="1"/>
  <c r="Q76" i="1"/>
  <c r="K76" i="1"/>
  <c r="T75" i="1"/>
  <c r="Q75" i="1"/>
  <c r="AB76" i="1" s="1"/>
  <c r="AA76" i="1" s="1"/>
  <c r="K75" i="1"/>
  <c r="T74" i="1"/>
  <c r="Q74" i="1"/>
  <c r="K74" i="1"/>
  <c r="T73" i="1"/>
  <c r="Q73" i="1"/>
  <c r="K73" i="1"/>
  <c r="L73" i="1" s="1"/>
  <c r="M73" i="1" s="1"/>
  <c r="AB73" i="1" s="1"/>
  <c r="AA73" i="1" s="1"/>
  <c r="H73" i="1"/>
  <c r="I73" i="1" s="1"/>
  <c r="AC89" i="1" l="1"/>
  <c r="Y86" i="1"/>
  <c r="AC86" i="1" s="1"/>
  <c r="Z86" i="1"/>
  <c r="AB81" i="1"/>
  <c r="AA81" i="1" s="1"/>
  <c r="Z89" i="1"/>
  <c r="Y88" i="1"/>
  <c r="AC88" i="1" s="1"/>
  <c r="X90" i="1"/>
  <c r="X81" i="1"/>
  <c r="Z81" i="1" s="1"/>
  <c r="X74" i="1"/>
  <c r="X80" i="1"/>
  <c r="Z80" i="1" s="1"/>
  <c r="AB83" i="1"/>
  <c r="AA83" i="1" s="1"/>
  <c r="X85" i="1"/>
  <c r="M85" i="1"/>
  <c r="AB85" i="1" s="1"/>
  <c r="AA85" i="1" s="1"/>
  <c r="AB80" i="1"/>
  <c r="AA80" i="1" s="1"/>
  <c r="N79" i="1"/>
  <c r="M79" i="1"/>
  <c r="AB79" i="1" s="1"/>
  <c r="AA79" i="1" s="1"/>
  <c r="Y79" i="1"/>
  <c r="Z79" i="1"/>
  <c r="X77" i="1"/>
  <c r="Z77" i="1" s="1"/>
  <c r="X83" i="1"/>
  <c r="AB77" i="1"/>
  <c r="AA77" i="1" s="1"/>
  <c r="Y80" i="1"/>
  <c r="AC80" i="1" s="1"/>
  <c r="X82" i="1"/>
  <c r="X75" i="1"/>
  <c r="Y75" i="1" s="1"/>
  <c r="AB75" i="1"/>
  <c r="AA75" i="1" s="1"/>
  <c r="X84" i="1"/>
  <c r="X76" i="1"/>
  <c r="Y76" i="1" s="1"/>
  <c r="AC76" i="1" s="1"/>
  <c r="Y74" i="1"/>
  <c r="Z74" i="1"/>
  <c r="AC75" i="1"/>
  <c r="N73" i="1"/>
  <c r="AB74" i="1"/>
  <c r="AA74" i="1" s="1"/>
  <c r="Y77" i="1"/>
  <c r="X78" i="1"/>
  <c r="X73" i="1"/>
  <c r="Q62" i="1"/>
  <c r="Q56" i="1"/>
  <c r="Q57" i="1"/>
  <c r="Q58" i="1"/>
  <c r="Q59" i="1"/>
  <c r="Q60" i="1"/>
  <c r="Q61" i="1"/>
  <c r="Q50" i="1"/>
  <c r="Q51" i="1"/>
  <c r="Q52" i="1"/>
  <c r="Q53" i="1"/>
  <c r="Q54" i="1"/>
  <c r="Q55" i="1"/>
  <c r="T37" i="1"/>
  <c r="T38" i="1"/>
  <c r="T39" i="1"/>
  <c r="T40" i="1"/>
  <c r="T41" i="1"/>
  <c r="T42" i="1"/>
  <c r="Q37" i="1"/>
  <c r="Q38" i="1"/>
  <c r="Q39" i="1"/>
  <c r="Q40" i="1"/>
  <c r="Q41" i="1"/>
  <c r="Q42" i="1"/>
  <c r="T31" i="1"/>
  <c r="T32" i="1"/>
  <c r="T33" i="1"/>
  <c r="T34" i="1"/>
  <c r="T35" i="1"/>
  <c r="T36" i="1"/>
  <c r="Q31" i="1"/>
  <c r="Q32" i="1"/>
  <c r="Q33" i="1"/>
  <c r="Q34" i="1"/>
  <c r="Q35" i="1"/>
  <c r="Q36" i="1"/>
  <c r="H36" i="1"/>
  <c r="T26" i="1"/>
  <c r="T27" i="1"/>
  <c r="T28" i="1"/>
  <c r="T29" i="1"/>
  <c r="T30" i="1"/>
  <c r="H61" i="1"/>
  <c r="I61" i="1" s="1"/>
  <c r="T61" i="1"/>
  <c r="K62" i="1"/>
  <c r="T62" i="1"/>
  <c r="K63" i="1"/>
  <c r="K64" i="1"/>
  <c r="K65" i="1"/>
  <c r="K66" i="1"/>
  <c r="Z75" i="1" l="1"/>
  <c r="Z85" i="1"/>
  <c r="Y85" i="1"/>
  <c r="AC85" i="1" s="1"/>
  <c r="Y81" i="1"/>
  <c r="AC81" i="1" s="1"/>
  <c r="AC77" i="1"/>
  <c r="Z90" i="1"/>
  <c r="Y90" i="1"/>
  <c r="AC90" i="1" s="1"/>
  <c r="Z83" i="1"/>
  <c r="Y83" i="1"/>
  <c r="AC83" i="1" s="1"/>
  <c r="Z84" i="1"/>
  <c r="Y84" i="1"/>
  <c r="AC84" i="1" s="1"/>
  <c r="Z76" i="1"/>
  <c r="AC79" i="1"/>
  <c r="Z82" i="1"/>
  <c r="Y82" i="1"/>
  <c r="AC82" i="1" s="1"/>
  <c r="Z73" i="1"/>
  <c r="Y73" i="1"/>
  <c r="AC73" i="1" s="1"/>
  <c r="Z78" i="1"/>
  <c r="Y78" i="1"/>
  <c r="AC78" i="1" s="1"/>
  <c r="AC74" i="1"/>
  <c r="X61" i="1"/>
  <c r="Z61" i="1" s="1"/>
  <c r="X62" i="1" s="1"/>
  <c r="Z62" i="1" l="1"/>
  <c r="Y62" i="1"/>
  <c r="AC66" i="1"/>
  <c r="AC64" i="1"/>
  <c r="Y61" i="1"/>
  <c r="AC65" i="1" l="1"/>
  <c r="T24" i="1"/>
  <c r="T12" i="1" l="1"/>
  <c r="Q12" i="1"/>
  <c r="H12" i="1" l="1"/>
  <c r="I12" i="1" s="1"/>
  <c r="K60" i="1"/>
  <c r="K33" i="1"/>
  <c r="K19" i="1"/>
  <c r="K31" i="1"/>
  <c r="K52" i="1"/>
  <c r="K57" i="1"/>
  <c r="K32" i="1"/>
  <c r="K40" i="1"/>
  <c r="K51" i="1"/>
  <c r="K29" i="1"/>
  <c r="K37" i="1"/>
  <c r="K50" i="1"/>
  <c r="K59" i="1"/>
  <c r="K41" i="1"/>
  <c r="K26" i="1"/>
  <c r="K53" i="1"/>
  <c r="K39" i="1"/>
  <c r="K44" i="1"/>
  <c r="K23" i="1"/>
  <c r="K21" i="1"/>
  <c r="K58" i="1"/>
  <c r="K20" i="1"/>
  <c r="K34" i="1"/>
  <c r="K28" i="1"/>
  <c r="K35" i="1"/>
  <c r="K45" i="1"/>
  <c r="K22" i="1"/>
  <c r="K38" i="1"/>
  <c r="K25" i="1"/>
  <c r="K56" i="1"/>
  <c r="K46" i="1"/>
  <c r="K27" i="1"/>
  <c r="K54" i="1"/>
  <c r="K47" i="1"/>
  <c r="K48" i="1"/>
  <c r="F221" i="13" l="1"/>
  <c r="F211" i="13"/>
  <c r="F212" i="13"/>
  <c r="F213" i="13"/>
  <c r="F214" i="13"/>
  <c r="F215" i="13"/>
  <c r="F216" i="13"/>
  <c r="F217" i="13"/>
  <c r="F218" i="13"/>
  <c r="F219" i="13"/>
  <c r="F220" i="13"/>
  <c r="F210" i="13"/>
  <c r="K17" i="1"/>
  <c r="K16" i="1"/>
  <c r="K13" i="1"/>
  <c r="K14" i="1"/>
  <c r="B221" i="13" a="1"/>
  <c r="K15" i="1"/>
  <c r="B221" i="13" l="1"/>
  <c r="Q44" i="1"/>
  <c r="K61" i="1" l="1"/>
  <c r="L61"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N61" i="1" l="1"/>
  <c r="M61" i="1"/>
  <c r="AB61" i="1" s="1"/>
  <c r="T60" i="1"/>
  <c r="T59" i="1"/>
  <c r="T58" i="1"/>
  <c r="T57" i="1"/>
  <c r="T56" i="1"/>
  <c r="T55" i="1"/>
  <c r="H55" i="1"/>
  <c r="I55" i="1" s="1"/>
  <c r="T54" i="1"/>
  <c r="T53" i="1"/>
  <c r="T52" i="1"/>
  <c r="T51" i="1"/>
  <c r="T50" i="1"/>
  <c r="T49" i="1"/>
  <c r="Q49" i="1"/>
  <c r="H49" i="1"/>
  <c r="I49" i="1" s="1"/>
  <c r="T48" i="1"/>
  <c r="Q48" i="1"/>
  <c r="T47" i="1"/>
  <c r="Q47" i="1"/>
  <c r="T46" i="1"/>
  <c r="Q46" i="1"/>
  <c r="T45" i="1"/>
  <c r="Q45" i="1"/>
  <c r="T44" i="1"/>
  <c r="H42" i="1"/>
  <c r="I42" i="1" s="1"/>
  <c r="I36" i="1"/>
  <c r="Q30" i="1"/>
  <c r="H30" i="1"/>
  <c r="I30" i="1" s="1"/>
  <c r="Q29" i="1"/>
  <c r="Q28" i="1"/>
  <c r="Q27" i="1"/>
  <c r="Q26" i="1"/>
  <c r="T25" i="1"/>
  <c r="Q25" i="1"/>
  <c r="Q24" i="1"/>
  <c r="H24" i="1"/>
  <c r="I24" i="1" s="1"/>
  <c r="H18" i="1"/>
  <c r="Q17" i="1"/>
  <c r="Q16" i="1"/>
  <c r="T23" i="1"/>
  <c r="Q23" i="1"/>
  <c r="T22" i="1"/>
  <c r="Q22" i="1"/>
  <c r="T21" i="1"/>
  <c r="Q21" i="1"/>
  <c r="T20" i="1"/>
  <c r="Q20" i="1"/>
  <c r="T19" i="1"/>
  <c r="Q19" i="1"/>
  <c r="T18" i="1"/>
  <c r="Q18" i="1"/>
  <c r="AA61" i="1" l="1"/>
  <c r="AC61" i="1" s="1"/>
  <c r="AB62" i="1"/>
  <c r="AA62" i="1" s="1"/>
  <c r="AC62" i="1" s="1"/>
  <c r="X55" i="1"/>
  <c r="X27" i="1"/>
  <c r="X38" i="1"/>
  <c r="X47" i="1"/>
  <c r="X59" i="1"/>
  <c r="Z59" i="1" s="1"/>
  <c r="X32" i="1"/>
  <c r="X29" i="1"/>
  <c r="X40" i="1"/>
  <c r="X53" i="1"/>
  <c r="X35" i="1"/>
  <c r="X34" i="1"/>
  <c r="X33" i="1"/>
  <c r="AB56" i="1"/>
  <c r="X57" i="1"/>
  <c r="Z57" i="1" s="1"/>
  <c r="X56" i="1"/>
  <c r="Z56" i="1" s="1"/>
  <c r="X31" i="1"/>
  <c r="X30" i="1"/>
  <c r="X52" i="1"/>
  <c r="X51" i="1"/>
  <c r="X54" i="1"/>
  <c r="X58" i="1"/>
  <c r="Z58" i="1" s="1"/>
  <c r="X60" i="1"/>
  <c r="Z60" i="1" s="1"/>
  <c r="X24" i="1"/>
  <c r="X26" i="1"/>
  <c r="X28" i="1"/>
  <c r="X37" i="1"/>
  <c r="X36" i="1"/>
  <c r="X39" i="1"/>
  <c r="X41" i="1"/>
  <c r="X46" i="1"/>
  <c r="X45" i="1"/>
  <c r="X48" i="1"/>
  <c r="AB44" i="1"/>
  <c r="X44" i="1"/>
  <c r="X42" i="1"/>
  <c r="X49" i="1"/>
  <c r="AB31" i="1"/>
  <c r="AB37" i="1"/>
  <c r="AB53" i="1"/>
  <c r="AA53" i="1" s="1"/>
  <c r="AB54" i="1"/>
  <c r="AA54" i="1" s="1"/>
  <c r="I18" i="1"/>
  <c r="X18" i="1" s="1"/>
  <c r="Y55" i="1" l="1"/>
  <c r="Z55" i="1"/>
  <c r="Y54" i="1"/>
  <c r="Z54" i="1"/>
  <c r="Y53" i="1"/>
  <c r="Z53" i="1"/>
  <c r="Y49" i="1"/>
  <c r="Z49" i="1"/>
  <c r="X50" i="1" s="1"/>
  <c r="Y42" i="1"/>
  <c r="Z42" i="1"/>
  <c r="Z44" i="1" s="1"/>
  <c r="Y36" i="1"/>
  <c r="Z36" i="1"/>
  <c r="Y30" i="1"/>
  <c r="Z30" i="1"/>
  <c r="Z31" i="1" s="1"/>
  <c r="Y32" i="1" s="1"/>
  <c r="Y24" i="1"/>
  <c r="Z24" i="1"/>
  <c r="Y18" i="1"/>
  <c r="Z18" i="1"/>
  <c r="X19" i="1" s="1"/>
  <c r="X25" i="1" l="1"/>
  <c r="Y25" i="1" s="1"/>
  <c r="Y56" i="1"/>
  <c r="Y44" i="1"/>
  <c r="Y31" i="1"/>
  <c r="Y45" i="1"/>
  <c r="Z45" i="1"/>
  <c r="Y57"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3" i="1"/>
  <c r="AC54" i="1"/>
  <c r="T13" i="1"/>
  <c r="T16" i="1"/>
  <c r="T17" i="1"/>
  <c r="Z25" i="1" l="1"/>
  <c r="Y26" i="1" s="1"/>
  <c r="Y58" i="1"/>
  <c r="Z26" i="1"/>
  <c r="Z27" i="1" s="1"/>
  <c r="Y51" i="1"/>
  <c r="Z51" i="1"/>
  <c r="Y50" i="1"/>
  <c r="Z50" i="1"/>
  <c r="Y37" i="1"/>
  <c r="Z37" i="1"/>
  <c r="Y38" i="1" s="1"/>
  <c r="Y34" i="1"/>
  <c r="Y19" i="1"/>
  <c r="Z19" i="1"/>
  <c r="X20" i="1" s="1"/>
  <c r="Y20" i="1" s="1"/>
  <c r="Z38" i="1" l="1"/>
  <c r="Z39" i="1" s="1"/>
  <c r="Y59" i="1"/>
  <c r="Y27" i="1"/>
  <c r="Y46" i="1"/>
  <c r="Z46" i="1"/>
  <c r="Y47" i="1" s="1"/>
  <c r="Y39" i="1"/>
  <c r="Y52" i="1"/>
  <c r="Z52" i="1"/>
  <c r="Y33" i="1"/>
  <c r="Z33" i="1"/>
  <c r="Z34" i="1"/>
  <c r="Z20" i="1"/>
  <c r="X21" i="1" s="1"/>
  <c r="Y21" i="1" s="1"/>
  <c r="Y60" i="1" l="1"/>
  <c r="Z47" i="1"/>
  <c r="Y48" i="1" s="1"/>
  <c r="Z40" i="1"/>
  <c r="Y40" i="1"/>
  <c r="Y28" i="1"/>
  <c r="Z28" i="1"/>
  <c r="Y29" i="1" s="1"/>
  <c r="Y35" i="1"/>
  <c r="Z35" i="1"/>
  <c r="Z21" i="1"/>
  <c r="X22" i="1" s="1"/>
  <c r="Z22" i="1" s="1"/>
  <c r="X23" i="1" s="1"/>
  <c r="X12" i="1"/>
  <c r="Y12" i="1" s="1"/>
  <c r="Y41" i="1" l="1"/>
  <c r="Z41" i="1"/>
  <c r="Z48" i="1"/>
  <c r="Z29" i="1"/>
  <c r="Y22" i="1"/>
  <c r="Y23" i="1"/>
  <c r="Z23" i="1"/>
  <c r="Q13" i="1"/>
  <c r="Z12" i="1" l="1"/>
  <c r="X13" i="1" s="1"/>
  <c r="Y13" i="1" l="1"/>
  <c r="Z13" i="1" l="1"/>
  <c r="X16" i="1" l="1"/>
  <c r="Y16" i="1" l="1"/>
  <c r="Z16" i="1"/>
  <c r="X17" i="1" s="1"/>
  <c r="Y17" i="1" l="1"/>
  <c r="Z17" i="1"/>
  <c r="K43" i="1" l="1"/>
  <c r="L42" i="1" s="1"/>
  <c r="K30" i="1"/>
  <c r="L30" i="1" s="1"/>
  <c r="K24" i="1"/>
  <c r="L24" i="1" s="1"/>
  <c r="K55" i="1"/>
  <c r="L55" i="1" s="1"/>
  <c r="K49" i="1"/>
  <c r="L49"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5" i="1"/>
  <c r="AJ42" i="18"/>
  <c r="AJ18" i="18"/>
  <c r="AD26" i="18"/>
  <c r="L10" i="18"/>
  <c r="AD10" i="18"/>
  <c r="X18" i="18"/>
  <c r="AD42" i="18"/>
  <c r="L18" i="18"/>
  <c r="R10" i="18"/>
  <c r="N55"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9" i="1"/>
  <c r="AH34" i="18"/>
  <c r="AH42" i="18"/>
  <c r="AH18" i="18"/>
  <c r="AB10" i="18"/>
  <c r="J26" i="18"/>
  <c r="V18" i="18"/>
  <c r="V42" i="18"/>
  <c r="J42" i="18"/>
  <c r="P10" i="18"/>
  <c r="AB26" i="18"/>
  <c r="J34" i="18"/>
  <c r="J18" i="18"/>
  <c r="AH10" i="18"/>
  <c r="AB34" i="18"/>
  <c r="P26" i="18"/>
  <c r="P34" i="18"/>
  <c r="V34" i="18"/>
  <c r="AH26" i="18"/>
  <c r="J10" i="18"/>
  <c r="N49"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5" i="1"/>
  <c r="AA55" i="1" s="1"/>
  <c r="AA12" i="1"/>
  <c r="AB18" i="1"/>
  <c r="AB24" i="1"/>
  <c r="AB49" i="1"/>
  <c r="AB36" i="1"/>
  <c r="AA36" i="1" s="1"/>
  <c r="AA49" i="1" l="1"/>
  <c r="V22" i="19" s="1"/>
  <c r="AB50"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AC5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4" i="1"/>
  <c r="AB45" i="1"/>
  <c r="AA45" i="1" s="1"/>
  <c r="AB46" i="1"/>
  <c r="AB51" i="1"/>
  <c r="AA51" i="1" s="1"/>
  <c r="AB52" i="1"/>
  <c r="AA52" i="1" s="1"/>
  <c r="AA50" i="1"/>
  <c r="AA56" i="1"/>
  <c r="AB57" i="1"/>
  <c r="AA31" i="1"/>
  <c r="AB32" i="1"/>
  <c r="P7" i="19" l="1"/>
  <c r="AH17" i="19"/>
  <c r="V37" i="19"/>
  <c r="J7" i="19"/>
  <c r="AB17" i="19"/>
  <c r="P17" i="19"/>
  <c r="AH32" i="19"/>
  <c r="AB52" i="19"/>
  <c r="J32" i="19"/>
  <c r="V12" i="19"/>
  <c r="J42" i="19"/>
  <c r="J12" i="19"/>
  <c r="J22" i="19"/>
  <c r="AB12" i="19"/>
  <c r="AC49"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4"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1" i="1"/>
  <c r="AD12" i="19"/>
  <c r="AD32" i="19"/>
  <c r="AD22" i="19"/>
  <c r="X52" i="19"/>
  <c r="AD52" i="19"/>
  <c r="L42" i="19"/>
  <c r="R42" i="19"/>
  <c r="AJ21" i="19"/>
  <c r="AD31" i="19"/>
  <c r="R21" i="19"/>
  <c r="AD41" i="19"/>
  <c r="AJ11" i="19"/>
  <c r="AJ51" i="19"/>
  <c r="AC45" i="1"/>
  <c r="L41" i="19"/>
  <c r="AD11" i="19"/>
  <c r="L21" i="19"/>
  <c r="L11" i="19"/>
  <c r="X51" i="19"/>
  <c r="X21" i="19"/>
  <c r="R11" i="19"/>
  <c r="R31" i="19"/>
  <c r="AJ41" i="19"/>
  <c r="L31" i="19"/>
  <c r="R51" i="19"/>
  <c r="X31" i="19"/>
  <c r="X11" i="19"/>
  <c r="X41" i="19"/>
  <c r="AJ31" i="19"/>
  <c r="AD51" i="19"/>
  <c r="R41" i="19"/>
  <c r="AD21" i="19"/>
  <c r="L51" i="19"/>
  <c r="AB21" i="1"/>
  <c r="AA20" i="1"/>
  <c r="AA32" i="1"/>
  <c r="AB33" i="1"/>
  <c r="AA57" i="1"/>
  <c r="AB58" i="1"/>
  <c r="K42" i="19"/>
  <c r="AC32" i="19"/>
  <c r="W42" i="19"/>
  <c r="AI52" i="19"/>
  <c r="K22" i="19"/>
  <c r="Q32" i="19"/>
  <c r="AI12" i="19"/>
  <c r="AC52" i="19"/>
  <c r="Q42" i="19"/>
  <c r="AC42" i="19"/>
  <c r="K12" i="19"/>
  <c r="Q22" i="19"/>
  <c r="W52" i="19"/>
  <c r="AI42" i="19"/>
  <c r="W32" i="19"/>
  <c r="AI22" i="19"/>
  <c r="W12" i="19"/>
  <c r="AI32" i="19"/>
  <c r="AC12" i="19"/>
  <c r="Q12" i="19"/>
  <c r="Q52" i="19"/>
  <c r="AC50"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6" i="1"/>
  <c r="Q33" i="19"/>
  <c r="AI23" i="19"/>
  <c r="K53" i="19"/>
  <c r="AC23" i="19"/>
  <c r="AC13" i="19"/>
  <c r="W23" i="19"/>
  <c r="W33" i="19"/>
  <c r="Q13" i="19"/>
  <c r="W13" i="19"/>
  <c r="AI13" i="19"/>
  <c r="Q43" i="19"/>
  <c r="Q23" i="19"/>
  <c r="W53" i="19"/>
  <c r="M12" i="19"/>
  <c r="AK42" i="19"/>
  <c r="AE32" i="19"/>
  <c r="AC52" i="1"/>
  <c r="M52" i="19"/>
  <c r="S12" i="19"/>
  <c r="M32" i="19"/>
  <c r="S52" i="19"/>
  <c r="Y52" i="19"/>
  <c r="Y42" i="19"/>
  <c r="AK12" i="19"/>
  <c r="S22" i="19"/>
  <c r="AE12" i="19"/>
  <c r="Y22" i="19"/>
  <c r="S32" i="19"/>
  <c r="AK52" i="19"/>
  <c r="M22" i="19"/>
  <c r="AK32" i="19"/>
  <c r="AE22" i="19"/>
  <c r="AE42" i="19"/>
  <c r="Y32" i="19"/>
  <c r="M42" i="19"/>
  <c r="Y12" i="19"/>
  <c r="AE52" i="19"/>
  <c r="AK22" i="19"/>
  <c r="S42" i="19"/>
  <c r="AA46" i="1"/>
  <c r="AB48" i="1"/>
  <c r="AA48" i="1" s="1"/>
  <c r="AB47" i="1"/>
  <c r="AA47"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8" i="1"/>
  <c r="AB59"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7"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7"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8"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6"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9" i="1"/>
  <c r="AB60" i="1"/>
  <c r="AA60"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8"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9"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<sst xmlns="http://schemas.openxmlformats.org/spreadsheetml/2006/main" count="612" uniqueCount="373">
  <si>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</si>
  <si>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</si>
  <si>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</si>
  <si>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</si>
  <si>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</si>
  <si>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</si>
  <si>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</si>
  <si>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</si>
  <si>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</si>
  <si>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</si>
  <si>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</si>
  <si>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</si>
  <si>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</si>
  <si>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</si>
  <si>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</si>
  <si>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</si>
  <si>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</si>
  <si>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</si>
  <si>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</si>
  <si>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</si>
  <si>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</si>
  <si>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</si>
  <si>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</si>
  <si>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</si>
  <si>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</si>
  <si>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</si>
  <si>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</si>
  <si>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</si>
  <si>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</si>
  <si>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</si>
  <si>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</si>
  <si>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</si>
  <si>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</si>
  <si>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</si>
  <si>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</si>
  <si>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</si>
  <si>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</si>
  <si>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</si>
  <si>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</si>
  <si>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</si>
  <si>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</si>
  <si>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</si>
  <si>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</si>
  <si>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</si>
  <si>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</si>
  <si>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</si>
  <si>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</si>
  <si>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</si>
  <si>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</si>
  <si>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</si>
  <si>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</si>
  <si>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</si>
  <si>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</si>
  <si>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</si>
  <si>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</si>
  <si>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</si>
  <si>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</si>
  <si>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</si>
  <si>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</si>
  <si>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</si>
  <si>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</si>
  <si>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</si>
  <si>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</si>
  <si>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</si>
  <si>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</si>
  <si>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</si>
  <si>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</si>
  <si>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</si>
  <si>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</si>
  <si>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</si>
  <si>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</si>
  <si>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</si>
  <si>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</si>
  <si>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</si>
  <si>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</si>
  <si>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</si>
  <si>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</si>
  <si>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</si>
  <si>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</si>
  <si>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</si>
  <si>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</si>
  <si>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</si>
  <si>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</si>
  <si>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</si>
  <si>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</si>
  <si>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</si>
  <si>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</si>
  <si>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</si>
  <si>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</si>
  <si>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</si>
  <si>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</si>
  <si>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</si>
  <si>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</si>
  <si>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</si>
  <si>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</si>
  <si>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</si>
  <si>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</si>
  <si>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</si>
  <si>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</si>
  <si>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</si>
  <si>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</si>
  <si>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</si>
  <si>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</si>
  <si>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</si>
  <si>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</si>
  <si>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</si>
  <si>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</si>
  <si>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</si>
  <si>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</si>
  <si>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</si>
  <si>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</si>
  <si>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</si>
  <si>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</si>
  <si>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</si>
  <si>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</si>
  <si>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</si>
  <si>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</si>
  <si>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</si>
  <si>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</si>
  <si>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</si>
  <si>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</si>
  <si>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</si>
  <si>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</si>
  <si>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</si>
  <si>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</si>
  <si>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</si>
  <si>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</si>
  <si>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</si>
  <si>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</si>
  <si>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</si>
  <si>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</si>
  <si>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</si>
  <si>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</si>
  <si>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</si>
  <si>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</si>
  <si>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</si>
  <si>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</si>
  <si>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</si>
  <si>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</si>
  <si>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</si>
  <si>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</si>
  <si>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</si>
  <si>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</si>
  <si>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</si>
  <si>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</si>
  <si>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</si>
  <si>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</si>
  <si>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</si>
  <si>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</si>
  <si>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</si>
  <si>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</si>
  <si>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</si>
  <si>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</si>
  <si>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</si>
  <si>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</si>
  <si>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</si>
  <si>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</si>
  <si>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</si>
  <si>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</si>
  <si>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</si>
  <si>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</si>
  <si>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</si>
  <si>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</si>
  <si>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</si>
  <si>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</si>
  <si>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</si>
  <si>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</si>
  <si>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</si>
  <si>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</si>
  <si>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</si>
  <si>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</si>
  <si>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</si>
  <si>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</si>
  <si>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</si>
  <si>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</si>
  <si>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</si>
  <si>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</si>
  <si>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</si>
  <si>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</si>
  <si>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</si>
  <si>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</si>
  <si>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</si>
  <si>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</si>
  <si>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</si>
  <si>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</si>
  <si>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</si>
  <si>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</si>
  <si>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</si>
  <si>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</si>
  <si>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</si>
  <si>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</si>
  <si>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</si>
  <si>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</si>
  <si>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</si>
  <si>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</si>
  <si>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</si>
  <si>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</si>
  <si>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</si>
  <si>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</si>
  <si>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</si>
  <si>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</si>
  <si>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</si>
  <si>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</si>
  <si>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</si>
  <si>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</si>
  <si>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</si>
  <si>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</si>
  <si>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</si>
  <si>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</si>
  <si>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</si>
  <si>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</si>
  <si>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</si>
  <si>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</si>
  <si>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</si>
  <si>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</si>
  <si>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</si>
  <si>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</si>
  <si>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</si>
  <si>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</si>
  <si>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</si>
  <si>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</si>
  <si>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</si>
  <si>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</si>
  <si>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</si>
  <si>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</si>
  <si>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</si>
  <si>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</si>
  <si>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</si>
  <si>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</si>
  <si>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</si>
  <si>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</si>
  <si>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</si>
  <si>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</si>
  <si>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</si>
  <si>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</si>
  <si>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</si>
  <si>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</si>
  <si>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</si>
  <si>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</si>
  <si>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</si>
  <si>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</si>
  <si>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</si>
  <si>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</si>
  <si>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</si>
  <si>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</si>
  <si>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</si>
  <si>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 xml:space="preserve">Gestión en habilidades comportamentales o conductuales para los servidores públicos. </t>
  </si>
  <si>
    <t>Trabajo en equipo y excelentes relaciones interpersonales</t>
  </si>
  <si>
    <t xml:space="preserve">Medios de transporte </t>
  </si>
  <si>
    <t>Herramientas de planificación dinámicas para el seguimiento y monitoreo de planes institucionales</t>
  </si>
  <si>
    <t>Buenas prácticas bajo lineamientos del Departamento Nacional de Planeación y Departamento Administrativo de la Función Pública.</t>
  </si>
  <si>
    <t>Capacitación y mejoramiento de procesos por parte de funcionarios</t>
  </si>
  <si>
    <t>Desarrollo e implementacion de plataformas tecnológicas que facilitan las actividades laborales</t>
  </si>
  <si>
    <t>Identificación del patrimonio inmobiliario del municipio.</t>
  </si>
  <si>
    <t>Buena posición en el ranking de ciudades prósperas de Colombia</t>
  </si>
  <si>
    <t>Conocimiento del desarrollo de los procesos</t>
  </si>
  <si>
    <t>Reconocimiento de la atención de calidad brindada por los servidores públicos</t>
  </si>
  <si>
    <t>Empoderamiento, responsabilidad y compromiso por el líder del proceso Planeación Estratégica</t>
  </si>
  <si>
    <t>Políticas de transferencia de recursos</t>
  </si>
  <si>
    <t>Política de Administración de Riesgos actualizada</t>
  </si>
  <si>
    <t>Situación Geopolítica de la entidad territorial</t>
  </si>
  <si>
    <t>Implementación y mejoramiento del Modelo Integrado de Planeación y Gestión - MIPG.</t>
  </si>
  <si>
    <t>Vias de acceso</t>
  </si>
  <si>
    <t>Cumplimiento en el seguimiento al Plan de Desarrollo en sus líneas de acción</t>
  </si>
  <si>
    <t>La gestión preventida que realiza la Oficina de Control Interno de Gestión</t>
  </si>
  <si>
    <t>Planeación del desarrollo territorial</t>
  </si>
  <si>
    <t>La participación de la comunidad en los procesos de planificación</t>
  </si>
  <si>
    <t>Experiencia y compromisos de los servidores públicos vinculados al proceso</t>
  </si>
  <si>
    <t>Alteraciones en el orden público</t>
  </si>
  <si>
    <t xml:space="preserve">Deficiencia en la claridad por parte de cada área de sus competencias. </t>
  </si>
  <si>
    <t>Altos niveles de población flotante de personas en situación de desplazamiento</t>
  </si>
  <si>
    <t>Pérdida de confianza por parte de la comunidad, hacía la institución.</t>
  </si>
  <si>
    <t>Cambios normativos frecuentes en temas de contratación pública</t>
  </si>
  <si>
    <t xml:space="preserve">Alternancia en el trabajo </t>
  </si>
  <si>
    <t>Recortes presupuestales del orden Nacional y Departamental</t>
  </si>
  <si>
    <t>Deficientes controles en la sistematización de la información que se genera en la dependencia (Pérdida de memoria institucional)</t>
  </si>
  <si>
    <t>Polarización Política Nacional.</t>
  </si>
  <si>
    <t xml:space="preserve">Falta de un sistema eficaz que optimice  la trazabilidad y respuesta oportuna de las PQRSD </t>
  </si>
  <si>
    <t>Población en situación de vulnerabilidad.</t>
  </si>
  <si>
    <t>Deficiente receptividad de las dependencias frente a la aplicación de instrumentos de monitoreo y seguimiento a los procesos</t>
  </si>
  <si>
    <t>Normas que afectan los objetivos de la institución</t>
  </si>
  <si>
    <t>Insuficiencia de recurso humano y financiero para atender toda la problemática del Municipio</t>
  </si>
  <si>
    <t>Altos niveles de inseguridad ciudadana</t>
  </si>
  <si>
    <t>El espacio físico de las oficinas no es adecuado para el desarrollo de las actividades propias y de atención a la comunidad</t>
  </si>
  <si>
    <t>Crisis política y humanitaria en Venezuela</t>
  </si>
  <si>
    <t>La pérdida de la curva de aprendizaje por la no continuidad del personal contratista</t>
  </si>
  <si>
    <t>Alta tasa de informalidad</t>
  </si>
  <si>
    <t>Infraestructura tecnológica deficiente</t>
  </si>
  <si>
    <t>Disminución del recaudo de la entidad territorial</t>
  </si>
  <si>
    <t>Falta de planeación y gestión para el logro de compromisos adquiridos</t>
  </si>
  <si>
    <t xml:space="preserve">Crisis económica </t>
  </si>
  <si>
    <t>Debilidad en el proceso de implementación de la Politica Gestión del Conocimiento</t>
  </si>
  <si>
    <t>Inestabilidad cambiaria</t>
  </si>
  <si>
    <t>Demora en la entrega de información a nivel general</t>
  </si>
  <si>
    <t>Formulación de planes, programas, y proyectos y seguimiento a planes institucionales.</t>
  </si>
  <si>
    <t>Plan Desarrollo Municipal 
Plan de Ordenamiento Territorial
Plan Anticorrupción
Planes de trabajo del MIPG</t>
  </si>
  <si>
    <t>Dirigir, formular, coordinar y ejecutar los planes, programas y proyectos de la administración municipal, acorde a los lineamientos nacionales, departamentales y necesidades identificadas de la comunidad, para contribuir con el bienestar y el progreso de los ciudadanos con sostenibilidad social, económica, urbana y ambiental.</t>
  </si>
  <si>
    <t>Inicia con la planificación de actividades referentes a: Identificación de líneas base y diagnósticos para la formulación y desarrollo de planes, programas y proyectos  institucionales,  el  establecimiento  de  políticas  públicas, la  formulación  y  actualización  de  planes,  programas  y  proyectos, la  planificación  y desarrollo del Plan de Ordenamiento Territorial-POT; continúa con la aprobación de planes parciales o de implantación, la Caracterización de la población registrada en  el SISBEN,  la revisión  general  de estratificación  socioeconómica  urbana  y rural,  la asesoría,  acompañamiento,seguimiento,  monitoreo  y cumplimiento  del  Plan  de  Desarrollo  Municipal, la  emisión  de  conceptos  de  uso  de  suelo,  expedición  de  permisos  de  intervención  y  certificaciones  de estratificación,  legalización  de  asentamientos  humanos, y la  elaboración y  presentación de  informes  de seguimiento  y  su retroalimentación a  todos los procesos, y finaliza con el tratamiento deAcciones Correctivas, Preventivas y de Mejora, y Planes de Mejoramiento planteados y/o actualizados</t>
  </si>
  <si>
    <t>PLANEACIÓN Y DIRECCIONAMIENTO ESTRATÉGICO</t>
  </si>
  <si>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</si>
  <si>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Investigaciones disciplinarias y sanciones por entes de control</t>
  </si>
  <si>
    <t>Debido a la formulación, construcción y seguimiento de planes no articulados con los lineamientos del orden nacional, departamental, territorial y plan financiero.</t>
  </si>
  <si>
    <t>Posibilidad de afectación reputacional por posibles investigaciones y sanciones disciplinarias por entes de control, debido a la formulación, construcción y seguimiento de los planes no articulados con los lineamientos del orden nacional, departamental, territorial y plan financiero</t>
  </si>
  <si>
    <t>El Secretario de Planeación Municipal, realiza seguimiento al Plan de Desarrollo Municipal 2020-2023, con el objetivo de verificar el avance en el cumplimiento físico de las metas y/o ejecución de recursos financieros, siguiendo los lineamientos del orden nacional y normas vigentes.</t>
  </si>
  <si>
    <t>Realizar dos seguimientos en el año al Plan de Desarrollo Municipal para verificar el avance en el cumplimiento físico de metas y ejecución de recursos financieros</t>
  </si>
  <si>
    <t>Secretario de Planeación</t>
  </si>
  <si>
    <t>Incumplimiento en las normas vigentes en las diferentes etapas de la contratación (precontractual, contractual y postcontractual) que puedan afectar la obtención y cumplimiento del objeto contractual</t>
  </si>
  <si>
    <t>Posibilidad de afectación económica y reputacional por investigaciones disciplinarias y sanciones por entes de control, debido al incumplimiento en las normas vigentes en las diferentes etapas de la contratación (precontractual, contractual y postcontractual) que puedan afectar la obtención y cumplimiento del objeto contractual.</t>
  </si>
  <si>
    <t xml:space="preserve">El profesional encargado de la contratación cada vez que se celebre un contrato o convenio, revisa y valida a través  de las plataformas SECOP y SIA OBSERVA la documentacion generada en las etapas precontractual, contractual y postcontractual en los tiempos establecidos en la ley </t>
  </si>
  <si>
    <t xml:space="preserve">Profesional de Contratación </t>
  </si>
  <si>
    <t xml:space="preserve">Incumplimiento de requisitos mínimos en la presentación de proyectos de inversión por parte de las oficinas gestoras. </t>
  </si>
  <si>
    <t>Posibilidad de afectación económica por investigaciones disciplinarias y sanciones por entes de control debido al incumplimiento de requisitos mínimos en la presentación de proyectos de inversión por parte de las oficinas gestoras</t>
  </si>
  <si>
    <t xml:space="preserve">El profesional con la credencial de control de formulación y viabilidad, verifica los requisitos y viabilidad metodológica de proyectos en la plataforma Sistema Unificado de Inversión y Finanzas Públicas - SUIFP </t>
  </si>
  <si>
    <t>Realizar una (1) jornada semestral de socialización de formulación y seguimiento en proyectos de inversión</t>
  </si>
  <si>
    <t>Líder del Banco de Proyectos</t>
  </si>
  <si>
    <t>Expedir el 100% de las certificaciones del Banco de Proyectos, una vez realizado el proceso de registros y ajustes de los proyectos de inversión</t>
  </si>
  <si>
    <t>Los profesionales del equipo facilitador de Presupuestos Participativos, verifican los requisitos de los proyectos priorizados para cada vigencia de acuerdo con lo establecido en la normatividad vigente y en los formatos ACTA ASAMBLEA DE RESIDENTES PARA GENERAR EL ACUERDO DE BARRIO O VEREDA F-DPM-1210-238,37-017; ACTA REUNIÓN CERRADA PARA GENERAR EL ACUERDO DE COMUNA O CORREGIMIENTO F-DPM-1210-238,37-019.</t>
  </si>
  <si>
    <t>Realizar un (1) informe semestral de cumplimiento de requisitos en los proyectos priorizados, ante el Comité Técnico de Presupuestos Participativos</t>
  </si>
  <si>
    <t>Profesional de Presupuestos Participativos</t>
  </si>
  <si>
    <t>Investigaciones disciplinarias y sanciones por entes de control; y demandas de los peticionarios</t>
  </si>
  <si>
    <t xml:space="preserve">Incumplimiento de los tiempos de respuesta a las solicitudes asignadas a la Secretaría de Planeación por deficiencias en la trazabilidad de la información </t>
  </si>
  <si>
    <t xml:space="preserve">Posibilidad de afectación económica y reputacional por investigaciones disciplinarias y sanciones por entes de control y demandas de los peticionarios debido al incumplimiento de los tiempos de respuesta a las solicitudes asignadas a la Secretaría de Planeación por deficiencias en la trazabilidad de la información </t>
  </si>
  <si>
    <t xml:space="preserve">Realizar un informe semestral de las alertas generadas a las respuestas de las solicitudes internas y externas, asignadas a la Secretaría de Planeación mediante el Sistema Gestión de Solicitudes del Ciudadano -GSC de la entidad. </t>
  </si>
  <si>
    <t>Enlace PQRSD</t>
  </si>
  <si>
    <t>Debido a la desactualización de la información catastral básica para mantener los procesos de  actualización de estratos a nivel urbano y rural del municipio</t>
  </si>
  <si>
    <t>Posibilidad de afectación económica y reputacional por investigaciones disciplinarias y sanciones por entes de control, debido a la desactualización de la información catastral básica para mantener los procesos de actualización de estratos a nivel urbano y rural del municipio</t>
  </si>
  <si>
    <t>El coordinador del Grupo de Estratificación revisa y actualiza la información catastral de los predios urbanos y rurales del municipio, teniendo en cuenta la información remitida por parte del ente catastral de acuerdo con la normatividad vigente</t>
  </si>
  <si>
    <t xml:space="preserve">Realizar y radicar una (1) solicitud trimestral a la autoridad catastral sobre la necesidad de la entrega oportuna de la información actualizada de los predios urbanos y rurales del municipio </t>
  </si>
  <si>
    <t>Secretario de Planeación y Coordinador del Grupo de Estratificación</t>
  </si>
  <si>
    <t>Revisar y actualizar semestralmente la base de datos de acuerdo a las novedades que se presenten en cada periodo</t>
  </si>
  <si>
    <t>Coordinador GES</t>
  </si>
  <si>
    <t xml:space="preserve">Posibles investigaciones de entes de control y pérdida de confianza y credibilidad </t>
  </si>
  <si>
    <t xml:space="preserve">Deficiente información técnica en factores de amenaza y riesgo que reposa en el municipio, genera demora en la respuesta de las solicitudes de legalización de asentamientos </t>
  </si>
  <si>
    <t>Posibilidad de afectación reputacional por posibles investigaciones de entes de control y pérdida de confianza y credibilidad en la entidad, debido a la deficiente información técnica en factores de amenaza y riesgo que reposa en el municipio, lo que genera demora en la respuesta de las solicitudes de legalización de asentamientos humanos allegadas por la comunidad</t>
  </si>
  <si>
    <t>Realizar un informe semestral del avance de los estudios de amenaza, vulnerabilidad y riesgo contratados por la Secretaría de Planeación</t>
  </si>
  <si>
    <t>Profesional encargado</t>
  </si>
  <si>
    <t>Disminución de recursos por parte del sistema general de participación, para la implementación y ejecución de los programas sociales en el ente territorial  y suspensión de la publicación de la base de datos por parte del DNP</t>
  </si>
  <si>
    <t xml:space="preserve">Debido a la falta de claridad por parte del personal del Grupo SISBEN en cuanto a los conceptos técnicos y normativos establecidos en el Decreto 441 de marzo de 2017 del DNP y normas que lo complemente y/o modifiquen </t>
  </si>
  <si>
    <t xml:space="preserve">Posibilidad de afectación económica y reputacional, por disminución de recursos por parte del sistema general de participación, para la implementación y ejecución de los programas sociales en el ente territorial y suspensión de la publicación de la base de datos por parte del DNP, debido a la falta de claridad por parte del personal del Grupo SISBEN en cuanto a los conceptos técnicos y normativos establecidos en el Decreto 441 de marzo de 2017 del DNP y normas que lo complemente y/o modifiquen </t>
  </si>
  <si>
    <t xml:space="preserve">El Coordinador del SISBEN verifica que el personal adscrito al SISBEN esté capacitado en cuanto a los conceptos técnicos y normativos establecidos en el Decreto 441 de marzo de 2017 del DNP y normas que lo complemente y/o modifiquen </t>
  </si>
  <si>
    <t>Realizar una socialización semestral al personal adscrito al SISBEN encargados de verificar el manejo de los diferentes procesos, normatividad y aplicación de la misma (Decreto 441 de marzo 2017).</t>
  </si>
  <si>
    <t>Coordinador Sisben</t>
  </si>
  <si>
    <t>Investigaciones disciplinarias y sanciones por entes de control.</t>
  </si>
  <si>
    <t>Incumplimiento de la normatividad archivística en los documentos emanados de la Secretaría de Planeación</t>
  </si>
  <si>
    <t>El profesional encargado revisa la información de amenaza, vulnerabilidad y riesgo conforme a los resultados de los estudios realizados en el municipio de Bucaramanga</t>
  </si>
  <si>
    <t>Realizar las Transferencias documentales de la Secretaría de Planeación en los tiempos establecidos en el cronograma del  Archivo Central</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</si>
  <si>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</si>
  <si>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Posibilidad de afectación reputacional por posibles investigaciones y sanciones disciplinarias por entes de control, debido al incumplimiento de la Ley 594 del 2000 en los documentos emanados por la Secretaría de Planeación</t>
  </si>
  <si>
    <t>El profesional asignado al archivo realiza la revisión, clasificación, organización, indización e inventario de los archivos de gestión documental periodicamente, así como la correcta producción de los documentos de la Secretaría de Planeación según las TRD (Tablas de Retención Documental )</t>
  </si>
  <si>
    <t xml:space="preserve">Ejecutar el 100% del cronograma establecido para la realización del inventario de la gestión documental que ha producido la Secretaría de Planeación en las vigencias 2020 a 2023 </t>
  </si>
  <si>
    <t>Realizar seguimiento semestral a una muestra aleatoria del 20% de los procesos contractuales suscritos por la Secretaría de Planeación, con el fin de verificar la documentación generada en las etapas precontractual, contractual y postcontractual en las plataformas del SECOP y SIA OBSERVA en los tiempos establecidos en la ley</t>
  </si>
  <si>
    <t>El profesional del Banco de Proyectos, realiza la revisión técnico - documental del proyecto de inversión, verificando el cumplimiento de los requisitos sectoriales (Ley 2056 de 2020, Decreto reglamentario 1821 de 2020 y demás normas transitorias) y descritos en el formato F-DPM-1210-238,37-016 Ficha de verificación de requisitos.</t>
  </si>
  <si>
    <t>El Enlace designado para la administración de la plataforma Sistema Gestión de Solicitudes del Ciudadano - GSC de la Secretaría de Planeación verifica que las solicitudes internas y externas, se resuelvan dentro de los términos dispuestos por la ley a través de la plataforma</t>
  </si>
  <si>
    <t xml:space="preserve">Profesional encargado </t>
  </si>
  <si>
    <t>mala planeación al momento de realizar la contratación sin tener en cuenta los tiempos de la ejecución del mismo, contituyedo reservas presupuestales</t>
  </si>
  <si>
    <t>Sanciones e investigaciones disciplinarias  de entes de control y deficiente  inversion de  los recursos en la Administración Central.</t>
  </si>
  <si>
    <t xml:space="preserve">La persona encargada de realizar seguimiento a la contratación programada para la vigencia de la Secretaría de Planeación, verifica a traves del cronograma los tiempos atentiendo el principio de planeación </t>
  </si>
  <si>
    <t>Realizar dos seguimientos a la planeación contractual programada para la vigencia, teniendo en cuenta los cronogramas de contratación y atendiendo el principio de anualidad</t>
  </si>
  <si>
    <t xml:space="preserve">Sanciones e investigaciones disciplinarias de entes de control </t>
  </si>
  <si>
    <t xml:space="preserve">Realizar dos informes de seguimiento a los pasivos exigibles y/o vigencias expiradas para su identificación y respectiva acción de depuración acorde a la normatividad vigente </t>
  </si>
  <si>
    <t xml:space="preserve">La persona encargada de identificar los pasivos exigibles y/o vigencias expiradas de la Secretará de Planaeción, mediante seguimiento realiza la respectiva acción de depuración acorde a la normatividad vigente </t>
  </si>
  <si>
    <t>Posibles investigaciones, sanciones y/o condenas promovidas por entes de control</t>
  </si>
  <si>
    <t>Incumplimiento en la cobertura de las garantías que amparan los riesgos definidos en la etapa precontractual de acuerdo al Manual de Contratación M-GJ-1140-170-001</t>
  </si>
  <si>
    <t>La persona encargada de la contratacion de la Secretaría de Planeación verifica las condiciones de las garantias: Integridad de la Póliza, Vigencia y Valores, amparos exigidos en el contrato suscrito dando aplicación al  Manual de Contratación M-GJ-1140-170-001.</t>
  </si>
  <si>
    <t>Realizar dos seguimientos a las condiciones de la garantía:  Integridad de la Póliza, Vigencia y Valores, amparos exigidos de acuerdo a lo estipulado en el contrato suscrito dando aplicación al  Manual de Contratación M-GJ-1140-170-001 a una muestra aleatoria del 50% de los contratos suscritos por la Secretaría de Planeación</t>
  </si>
  <si>
    <t>Diseñar e implementar una herramienta de seguimiento y control al cumplimiento de la ejecución de los proyectos de la Estrategia de Presupuestos Participativos de la administración municipal.</t>
  </si>
  <si>
    <t>Posibilidad de afectación económica y reputacional por investigaciones disciplinarias y sanciones por entes de control debido a las debilidades en el seguimiento y control de los requisitos mínimos en la presentación y ejecución de proyectos de presupuestos participativos</t>
  </si>
  <si>
    <t>debilidades en el seguimiento y control de los requisitos mínimos en la presentación y ejecución de proyectos de presupuestos participativos</t>
  </si>
  <si>
    <t>El Coordinador de Presupuestos Participativos verifica el estado de avance físico y presupuestal de la ejecución del proyecto mediante la herramienta de seguimiento y control de la Estrategia de Presupuestos Participativos de la administración municipal.</t>
  </si>
  <si>
    <t>Posibilidad de afectación económica y reputacional por sanciones e investigaciones disciplinarias de entes de control y deficiente inversión de los recursos en la Administración Central debido a la mala planeación al momento de realizar la contratación sin tener en cuenta los tiempos de la ejecución del mismo, constituyendo reservas presupuestales</t>
  </si>
  <si>
    <t>Posibilidad de afectación económica y reputacional por sanciones e investigaciones disciplinarias de entes de control debido a la inadecuada aplicabilidad de la normatividad utilizada en lo referente a las depuraciones de pasivos exigibles y/o vigencias expiradas de acuerdo con la resolución 193 de 2016 de la Contaduría General de la Nación</t>
  </si>
  <si>
    <t>inadecuada aplicabilidad de la normatividad utilizada en lo referente a las depuraciones de pasivos exigibles y/o vigencias expiradas de acuerdo con la resolución 193 de 2016 de la Contaduría General de la Nación</t>
  </si>
  <si>
    <t>Posibilidad de afectación económica y reputacional por Posibles investigaciones, sanciones y/o condenas promovidas por entes de control debido al incumplimiento en la cobertura de las garantías que amparan los riesgos definidos en la etapa precontractual de acuerdo al Manual de Contratación M-GJ-1140-170-001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</si>
</sst>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theme="4" tint="0.79998168889431442"/>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64"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9" fontId="1" fillId="0" borderId="8" xfId="0" applyNumberFormat="1" applyFont="1" applyBorder="1" applyAlignment="1" applyProtection="1">
      <alignment horizontal="center" vertical="center" wrapText="1"/>
      <protection hidden="1"/>
    </xf>
    <xf numFmtId="0" fontId="50" fillId="0" borderId="2" xfId="0" applyFont="1" applyBorder="1" applyAlignment="1" applyProtection="1">
      <alignment horizontal="center" vertical="center" wrapText="1"/>
      <protection locked="0"/>
    </xf>
    <xf numFmtId="14" fontId="50" fillId="0" borderId="2" xfId="0" applyNumberFormat="1" applyFont="1" applyBorder="1" applyAlignment="1" applyProtection="1">
      <alignment horizontal="center" vertical="center"/>
      <protection locked="0"/>
    </xf>
    <xf numFmtId="0" fontId="1" fillId="0" borderId="4" xfId="0" applyFont="1" applyBorder="1" applyAlignment="1" applyProtection="1">
      <alignment horizontal="center" textRotation="90"/>
      <protection locked="0"/>
    </xf>
    <xf numFmtId="0" fontId="50" fillId="0" borderId="2"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textRotation="90"/>
      <protection locked="0"/>
    </xf>
    <xf numFmtId="9" fontId="1" fillId="0" borderId="4" xfId="0" applyNumberFormat="1" applyFont="1" applyBorder="1" applyAlignment="1" applyProtection="1">
      <alignment horizontal="center" vertical="center"/>
      <protection hidden="1"/>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justify" vertical="center" wrapText="1"/>
      <protection locked="0"/>
    </xf>
    <xf numFmtId="14" fontId="1" fillId="3" borderId="2" xfId="0" applyNumberFormat="1" applyFont="1" applyFill="1" applyBorder="1" applyAlignment="1" applyProtection="1">
      <alignment horizontal="center" vertical="center" wrapText="1"/>
      <protection locked="0"/>
    </xf>
    <xf numFmtId="14" fontId="1" fillId="3" borderId="2" xfId="0" applyNumberFormat="1" applyFont="1" applyFill="1" applyBorder="1" applyAlignment="1" applyProtection="1">
      <alignment horizontal="center" vertical="center"/>
      <protection locked="0"/>
    </xf>
    <xf numFmtId="0" fontId="59" fillId="3" borderId="47" xfId="0" applyFont="1" applyFill="1" applyBorder="1" applyAlignment="1">
      <alignment horizontal="center" vertical="center" wrapText="1"/>
    </xf>
    <xf numFmtId="9" fontId="1" fillId="0" borderId="4" xfId="0" applyNumberFormat="1" applyFont="1" applyBorder="1" applyAlignment="1" applyProtection="1">
      <alignment horizontal="center" vertical="center"/>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protection hidden="1"/>
    </xf>
    <xf numFmtId="0" fontId="1" fillId="0" borderId="4" xfId="0" applyFont="1" applyBorder="1" applyAlignment="1" applyProtection="1">
      <alignment horizontal="center" vertical="center" textRotation="90"/>
      <protection locked="0"/>
    </xf>
    <xf numFmtId="0" fontId="6" fillId="21" borderId="2" xfId="0" applyFont="1" applyFill="1" applyBorder="1" applyAlignment="1" applyProtection="1">
      <alignment horizontal="justify" vertical="center" wrapText="1"/>
      <protection locked="0"/>
    </xf>
    <xf numFmtId="0" fontId="1" fillId="21" borderId="2" xfId="0" applyFont="1" applyFill="1" applyBorder="1" applyAlignment="1" applyProtection="1">
      <alignment horizontal="justify" vertical="center" wrapText="1"/>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65" fillId="0" borderId="37" xfId="0" applyFont="1" applyBorder="1" applyAlignment="1">
      <alignment horizontal="left" wrapText="1"/>
    </xf>
    <xf numFmtId="0" fontId="65"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5" fillId="0" borderId="98" xfId="0" applyFont="1" applyBorder="1" applyAlignment="1">
      <alignment horizontal="left" wrapText="1"/>
    </xf>
    <xf numFmtId="0" fontId="65" fillId="0" borderId="106" xfId="0" applyFont="1" applyBorder="1" applyAlignment="1">
      <alignment horizontal="left" wrapText="1"/>
    </xf>
    <xf numFmtId="0" fontId="1" fillId="0" borderId="33"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5" fillId="0" borderId="108" xfId="0" applyFont="1" applyBorder="1" applyAlignment="1">
      <alignment horizontal="left" vertical="center"/>
    </xf>
    <xf numFmtId="0" fontId="65"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5" fillId="0" borderId="111" xfId="0" applyFont="1" applyBorder="1" applyAlignment="1">
      <alignment horizontal="left" wrapText="1"/>
    </xf>
    <xf numFmtId="0" fontId="65"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5" fillId="0" borderId="110" xfId="0" applyFont="1" applyBorder="1" applyAlignment="1">
      <alignment horizontal="left" vertical="center"/>
    </xf>
    <xf numFmtId="0" fontId="65" fillId="0" borderId="38" xfId="0" applyFont="1" applyBorder="1" applyAlignment="1">
      <alignment horizontal="left" vertical="center"/>
    </xf>
    <xf numFmtId="0" fontId="65" fillId="0" borderId="110" xfId="0" applyFont="1" applyBorder="1" applyAlignment="1">
      <alignment horizontal="left" vertical="center" wrapText="1"/>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5" fillId="3" borderId="37" xfId="0" applyFont="1" applyFill="1" applyBorder="1" applyAlignment="1">
      <alignment horizontal="left" wrapText="1"/>
    </xf>
    <xf numFmtId="0" fontId="65" fillId="3" borderId="33" xfId="0" applyFont="1" applyFill="1" applyBorder="1" applyAlignment="1">
      <alignment horizontal="left" wrapText="1"/>
    </xf>
    <xf numFmtId="0" fontId="65" fillId="3" borderId="38" xfId="0" applyFont="1" applyFill="1" applyBorder="1" applyAlignment="1">
      <alignment horizontal="left"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62"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0" fillId="18" borderId="101" xfId="0" applyFont="1" applyFill="1" applyBorder="1" applyAlignment="1">
      <alignment horizontal="left" vertical="center" wrapText="1" indent="1"/>
    </xf>
    <xf numFmtId="0" fontId="50" fillId="18" borderId="102" xfId="0" applyFont="1" applyFill="1" applyBorder="1" applyAlignment="1">
      <alignment horizontal="left" vertical="center" wrapText="1" indent="1"/>
    </xf>
    <xf numFmtId="0" fontId="50"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21" borderId="4" xfId="0" applyFont="1" applyFill="1" applyBorder="1" applyAlignment="1" applyProtection="1">
      <alignment horizontal="center" vertical="center" wrapText="1"/>
      <protection locked="0"/>
    </xf>
    <xf numFmtId="0" fontId="2" fillId="21" borderId="8" xfId="0" applyFont="1" applyFill="1" applyBorder="1" applyAlignment="1" applyProtection="1">
      <alignment horizontal="center" vertical="center" wrapText="1"/>
      <protection locked="0"/>
    </xf>
    <xf numFmtId="0" fontId="2" fillId="21" borderId="5"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36" fillId="3" borderId="6" xfId="0" applyFont="1" applyFill="1" applyBorder="1" applyAlignment="1" applyProtection="1">
      <alignment horizontal="left" vertical="center" wrapText="1"/>
      <protection locked="0"/>
    </xf>
    <xf numFmtId="0" fontId="36" fillId="3" borderId="10"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wrapText="1"/>
      <protection locked="0"/>
    </xf>
    <xf numFmtId="0" fontId="2" fillId="21" borderId="4" xfId="0" applyFont="1" applyFill="1" applyBorder="1" applyAlignment="1" applyProtection="1">
      <alignment horizontal="center" vertical="center"/>
      <protection locked="0"/>
    </xf>
    <xf numFmtId="0" fontId="2" fillId="21" borderId="8" xfId="0" applyFont="1" applyFill="1" applyBorder="1" applyAlignment="1" applyProtection="1">
      <alignment horizontal="center" vertical="center"/>
      <protection locked="0"/>
    </xf>
    <xf numFmtId="0" fontId="2" fillId="21" borderId="5" xfId="0" applyFont="1" applyFill="1" applyBorder="1" applyAlignment="1" applyProtection="1">
      <alignment horizontal="center"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13"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1" fillId="3" borderId="0" xfId="0" applyFont="1" applyFill="1" applyAlignment="1">
      <alignment horizontal="left" vertical="center"/>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textRotation="90" wrapText="1"/>
      <protection hidden="1"/>
    </xf>
    <xf numFmtId="0" fontId="4" fillId="0" borderId="5"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0" fontId="1" fillId="0" borderId="4" xfId="0" applyFont="1" applyBorder="1" applyAlignment="1">
      <alignment horizontal="center" vertical="top"/>
    </xf>
    <xf numFmtId="0" fontId="1" fillId="0" borderId="5" xfId="0" applyFont="1" applyBorder="1" applyAlignment="1">
      <alignment horizontal="center" vertical="top"/>
    </xf>
    <xf numFmtId="0" fontId="6" fillId="0" borderId="4"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164" fontId="1" fillId="0" borderId="4" xfId="1" applyNumberFormat="1" applyFont="1" applyBorder="1" applyAlignment="1">
      <alignment horizontal="center" vertical="center"/>
    </xf>
    <xf numFmtId="164" fontId="1" fillId="0" borderId="5" xfId="1" applyNumberFormat="1" applyFont="1" applyBorder="1" applyAlignment="1">
      <alignment horizontal="center"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0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6A1B9785-0952-48C7-961F-6CA73ACE2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10" t="s">
        <v>0</v>
      </c>
      <c r="C2" s="211"/>
      <c r="D2" s="211"/>
      <c r="E2" s="211"/>
      <c r="F2" s="211"/>
      <c r="G2" s="211"/>
      <c r="H2" s="212"/>
    </row>
    <row r="3" spans="1:8" x14ac:dyDescent="0.25">
      <c r="B3" s="120"/>
      <c r="C3" s="121"/>
      <c r="D3" s="121"/>
      <c r="E3" s="121"/>
      <c r="F3" s="121"/>
      <c r="G3" s="121"/>
      <c r="H3" s="122"/>
    </row>
    <row r="4" spans="1:8" ht="63" customHeight="1" x14ac:dyDescent="0.25">
      <c r="B4" s="213" t="s">
        <v>1</v>
      </c>
      <c r="C4" s="214"/>
      <c r="D4" s="214"/>
      <c r="E4" s="214"/>
      <c r="F4" s="214"/>
      <c r="G4" s="214"/>
      <c r="H4" s="215"/>
    </row>
    <row r="5" spans="1:8" ht="63" customHeight="1" x14ac:dyDescent="0.25">
      <c r="B5" s="216"/>
      <c r="C5" s="217"/>
      <c r="D5" s="217"/>
      <c r="E5" s="217"/>
      <c r="F5" s="217"/>
      <c r="G5" s="217"/>
      <c r="H5" s="218"/>
    </row>
    <row r="6" spans="1:8" ht="16.5" x14ac:dyDescent="0.25">
      <c r="A6" s="123"/>
      <c r="B6" s="219" t="s">
        <v>2</v>
      </c>
      <c r="C6" s="220"/>
      <c r="D6" s="220"/>
      <c r="E6" s="220"/>
      <c r="F6" s="220"/>
      <c r="G6" s="220"/>
      <c r="H6" s="221"/>
    </row>
    <row r="7" spans="1:8" ht="95.25" customHeight="1" x14ac:dyDescent="0.25">
      <c r="A7" s="123"/>
      <c r="B7" s="222" t="s">
        <v>3</v>
      </c>
      <c r="C7" s="222"/>
      <c r="D7" s="222"/>
      <c r="E7" s="222"/>
      <c r="F7" s="222"/>
      <c r="G7" s="222"/>
      <c r="H7" s="223"/>
    </row>
    <row r="8" spans="1:8" ht="16.5" x14ac:dyDescent="0.25">
      <c r="A8" s="123"/>
      <c r="B8" s="124"/>
      <c r="C8" s="125"/>
      <c r="D8" s="125"/>
      <c r="E8" s="125"/>
      <c r="F8" s="125"/>
      <c r="G8" s="125"/>
      <c r="H8" s="126"/>
    </row>
    <row r="9" spans="1:8" ht="16.5" customHeight="1" x14ac:dyDescent="0.25">
      <c r="A9" s="123"/>
      <c r="B9" s="224" t="s">
        <v>4</v>
      </c>
      <c r="C9" s="224"/>
      <c r="D9" s="224"/>
      <c r="E9" s="224"/>
      <c r="F9" s="224"/>
      <c r="G9" s="224"/>
      <c r="H9" s="225"/>
    </row>
    <row r="10" spans="1:8" ht="16.5" customHeight="1" x14ac:dyDescent="0.25">
      <c r="A10" s="123"/>
      <c r="B10" s="224"/>
      <c r="C10" s="224"/>
      <c r="D10" s="224"/>
      <c r="E10" s="224"/>
      <c r="F10" s="224"/>
      <c r="G10" s="224"/>
      <c r="H10" s="225"/>
    </row>
    <row r="11" spans="1:8" ht="11.65" customHeight="1" x14ac:dyDescent="0.25">
      <c r="A11" s="123"/>
      <c r="B11" s="224"/>
      <c r="C11" s="224"/>
      <c r="D11" s="224"/>
      <c r="E11" s="224"/>
      <c r="F11" s="224"/>
      <c r="G11" s="224"/>
      <c r="H11" s="225"/>
    </row>
    <row r="12" spans="1:8" ht="11.65" customHeight="1" thickBot="1" x14ac:dyDescent="0.3">
      <c r="A12" s="123"/>
      <c r="B12" s="127"/>
      <c r="C12" s="127"/>
      <c r="D12" s="127"/>
      <c r="E12" s="127"/>
      <c r="F12" s="127"/>
      <c r="G12" s="127"/>
      <c r="H12" s="128"/>
    </row>
    <row r="13" spans="1:8" ht="15.4" customHeight="1" thickTop="1" x14ac:dyDescent="0.25">
      <c r="A13" s="123"/>
      <c r="B13" s="127"/>
      <c r="C13" s="206" t="s">
        <v>5</v>
      </c>
      <c r="D13" s="207"/>
      <c r="E13" s="208" t="s">
        <v>6</v>
      </c>
      <c r="F13" s="209"/>
      <c r="G13" s="127"/>
      <c r="H13" s="128"/>
    </row>
    <row r="14" spans="1:8" ht="11.65" customHeight="1" x14ac:dyDescent="0.25">
      <c r="A14" s="123"/>
      <c r="B14" s="127"/>
      <c r="C14" s="226" t="s">
        <v>7</v>
      </c>
      <c r="D14" s="227"/>
      <c r="E14" s="228" t="s">
        <v>8</v>
      </c>
      <c r="F14" s="229"/>
      <c r="G14" s="127"/>
      <c r="H14" s="128"/>
    </row>
    <row r="15" spans="1:8" ht="11.65" customHeight="1" x14ac:dyDescent="0.25">
      <c r="A15" s="123"/>
      <c r="B15" s="127"/>
      <c r="C15" s="226" t="s">
        <v>9</v>
      </c>
      <c r="D15" s="227"/>
      <c r="E15" s="228" t="s">
        <v>10</v>
      </c>
      <c r="F15" s="229"/>
      <c r="G15" s="127"/>
      <c r="H15" s="128"/>
    </row>
    <row r="16" spans="1:8" ht="11.65" customHeight="1" x14ac:dyDescent="0.25">
      <c r="A16" s="123"/>
      <c r="B16" s="127"/>
      <c r="C16" s="226" t="s">
        <v>11</v>
      </c>
      <c r="D16" s="227"/>
      <c r="E16" s="228" t="s">
        <v>12</v>
      </c>
      <c r="F16" s="229"/>
      <c r="G16" s="127"/>
      <c r="H16" s="128"/>
    </row>
    <row r="17" spans="1:8" ht="13.5" customHeight="1" x14ac:dyDescent="0.25">
      <c r="A17" s="123"/>
      <c r="B17" s="127"/>
      <c r="C17" s="226" t="s">
        <v>13</v>
      </c>
      <c r="D17" s="227"/>
      <c r="E17" s="228" t="s">
        <v>14</v>
      </c>
      <c r="F17" s="229"/>
      <c r="G17" s="127"/>
      <c r="H17" s="129"/>
    </row>
    <row r="18" spans="1:8" ht="12.4" customHeight="1" x14ac:dyDescent="0.25">
      <c r="A18" s="123"/>
      <c r="B18" s="127"/>
      <c r="C18" s="226" t="s">
        <v>15</v>
      </c>
      <c r="D18" s="227"/>
      <c r="E18" s="233" t="s">
        <v>16</v>
      </c>
      <c r="F18" s="229"/>
      <c r="G18" s="127"/>
      <c r="H18" s="128"/>
    </row>
    <row r="19" spans="1:8" ht="24" customHeight="1" thickBot="1" x14ac:dyDescent="0.3">
      <c r="A19" s="123"/>
      <c r="B19" s="127"/>
      <c r="C19" s="234" t="s">
        <v>17</v>
      </c>
      <c r="D19" s="235"/>
      <c r="E19" s="236" t="s">
        <v>18</v>
      </c>
      <c r="F19" s="237"/>
      <c r="G19" s="127"/>
      <c r="H19" s="128"/>
    </row>
    <row r="20" spans="1:8" ht="11.65" customHeight="1" thickTop="1" x14ac:dyDescent="0.25">
      <c r="A20" s="123"/>
      <c r="B20" s="127"/>
      <c r="C20" s="130"/>
      <c r="D20" s="130"/>
      <c r="E20" s="130"/>
      <c r="F20" s="130"/>
      <c r="G20" s="127"/>
      <c r="H20" s="128"/>
    </row>
    <row r="21" spans="1:8" ht="27.4" customHeight="1" thickBot="1" x14ac:dyDescent="0.3">
      <c r="A21" s="123"/>
      <c r="B21" s="238" t="s">
        <v>19</v>
      </c>
      <c r="C21" s="239"/>
      <c r="D21" s="239"/>
      <c r="E21" s="239"/>
      <c r="F21" s="239"/>
      <c r="G21" s="239"/>
      <c r="H21" s="240"/>
    </row>
    <row r="22" spans="1:8" ht="15.75" thickTop="1" x14ac:dyDescent="0.25">
      <c r="A22" s="123"/>
      <c r="B22" s="131"/>
      <c r="C22" s="241" t="s">
        <v>5</v>
      </c>
      <c r="D22" s="207"/>
      <c r="E22" s="208" t="s">
        <v>6</v>
      </c>
      <c r="F22" s="209"/>
      <c r="G22" s="130"/>
      <c r="H22" s="132"/>
    </row>
    <row r="23" spans="1:8" ht="13.5" customHeight="1" x14ac:dyDescent="0.25">
      <c r="A23" s="123"/>
      <c r="B23" s="133"/>
      <c r="C23" s="242" t="s">
        <v>7</v>
      </c>
      <c r="D23" s="243"/>
      <c r="E23" s="244" t="s">
        <v>8</v>
      </c>
      <c r="F23" s="245"/>
      <c r="G23" s="134"/>
      <c r="H23" s="135"/>
    </row>
    <row r="24" spans="1:8" ht="13.5" customHeight="1" x14ac:dyDescent="0.25">
      <c r="A24" s="123"/>
      <c r="B24" s="133"/>
      <c r="C24" s="230" t="s">
        <v>20</v>
      </c>
      <c r="D24" s="231"/>
      <c r="E24" s="232" t="s">
        <v>14</v>
      </c>
      <c r="F24" s="229"/>
      <c r="G24" s="134"/>
      <c r="H24" s="135"/>
    </row>
    <row r="25" spans="1:8" ht="13.5" customHeight="1" x14ac:dyDescent="0.25">
      <c r="A25" s="123"/>
      <c r="B25" s="133"/>
      <c r="C25" s="230" t="s">
        <v>9</v>
      </c>
      <c r="D25" s="231"/>
      <c r="E25" s="232" t="s">
        <v>10</v>
      </c>
      <c r="F25" s="229"/>
      <c r="G25" s="134"/>
      <c r="H25" s="135"/>
    </row>
    <row r="26" spans="1:8" ht="22.9" customHeight="1" x14ac:dyDescent="0.25">
      <c r="A26" s="123"/>
      <c r="B26" s="133"/>
      <c r="C26" s="230" t="s">
        <v>21</v>
      </c>
      <c r="D26" s="231"/>
      <c r="E26" s="246" t="s">
        <v>22</v>
      </c>
      <c r="F26" s="247"/>
      <c r="G26" s="134"/>
      <c r="H26" s="135"/>
    </row>
    <row r="27" spans="1:8" ht="69.75" customHeight="1" x14ac:dyDescent="0.25">
      <c r="A27" s="123"/>
      <c r="B27" s="133"/>
      <c r="C27" s="248" t="s">
        <v>23</v>
      </c>
      <c r="D27" s="249"/>
      <c r="E27" s="250" t="s">
        <v>24</v>
      </c>
      <c r="F27" s="251"/>
      <c r="G27" s="134"/>
      <c r="H27" s="136"/>
    </row>
    <row r="28" spans="1:8" ht="34.5" customHeight="1" x14ac:dyDescent="0.25">
      <c r="B28" s="137"/>
      <c r="C28" s="252" t="s">
        <v>25</v>
      </c>
      <c r="D28" s="249"/>
      <c r="E28" s="250" t="s">
        <v>26</v>
      </c>
      <c r="F28" s="251"/>
      <c r="G28" s="134"/>
      <c r="H28" s="136"/>
    </row>
    <row r="29" spans="1:8" ht="27.75" customHeight="1" x14ac:dyDescent="0.25">
      <c r="B29" s="137"/>
      <c r="C29" s="252" t="s">
        <v>27</v>
      </c>
      <c r="D29" s="249"/>
      <c r="E29" s="250" t="s">
        <v>28</v>
      </c>
      <c r="F29" s="251"/>
      <c r="G29" s="134"/>
      <c r="H29" s="136"/>
    </row>
    <row r="30" spans="1:8" ht="28.5" customHeight="1" x14ac:dyDescent="0.25">
      <c r="B30" s="137"/>
      <c r="C30" s="252" t="s">
        <v>29</v>
      </c>
      <c r="D30" s="249"/>
      <c r="E30" s="250" t="s">
        <v>30</v>
      </c>
      <c r="F30" s="251"/>
      <c r="G30" s="134"/>
      <c r="H30" s="136"/>
    </row>
    <row r="31" spans="1:8" ht="72.75" customHeight="1" x14ac:dyDescent="0.25">
      <c r="B31" s="137"/>
      <c r="C31" s="252" t="s">
        <v>31</v>
      </c>
      <c r="D31" s="249"/>
      <c r="E31" s="250" t="s">
        <v>32</v>
      </c>
      <c r="F31" s="251"/>
      <c r="G31" s="134"/>
      <c r="H31" s="136"/>
    </row>
    <row r="32" spans="1:8" ht="64.5" customHeight="1" x14ac:dyDescent="0.25">
      <c r="B32" s="137"/>
      <c r="C32" s="252" t="s">
        <v>33</v>
      </c>
      <c r="D32" s="249"/>
      <c r="E32" s="250" t="s">
        <v>34</v>
      </c>
      <c r="F32" s="251"/>
      <c r="G32" s="134"/>
      <c r="H32" s="136"/>
    </row>
    <row r="33" spans="2:8" ht="71.25" customHeight="1" x14ac:dyDescent="0.25">
      <c r="B33" s="137"/>
      <c r="C33" s="253" t="s">
        <v>35</v>
      </c>
      <c r="D33" s="248"/>
      <c r="E33" s="250" t="s">
        <v>36</v>
      </c>
      <c r="F33" s="251"/>
      <c r="G33" s="134"/>
      <c r="H33" s="136"/>
    </row>
    <row r="34" spans="2:8" ht="55.5" customHeight="1" x14ac:dyDescent="0.25">
      <c r="B34" s="137"/>
      <c r="C34" s="253" t="s">
        <v>37</v>
      </c>
      <c r="D34" s="248"/>
      <c r="E34" s="250" t="s">
        <v>38</v>
      </c>
      <c r="F34" s="251"/>
      <c r="G34" s="134"/>
      <c r="H34" s="136"/>
    </row>
    <row r="35" spans="2:8" ht="42" customHeight="1" x14ac:dyDescent="0.25">
      <c r="B35" s="137"/>
      <c r="C35" s="253" t="s">
        <v>39</v>
      </c>
      <c r="D35" s="248"/>
      <c r="E35" s="250" t="s">
        <v>40</v>
      </c>
      <c r="F35" s="251"/>
      <c r="G35" s="134"/>
      <c r="H35" s="136"/>
    </row>
    <row r="36" spans="2:8" ht="59.25" customHeight="1" x14ac:dyDescent="0.25">
      <c r="B36" s="137"/>
      <c r="C36" s="253" t="s">
        <v>41</v>
      </c>
      <c r="D36" s="248"/>
      <c r="E36" s="250" t="s">
        <v>42</v>
      </c>
      <c r="F36" s="251"/>
      <c r="G36" s="134"/>
      <c r="H36" s="136"/>
    </row>
    <row r="37" spans="2:8" ht="23.25" customHeight="1" x14ac:dyDescent="0.25">
      <c r="B37" s="137"/>
      <c r="C37" s="253" t="s">
        <v>43</v>
      </c>
      <c r="D37" s="248"/>
      <c r="E37" s="250" t="s">
        <v>44</v>
      </c>
      <c r="F37" s="251"/>
      <c r="G37" s="134"/>
      <c r="H37" s="136"/>
    </row>
    <row r="38" spans="2:8" ht="30.75" customHeight="1" x14ac:dyDescent="0.25">
      <c r="B38" s="137"/>
      <c r="C38" s="253" t="s">
        <v>45</v>
      </c>
      <c r="D38" s="248"/>
      <c r="E38" s="250" t="s">
        <v>46</v>
      </c>
      <c r="F38" s="251"/>
      <c r="G38" s="134"/>
      <c r="H38" s="136"/>
    </row>
    <row r="39" spans="2:8" ht="35.25" customHeight="1" x14ac:dyDescent="0.25">
      <c r="B39" s="137"/>
      <c r="C39" s="253" t="s">
        <v>45</v>
      </c>
      <c r="D39" s="248"/>
      <c r="E39" s="250" t="s">
        <v>46</v>
      </c>
      <c r="F39" s="251"/>
      <c r="G39" s="134"/>
      <c r="H39" s="136"/>
    </row>
    <row r="40" spans="2:8" ht="33" customHeight="1" x14ac:dyDescent="0.25">
      <c r="B40" s="137"/>
      <c r="C40" s="253" t="s">
        <v>47</v>
      </c>
      <c r="D40" s="248"/>
      <c r="E40" s="250" t="s">
        <v>48</v>
      </c>
      <c r="F40" s="251"/>
      <c r="G40" s="134"/>
      <c r="H40" s="136"/>
    </row>
    <row r="41" spans="2:8" ht="30" customHeight="1" x14ac:dyDescent="0.25">
      <c r="B41" s="137"/>
      <c r="C41" s="253" t="s">
        <v>49</v>
      </c>
      <c r="D41" s="248"/>
      <c r="E41" s="250" t="s">
        <v>50</v>
      </c>
      <c r="F41" s="251"/>
      <c r="G41" s="134"/>
      <c r="H41" s="136"/>
    </row>
    <row r="42" spans="2:8" ht="35.25" customHeight="1" x14ac:dyDescent="0.25">
      <c r="B42" s="137"/>
      <c r="C42" s="253" t="s">
        <v>51</v>
      </c>
      <c r="D42" s="248"/>
      <c r="E42" s="250" t="s">
        <v>52</v>
      </c>
      <c r="F42" s="251"/>
      <c r="G42" s="134"/>
      <c r="H42" s="136"/>
    </row>
    <row r="43" spans="2:8" ht="31.5" customHeight="1" x14ac:dyDescent="0.25">
      <c r="B43" s="137"/>
      <c r="C43" s="253" t="s">
        <v>53</v>
      </c>
      <c r="D43" s="248"/>
      <c r="E43" s="250" t="s">
        <v>54</v>
      </c>
      <c r="F43" s="251"/>
      <c r="G43" s="134"/>
      <c r="H43" s="136"/>
    </row>
    <row r="44" spans="2:8" ht="54" customHeight="1" x14ac:dyDescent="0.25">
      <c r="B44" s="137"/>
      <c r="C44" s="253" t="s">
        <v>55</v>
      </c>
      <c r="D44" s="248"/>
      <c r="E44" s="250" t="s">
        <v>56</v>
      </c>
      <c r="F44" s="251"/>
      <c r="G44" s="134"/>
      <c r="H44" s="136"/>
    </row>
    <row r="45" spans="2:8" ht="59.25" customHeight="1" x14ac:dyDescent="0.25">
      <c r="B45" s="137"/>
      <c r="C45" s="253" t="s">
        <v>57</v>
      </c>
      <c r="D45" s="248"/>
      <c r="E45" s="250" t="s">
        <v>58</v>
      </c>
      <c r="F45" s="251"/>
      <c r="G45" s="134"/>
      <c r="H45" s="136"/>
    </row>
    <row r="46" spans="2:8" ht="84" customHeight="1" x14ac:dyDescent="0.25">
      <c r="B46" s="137"/>
      <c r="C46" s="253" t="s">
        <v>59</v>
      </c>
      <c r="D46" s="248"/>
      <c r="E46" s="250" t="s">
        <v>60</v>
      </c>
      <c r="F46" s="251"/>
      <c r="G46" s="134"/>
      <c r="H46" s="136"/>
    </row>
    <row r="47" spans="2:8" ht="82.5" customHeight="1" x14ac:dyDescent="0.25">
      <c r="B47" s="137"/>
      <c r="C47" s="253" t="s">
        <v>61</v>
      </c>
      <c r="D47" s="248"/>
      <c r="E47" s="250" t="s">
        <v>62</v>
      </c>
      <c r="F47" s="251"/>
      <c r="G47" s="134"/>
      <c r="H47" s="136"/>
    </row>
    <row r="48" spans="2:8" ht="46.5" customHeight="1" thickBot="1" x14ac:dyDescent="0.3">
      <c r="B48" s="137"/>
      <c r="C48" s="254"/>
      <c r="D48" s="255"/>
      <c r="E48" s="256"/>
      <c r="F48" s="257"/>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200</v>
      </c>
    </row>
    <row r="4" spans="1:1" x14ac:dyDescent="0.2">
      <c r="A4" s="10" t="s">
        <v>202</v>
      </c>
    </row>
    <row r="5" spans="1:1" x14ac:dyDescent="0.2">
      <c r="A5" s="10" t="s">
        <v>204</v>
      </c>
    </row>
    <row r="6" spans="1:1" x14ac:dyDescent="0.2">
      <c r="A6" s="10" t="s">
        <v>206</v>
      </c>
    </row>
    <row r="7" spans="1:1" x14ac:dyDescent="0.2">
      <c r="A7" s="10" t="s">
        <v>208</v>
      </c>
    </row>
    <row r="8" spans="1:1" x14ac:dyDescent="0.2">
      <c r="A8" s="10" t="s">
        <v>211</v>
      </c>
    </row>
    <row r="9" spans="1:1" x14ac:dyDescent="0.2">
      <c r="A9" s="10" t="s">
        <v>214</v>
      </c>
    </row>
    <row r="10" spans="1:1" x14ac:dyDescent="0.2">
      <c r="A10" s="10" t="s">
        <v>216</v>
      </c>
    </row>
    <row r="11" spans="1:1" x14ac:dyDescent="0.2">
      <c r="A11" s="10" t="s">
        <v>218</v>
      </c>
    </row>
    <row r="12" spans="1:1" x14ac:dyDescent="0.2">
      <c r="A12" s="10" t="s">
        <v>242</v>
      </c>
    </row>
    <row r="13" spans="1:1" x14ac:dyDescent="0.2">
      <c r="A13" s="10" t="s">
        <v>243</v>
      </c>
    </row>
    <row r="14" spans="1:1" x14ac:dyDescent="0.2">
      <c r="A14" s="10" t="s">
        <v>244</v>
      </c>
    </row>
    <row r="16" spans="1:1" x14ac:dyDescent="0.2">
      <c r="A16" s="10" t="s">
        <v>245</v>
      </c>
    </row>
    <row r="17" spans="1:1" x14ac:dyDescent="0.2">
      <c r="A17" s="10" t="s">
        <v>225</v>
      </c>
    </row>
    <row r="18" spans="1:1" x14ac:dyDescent="0.2">
      <c r="A18" s="10" t="s">
        <v>227</v>
      </c>
    </row>
    <row r="20" spans="1:1" x14ac:dyDescent="0.2">
      <c r="A20" s="10" t="s">
        <v>233</v>
      </c>
    </row>
    <row r="21" spans="1:1" x14ac:dyDescent="0.2">
      <c r="A21" s="10"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30F8-FBBC-4343-AD66-2294B8120D43}">
  <sheetPr>
    <tabColor theme="6" tint="0.39997558519241921"/>
  </sheetPr>
  <dimension ref="B1:AZ42"/>
  <sheetViews>
    <sheetView showGridLines="0" topLeftCell="A28" zoomScaleNormal="100" workbookViewId="0">
      <selection activeCell="F12" sqref="F12"/>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299</v>
      </c>
    </row>
    <row r="2" spans="2:52" ht="18" customHeight="1" thickBot="1" x14ac:dyDescent="0.3">
      <c r="B2" s="324"/>
      <c r="C2" s="327" t="s">
        <v>68</v>
      </c>
      <c r="D2" s="328"/>
      <c r="E2" s="328"/>
      <c r="F2" s="147" t="s">
        <v>69</v>
      </c>
      <c r="AZ2" s="146" t="s">
        <v>70</v>
      </c>
    </row>
    <row r="3" spans="2:52" ht="18" customHeight="1" thickBot="1" x14ac:dyDescent="0.3">
      <c r="B3" s="325"/>
      <c r="C3" s="329"/>
      <c r="D3" s="330"/>
      <c r="E3" s="330"/>
      <c r="F3" s="148" t="s">
        <v>71</v>
      </c>
      <c r="AZ3" s="146" t="s">
        <v>72</v>
      </c>
    </row>
    <row r="4" spans="2:52" ht="18" customHeight="1" thickBot="1" x14ac:dyDescent="0.3">
      <c r="B4" s="325"/>
      <c r="C4" s="329"/>
      <c r="D4" s="330"/>
      <c r="E4" s="330"/>
      <c r="F4" s="148" t="s">
        <v>73</v>
      </c>
      <c r="AZ4" s="146" t="s">
        <v>74</v>
      </c>
    </row>
    <row r="5" spans="2:52" ht="18" customHeight="1" thickBot="1" x14ac:dyDescent="0.3">
      <c r="B5" s="326"/>
      <c r="C5" s="331"/>
      <c r="D5" s="332"/>
      <c r="E5" s="332"/>
      <c r="F5" s="148" t="s">
        <v>75</v>
      </c>
      <c r="AZ5" s="149"/>
    </row>
    <row r="6" spans="2:52" ht="18" customHeight="1" thickBot="1" x14ac:dyDescent="0.3">
      <c r="B6" s="150"/>
      <c r="C6" s="151"/>
      <c r="D6" s="151"/>
      <c r="E6" s="151"/>
      <c r="F6" s="152"/>
      <c r="AZ6" s="149"/>
    </row>
    <row r="7" spans="2:52" ht="33.4" customHeight="1" x14ac:dyDescent="0.25">
      <c r="B7" s="153" t="s">
        <v>76</v>
      </c>
      <c r="C7" s="333" t="s">
        <v>298</v>
      </c>
      <c r="D7" s="334"/>
      <c r="E7" s="334"/>
      <c r="F7" s="335"/>
      <c r="AZ7" s="149"/>
    </row>
    <row r="8" spans="2:52" ht="70.5" customHeight="1" thickBot="1" x14ac:dyDescent="0.3">
      <c r="B8" s="154" t="s">
        <v>77</v>
      </c>
      <c r="C8" s="336" t="s">
        <v>297</v>
      </c>
      <c r="D8" s="337"/>
      <c r="E8" s="337"/>
      <c r="F8" s="338"/>
      <c r="AZ8" s="149"/>
    </row>
    <row r="9" spans="2:52" ht="16.5" thickBot="1" x14ac:dyDescent="0.3">
      <c r="B9" s="339"/>
      <c r="C9" s="339"/>
      <c r="D9" s="339"/>
      <c r="E9" s="339"/>
      <c r="F9" s="339"/>
    </row>
    <row r="10" spans="2:52" ht="15.6" customHeight="1" thickBot="1" x14ac:dyDescent="0.3">
      <c r="B10" s="340" t="s">
        <v>68</v>
      </c>
      <c r="C10" s="341"/>
      <c r="D10" s="341"/>
      <c r="E10" s="341"/>
      <c r="F10" s="342"/>
    </row>
    <row r="11" spans="2:52" ht="32.25" thickBot="1" x14ac:dyDescent="0.3">
      <c r="B11" s="320" t="s">
        <v>78</v>
      </c>
      <c r="C11" s="321"/>
      <c r="D11" s="185" t="s">
        <v>79</v>
      </c>
      <c r="E11" s="185" t="s">
        <v>80</v>
      </c>
      <c r="F11" s="155" t="s">
        <v>81</v>
      </c>
    </row>
    <row r="12" spans="2:52" ht="152.25" customHeight="1" thickBot="1" x14ac:dyDescent="0.3">
      <c r="B12" s="322" t="s">
        <v>70</v>
      </c>
      <c r="C12" s="323"/>
      <c r="D12" s="156" t="s">
        <v>296</v>
      </c>
      <c r="E12" s="157" t="s">
        <v>295</v>
      </c>
      <c r="F12" s="198" t="s">
        <v>294</v>
      </c>
    </row>
    <row r="14" spans="2:52" ht="18" x14ac:dyDescent="0.25">
      <c r="B14" s="311" t="s">
        <v>82</v>
      </c>
      <c r="C14" s="311"/>
      <c r="D14" s="311"/>
      <c r="E14" s="311"/>
      <c r="F14" s="311"/>
    </row>
    <row r="15" spans="2:52" ht="15.75" thickBot="1" x14ac:dyDescent="0.3">
      <c r="B15" s="158"/>
    </row>
    <row r="16" spans="2:52" ht="16.5" thickBot="1" x14ac:dyDescent="0.3">
      <c r="B16" s="312" t="s">
        <v>83</v>
      </c>
      <c r="C16" s="313"/>
      <c r="D16" s="314"/>
      <c r="E16" s="312" t="s">
        <v>84</v>
      </c>
      <c r="F16" s="314"/>
    </row>
    <row r="17" spans="2:6" ht="15" customHeight="1" x14ac:dyDescent="0.25">
      <c r="B17" s="315" t="s">
        <v>293</v>
      </c>
      <c r="C17" s="316"/>
      <c r="D17" s="317"/>
      <c r="E17" s="318" t="s">
        <v>292</v>
      </c>
      <c r="F17" s="319"/>
    </row>
    <row r="18" spans="2:6" ht="15" customHeight="1" x14ac:dyDescent="0.25">
      <c r="B18" s="308" t="s">
        <v>291</v>
      </c>
      <c r="C18" s="309"/>
      <c r="D18" s="310"/>
      <c r="E18" s="301" t="s">
        <v>290</v>
      </c>
      <c r="F18" s="260"/>
    </row>
    <row r="19" spans="2:6" ht="15" customHeight="1" x14ac:dyDescent="0.25">
      <c r="B19" s="296" t="s">
        <v>289</v>
      </c>
      <c r="C19" s="297"/>
      <c r="D19" s="298"/>
      <c r="E19" s="301" t="s">
        <v>288</v>
      </c>
      <c r="F19" s="260"/>
    </row>
    <row r="20" spans="2:6" ht="15" customHeight="1" x14ac:dyDescent="0.25">
      <c r="B20" s="296" t="s">
        <v>287</v>
      </c>
      <c r="C20" s="297"/>
      <c r="D20" s="298"/>
      <c r="E20" s="303" t="s">
        <v>286</v>
      </c>
      <c r="F20" s="304"/>
    </row>
    <row r="21" spans="2:6" ht="15" customHeight="1" x14ac:dyDescent="0.3">
      <c r="B21" s="305" t="s">
        <v>285</v>
      </c>
      <c r="C21" s="306"/>
      <c r="D21" s="307"/>
      <c r="E21" s="302" t="s">
        <v>284</v>
      </c>
      <c r="F21" s="262"/>
    </row>
    <row r="22" spans="2:6" ht="30" customHeight="1" x14ac:dyDescent="0.3">
      <c r="B22" s="305" t="s">
        <v>283</v>
      </c>
      <c r="C22" s="306"/>
      <c r="D22" s="307"/>
      <c r="E22" s="302" t="s">
        <v>282</v>
      </c>
      <c r="F22" s="262"/>
    </row>
    <row r="23" spans="2:6" ht="15" customHeight="1" x14ac:dyDescent="0.25">
      <c r="B23" s="282" t="s">
        <v>281</v>
      </c>
      <c r="C23" s="283"/>
      <c r="D23" s="284"/>
      <c r="E23" s="301" t="s">
        <v>280</v>
      </c>
      <c r="F23" s="260"/>
    </row>
    <row r="24" spans="2:6" ht="28.5" customHeight="1" x14ac:dyDescent="0.25">
      <c r="B24" s="261" t="s">
        <v>279</v>
      </c>
      <c r="C24" s="268"/>
      <c r="D24" s="262"/>
      <c r="E24" s="302" t="s">
        <v>278</v>
      </c>
      <c r="F24" s="262"/>
    </row>
    <row r="25" spans="2:6" ht="18.75" customHeight="1" x14ac:dyDescent="0.25">
      <c r="B25" s="282" t="s">
        <v>277</v>
      </c>
      <c r="C25" s="283"/>
      <c r="D25" s="284"/>
      <c r="E25" s="303" t="s">
        <v>276</v>
      </c>
      <c r="F25" s="304"/>
    </row>
    <row r="26" spans="2:6" ht="30" customHeight="1" x14ac:dyDescent="0.25">
      <c r="B26" s="296" t="s">
        <v>275</v>
      </c>
      <c r="C26" s="297"/>
      <c r="D26" s="298"/>
      <c r="E26" s="299" t="s">
        <v>274</v>
      </c>
      <c r="F26" s="300"/>
    </row>
    <row r="27" spans="2:6" ht="15" customHeight="1" x14ac:dyDescent="0.25">
      <c r="B27" s="282" t="s">
        <v>273</v>
      </c>
      <c r="C27" s="283"/>
      <c r="D27" s="284"/>
      <c r="E27" s="299" t="s">
        <v>272</v>
      </c>
      <c r="F27" s="300"/>
    </row>
    <row r="28" spans="2:6" ht="15" customHeight="1" x14ac:dyDescent="0.25">
      <c r="B28" s="282" t="s">
        <v>271</v>
      </c>
      <c r="C28" s="283"/>
      <c r="D28" s="284"/>
      <c r="E28" s="299" t="s">
        <v>270</v>
      </c>
      <c r="F28" s="300"/>
    </row>
    <row r="29" spans="2:6" ht="15" customHeight="1" x14ac:dyDescent="0.25">
      <c r="B29" s="282" t="s">
        <v>269</v>
      </c>
      <c r="C29" s="283"/>
      <c r="D29" s="284"/>
      <c r="E29" s="285" t="s">
        <v>268</v>
      </c>
      <c r="F29" s="286"/>
    </row>
    <row r="30" spans="2:6" ht="15" customHeight="1" thickBot="1" x14ac:dyDescent="0.35">
      <c r="B30" s="287"/>
      <c r="C30" s="288"/>
      <c r="D30" s="289"/>
      <c r="E30" s="290"/>
      <c r="F30" s="291"/>
    </row>
    <row r="31" spans="2:6" ht="15" customHeight="1" thickBot="1" x14ac:dyDescent="0.3">
      <c r="B31" s="292" t="s">
        <v>85</v>
      </c>
      <c r="C31" s="293"/>
      <c r="D31" s="293"/>
      <c r="E31" s="294" t="s">
        <v>86</v>
      </c>
      <c r="F31" s="295"/>
    </row>
    <row r="32" spans="2:6" ht="15.75" customHeight="1" x14ac:dyDescent="0.3">
      <c r="B32" s="276" t="s">
        <v>267</v>
      </c>
      <c r="C32" s="277"/>
      <c r="D32" s="278"/>
      <c r="E32" s="279" t="s">
        <v>266</v>
      </c>
      <c r="F32" s="280"/>
    </row>
    <row r="33" spans="2:6" ht="16.5" x14ac:dyDescent="0.3">
      <c r="B33" s="274" t="s">
        <v>265</v>
      </c>
      <c r="C33" s="281"/>
      <c r="D33" s="275"/>
      <c r="E33" s="261" t="s">
        <v>264</v>
      </c>
      <c r="F33" s="262"/>
    </row>
    <row r="34" spans="2:6" ht="16.5" x14ac:dyDescent="0.25">
      <c r="B34" s="261" t="s">
        <v>263</v>
      </c>
      <c r="C34" s="268"/>
      <c r="D34" s="262"/>
      <c r="E34" s="258" t="s">
        <v>262</v>
      </c>
      <c r="F34" s="260"/>
    </row>
    <row r="35" spans="2:6" ht="16.5" x14ac:dyDescent="0.3">
      <c r="B35" s="258" t="s">
        <v>261</v>
      </c>
      <c r="C35" s="259"/>
      <c r="D35" s="260"/>
      <c r="E35" s="272" t="s">
        <v>260</v>
      </c>
      <c r="F35" s="273"/>
    </row>
    <row r="36" spans="2:6" ht="16.5" x14ac:dyDescent="0.3">
      <c r="B36" s="258" t="s">
        <v>259</v>
      </c>
      <c r="C36" s="259"/>
      <c r="D36" s="260"/>
      <c r="E36" s="274" t="s">
        <v>258</v>
      </c>
      <c r="F36" s="275"/>
    </row>
    <row r="37" spans="2:6" ht="16.5" x14ac:dyDescent="0.25">
      <c r="B37" s="258" t="s">
        <v>257</v>
      </c>
      <c r="C37" s="259"/>
      <c r="D37" s="260"/>
      <c r="E37" s="258" t="s">
        <v>256</v>
      </c>
      <c r="F37" s="260"/>
    </row>
    <row r="38" spans="2:6" ht="16.5" x14ac:dyDescent="0.25">
      <c r="B38" s="258" t="s">
        <v>255</v>
      </c>
      <c r="C38" s="259"/>
      <c r="D38" s="260"/>
      <c r="E38" s="261" t="s">
        <v>254</v>
      </c>
      <c r="F38" s="262"/>
    </row>
    <row r="39" spans="2:6" ht="16.5" x14ac:dyDescent="0.25">
      <c r="B39" s="258" t="s">
        <v>253</v>
      </c>
      <c r="C39" s="259"/>
      <c r="D39" s="260"/>
      <c r="E39" s="261" t="s">
        <v>252</v>
      </c>
      <c r="F39" s="262"/>
    </row>
    <row r="40" spans="2:6" ht="16.5" x14ac:dyDescent="0.25">
      <c r="B40" s="261" t="s">
        <v>251</v>
      </c>
      <c r="C40" s="268"/>
      <c r="D40" s="262"/>
      <c r="E40" s="261" t="s">
        <v>250</v>
      </c>
      <c r="F40" s="262"/>
    </row>
    <row r="41" spans="2:6" ht="16.5" x14ac:dyDescent="0.3">
      <c r="B41" s="269" t="s">
        <v>249</v>
      </c>
      <c r="C41" s="270"/>
      <c r="D41" s="271"/>
      <c r="E41" s="269" t="s">
        <v>248</v>
      </c>
      <c r="F41" s="271"/>
    </row>
    <row r="42" spans="2:6" ht="17.25" thickBot="1" x14ac:dyDescent="0.35">
      <c r="B42" s="263" t="s">
        <v>247</v>
      </c>
      <c r="C42" s="264"/>
      <c r="D42" s="265"/>
      <c r="E42" s="266" t="s">
        <v>246</v>
      </c>
      <c r="F42" s="267"/>
    </row>
  </sheetData>
  <mergeCells count="63">
    <mergeCell ref="B11:C11"/>
    <mergeCell ref="B12:C12"/>
    <mergeCell ref="B2:B5"/>
    <mergeCell ref="C2:E5"/>
    <mergeCell ref="C7:F7"/>
    <mergeCell ref="C8:F8"/>
    <mergeCell ref="B9:F9"/>
    <mergeCell ref="B10:F10"/>
    <mergeCell ref="B18:D18"/>
    <mergeCell ref="E18:F18"/>
    <mergeCell ref="B19:D19"/>
    <mergeCell ref="E19:F19"/>
    <mergeCell ref="B14:F14"/>
    <mergeCell ref="B16:D16"/>
    <mergeCell ref="E16:F16"/>
    <mergeCell ref="B17:D17"/>
    <mergeCell ref="E17:F17"/>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42:D42"/>
    <mergeCell ref="E42:F42"/>
    <mergeCell ref="B39:D39"/>
    <mergeCell ref="E39:F39"/>
    <mergeCell ref="B40:D40"/>
    <mergeCell ref="E40:F40"/>
    <mergeCell ref="B41:D41"/>
    <mergeCell ref="E41:F41"/>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3BE5E934-9A44-4EBC-9995-2D33E0A5481B}">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93"/>
  <sheetViews>
    <sheetView tabSelected="1" zoomScale="80" zoomScaleNormal="80" workbookViewId="0">
      <selection activeCell="O67" sqref="A67:XFD72"/>
    </sheetView>
  </sheetViews>
  <sheetFormatPr baseColWidth="10" defaultColWidth="11.42578125" defaultRowHeight="16.5" x14ac:dyDescent="0.3"/>
  <cols>
    <col min="1" max="1" width="4" style="2" bestFit="1" customWidth="1"/>
    <col min="2" max="2" width="14.140625" style="2" customWidth="1"/>
    <col min="3" max="3" width="19.42578125" style="2" customWidth="1"/>
    <col min="4" max="4" width="25.5703125" style="2" customWidth="1"/>
    <col min="5" max="5" width="38.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6.85546875" style="184" customWidth="1"/>
    <col min="17" max="17" width="15.140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5.85546875" style="184"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404"/>
      <c r="B1" s="405"/>
      <c r="C1" s="405"/>
      <c r="D1" s="406"/>
      <c r="E1" s="424" t="s">
        <v>87</v>
      </c>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6"/>
      <c r="AJ1" s="419" t="s">
        <v>88</v>
      </c>
      <c r="AK1" s="420"/>
    </row>
    <row r="2" spans="1:69" ht="15" customHeight="1" x14ac:dyDescent="0.3">
      <c r="A2" s="407"/>
      <c r="B2" s="408"/>
      <c r="C2" s="408"/>
      <c r="D2" s="409"/>
      <c r="E2" s="427"/>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9"/>
      <c r="AJ2" s="421" t="s">
        <v>89</v>
      </c>
      <c r="AK2" s="422"/>
    </row>
    <row r="3" spans="1:69" ht="15" customHeight="1" x14ac:dyDescent="0.3">
      <c r="A3" s="407"/>
      <c r="B3" s="408"/>
      <c r="C3" s="408"/>
      <c r="D3" s="409"/>
      <c r="E3" s="427"/>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9"/>
      <c r="AJ3" s="421" t="s">
        <v>90</v>
      </c>
      <c r="AK3" s="423"/>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10"/>
      <c r="B4" s="411"/>
      <c r="C4" s="411"/>
      <c r="D4" s="412"/>
      <c r="E4" s="430"/>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2"/>
      <c r="AJ4" s="419" t="s">
        <v>91</v>
      </c>
      <c r="AK4" s="420"/>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183"/>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83" t="s">
        <v>92</v>
      </c>
      <c r="B6" s="384"/>
      <c r="C6" s="413" t="s">
        <v>298</v>
      </c>
      <c r="D6" s="414"/>
      <c r="E6" s="414"/>
      <c r="F6" s="414"/>
      <c r="G6" s="414"/>
      <c r="H6" s="414"/>
      <c r="I6" s="414"/>
      <c r="J6" s="414"/>
      <c r="K6" s="414"/>
      <c r="L6" s="414"/>
      <c r="M6" s="414"/>
      <c r="N6" s="415"/>
      <c r="O6" s="433"/>
      <c r="P6" s="433"/>
      <c r="Q6" s="433"/>
      <c r="R6" s="8"/>
      <c r="S6" s="8"/>
      <c r="T6" s="8"/>
      <c r="U6" s="8"/>
      <c r="V6" s="8"/>
      <c r="W6" s="8"/>
      <c r="X6" s="8"/>
      <c r="Y6" s="8"/>
      <c r="Z6" s="8"/>
      <c r="AA6" s="8"/>
      <c r="AB6" s="8"/>
      <c r="AC6" s="8"/>
      <c r="AD6" s="8"/>
      <c r="AE6" s="183"/>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383" t="s">
        <v>93</v>
      </c>
      <c r="B7" s="384"/>
      <c r="C7" s="392" t="s">
        <v>296</v>
      </c>
      <c r="D7" s="393"/>
      <c r="E7" s="393"/>
      <c r="F7" s="393"/>
      <c r="G7" s="393"/>
      <c r="H7" s="393"/>
      <c r="I7" s="393"/>
      <c r="J7" s="393"/>
      <c r="K7" s="393"/>
      <c r="L7" s="393"/>
      <c r="M7" s="393"/>
      <c r="N7" s="394"/>
      <c r="O7" s="8"/>
      <c r="P7" s="183"/>
      <c r="Q7" s="8"/>
      <c r="R7" s="8"/>
      <c r="S7" s="8"/>
      <c r="T7" s="8"/>
      <c r="U7" s="8"/>
      <c r="V7" s="8"/>
      <c r="W7" s="8"/>
      <c r="X7" s="8"/>
      <c r="Y7" s="8"/>
      <c r="Z7" s="8"/>
      <c r="AA7" s="8"/>
      <c r="AB7" s="8"/>
      <c r="AC7" s="8"/>
      <c r="AD7" s="8"/>
      <c r="AE7" s="183"/>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83.25" customHeight="1" x14ac:dyDescent="0.3">
      <c r="A8" s="383" t="s">
        <v>94</v>
      </c>
      <c r="B8" s="384"/>
      <c r="C8" s="395" t="s">
        <v>297</v>
      </c>
      <c r="D8" s="396"/>
      <c r="E8" s="396"/>
      <c r="F8" s="396"/>
      <c r="G8" s="396"/>
      <c r="H8" s="396"/>
      <c r="I8" s="396"/>
      <c r="J8" s="396"/>
      <c r="K8" s="396"/>
      <c r="L8" s="396"/>
      <c r="M8" s="396"/>
      <c r="N8" s="397"/>
      <c r="O8" s="8"/>
      <c r="P8" s="183"/>
      <c r="Q8" s="8"/>
      <c r="R8" s="8"/>
      <c r="S8" s="8"/>
      <c r="T8" s="8"/>
      <c r="U8" s="8"/>
      <c r="V8" s="8"/>
      <c r="W8" s="8"/>
      <c r="X8" s="8"/>
      <c r="Y8" s="8"/>
      <c r="Z8" s="8"/>
      <c r="AA8" s="8"/>
      <c r="AB8" s="8"/>
      <c r="AC8" s="8"/>
      <c r="AD8" s="8"/>
      <c r="AE8" s="183"/>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16" t="s">
        <v>95</v>
      </c>
      <c r="B9" s="417"/>
      <c r="C9" s="417"/>
      <c r="D9" s="417"/>
      <c r="E9" s="417"/>
      <c r="F9" s="417"/>
      <c r="G9" s="418"/>
      <c r="H9" s="416" t="s">
        <v>96</v>
      </c>
      <c r="I9" s="417"/>
      <c r="J9" s="417"/>
      <c r="K9" s="417"/>
      <c r="L9" s="417"/>
      <c r="M9" s="417"/>
      <c r="N9" s="418"/>
      <c r="O9" s="416" t="s">
        <v>97</v>
      </c>
      <c r="P9" s="417"/>
      <c r="Q9" s="417"/>
      <c r="R9" s="417"/>
      <c r="S9" s="417"/>
      <c r="T9" s="417"/>
      <c r="U9" s="417"/>
      <c r="V9" s="417"/>
      <c r="W9" s="418"/>
      <c r="X9" s="416" t="s">
        <v>98</v>
      </c>
      <c r="Y9" s="417"/>
      <c r="Z9" s="417"/>
      <c r="AA9" s="417"/>
      <c r="AB9" s="417"/>
      <c r="AC9" s="417"/>
      <c r="AD9" s="418"/>
      <c r="AE9" s="416" t="s">
        <v>99</v>
      </c>
      <c r="AF9" s="417"/>
      <c r="AG9" s="417"/>
      <c r="AH9" s="417"/>
      <c r="AI9" s="417"/>
      <c r="AJ9" s="417"/>
      <c r="AK9" s="41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85" t="s">
        <v>100</v>
      </c>
      <c r="B10" s="389" t="s">
        <v>23</v>
      </c>
      <c r="C10" s="377" t="s">
        <v>25</v>
      </c>
      <c r="D10" s="377" t="s">
        <v>27</v>
      </c>
      <c r="E10" s="388" t="s">
        <v>29</v>
      </c>
      <c r="F10" s="387" t="s">
        <v>31</v>
      </c>
      <c r="G10" s="377" t="s">
        <v>101</v>
      </c>
      <c r="H10" s="379" t="s">
        <v>102</v>
      </c>
      <c r="I10" s="380" t="s">
        <v>103</v>
      </c>
      <c r="J10" s="387" t="s">
        <v>104</v>
      </c>
      <c r="K10" s="387" t="s">
        <v>105</v>
      </c>
      <c r="L10" s="382" t="s">
        <v>106</v>
      </c>
      <c r="M10" s="380" t="s">
        <v>103</v>
      </c>
      <c r="N10" s="377" t="s">
        <v>37</v>
      </c>
      <c r="O10" s="390" t="s">
        <v>107</v>
      </c>
      <c r="P10" s="378" t="s">
        <v>39</v>
      </c>
      <c r="Q10" s="387" t="s">
        <v>41</v>
      </c>
      <c r="R10" s="378" t="s">
        <v>108</v>
      </c>
      <c r="S10" s="378"/>
      <c r="T10" s="378"/>
      <c r="U10" s="378"/>
      <c r="V10" s="378"/>
      <c r="W10" s="378"/>
      <c r="X10" s="376" t="s">
        <v>109</v>
      </c>
      <c r="Y10" s="376" t="s">
        <v>110</v>
      </c>
      <c r="Z10" s="376" t="s">
        <v>103</v>
      </c>
      <c r="AA10" s="376" t="s">
        <v>111</v>
      </c>
      <c r="AB10" s="376" t="s">
        <v>103</v>
      </c>
      <c r="AC10" s="376" t="s">
        <v>112</v>
      </c>
      <c r="AD10" s="390" t="s">
        <v>57</v>
      </c>
      <c r="AE10" s="378" t="s">
        <v>99</v>
      </c>
      <c r="AF10" s="378" t="s">
        <v>113</v>
      </c>
      <c r="AG10" s="378" t="s">
        <v>114</v>
      </c>
      <c r="AH10" s="387" t="s">
        <v>115</v>
      </c>
      <c r="AI10" s="378" t="s">
        <v>116</v>
      </c>
      <c r="AJ10" s="378" t="s">
        <v>117</v>
      </c>
      <c r="AK10" s="378"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86"/>
      <c r="B11" s="389"/>
      <c r="C11" s="378"/>
      <c r="D11" s="378"/>
      <c r="E11" s="389"/>
      <c r="F11" s="377"/>
      <c r="G11" s="378"/>
      <c r="H11" s="377"/>
      <c r="I11" s="381"/>
      <c r="J11" s="377"/>
      <c r="K11" s="377"/>
      <c r="L11" s="381"/>
      <c r="M11" s="381"/>
      <c r="N11" s="378"/>
      <c r="O11" s="391"/>
      <c r="P11" s="378"/>
      <c r="Q11" s="377"/>
      <c r="R11" s="7" t="s">
        <v>118</v>
      </c>
      <c r="S11" s="7" t="s">
        <v>119</v>
      </c>
      <c r="T11" s="7" t="s">
        <v>120</v>
      </c>
      <c r="U11" s="7" t="s">
        <v>121</v>
      </c>
      <c r="V11" s="7" t="s">
        <v>122</v>
      </c>
      <c r="W11" s="7" t="s">
        <v>123</v>
      </c>
      <c r="X11" s="376"/>
      <c r="Y11" s="376"/>
      <c r="Z11" s="376"/>
      <c r="AA11" s="376"/>
      <c r="AB11" s="376"/>
      <c r="AC11" s="376"/>
      <c r="AD11" s="391"/>
      <c r="AE11" s="378"/>
      <c r="AF11" s="378"/>
      <c r="AG11" s="378"/>
      <c r="AH11" s="377"/>
      <c r="AI11" s="378"/>
      <c r="AJ11" s="378"/>
      <c r="AK11" s="378"/>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82.5" customHeight="1" x14ac:dyDescent="0.25">
      <c r="A12" s="355">
        <v>1</v>
      </c>
      <c r="B12" s="358" t="s">
        <v>228</v>
      </c>
      <c r="C12" s="358" t="s">
        <v>300</v>
      </c>
      <c r="D12" s="358" t="s">
        <v>301</v>
      </c>
      <c r="E12" s="370" t="s">
        <v>302</v>
      </c>
      <c r="F12" s="358" t="s">
        <v>236</v>
      </c>
      <c r="G12" s="367">
        <v>12</v>
      </c>
      <c r="H12" s="349" t="str">
        <f>IF(G12&lt;=0,"",IF(G12&lt;=2,"Muy Baja",IF(G12&lt;=24,"Baja",IF(G12&lt;=500,"Media",IF(G12&lt;=5000,"Alta","Muy Alta")))))</f>
        <v>Baja</v>
      </c>
      <c r="I12" s="346">
        <f>IF(H12="","",IF(H12="Muy Baja",0.2,IF(H12="Baja",0.4,IF(H12="Media",0.6,IF(H12="Alta",0.8,IF(H12="Muy Alta",1,))))))</f>
        <v>0.4</v>
      </c>
      <c r="J12" s="343" t="s">
        <v>186</v>
      </c>
      <c r="K12" s="373"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49" t="str">
        <f>IF(OR(K12='Tabla Impacto'!$C$11,K12='Tabla Impacto'!$D$11),"Leve",IF(OR(K12='Tabla Impacto'!$C$12,K12='Tabla Impacto'!$D$12),"Menor",IF(OR(K12='Tabla Impacto'!$C$13,K12='Tabla Impacto'!$D$13),"Moderado",IF(OR(K12='Tabla Impacto'!$C$14,K12='Tabla Impacto'!$D$14),"Mayor",IF(OR(K12='Tabla Impacto'!$C$15,K12='Tabla Impacto'!$D$15),"Catastrófico","")))))</f>
        <v>Mayor</v>
      </c>
      <c r="M12" s="346">
        <f>IF(L12="","",IF(L12="Leve",0.2,IF(L12="Menor",0.4,IF(L12="Moderado",0.6,IF(L12="Mayor",0.8,IF(L12="Catastrófico",1,))))))</f>
        <v>0.8</v>
      </c>
      <c r="N12" s="352"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180" t="s">
        <v>303</v>
      </c>
      <c r="Q12" s="164" t="str">
        <f>IF(OR(R12="Preventivo",R12="Detectivo"),"Probabilidad",IF(R12="Correctivo","Impacto",""))</f>
        <v>Probabilidad</v>
      </c>
      <c r="R12" s="159" t="s">
        <v>202</v>
      </c>
      <c r="S12" s="159" t="s">
        <v>208</v>
      </c>
      <c r="T12" s="160" t="str">
        <f>IF(AND(R12="Preventivo",S12="Automático"),"50%",IF(AND(R12="Preventivo",S12="Manual"),"40%",IF(AND(R12="Detectivo",S12="Automático"),"40%",IF(AND(R12="Detectivo",S12="Manual"),"30%",IF(AND(R12="Correctivo",S12="Automático"),"35%",IF(AND(R12="Correctivo",S12="Manual"),"25%",""))))))</f>
        <v>30%</v>
      </c>
      <c r="U12" s="159" t="s">
        <v>211</v>
      </c>
      <c r="V12" s="159" t="s">
        <v>216</v>
      </c>
      <c r="W12" s="159" t="s">
        <v>220</v>
      </c>
      <c r="X12" s="161">
        <f>IFERROR(IF(Q12="Probabilidad",(I12-(+I12*T12)),IF(Q12="Impacto",I12,"")),"")</f>
        <v>0.28000000000000003</v>
      </c>
      <c r="Y12" s="162" t="str">
        <f>IFERROR(IF(X12="","",IF(X12&lt;=0.2,"Muy Baja",IF(X12&lt;=0.4,"Baja",IF(X12&lt;=0.6,"Media",IF(X12&lt;=0.8,"Alta","Muy Alta"))))),"")</f>
        <v>Baja</v>
      </c>
      <c r="Z12" s="163">
        <f>+X12</f>
        <v>0.28000000000000003</v>
      </c>
      <c r="AA12" s="162" t="str">
        <f>IFERROR(IF(AB12="","",IF(AB12&lt;=0.2,"Leve",IF(AB12&lt;=0.4,"Menor",IF(AB12&lt;=0.6,"Moderado",IF(AB12&lt;=0.8,"Mayor","Catastrófico"))))),"")</f>
        <v>Mayor</v>
      </c>
      <c r="AB12" s="163">
        <f>IFERROR(IF(Q12="Impacto",(M12-(+M12*T12)),IF(Q12="Probabilidad",M12,"")),"")</f>
        <v>0.8</v>
      </c>
      <c r="AC12" s="16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5" t="s">
        <v>231</v>
      </c>
      <c r="AE12" s="180" t="s">
        <v>304</v>
      </c>
      <c r="AF12" s="177" t="s">
        <v>305</v>
      </c>
      <c r="AG12" s="178">
        <v>45001</v>
      </c>
      <c r="AH12" s="178">
        <v>45275</v>
      </c>
      <c r="AI12" s="167"/>
      <c r="AJ12" s="119"/>
      <c r="AK12" s="16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customHeight="1" x14ac:dyDescent="0.3">
      <c r="A13" s="356"/>
      <c r="B13" s="359"/>
      <c r="C13" s="359"/>
      <c r="D13" s="359"/>
      <c r="E13" s="371"/>
      <c r="F13" s="359"/>
      <c r="G13" s="368"/>
      <c r="H13" s="350"/>
      <c r="I13" s="347"/>
      <c r="J13" s="344"/>
      <c r="K13" s="374">
        <f>IF(NOT(ISERROR(MATCH(J13,_xlfn.ANCHORARRAY(E24),0))),I26&amp;"Por favor no seleccionar los criterios de impacto",J13)</f>
        <v>0</v>
      </c>
      <c r="L13" s="350"/>
      <c r="M13" s="347"/>
      <c r="N13" s="353"/>
      <c r="O13" s="6">
        <v>2</v>
      </c>
      <c r="P13" s="180"/>
      <c r="Q13" s="164" t="str">
        <f>IF(OR(R13="Preventivo",R13="Detectivo"),"Probabilidad",IF(R13="Correctivo","Impacto",""))</f>
        <v/>
      </c>
      <c r="R13" s="159"/>
      <c r="S13" s="159"/>
      <c r="T13" s="160" t="str">
        <f t="shared" ref="T13:T17" si="0">IF(AND(R13="Preventivo",S13="Automático"),"50%",IF(AND(R13="Preventivo",S13="Manual"),"40%",IF(AND(R13="Detectivo",S13="Automático"),"40%",IF(AND(R13="Detectivo",S13="Manual"),"30%",IF(AND(R13="Correctivo",S13="Automático"),"35%",IF(AND(R13="Correctivo",S13="Manual"),"25%",""))))))</f>
        <v/>
      </c>
      <c r="U13" s="159"/>
      <c r="V13" s="159"/>
      <c r="W13" s="159"/>
      <c r="X13" s="161" t="str">
        <f>IFERROR(IF(AND(Q12="Probabilidad",Q13="Probabilidad"),(Z12-(+Z12*T13)),IF(Q13="Probabilidad",(I12-(+I12*T13)),IF(Q13="Impacto",Z12,""))),"")</f>
        <v/>
      </c>
      <c r="Y13" s="162" t="str">
        <f t="shared" ref="Y13:Y72" si="1">IFERROR(IF(X13="","",IF(X13&lt;=0.2,"Muy Baja",IF(X13&lt;=0.4,"Baja",IF(X13&lt;=0.6,"Media",IF(X13&lt;=0.8,"Alta","Muy Alta"))))),"")</f>
        <v/>
      </c>
      <c r="Z13" s="163" t="str">
        <f t="shared" ref="Z13:Z17" si="2">+X13</f>
        <v/>
      </c>
      <c r="AA13" s="162" t="str">
        <f t="shared" ref="AA13:AA72" si="3">IFERROR(IF(AB13="","",IF(AB13&lt;=0.2,"Leve",IF(AB13&lt;=0.4,"Menor",IF(AB13&lt;=0.6,"Moderado",IF(AB13&lt;=0.8,"Mayor","Catastrófico"))))),"")</f>
        <v/>
      </c>
      <c r="AB13" s="163" t="str">
        <f>IFERROR(IF(AND(Q12="Impacto",Q13="Impacto"),(AB12-(+AB12*T13)),IF(Q13="Impacto",(M12-(+M12*T13)),IF(Q13="Probabilidad",AB12,""))),"")</f>
        <v/>
      </c>
      <c r="AC13" s="168"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5"/>
      <c r="AE13" s="180"/>
      <c r="AF13" s="177"/>
      <c r="AG13" s="178"/>
      <c r="AH13" s="178"/>
      <c r="AI13" s="170"/>
      <c r="AJ13" s="115"/>
      <c r="AK13" s="169"/>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x14ac:dyDescent="0.3">
      <c r="A14" s="356"/>
      <c r="B14" s="359"/>
      <c r="C14" s="359"/>
      <c r="D14" s="359"/>
      <c r="E14" s="371"/>
      <c r="F14" s="359"/>
      <c r="G14" s="368"/>
      <c r="H14" s="350"/>
      <c r="I14" s="347"/>
      <c r="J14" s="344"/>
      <c r="K14" s="374">
        <f>IF(NOT(ISERROR(MATCH(J14,_xlfn.ANCHORARRAY(E25),0))),I27&amp;"Por favor no seleccionar los criterios de impacto",J14)</f>
        <v>0</v>
      </c>
      <c r="L14" s="350"/>
      <c r="M14" s="347"/>
      <c r="N14" s="353"/>
      <c r="O14" s="106">
        <v>3</v>
      </c>
      <c r="P14" s="181"/>
      <c r="Q14" s="107"/>
      <c r="R14" s="108"/>
      <c r="S14" s="108"/>
      <c r="T14" s="109"/>
      <c r="U14" s="118"/>
      <c r="V14" s="118"/>
      <c r="W14" s="118"/>
      <c r="X14" s="110"/>
      <c r="Y14" s="111"/>
      <c r="Z14" s="112"/>
      <c r="AA14" s="111"/>
      <c r="AB14" s="112"/>
      <c r="AC14" s="113"/>
      <c r="AD14" s="114"/>
      <c r="AE14" s="19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x14ac:dyDescent="0.3">
      <c r="A15" s="356"/>
      <c r="B15" s="359"/>
      <c r="C15" s="359"/>
      <c r="D15" s="359"/>
      <c r="E15" s="371"/>
      <c r="F15" s="359"/>
      <c r="G15" s="368"/>
      <c r="H15" s="350"/>
      <c r="I15" s="347"/>
      <c r="J15" s="344"/>
      <c r="K15" s="374">
        <f>IF(NOT(ISERROR(MATCH(J15,_xlfn.ANCHORARRAY(E26),0))),I28&amp;"Por favor no seleccionar los criterios de impacto",J15)</f>
        <v>0</v>
      </c>
      <c r="L15" s="350"/>
      <c r="M15" s="347"/>
      <c r="N15" s="353"/>
      <c r="O15" s="106">
        <v>4</v>
      </c>
      <c r="P15" s="180"/>
      <c r="Q15" s="107"/>
      <c r="R15" s="108"/>
      <c r="S15" s="108"/>
      <c r="T15" s="109"/>
      <c r="U15" s="108"/>
      <c r="V15" s="108"/>
      <c r="W15" s="108"/>
      <c r="X15" s="110"/>
      <c r="Y15" s="111"/>
      <c r="Z15" s="112"/>
      <c r="AA15" s="111"/>
      <c r="AB15" s="112"/>
      <c r="AC15" s="113"/>
      <c r="AD15" s="114"/>
      <c r="AE15" s="19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x14ac:dyDescent="0.3">
      <c r="A16" s="356"/>
      <c r="B16" s="359"/>
      <c r="C16" s="359"/>
      <c r="D16" s="359"/>
      <c r="E16" s="371"/>
      <c r="F16" s="359"/>
      <c r="G16" s="368"/>
      <c r="H16" s="350"/>
      <c r="I16" s="347"/>
      <c r="J16" s="344"/>
      <c r="K16" s="374">
        <f>IF(NOT(ISERROR(MATCH(J16,_xlfn.ANCHORARRAY(E27),0))),I29&amp;"Por favor no seleccionar los criterios de impacto",J16)</f>
        <v>0</v>
      </c>
      <c r="L16" s="350"/>
      <c r="M16" s="347"/>
      <c r="N16" s="353"/>
      <c r="O16" s="106">
        <v>5</v>
      </c>
      <c r="P16" s="180"/>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9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x14ac:dyDescent="0.3">
      <c r="A17" s="357"/>
      <c r="B17" s="360"/>
      <c r="C17" s="360"/>
      <c r="D17" s="360"/>
      <c r="E17" s="372"/>
      <c r="F17" s="360"/>
      <c r="G17" s="369"/>
      <c r="H17" s="351"/>
      <c r="I17" s="348"/>
      <c r="J17" s="345"/>
      <c r="K17" s="375">
        <f>IF(NOT(ISERROR(MATCH(J17,_xlfn.ANCHORARRAY(E28),0))),I30&amp;"Por favor no seleccionar los criterios de impacto",J17)</f>
        <v>0</v>
      </c>
      <c r="L17" s="351"/>
      <c r="M17" s="348"/>
      <c r="N17" s="354"/>
      <c r="O17" s="106">
        <v>6</v>
      </c>
      <c r="P17" s="180"/>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9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19.25" customHeight="1" x14ac:dyDescent="0.3">
      <c r="A18" s="355">
        <v>2</v>
      </c>
      <c r="B18" s="358" t="s">
        <v>230</v>
      </c>
      <c r="C18" s="358" t="s">
        <v>300</v>
      </c>
      <c r="D18" s="358" t="s">
        <v>306</v>
      </c>
      <c r="E18" s="370" t="s">
        <v>307</v>
      </c>
      <c r="F18" s="358" t="s">
        <v>236</v>
      </c>
      <c r="G18" s="367">
        <v>170</v>
      </c>
      <c r="H18" s="349" t="str">
        <f>IF(G18&lt;=0,"",IF(G18&lt;=2,"Muy Baja",IF(G18&lt;=24,"Baja",IF(G18&lt;=500,"Media",IF(G18&lt;=5000,"Alta","Muy Alta")))))</f>
        <v>Media</v>
      </c>
      <c r="I18" s="346">
        <f>IF(H18="","",IF(H18="Muy Baja",0.2,IF(H18="Baja",0.4,IF(H18="Media",0.6,IF(H18="Alta",0.8,IF(H18="Muy Alta",1,))))))</f>
        <v>0.6</v>
      </c>
      <c r="J18" s="343" t="s">
        <v>184</v>
      </c>
      <c r="K18" s="346"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49" t="str">
        <f>IF(OR(K18='Tabla Impacto'!$C$11,K18='Tabla Impacto'!$D$11),"Leve",IF(OR(K18='Tabla Impacto'!$C$12,K18='Tabla Impacto'!$D$12),"Menor",IF(OR(K18='Tabla Impacto'!$C$13,K18='Tabla Impacto'!$D$13),"Moderado",IF(OR(K18='Tabla Impacto'!$C$14,K18='Tabla Impacto'!$D$14),"Mayor",IF(OR(K18='Tabla Impacto'!$C$15,K18='Tabla Impacto'!$D$15),"Catastrófico","")))))</f>
        <v>Moderado</v>
      </c>
      <c r="M18" s="346">
        <f>IF(L18="","",IF(L18="Leve",0.2,IF(L18="Menor",0.4,IF(L18="Moderado",0.6,IF(L18="Mayor",0.8,IF(L18="Catastrófico",1,))))))</f>
        <v>0.6</v>
      </c>
      <c r="N18" s="352"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06">
        <v>1</v>
      </c>
      <c r="P18" s="180" t="s">
        <v>308</v>
      </c>
      <c r="Q18" s="164" t="str">
        <f>IF(OR(R18="Preventivo",R18="Detectivo"),"Probabilidad",IF(R18="Correctivo","Impacto",""))</f>
        <v>Probabilidad</v>
      </c>
      <c r="R18" s="171" t="s">
        <v>200</v>
      </c>
      <c r="S18" s="171" t="s">
        <v>208</v>
      </c>
      <c r="T18" s="172" t="str">
        <f>IF(AND(R18="Preventivo",S18="Automático"),"50%",IF(AND(R18="Preventivo",S18="Manual"),"40%",IF(AND(R18="Detectivo",S18="Automático"),"40%",IF(AND(R18="Detectivo",S18="Manual"),"30%",IF(AND(R18="Correctivo",S18="Automático"),"35%",IF(AND(R18="Correctivo",S18="Manual"),"25%",""))))))</f>
        <v>40%</v>
      </c>
      <c r="U18" s="171" t="s">
        <v>211</v>
      </c>
      <c r="V18" s="171" t="s">
        <v>216</v>
      </c>
      <c r="W18" s="171" t="s">
        <v>220</v>
      </c>
      <c r="X18" s="161">
        <f>IFERROR(IF(Q18="Probabilidad",(I18-(+I18*T18)),IF(Q18="Impacto",I18,"")),"")</f>
        <v>0.36</v>
      </c>
      <c r="Y18" s="173" t="str">
        <f>IFERROR(IF(X18="","",IF(X18&lt;=0.2,"Muy Baja",IF(X18&lt;=0.4,"Baja",IF(X18&lt;=0.6,"Media",IF(X18&lt;=0.8,"Alta","Muy Alta"))))),"")</f>
        <v>Baja</v>
      </c>
      <c r="Z18" s="174">
        <f>+X18</f>
        <v>0.36</v>
      </c>
      <c r="AA18" s="173" t="str">
        <f>IFERROR(IF(AB18="","",IF(AB18&lt;=0.2,"Leve",IF(AB18&lt;=0.4,"Menor",IF(AB18&lt;=0.6,"Moderado",IF(AB18&lt;=0.8,"Mayor","Catastrófico"))))),"")</f>
        <v>Moderado</v>
      </c>
      <c r="AB18" s="174">
        <f>IFERROR(IF(Q18="Impacto",(M18-(+M18*T18)),IF(Q18="Probabilidad",M18,"")),"")</f>
        <v>0.6</v>
      </c>
      <c r="AC18" s="175"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6" t="s">
        <v>231</v>
      </c>
      <c r="AE18" s="180" t="s">
        <v>350</v>
      </c>
      <c r="AF18" s="187" t="s">
        <v>309</v>
      </c>
      <c r="AG18" s="188">
        <v>45001</v>
      </c>
      <c r="AH18" s="178">
        <v>45275</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x14ac:dyDescent="0.3">
      <c r="A19" s="356"/>
      <c r="B19" s="359"/>
      <c r="C19" s="359"/>
      <c r="D19" s="359"/>
      <c r="E19" s="371"/>
      <c r="F19" s="359"/>
      <c r="G19" s="368"/>
      <c r="H19" s="350"/>
      <c r="I19" s="347"/>
      <c r="J19" s="344"/>
      <c r="K19" s="347">
        <f>IF(NOT(ISERROR(MATCH(J19,_xlfn.ANCHORARRAY(E30),0))),I32&amp;"Por favor no seleccionar los criterios de impacto",J19)</f>
        <v>0</v>
      </c>
      <c r="L19" s="350"/>
      <c r="M19" s="347"/>
      <c r="N19" s="353"/>
      <c r="O19" s="106">
        <v>2</v>
      </c>
      <c r="P19" s="180"/>
      <c r="Q19" s="164" t="str">
        <f>IF(OR(R19="Preventivo",R19="Detectivo"),"Probabilidad",IF(R19="Correctivo","Impacto",""))</f>
        <v/>
      </c>
      <c r="R19" s="171"/>
      <c r="S19" s="171"/>
      <c r="T19" s="172" t="str">
        <f t="shared" ref="T19:T23" si="8">IF(AND(R19="Preventivo",S19="Automático"),"50%",IF(AND(R19="Preventivo",S19="Manual"),"40%",IF(AND(R19="Detectivo",S19="Automático"),"40%",IF(AND(R19="Detectivo",S19="Manual"),"30%",IF(AND(R19="Correctivo",S19="Automático"),"35%",IF(AND(R19="Correctivo",S19="Manual"),"25%",""))))))</f>
        <v/>
      </c>
      <c r="U19" s="171"/>
      <c r="V19" s="171"/>
      <c r="W19" s="171"/>
      <c r="X19" s="161" t="str">
        <f>IFERROR(IF(AND(Q18="Probabilidad",Q19="Probabilidad"),(Z18-(+Z18*T19)),IF(Q19="Probabilidad",(I18-(+I18*T19)),IF(Q19="Impacto",Z18,""))),"")</f>
        <v/>
      </c>
      <c r="Y19" s="173" t="str">
        <f t="shared" si="1"/>
        <v/>
      </c>
      <c r="Z19" s="174" t="str">
        <f t="shared" ref="Z19:Z23" si="9">+X19</f>
        <v/>
      </c>
      <c r="AA19" s="173" t="str">
        <f t="shared" si="3"/>
        <v/>
      </c>
      <c r="AB19" s="174" t="str">
        <f>IFERROR(IF(AND(Q18="Impacto",Q19="Impacto"),(AB18-(+AB18*T19)),IF(Q19="Impacto",(M18-(+M18*T19)),IF(Q19="Probabilidad",AB18,""))),"")</f>
        <v/>
      </c>
      <c r="AC19" s="175"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6"/>
      <c r="AE19" s="180"/>
      <c r="AF19" s="177"/>
      <c r="AG19" s="178"/>
      <c r="AH19" s="178"/>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x14ac:dyDescent="0.3">
      <c r="A20" s="356"/>
      <c r="B20" s="359"/>
      <c r="C20" s="359"/>
      <c r="D20" s="359"/>
      <c r="E20" s="371"/>
      <c r="F20" s="359"/>
      <c r="G20" s="368"/>
      <c r="H20" s="350"/>
      <c r="I20" s="347"/>
      <c r="J20" s="344"/>
      <c r="K20" s="347">
        <f>IF(NOT(ISERROR(MATCH(J20,_xlfn.ANCHORARRAY(E31),0))),I33&amp;"Por favor no seleccionar los criterios de impacto",J20)</f>
        <v>0</v>
      </c>
      <c r="L20" s="350"/>
      <c r="M20" s="347"/>
      <c r="N20" s="353"/>
      <c r="O20" s="106">
        <v>3</v>
      </c>
      <c r="P20" s="182"/>
      <c r="Q20" s="164" t="str">
        <f>IF(OR(R20="Preventivo",R20="Detectivo"),"Probabilidad",IF(R20="Correctivo","Impacto",""))</f>
        <v/>
      </c>
      <c r="R20" s="171"/>
      <c r="S20" s="171"/>
      <c r="T20" s="172" t="str">
        <f t="shared" si="8"/>
        <v/>
      </c>
      <c r="U20" s="171"/>
      <c r="V20" s="171"/>
      <c r="W20" s="171"/>
      <c r="X20" s="161" t="str">
        <f>IFERROR(IF(AND(Q19="Probabilidad",Q20="Probabilidad"),(Z19-(+Z19*T20)),IF(AND(Q19="Impacto",Q20="Probabilidad"),(Z18-(+Z18*T20)),IF(Q20="Impacto",Z19,""))),"")</f>
        <v/>
      </c>
      <c r="Y20" s="173" t="str">
        <f t="shared" si="1"/>
        <v/>
      </c>
      <c r="Z20" s="174" t="str">
        <f t="shared" si="9"/>
        <v/>
      </c>
      <c r="AA20" s="173" t="str">
        <f t="shared" si="3"/>
        <v/>
      </c>
      <c r="AB20" s="174" t="str">
        <f>IFERROR(IF(AND(Q19="Impacto",Q20="Impacto"),(AB19-(+AB19*T20)),IF(AND(Q19="Probabilidad",Q20="Impacto"),(AB18-(+AB18*T20)),IF(Q20="Probabilidad",AB19,""))),"")</f>
        <v/>
      </c>
      <c r="AC20" s="175" t="str">
        <f t="shared" si="10"/>
        <v/>
      </c>
      <c r="AD20" s="176"/>
      <c r="AE20" s="180"/>
      <c r="AF20" s="179"/>
      <c r="AG20" s="178"/>
      <c r="AH20" s="178"/>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x14ac:dyDescent="0.3">
      <c r="A21" s="356"/>
      <c r="B21" s="359"/>
      <c r="C21" s="359"/>
      <c r="D21" s="359"/>
      <c r="E21" s="371"/>
      <c r="F21" s="359"/>
      <c r="G21" s="368"/>
      <c r="H21" s="350"/>
      <c r="I21" s="347"/>
      <c r="J21" s="344"/>
      <c r="K21" s="347">
        <f>IF(NOT(ISERROR(MATCH(J21,_xlfn.ANCHORARRAY(E32),0))),I34&amp;"Por favor no seleccionar los criterios de impacto",J21)</f>
        <v>0</v>
      </c>
      <c r="L21" s="350"/>
      <c r="M21" s="347"/>
      <c r="N21" s="353"/>
      <c r="O21" s="106">
        <v>4</v>
      </c>
      <c r="P21" s="180"/>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9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x14ac:dyDescent="0.3">
      <c r="A22" s="356"/>
      <c r="B22" s="359"/>
      <c r="C22" s="359"/>
      <c r="D22" s="359"/>
      <c r="E22" s="371"/>
      <c r="F22" s="359"/>
      <c r="G22" s="368"/>
      <c r="H22" s="350"/>
      <c r="I22" s="347"/>
      <c r="J22" s="344"/>
      <c r="K22" s="347">
        <f>IF(NOT(ISERROR(MATCH(J22,_xlfn.ANCHORARRAY(E33),0))),I35&amp;"Por favor no seleccionar los criterios de impacto",J22)</f>
        <v>0</v>
      </c>
      <c r="L22" s="350"/>
      <c r="M22" s="347"/>
      <c r="N22" s="353"/>
      <c r="O22" s="106">
        <v>5</v>
      </c>
      <c r="P22" s="180"/>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9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x14ac:dyDescent="0.3">
      <c r="A23" s="357"/>
      <c r="B23" s="360"/>
      <c r="C23" s="360"/>
      <c r="D23" s="360"/>
      <c r="E23" s="372"/>
      <c r="F23" s="360"/>
      <c r="G23" s="369"/>
      <c r="H23" s="351"/>
      <c r="I23" s="348"/>
      <c r="J23" s="345"/>
      <c r="K23" s="348">
        <f>IF(NOT(ISERROR(MATCH(J23,_xlfn.ANCHORARRAY(E34),0))),I36&amp;"Por favor no seleccionar los criterios de impacto",J23)</f>
        <v>0</v>
      </c>
      <c r="L23" s="351"/>
      <c r="M23" s="348"/>
      <c r="N23" s="354"/>
      <c r="O23" s="106">
        <v>6</v>
      </c>
      <c r="P23" s="180"/>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9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4.75" customHeight="1" x14ac:dyDescent="0.3">
      <c r="A24" s="355">
        <v>3</v>
      </c>
      <c r="B24" s="358" t="s">
        <v>226</v>
      </c>
      <c r="C24" s="358" t="s">
        <v>300</v>
      </c>
      <c r="D24" s="358" t="s">
        <v>310</v>
      </c>
      <c r="E24" s="370" t="s">
        <v>311</v>
      </c>
      <c r="F24" s="358" t="s">
        <v>236</v>
      </c>
      <c r="G24" s="367">
        <v>327</v>
      </c>
      <c r="H24" s="349" t="str">
        <f>IF(G24&lt;=0,"",IF(G24&lt;=2,"Muy Baja",IF(G24&lt;=24,"Baja",IF(G24&lt;=500,"Media",IF(G24&lt;=5000,"Alta","Muy Alta")))))</f>
        <v>Media</v>
      </c>
      <c r="I24" s="346">
        <f>IF(H24="","",IF(H24="Muy Baja",0.2,IF(H24="Baja",0.4,IF(H24="Media",0.6,IF(H24="Alta",0.8,IF(H24="Muy Alta",1,))))))</f>
        <v>0.6</v>
      </c>
      <c r="J24" s="343" t="s">
        <v>181</v>
      </c>
      <c r="K24" s="346" t="str">
        <f>IF(NOT(ISERROR(MATCH(J24,'Tabla Impacto'!$B$221:$B$223,0))),'Tabla Impacto'!$F$223&amp;"Por favor no seleccionar los criterios de impacto(Afectación Económica o presupuestal y Pérdida Reputacional)",J24)</f>
        <v xml:space="preserve">     Entre 10 y 50 SMLMV </v>
      </c>
      <c r="L24" s="349" t="str">
        <f>IF(OR(K24='Tabla Impacto'!$C$11,K24='Tabla Impacto'!$D$11),"Leve",IF(OR(K24='Tabla Impacto'!$C$12,K24='Tabla Impacto'!$D$12),"Menor",IF(OR(K24='Tabla Impacto'!$C$13,K24='Tabla Impacto'!$D$13),"Moderado",IF(OR(K24='Tabla Impacto'!$C$14,K24='Tabla Impacto'!$D$14),"Mayor",IF(OR(K24='Tabla Impacto'!$C$15,K24='Tabla Impacto'!$D$15),"Catastrófico","")))))</f>
        <v>Menor</v>
      </c>
      <c r="M24" s="346">
        <f>IF(L24="","",IF(L24="Leve",0.2,IF(L24="Menor",0.4,IF(L24="Moderado",0.6,IF(L24="Mayor",0.8,IF(L24="Catastrófico",1,))))))</f>
        <v>0.4</v>
      </c>
      <c r="N24" s="352"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06">
        <v>1</v>
      </c>
      <c r="P24" s="180" t="s">
        <v>351</v>
      </c>
      <c r="Q24" s="164" t="str">
        <f>IF(OR(R24="Preventivo",R24="Detectivo"),"Probabilidad",IF(R24="Correctivo","Impacto",""))</f>
        <v>Probabilidad</v>
      </c>
      <c r="R24" s="171" t="s">
        <v>200</v>
      </c>
      <c r="S24" s="171" t="s">
        <v>208</v>
      </c>
      <c r="T24" s="172" t="str">
        <f>IF(AND(R24="Preventivo",S24="Automático"),"50%",IF(AND(R24="Preventivo",S24="Manual"),"40%",IF(AND(R24="Detectivo",S24="Automático"),"40%",IF(AND(R24="Detectivo",S24="Manual"),"30%",IF(AND(R24="Correctivo",S24="Automático"),"35%",IF(AND(R24="Correctivo",S24="Manual"),"25%",""))))))</f>
        <v>40%</v>
      </c>
      <c r="U24" s="171" t="s">
        <v>211</v>
      </c>
      <c r="V24" s="171" t="s">
        <v>216</v>
      </c>
      <c r="W24" s="171" t="s">
        <v>220</v>
      </c>
      <c r="X24" s="161">
        <f>IFERROR(IF(Q24="Probabilidad",(I24-(+I24*T24)),IF(Q24="Impacto",I24,"")),"")</f>
        <v>0.36</v>
      </c>
      <c r="Y24" s="173" t="str">
        <f>IFERROR(IF(X24="","",IF(X24&lt;=0.2,"Muy Baja",IF(X24&lt;=0.4,"Baja",IF(X24&lt;=0.6,"Media",IF(X24&lt;=0.8,"Alta","Muy Alta"))))),"")</f>
        <v>Baja</v>
      </c>
      <c r="Z24" s="174">
        <f>+X24</f>
        <v>0.36</v>
      </c>
      <c r="AA24" s="173" t="str">
        <f>IFERROR(IF(AB24="","",IF(AB24&lt;=0.2,"Leve",IF(AB24&lt;=0.4,"Menor",IF(AB24&lt;=0.6,"Moderado",IF(AB24&lt;=0.8,"Mayor","Catastrófico"))))),"")</f>
        <v>Menor</v>
      </c>
      <c r="AB24" s="174">
        <f>IFERROR(IF(Q24="Impacto",(M24-(+M24*T24)),IF(Q24="Probabilidad",M24,"")),"")</f>
        <v>0.4</v>
      </c>
      <c r="AC24" s="175"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6" t="s">
        <v>231</v>
      </c>
      <c r="AE24" s="180" t="s">
        <v>313</v>
      </c>
      <c r="AF24" s="177" t="s">
        <v>314</v>
      </c>
      <c r="AG24" s="178">
        <v>45001</v>
      </c>
      <c r="AH24" s="178">
        <v>45275</v>
      </c>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84.75" customHeight="1" x14ac:dyDescent="0.3">
      <c r="A25" s="356"/>
      <c r="B25" s="359"/>
      <c r="C25" s="359"/>
      <c r="D25" s="359"/>
      <c r="E25" s="371"/>
      <c r="F25" s="359"/>
      <c r="G25" s="368"/>
      <c r="H25" s="350"/>
      <c r="I25" s="347"/>
      <c r="J25" s="344"/>
      <c r="K25" s="347">
        <f>IF(NOT(ISERROR(MATCH(J25,_xlfn.ANCHORARRAY(E36),0))),I38&amp;"Por favor no seleccionar los criterios de impacto",J25)</f>
        <v>0</v>
      </c>
      <c r="L25" s="350"/>
      <c r="M25" s="347"/>
      <c r="N25" s="353"/>
      <c r="O25" s="106">
        <v>2</v>
      </c>
      <c r="P25" s="180" t="s">
        <v>312</v>
      </c>
      <c r="Q25" s="164" t="str">
        <f>IF(OR(R25="Preventivo",R25="Detectivo"),"Probabilidad",IF(R25="Correctivo","Impacto",""))</f>
        <v>Probabilidad</v>
      </c>
      <c r="R25" s="171" t="s">
        <v>200</v>
      </c>
      <c r="S25" s="171" t="s">
        <v>208</v>
      </c>
      <c r="T25" s="172" t="str">
        <f t="shared" ref="T25:T41" si="15">IF(AND(R25="Preventivo",S25="Automático"),"50%",IF(AND(R25="Preventivo",S25="Manual"),"40%",IF(AND(R25="Detectivo",S25="Automático"),"40%",IF(AND(R25="Detectivo",S25="Manual"),"30%",IF(AND(R25="Correctivo",S25="Automático"),"35%",IF(AND(R25="Correctivo",S25="Manual"),"25%",""))))))</f>
        <v>40%</v>
      </c>
      <c r="U25" s="171" t="s">
        <v>211</v>
      </c>
      <c r="V25" s="171" t="s">
        <v>216</v>
      </c>
      <c r="W25" s="171" t="s">
        <v>220</v>
      </c>
      <c r="X25" s="161">
        <f>IFERROR(IF(AND(Q24="Probabilidad",Q25="Probabilidad"),(Z24-(+Z24*T25)),IF(Q25="Probabilidad",(I24-(+I24*T25)),IF(Q25="Impacto",Z24,""))),"")</f>
        <v>0.216</v>
      </c>
      <c r="Y25" s="173" t="str">
        <f t="shared" si="1"/>
        <v>Baja</v>
      </c>
      <c r="Z25" s="174">
        <f t="shared" ref="Z25:Z29" si="16">+X25</f>
        <v>0.216</v>
      </c>
      <c r="AA25" s="173" t="str">
        <f t="shared" si="3"/>
        <v>Menor</v>
      </c>
      <c r="AB25" s="174">
        <f>IFERROR(IF(AND(Q24="Impacto",Q25="Impacto"),(AB24-(+AB24*T25)),IF(Q25="Impacto",(M24-(+M24*T25)),IF(Q25="Probabilidad",AB24,""))),"")</f>
        <v>0.4</v>
      </c>
      <c r="AC25" s="175"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76" t="s">
        <v>231</v>
      </c>
      <c r="AE25" s="180" t="s">
        <v>315</v>
      </c>
      <c r="AF25" s="177" t="s">
        <v>314</v>
      </c>
      <c r="AG25" s="178">
        <v>45001</v>
      </c>
      <c r="AH25" s="178">
        <v>45275</v>
      </c>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customHeight="1" x14ac:dyDescent="0.3">
      <c r="A26" s="356"/>
      <c r="B26" s="359"/>
      <c r="C26" s="359"/>
      <c r="D26" s="359"/>
      <c r="E26" s="371"/>
      <c r="F26" s="359"/>
      <c r="G26" s="368"/>
      <c r="H26" s="350"/>
      <c r="I26" s="347"/>
      <c r="J26" s="344"/>
      <c r="K26" s="347">
        <f>IF(NOT(ISERROR(MATCH(J26,_xlfn.ANCHORARRAY(E37),0))),I39&amp;"Por favor no seleccionar los criterios de impacto",J26)</f>
        <v>0</v>
      </c>
      <c r="L26" s="350"/>
      <c r="M26" s="347"/>
      <c r="N26" s="353"/>
      <c r="O26" s="106">
        <v>3</v>
      </c>
      <c r="P26" s="181"/>
      <c r="Q26" s="107" t="str">
        <f>IF(OR(R26="Preventivo",R26="Detectivo"),"Probabilidad",IF(R26="Correctivo","Impacto",""))</f>
        <v/>
      </c>
      <c r="R26" s="108"/>
      <c r="S26" s="108"/>
      <c r="T26" s="172"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9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x14ac:dyDescent="0.3">
      <c r="A27" s="356"/>
      <c r="B27" s="359"/>
      <c r="C27" s="359"/>
      <c r="D27" s="359"/>
      <c r="E27" s="371"/>
      <c r="F27" s="359"/>
      <c r="G27" s="368"/>
      <c r="H27" s="350"/>
      <c r="I27" s="347"/>
      <c r="J27" s="344"/>
      <c r="K27" s="347">
        <f>IF(NOT(ISERROR(MATCH(J27,_xlfn.ANCHORARRAY(E38),0))),I40&amp;"Por favor no seleccionar los criterios de impacto",J27)</f>
        <v>0</v>
      </c>
      <c r="L27" s="350"/>
      <c r="M27" s="347"/>
      <c r="N27" s="353"/>
      <c r="O27" s="106">
        <v>4</v>
      </c>
      <c r="P27" s="180"/>
      <c r="Q27" s="107" t="str">
        <f t="shared" ref="Q27:Q29" si="18">IF(OR(R27="Preventivo",R27="Detectivo"),"Probabilidad",IF(R27="Correctivo","Impacto",""))</f>
        <v/>
      </c>
      <c r="R27" s="108"/>
      <c r="S27" s="108"/>
      <c r="T27" s="172"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9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x14ac:dyDescent="0.3">
      <c r="A28" s="356"/>
      <c r="B28" s="359"/>
      <c r="C28" s="359"/>
      <c r="D28" s="359"/>
      <c r="E28" s="371"/>
      <c r="F28" s="359"/>
      <c r="G28" s="368"/>
      <c r="H28" s="350"/>
      <c r="I28" s="347"/>
      <c r="J28" s="344"/>
      <c r="K28" s="347">
        <f>IF(NOT(ISERROR(MATCH(J28,_xlfn.ANCHORARRAY(E39),0))),I41&amp;"Por favor no seleccionar los criterios de impacto",J28)</f>
        <v>0</v>
      </c>
      <c r="L28" s="350"/>
      <c r="M28" s="347"/>
      <c r="N28" s="353"/>
      <c r="O28" s="106">
        <v>5</v>
      </c>
      <c r="P28" s="180"/>
      <c r="Q28" s="107" t="str">
        <f t="shared" si="18"/>
        <v/>
      </c>
      <c r="R28" s="108"/>
      <c r="S28" s="108"/>
      <c r="T28" s="172"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9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x14ac:dyDescent="0.3">
      <c r="A29" s="357"/>
      <c r="B29" s="360"/>
      <c r="C29" s="360"/>
      <c r="D29" s="360"/>
      <c r="E29" s="372"/>
      <c r="F29" s="360"/>
      <c r="G29" s="369"/>
      <c r="H29" s="351"/>
      <c r="I29" s="348"/>
      <c r="J29" s="345"/>
      <c r="K29" s="348">
        <f>IF(NOT(ISERROR(MATCH(J29,_xlfn.ANCHORARRAY(E40),0))),I42&amp;"Por favor no seleccionar los criterios de impacto",J29)</f>
        <v>0</v>
      </c>
      <c r="L29" s="351"/>
      <c r="M29" s="348"/>
      <c r="N29" s="354"/>
      <c r="O29" s="106">
        <v>6</v>
      </c>
      <c r="P29" s="180"/>
      <c r="Q29" s="107" t="str">
        <f t="shared" si="18"/>
        <v/>
      </c>
      <c r="R29" s="108"/>
      <c r="S29" s="108"/>
      <c r="T29" s="172"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9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29" customHeight="1" x14ac:dyDescent="0.3">
      <c r="A30" s="355">
        <v>4</v>
      </c>
      <c r="B30" s="370" t="s">
        <v>230</v>
      </c>
      <c r="C30" s="358" t="s">
        <v>300</v>
      </c>
      <c r="D30" s="358" t="s">
        <v>367</v>
      </c>
      <c r="E30" s="361" t="s">
        <v>366</v>
      </c>
      <c r="F30" s="358" t="s">
        <v>236</v>
      </c>
      <c r="G30" s="398">
        <v>65</v>
      </c>
      <c r="H30" s="349" t="str">
        <f>IF(G30&lt;=0,"",IF(G30&lt;=2,"Muy Baja",IF(G30&lt;=24,"Baja",IF(G30&lt;=500,"Media",IF(G30&lt;=5000,"Alta","Muy Alta")))))</f>
        <v>Media</v>
      </c>
      <c r="I30" s="346">
        <f>IF(H30="","",IF(H30="Muy Baja",0.2,IF(H30="Baja",0.4,IF(H30="Media",0.6,IF(H30="Alta",0.8,IF(H30="Muy Alta",1,))))))</f>
        <v>0.6</v>
      </c>
      <c r="J30" s="343" t="s">
        <v>184</v>
      </c>
      <c r="K30" s="346"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349" t="str">
        <f>IF(OR(K30='Tabla Impacto'!$C$11,K30='Tabla Impacto'!$D$11),"Leve",IF(OR(K30='Tabla Impacto'!$C$12,K30='Tabla Impacto'!$D$12),"Menor",IF(OR(K30='Tabla Impacto'!$C$13,K30='Tabla Impacto'!$D$13),"Moderado",IF(OR(K30='Tabla Impacto'!$C$14,K30='Tabla Impacto'!$D$14),"Mayor",IF(OR(K30='Tabla Impacto'!$C$15,K30='Tabla Impacto'!$D$15),"Catastrófico","")))))</f>
        <v>Moderado</v>
      </c>
      <c r="M30" s="346">
        <f>IF(L30="","",IF(L30="Leve",0.2,IF(L30="Menor",0.4,IF(L30="Moderado",0.6,IF(L30="Mayor",0.8,IF(L30="Catastrófico",1,))))))</f>
        <v>0.6</v>
      </c>
      <c r="N30" s="352"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106">
        <v>1</v>
      </c>
      <c r="P30" s="180" t="s">
        <v>316</v>
      </c>
      <c r="Q30" s="164" t="str">
        <f>IF(OR(R30="Preventivo",R30="Detectivo"),"Probabilidad",IF(R30="Correctivo","Impacto",""))</f>
        <v>Probabilidad</v>
      </c>
      <c r="R30" s="171" t="s">
        <v>200</v>
      </c>
      <c r="S30" s="171" t="s">
        <v>208</v>
      </c>
      <c r="T30" s="172" t="str">
        <f t="shared" si="15"/>
        <v>40%</v>
      </c>
      <c r="U30" s="171" t="s">
        <v>211</v>
      </c>
      <c r="V30" s="171" t="s">
        <v>216</v>
      </c>
      <c r="W30" s="171" t="s">
        <v>220</v>
      </c>
      <c r="X30" s="161">
        <f>IFERROR(IF(Q30="Probabilidad",(I30-(+I30*T30)),IF(Q30="Impacto",I30,"")),"")</f>
        <v>0.36</v>
      </c>
      <c r="Y30" s="173" t="str">
        <f>IFERROR(IF(X30="","",IF(X30&lt;=0.2,"Muy Baja",IF(X30&lt;=0.4,"Baja",IF(X30&lt;=0.6,"Media",IF(X30&lt;=0.8,"Alta","Muy Alta"))))),"")</f>
        <v>Baja</v>
      </c>
      <c r="Z30" s="174">
        <f>+X30</f>
        <v>0.36</v>
      </c>
      <c r="AA30" s="173" t="str">
        <f>IFERROR(IF(AB30="","",IF(AB30&lt;=0.2,"Leve",IF(AB30&lt;=0.4,"Menor",IF(AB30&lt;=0.6,"Moderado",IF(AB30&lt;=0.8,"Mayor","Catastrófico"))))),"")</f>
        <v>Moderado</v>
      </c>
      <c r="AB30" s="174">
        <f>IFERROR(IF(Q30="Impacto",(M30-(+M30*T30)),IF(Q30="Probabilidad",M30,"")),"")</f>
        <v>0.6</v>
      </c>
      <c r="AC30" s="175"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76" t="s">
        <v>231</v>
      </c>
      <c r="AE30" s="180" t="s">
        <v>317</v>
      </c>
      <c r="AF30" s="177" t="s">
        <v>318</v>
      </c>
      <c r="AG30" s="178">
        <v>45001</v>
      </c>
      <c r="AH30" s="178">
        <v>45275</v>
      </c>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86.25" customHeight="1" x14ac:dyDescent="0.3">
      <c r="A31" s="356"/>
      <c r="B31" s="371"/>
      <c r="C31" s="359"/>
      <c r="D31" s="359"/>
      <c r="E31" s="362"/>
      <c r="F31" s="359"/>
      <c r="G31" s="399"/>
      <c r="H31" s="350"/>
      <c r="I31" s="347"/>
      <c r="J31" s="344"/>
      <c r="K31" s="347">
        <f>IF(NOT(ISERROR(MATCH(J31,_xlfn.ANCHORARRAY(E42),0))),I45&amp;"Por favor no seleccionar los criterios de impacto",J31)</f>
        <v>0</v>
      </c>
      <c r="L31" s="350"/>
      <c r="M31" s="347"/>
      <c r="N31" s="353"/>
      <c r="O31" s="106">
        <v>2</v>
      </c>
      <c r="P31" s="204" t="s">
        <v>368</v>
      </c>
      <c r="Q31" s="164" t="str">
        <f t="shared" ref="Q31:Q41" si="22">IF(OR(R31="Preventivo",R31="Detectivo"),"Probabilidad",IF(R31="Correctivo","Impacto",""))</f>
        <v>Probabilidad</v>
      </c>
      <c r="R31" s="171" t="s">
        <v>200</v>
      </c>
      <c r="S31" s="171" t="s">
        <v>208</v>
      </c>
      <c r="T31" s="172" t="str">
        <f t="shared" si="15"/>
        <v>40%</v>
      </c>
      <c r="U31" s="171" t="s">
        <v>211</v>
      </c>
      <c r="V31" s="171" t="s">
        <v>216</v>
      </c>
      <c r="W31" s="171" t="s">
        <v>220</v>
      </c>
      <c r="X31" s="161">
        <f>IFERROR(IF(AND(Q30="Probabilidad",Q31="Probabilidad"),(Z30-(+Z30*T31)),IF(Q31="Probabilidad",(I30-(+I30*T31)),IF(Q31="Impacto",Z30,""))),"")</f>
        <v>0.216</v>
      </c>
      <c r="Y31" s="173" t="str">
        <f t="shared" si="1"/>
        <v>Baja</v>
      </c>
      <c r="Z31" s="202">
        <f t="shared" ref="Z31:Z35" si="23">+X31</f>
        <v>0.216</v>
      </c>
      <c r="AA31" s="173" t="str">
        <f t="shared" si="3"/>
        <v>Moderado</v>
      </c>
      <c r="AB31" s="202">
        <f>IFERROR(IF(AND(Q30="Impacto",Q31="Impacto"),(AB30-(+AB30*T31)),IF(Q31="Impacto",(M30-(+M30*T31)),IF(Q31="Probabilidad",AB30,""))),"")</f>
        <v>0.6</v>
      </c>
      <c r="AC31" s="175"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Moderado</v>
      </c>
      <c r="AD31" s="203" t="s">
        <v>231</v>
      </c>
      <c r="AE31" s="205" t="s">
        <v>365</v>
      </c>
      <c r="AF31" s="201" t="s">
        <v>318</v>
      </c>
      <c r="AG31" s="170">
        <v>45138</v>
      </c>
      <c r="AH31" s="170">
        <v>45275</v>
      </c>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customHeight="1" x14ac:dyDescent="0.3">
      <c r="A32" s="356"/>
      <c r="B32" s="371"/>
      <c r="C32" s="359"/>
      <c r="D32" s="359"/>
      <c r="E32" s="362"/>
      <c r="F32" s="359"/>
      <c r="G32" s="399"/>
      <c r="H32" s="350"/>
      <c r="I32" s="347"/>
      <c r="J32" s="344"/>
      <c r="K32" s="347">
        <f>IF(NOT(ISERROR(MATCH(J32,_xlfn.ANCHORARRAY(E44),0))),I46&amp;"Por favor no seleccionar los criterios de impacto",J32)</f>
        <v>0</v>
      </c>
      <c r="L32" s="350"/>
      <c r="M32" s="347"/>
      <c r="N32" s="353"/>
      <c r="O32" s="106">
        <v>3</v>
      </c>
      <c r="P32" s="181"/>
      <c r="Q32" s="164" t="str">
        <f t="shared" si="22"/>
        <v/>
      </c>
      <c r="R32" s="108"/>
      <c r="S32" s="108"/>
      <c r="T32" s="172" t="str">
        <f t="shared" si="15"/>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9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customHeight="1" x14ac:dyDescent="0.3">
      <c r="A33" s="356"/>
      <c r="B33" s="371"/>
      <c r="C33" s="359"/>
      <c r="D33" s="359"/>
      <c r="E33" s="362"/>
      <c r="F33" s="359"/>
      <c r="G33" s="399"/>
      <c r="H33" s="350"/>
      <c r="I33" s="347"/>
      <c r="J33" s="344"/>
      <c r="K33" s="347">
        <f>IF(NOT(ISERROR(MATCH(J33,_xlfn.ANCHORARRAY(E45),0))),I47&amp;"Por favor no seleccionar los criterios de impacto",J33)</f>
        <v>0</v>
      </c>
      <c r="L33" s="350"/>
      <c r="M33" s="347"/>
      <c r="N33" s="353"/>
      <c r="O33" s="106">
        <v>4</v>
      </c>
      <c r="P33" s="180"/>
      <c r="Q33" s="164" t="str">
        <f t="shared" si="22"/>
        <v/>
      </c>
      <c r="R33" s="108"/>
      <c r="S33" s="108"/>
      <c r="T33" s="172" t="str">
        <f t="shared" si="15"/>
        <v/>
      </c>
      <c r="U33" s="108"/>
      <c r="V33" s="108"/>
      <c r="W33" s="108"/>
      <c r="X33" s="110" t="str">
        <f t="shared" ref="X33:X35" si="25">IFERROR(IF(AND(Q32="Probabilidad",Q33="Probabilidad"),(Z32-(+Z32*T33)),IF(AND(Q32="Impacto",Q33="Probabilidad"),(Z31-(+Z31*T33)),IF(Q33="Impacto",Z32,""))),"")</f>
        <v/>
      </c>
      <c r="Y33" s="111" t="str">
        <f t="shared" si="1"/>
        <v/>
      </c>
      <c r="Z33" s="112" t="str">
        <f t="shared" si="23"/>
        <v/>
      </c>
      <c r="AA33" s="111" t="str">
        <f t="shared" si="3"/>
        <v/>
      </c>
      <c r="AB33" s="112" t="str">
        <f t="shared" ref="AB33:AB35" si="26">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9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x14ac:dyDescent="0.3">
      <c r="A34" s="356"/>
      <c r="B34" s="371"/>
      <c r="C34" s="359"/>
      <c r="D34" s="359"/>
      <c r="E34" s="362"/>
      <c r="F34" s="359"/>
      <c r="G34" s="399"/>
      <c r="H34" s="350"/>
      <c r="I34" s="347"/>
      <c r="J34" s="344"/>
      <c r="K34" s="347">
        <f>IF(NOT(ISERROR(MATCH(J34,_xlfn.ANCHORARRAY(E46),0))),I48&amp;"Por favor no seleccionar los criterios de impacto",J34)</f>
        <v>0</v>
      </c>
      <c r="L34" s="350"/>
      <c r="M34" s="347"/>
      <c r="N34" s="353"/>
      <c r="O34" s="106">
        <v>5</v>
      </c>
      <c r="P34" s="180"/>
      <c r="Q34" s="164" t="str">
        <f t="shared" si="22"/>
        <v/>
      </c>
      <c r="R34" s="108"/>
      <c r="S34" s="108"/>
      <c r="T34" s="172" t="str">
        <f t="shared" si="15"/>
        <v/>
      </c>
      <c r="U34" s="108"/>
      <c r="V34" s="108"/>
      <c r="W34" s="108"/>
      <c r="X34" s="110" t="str">
        <f t="shared" si="25"/>
        <v/>
      </c>
      <c r="Y34" s="111" t="str">
        <f>IFERROR(IF(X34="","",IF(X34&lt;=0.2,"Muy Baja",IF(X34&lt;=0.4,"Baja",IF(X34&lt;=0.6,"Media",IF(X34&lt;=0.8,"Alta","Muy Alta"))))),"")</f>
        <v/>
      </c>
      <c r="Z34" s="112" t="str">
        <f t="shared" si="23"/>
        <v/>
      </c>
      <c r="AA34" s="111" t="str">
        <f t="shared" si="3"/>
        <v/>
      </c>
      <c r="AB34" s="112" t="str">
        <f t="shared" si="26"/>
        <v/>
      </c>
      <c r="AC34" s="113" t="str">
        <f t="shared" ref="AC34:AC35" si="27">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9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x14ac:dyDescent="0.3">
      <c r="A35" s="357"/>
      <c r="B35" s="372"/>
      <c r="C35" s="360"/>
      <c r="D35" s="360"/>
      <c r="E35" s="363"/>
      <c r="F35" s="360"/>
      <c r="G35" s="400"/>
      <c r="H35" s="351"/>
      <c r="I35" s="348"/>
      <c r="J35" s="345"/>
      <c r="K35" s="348">
        <f>IF(NOT(ISERROR(MATCH(J35,_xlfn.ANCHORARRAY(E47),0))),I49&amp;"Por favor no seleccionar los criterios de impacto",J35)</f>
        <v>0</v>
      </c>
      <c r="L35" s="351"/>
      <c r="M35" s="348"/>
      <c r="N35" s="354"/>
      <c r="O35" s="106">
        <v>6</v>
      </c>
      <c r="P35" s="180"/>
      <c r="Q35" s="164" t="str">
        <f t="shared" si="22"/>
        <v/>
      </c>
      <c r="R35" s="108"/>
      <c r="S35" s="108"/>
      <c r="T35" s="172" t="str">
        <f t="shared" si="15"/>
        <v/>
      </c>
      <c r="U35" s="108"/>
      <c r="V35" s="108"/>
      <c r="W35" s="108"/>
      <c r="X35" s="110" t="str">
        <f t="shared" si="25"/>
        <v/>
      </c>
      <c r="Y35" s="111" t="str">
        <f t="shared" si="1"/>
        <v/>
      </c>
      <c r="Z35" s="112" t="str">
        <f t="shared" si="23"/>
        <v/>
      </c>
      <c r="AA35" s="111" t="str">
        <f t="shared" si="3"/>
        <v/>
      </c>
      <c r="AB35" s="112" t="str">
        <f t="shared" si="26"/>
        <v/>
      </c>
      <c r="AC35" s="113" t="str">
        <f t="shared" si="27"/>
        <v/>
      </c>
      <c r="AD35" s="114"/>
      <c r="AE35" s="19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90.75" customHeight="1" x14ac:dyDescent="0.3">
      <c r="A36" s="355">
        <v>5</v>
      </c>
      <c r="B36" s="358" t="s">
        <v>230</v>
      </c>
      <c r="C36" s="358" t="s">
        <v>319</v>
      </c>
      <c r="D36" s="358" t="s">
        <v>320</v>
      </c>
      <c r="E36" s="370" t="s">
        <v>321</v>
      </c>
      <c r="F36" s="358" t="s">
        <v>236</v>
      </c>
      <c r="G36" s="367">
        <v>2800</v>
      </c>
      <c r="H36" s="349" t="str">
        <f>IF(G36&lt;=0,"",IF(G36&lt;=2,"Muy Baja",IF(G36&lt;=24,"Baja",IF(G36&lt;=500,"Media",IF(G36&lt;=5000,"Alta","Muy Alta")))))</f>
        <v>Alta</v>
      </c>
      <c r="I36" s="346">
        <f>IF(H36="","",IF(H36="Muy Baja",0.2,IF(H36="Baja",0.4,IF(H36="Media",0.6,IF(H36="Alta",0.8,IF(H36="Muy Alta",1,))))))</f>
        <v>0.8</v>
      </c>
      <c r="J36" s="343" t="s">
        <v>184</v>
      </c>
      <c r="K36" s="346" t="str">
        <f>IF(NOT(ISERROR(MATCH(J36,'Tabla Impacto'!$B$221:$B$223,0))),'Tabla Impacto'!$F$223&amp;"Por favor no seleccionar los criterios de impacto(Afectación Económica o presupuestal y Pérdida Reputacional)",J36)</f>
        <v xml:space="preserve">     El riesgo afecta la imagen de la entidad con algunos usuarios de relevancia frente al logro de los objetivos</v>
      </c>
      <c r="L36" s="349" t="str">
        <f>IF(OR(K36='Tabla Impacto'!$C$11,K36='Tabla Impacto'!$D$11),"Leve",IF(OR(K36='Tabla Impacto'!$C$12,K36='Tabla Impacto'!$D$12),"Menor",IF(OR(K36='Tabla Impacto'!$C$13,K36='Tabla Impacto'!$D$13),"Moderado",IF(OR(K36='Tabla Impacto'!$C$14,K36='Tabla Impacto'!$D$14),"Mayor",IF(OR(K36='Tabla Impacto'!$C$15,K36='Tabla Impacto'!$D$15),"Catastrófico","")))))</f>
        <v>Moderado</v>
      </c>
      <c r="M36" s="346">
        <f>IF(L36="","",IF(L36="Leve",0.2,IF(L36="Menor",0.4,IF(L36="Moderado",0.6,IF(L36="Mayor",0.8,IF(L36="Catastrófico",1,))))))</f>
        <v>0.6</v>
      </c>
      <c r="N36" s="352"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Alto</v>
      </c>
      <c r="O36" s="106">
        <v>1</v>
      </c>
      <c r="P36" s="180" t="s">
        <v>352</v>
      </c>
      <c r="Q36" s="164" t="str">
        <f t="shared" si="22"/>
        <v>Probabilidad</v>
      </c>
      <c r="R36" s="171" t="s">
        <v>200</v>
      </c>
      <c r="S36" s="171" t="s">
        <v>208</v>
      </c>
      <c r="T36" s="172" t="str">
        <f t="shared" si="15"/>
        <v>40%</v>
      </c>
      <c r="U36" s="171" t="s">
        <v>211</v>
      </c>
      <c r="V36" s="171" t="s">
        <v>216</v>
      </c>
      <c r="W36" s="171" t="s">
        <v>220</v>
      </c>
      <c r="X36" s="161">
        <f>IFERROR(IF(Q36="Probabilidad",(I36-(+I36*T36)),IF(Q36="Impacto",I36,"")),"")</f>
        <v>0.48</v>
      </c>
      <c r="Y36" s="173" t="str">
        <f>IFERROR(IF(X36="","",IF(X36&lt;=0.2,"Muy Baja",IF(X36&lt;=0.4,"Baja",IF(X36&lt;=0.6,"Media",IF(X36&lt;=0.8,"Alta","Muy Alta"))))),"")</f>
        <v>Media</v>
      </c>
      <c r="Z36" s="174">
        <f>+X36</f>
        <v>0.48</v>
      </c>
      <c r="AA36" s="173" t="str">
        <f>IFERROR(IF(AB36="","",IF(AB36&lt;=0.2,"Leve",IF(AB36&lt;=0.4,"Menor",IF(AB36&lt;=0.6,"Moderado",IF(AB36&lt;=0.8,"Mayor","Catastrófico"))))),"")</f>
        <v>Moderado</v>
      </c>
      <c r="AB36" s="174">
        <f>IFERROR(IF(Q36="Impacto",(M36-(+M36*T36)),IF(Q36="Probabilidad",M36,"")),"")</f>
        <v>0.6</v>
      </c>
      <c r="AC36" s="175"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Moderado</v>
      </c>
      <c r="AD36" s="189" t="s">
        <v>231</v>
      </c>
      <c r="AE36" s="190" t="s">
        <v>322</v>
      </c>
      <c r="AF36" s="177" t="s">
        <v>323</v>
      </c>
      <c r="AG36" s="178">
        <v>45001</v>
      </c>
      <c r="AH36" s="178">
        <v>45275</v>
      </c>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customHeight="1" x14ac:dyDescent="0.3">
      <c r="A37" s="356"/>
      <c r="B37" s="359"/>
      <c r="C37" s="359"/>
      <c r="D37" s="359"/>
      <c r="E37" s="371"/>
      <c r="F37" s="359"/>
      <c r="G37" s="368"/>
      <c r="H37" s="350"/>
      <c r="I37" s="347"/>
      <c r="J37" s="344"/>
      <c r="K37" s="347">
        <f>IF(NOT(ISERROR(MATCH(J37,_xlfn.ANCHORARRAY(E49),0))),I51&amp;"Por favor no seleccionar los criterios de impacto",J37)</f>
        <v>0</v>
      </c>
      <c r="L37" s="350"/>
      <c r="M37" s="347"/>
      <c r="N37" s="353"/>
      <c r="O37" s="106">
        <v>2</v>
      </c>
      <c r="P37" s="180"/>
      <c r="Q37" s="164" t="str">
        <f t="shared" si="22"/>
        <v/>
      </c>
      <c r="R37" s="108"/>
      <c r="S37" s="108"/>
      <c r="T37" s="172" t="str">
        <f t="shared" si="15"/>
        <v/>
      </c>
      <c r="U37" s="108"/>
      <c r="V37" s="108"/>
      <c r="W37" s="108"/>
      <c r="X37" s="110" t="str">
        <f>IFERROR(IF(AND(Q36="Probabilidad",Q37="Probabilidad"),(Z36-(+Z36*T37)),IF(Q37="Probabilidad",(I36-(+I36*T37)),IF(Q37="Impacto",Z36,""))),"")</f>
        <v/>
      </c>
      <c r="Y37" s="111" t="str">
        <f t="shared" si="1"/>
        <v/>
      </c>
      <c r="Z37" s="112" t="str">
        <f t="shared" ref="Z37:Z41" si="28">+X37</f>
        <v/>
      </c>
      <c r="AA37" s="111" t="str">
        <f t="shared" si="3"/>
        <v/>
      </c>
      <c r="AB37" s="112" t="str">
        <f>IFERROR(IF(AND(Q36="Impacto",Q37="Impacto"),(AB36-(+AB36*T37)),IF(Q37="Impacto",(M36-(+M36*T37)),IF(Q37="Probabilidad",AB36,""))),"")</f>
        <v/>
      </c>
      <c r="AC37" s="113" t="str">
        <f t="shared" ref="AC37:AC38" si="29">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9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customHeight="1" x14ac:dyDescent="0.3">
      <c r="A38" s="356"/>
      <c r="B38" s="359"/>
      <c r="C38" s="359"/>
      <c r="D38" s="359"/>
      <c r="E38" s="371"/>
      <c r="F38" s="359"/>
      <c r="G38" s="368"/>
      <c r="H38" s="350"/>
      <c r="I38" s="347"/>
      <c r="J38" s="344"/>
      <c r="K38" s="347">
        <f>IF(NOT(ISERROR(MATCH(J38,_xlfn.ANCHORARRAY(E50),0))),I52&amp;"Por favor no seleccionar los criterios de impacto",J38)</f>
        <v>0</v>
      </c>
      <c r="L38" s="350"/>
      <c r="M38" s="347"/>
      <c r="N38" s="353"/>
      <c r="O38" s="106">
        <v>3</v>
      </c>
      <c r="P38" s="181"/>
      <c r="Q38" s="164" t="str">
        <f t="shared" si="22"/>
        <v/>
      </c>
      <c r="R38" s="108"/>
      <c r="S38" s="108"/>
      <c r="T38" s="172" t="str">
        <f t="shared" si="15"/>
        <v/>
      </c>
      <c r="U38" s="108"/>
      <c r="V38" s="108"/>
      <c r="W38" s="108"/>
      <c r="X38" s="110" t="str">
        <f>IFERROR(IF(AND(Q37="Probabilidad",Q38="Probabilidad"),(Z37-(+Z37*T38)),IF(AND(Q37="Impacto",Q38="Probabilidad"),(Z36-(+Z36*T38)),IF(Q38="Impacto",Z37,""))),"")</f>
        <v/>
      </c>
      <c r="Y38" s="111" t="str">
        <f t="shared" si="1"/>
        <v/>
      </c>
      <c r="Z38" s="112" t="str">
        <f t="shared" si="28"/>
        <v/>
      </c>
      <c r="AA38" s="111" t="str">
        <f t="shared" si="3"/>
        <v/>
      </c>
      <c r="AB38" s="112" t="str">
        <f>IFERROR(IF(AND(Q37="Impacto",Q38="Impacto"),(AB37-(+AB37*T38)),IF(AND(Q37="Probabilidad",Q38="Impacto"),(AB36-(+AB36*T38)),IF(Q38="Probabilidad",AB37,""))),"")</f>
        <v/>
      </c>
      <c r="AC38" s="113" t="str">
        <f t="shared" si="29"/>
        <v/>
      </c>
      <c r="AD38" s="114"/>
      <c r="AE38" s="19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customHeight="1" x14ac:dyDescent="0.3">
      <c r="A39" s="356"/>
      <c r="B39" s="359"/>
      <c r="C39" s="359"/>
      <c r="D39" s="359"/>
      <c r="E39" s="371"/>
      <c r="F39" s="359"/>
      <c r="G39" s="368"/>
      <c r="H39" s="350"/>
      <c r="I39" s="347"/>
      <c r="J39" s="344"/>
      <c r="K39" s="347">
        <f>IF(NOT(ISERROR(MATCH(J39,_xlfn.ANCHORARRAY(E51),0))),I53&amp;"Por favor no seleccionar los criterios de impacto",J39)</f>
        <v>0</v>
      </c>
      <c r="L39" s="350"/>
      <c r="M39" s="347"/>
      <c r="N39" s="353"/>
      <c r="O39" s="106">
        <v>4</v>
      </c>
      <c r="P39" s="180"/>
      <c r="Q39" s="164" t="str">
        <f t="shared" si="22"/>
        <v/>
      </c>
      <c r="R39" s="108"/>
      <c r="S39" s="108"/>
      <c r="T39" s="172" t="str">
        <f t="shared" si="15"/>
        <v/>
      </c>
      <c r="U39" s="108"/>
      <c r="V39" s="108"/>
      <c r="W39" s="108"/>
      <c r="X39" s="110" t="str">
        <f t="shared" ref="X39:X41" si="30">IFERROR(IF(AND(Q38="Probabilidad",Q39="Probabilidad"),(Z38-(+Z38*T39)),IF(AND(Q38="Impacto",Q39="Probabilidad"),(Z37-(+Z37*T39)),IF(Q39="Impacto",Z38,""))),"")</f>
        <v/>
      </c>
      <c r="Y39" s="111" t="str">
        <f t="shared" si="1"/>
        <v/>
      </c>
      <c r="Z39" s="112" t="str">
        <f t="shared" si="28"/>
        <v/>
      </c>
      <c r="AA39" s="111" t="str">
        <f t="shared" si="3"/>
        <v/>
      </c>
      <c r="AB39" s="112" t="str">
        <f t="shared" ref="AB39:AB41" si="31">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9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customHeight="1" x14ac:dyDescent="0.3">
      <c r="A40" s="356"/>
      <c r="B40" s="359"/>
      <c r="C40" s="359"/>
      <c r="D40" s="359"/>
      <c r="E40" s="371"/>
      <c r="F40" s="359"/>
      <c r="G40" s="368"/>
      <c r="H40" s="350"/>
      <c r="I40" s="347"/>
      <c r="J40" s="344"/>
      <c r="K40" s="347">
        <f>IF(NOT(ISERROR(MATCH(J40,_xlfn.ANCHORARRAY(E52),0))),I54&amp;"Por favor no seleccionar los criterios de impacto",J40)</f>
        <v>0</v>
      </c>
      <c r="L40" s="350"/>
      <c r="M40" s="347"/>
      <c r="N40" s="353"/>
      <c r="O40" s="106">
        <v>5</v>
      </c>
      <c r="P40" s="180"/>
      <c r="Q40" s="164" t="str">
        <f t="shared" si="22"/>
        <v/>
      </c>
      <c r="R40" s="108"/>
      <c r="S40" s="108"/>
      <c r="T40" s="172" t="str">
        <f t="shared" si="15"/>
        <v/>
      </c>
      <c r="U40" s="108"/>
      <c r="V40" s="108"/>
      <c r="W40" s="108"/>
      <c r="X40" s="110" t="str">
        <f t="shared" si="30"/>
        <v/>
      </c>
      <c r="Y40" s="111" t="str">
        <f t="shared" si="1"/>
        <v/>
      </c>
      <c r="Z40" s="112" t="str">
        <f t="shared" si="28"/>
        <v/>
      </c>
      <c r="AA40" s="111" t="str">
        <f t="shared" si="3"/>
        <v/>
      </c>
      <c r="AB40" s="112" t="str">
        <f t="shared" si="31"/>
        <v/>
      </c>
      <c r="AC40" s="113" t="str">
        <f t="shared" ref="AC40:AC41" si="32">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9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customHeight="1" x14ac:dyDescent="0.3">
      <c r="A41" s="357"/>
      <c r="B41" s="360"/>
      <c r="C41" s="360"/>
      <c r="D41" s="360"/>
      <c r="E41" s="372"/>
      <c r="F41" s="360"/>
      <c r="G41" s="369"/>
      <c r="H41" s="351"/>
      <c r="I41" s="348"/>
      <c r="J41" s="345"/>
      <c r="K41" s="348">
        <f>IF(NOT(ISERROR(MATCH(J41,_xlfn.ANCHORARRAY(E53),0))),I55&amp;"Por favor no seleccionar los criterios de impacto",J41)</f>
        <v>0</v>
      </c>
      <c r="L41" s="351"/>
      <c r="M41" s="348"/>
      <c r="N41" s="354"/>
      <c r="O41" s="106">
        <v>6</v>
      </c>
      <c r="P41" s="180"/>
      <c r="Q41" s="164" t="str">
        <f t="shared" si="22"/>
        <v/>
      </c>
      <c r="R41" s="108"/>
      <c r="S41" s="108"/>
      <c r="T41" s="172" t="str">
        <f t="shared" si="15"/>
        <v/>
      </c>
      <c r="U41" s="108"/>
      <c r="V41" s="108"/>
      <c r="W41" s="108"/>
      <c r="X41" s="110" t="str">
        <f t="shared" si="30"/>
        <v/>
      </c>
      <c r="Y41" s="111" t="str">
        <f t="shared" si="1"/>
        <v/>
      </c>
      <c r="Z41" s="112" t="str">
        <f t="shared" si="28"/>
        <v/>
      </c>
      <c r="AA41" s="111" t="str">
        <f t="shared" si="3"/>
        <v/>
      </c>
      <c r="AB41" s="112" t="str">
        <f t="shared" si="31"/>
        <v/>
      </c>
      <c r="AC41" s="113" t="str">
        <f t="shared" si="32"/>
        <v/>
      </c>
      <c r="AD41" s="114"/>
      <c r="AE41" s="19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66.75" customHeight="1" x14ac:dyDescent="0.3">
      <c r="A42" s="355">
        <v>6</v>
      </c>
      <c r="B42" s="358" t="s">
        <v>230</v>
      </c>
      <c r="C42" s="358" t="s">
        <v>300</v>
      </c>
      <c r="D42" s="358" t="s">
        <v>324</v>
      </c>
      <c r="E42" s="370" t="s">
        <v>325</v>
      </c>
      <c r="F42" s="358" t="s">
        <v>236</v>
      </c>
      <c r="G42" s="367">
        <v>2</v>
      </c>
      <c r="H42" s="349" t="str">
        <f>IF(G42&lt;=0,"",IF(G42&lt;=2,"Muy Baja",IF(G42&lt;=24,"Baja",IF(G42&lt;=500,"Media",IF(G42&lt;=5000,"Alta","Muy Alta")))))</f>
        <v>Muy Baja</v>
      </c>
      <c r="I42" s="346">
        <f>IF(H42="","",IF(H42="Muy Baja",0.2,IF(H42="Baja",0.4,IF(H42="Media",0.6,IF(H42="Alta",0.8,IF(H42="Muy Alta",1,))))))</f>
        <v>0.2</v>
      </c>
      <c r="J42" s="343" t="s">
        <v>186</v>
      </c>
      <c r="K42" s="186"/>
      <c r="L42" s="349" t="str">
        <f>IF(OR(K43='Tabla Impacto'!$C$11,K43='Tabla Impacto'!$D$11),"Leve",IF(OR(K43='Tabla Impacto'!$C$12,K43='Tabla Impacto'!$D$12),"Menor",IF(OR(K43='Tabla Impacto'!$C$13,K43='Tabla Impacto'!$D$13),"Moderado",IF(OR(K43='Tabla Impacto'!$C$14,K43='Tabla Impacto'!$D$14),"Mayor",IF(OR(K43='Tabla Impacto'!$C$15,K43='Tabla Impacto'!$D$15),"Catastrófico","")))))</f>
        <v>Mayor</v>
      </c>
      <c r="M42" s="346">
        <f>IF(L42="","",IF(L42="Leve",0.2,IF(L42="Menor",0.4,IF(L42="Moderado",0.6,IF(L42="Mayor",0.8,IF(L42="Catastrófico",1,))))))</f>
        <v>0.8</v>
      </c>
      <c r="N42" s="352"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Alto</v>
      </c>
      <c r="O42" s="445">
        <v>1</v>
      </c>
      <c r="P42" s="447" t="s">
        <v>326</v>
      </c>
      <c r="Q42" s="449" t="str">
        <f>IF(OR(R42="Preventivo",R42="Detectivo"),"Probabilidad",IF(R42="Correctivo","Impacto",""))</f>
        <v>Probabilidad</v>
      </c>
      <c r="R42" s="443" t="s">
        <v>200</v>
      </c>
      <c r="S42" s="443" t="s">
        <v>208</v>
      </c>
      <c r="T42" s="439" t="str">
        <f>IF(AND(R42="Preventivo",S42="Automático"),"50%",IF(AND(R42="Preventivo",S42="Manual"),"40%",IF(AND(R42="Detectivo",S42="Automático"),"40%",IF(AND(R42="Detectivo",S42="Manual"),"30%",IF(AND(R42="Correctivo",S42="Automático"),"35%",IF(AND(R42="Correctivo",S42="Manual"),"25%",""))))))</f>
        <v>40%</v>
      </c>
      <c r="U42" s="443" t="s">
        <v>211</v>
      </c>
      <c r="V42" s="443" t="s">
        <v>216</v>
      </c>
      <c r="W42" s="443" t="s">
        <v>220</v>
      </c>
      <c r="X42" s="451">
        <f>IFERROR(IF(Q42="Probabilidad",(I42-(+I42*T42)),IF(Q42="Impacto",I42,"")),"")</f>
        <v>0.12</v>
      </c>
      <c r="Y42" s="437" t="str">
        <f>IFERROR(IF(X42="","",IF(X42&lt;=0.2,"Muy Baja",IF(X42&lt;=0.4,"Baja",IF(X42&lt;=0.6,"Media",IF(X42&lt;=0.8,"Alta","Muy Alta"))))),"")</f>
        <v>Muy Baja</v>
      </c>
      <c r="Z42" s="439">
        <f>+X42</f>
        <v>0.12</v>
      </c>
      <c r="AA42" s="437" t="str">
        <f>IFERROR(IF(AB42="","",IF(AB42&lt;=0.2,"Leve",IF(AB42&lt;=0.4,"Menor",IF(AB42&lt;=0.6,"Moderado",IF(AB42&lt;=0.8,"Mayor","Catastrófico"))))),"")</f>
        <v>Mayor</v>
      </c>
      <c r="AB42" s="439">
        <f>IFERROR(IF(Q42="Impacto",(M42-(+M42*T42)),IF(Q42="Probabilidad",M42,"")),"")</f>
        <v>0.8</v>
      </c>
      <c r="AC42" s="441"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Alto</v>
      </c>
      <c r="AD42" s="443" t="s">
        <v>231</v>
      </c>
      <c r="AE42" s="180" t="s">
        <v>327</v>
      </c>
      <c r="AF42" s="177" t="s">
        <v>328</v>
      </c>
      <c r="AG42" s="188">
        <v>45001</v>
      </c>
      <c r="AH42" s="188">
        <v>45275</v>
      </c>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60" customHeight="1" x14ac:dyDescent="0.3">
      <c r="A43" s="356"/>
      <c r="B43" s="359"/>
      <c r="C43" s="359"/>
      <c r="D43" s="359"/>
      <c r="E43" s="371"/>
      <c r="F43" s="359"/>
      <c r="G43" s="368"/>
      <c r="H43" s="350"/>
      <c r="I43" s="347"/>
      <c r="J43" s="344"/>
      <c r="K43" s="346" t="str">
        <f>IF(NOT(ISERROR(MATCH(J42,'Tabla Impacto'!$B$221:$B$223,0))),'Tabla Impacto'!$F$223&amp;"Por favor no seleccionar los criterios de impacto(Afectación Económica o presupuestal y Pérdida Reputacional)",J42)</f>
        <v xml:space="preserve">     El riesgo afecta la imagen de de la entidad con efecto publicitario sostenido a nivel de sector administrativo, nivel departamental o municipal</v>
      </c>
      <c r="L43" s="350"/>
      <c r="M43" s="347"/>
      <c r="N43" s="353"/>
      <c r="O43" s="446"/>
      <c r="P43" s="448"/>
      <c r="Q43" s="450"/>
      <c r="R43" s="444"/>
      <c r="S43" s="444"/>
      <c r="T43" s="440"/>
      <c r="U43" s="444"/>
      <c r="V43" s="444"/>
      <c r="W43" s="444"/>
      <c r="X43" s="452"/>
      <c r="Y43" s="438"/>
      <c r="Z43" s="440"/>
      <c r="AA43" s="438"/>
      <c r="AB43" s="440"/>
      <c r="AC43" s="442"/>
      <c r="AD43" s="444"/>
      <c r="AE43" s="190" t="s">
        <v>329</v>
      </c>
      <c r="AF43" s="179" t="s">
        <v>330</v>
      </c>
      <c r="AG43" s="178">
        <v>45001</v>
      </c>
      <c r="AH43" s="178">
        <v>45275</v>
      </c>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customHeight="1" x14ac:dyDescent="0.3">
      <c r="A44" s="356"/>
      <c r="B44" s="359"/>
      <c r="C44" s="359"/>
      <c r="D44" s="359"/>
      <c r="E44" s="371"/>
      <c r="F44" s="359"/>
      <c r="G44" s="368"/>
      <c r="H44" s="350"/>
      <c r="I44" s="347"/>
      <c r="J44" s="344"/>
      <c r="K44" s="347">
        <f>IF(NOT(ISERROR(MATCH(J44,_xlfn.ANCHORARRAY(E55),0))),I57&amp;"Por favor no seleccionar los criterios de impacto",J44)</f>
        <v>0</v>
      </c>
      <c r="L44" s="350"/>
      <c r="M44" s="347"/>
      <c r="N44" s="353"/>
      <c r="O44" s="106">
        <v>2</v>
      </c>
      <c r="P44" s="180"/>
      <c r="Q44" s="107" t="str">
        <f>IF(OR(R44="Preventivo",R44="Detectivo"),"Probabilidad",IF(R44="Correctivo","Impacto",""))</f>
        <v/>
      </c>
      <c r="R44" s="108"/>
      <c r="S44" s="108"/>
      <c r="T44" s="109" t="str">
        <f t="shared" ref="T44:T48" si="33">IF(AND(R44="Preventivo",S44="Automático"),"50%",IF(AND(R44="Preventivo",S44="Manual"),"40%",IF(AND(R44="Detectivo",S44="Automático"),"40%",IF(AND(R44="Detectivo",S44="Manual"),"30%",IF(AND(R44="Correctivo",S44="Automático"),"35%",IF(AND(R44="Correctivo",S44="Manual"),"25%",""))))))</f>
        <v/>
      </c>
      <c r="U44" s="108"/>
      <c r="V44" s="108"/>
      <c r="W44" s="108"/>
      <c r="X44" s="110" t="str">
        <f>IFERROR(IF(AND(Q42="Probabilidad",Q44="Probabilidad"),(Z42-(+Z42*T44)),IF(Q44="Probabilidad",(I42-(+I42*T44)),IF(Q44="Impacto",Z42,""))),"")</f>
        <v/>
      </c>
      <c r="Y44" s="111" t="str">
        <f t="shared" si="1"/>
        <v/>
      </c>
      <c r="Z44" s="112" t="str">
        <f t="shared" ref="Z44:Z48" si="34">+X44</f>
        <v/>
      </c>
      <c r="AA44" s="111" t="str">
        <f t="shared" si="3"/>
        <v/>
      </c>
      <c r="AB44" s="112" t="str">
        <f>IFERROR(IF(AND(Q42="Impacto",Q44="Impacto"),(AB42-(+AB42*T44)),IF(Q44="Impacto",(M42-(+M42*T44)),IF(Q44="Probabilidad",AB42,""))),"")</f>
        <v/>
      </c>
      <c r="AC44" s="113" t="str">
        <f t="shared" ref="AC44:AC45" si="35">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14"/>
      <c r="AE44" s="19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customHeight="1" x14ac:dyDescent="0.3">
      <c r="A45" s="356"/>
      <c r="B45" s="359"/>
      <c r="C45" s="359"/>
      <c r="D45" s="359"/>
      <c r="E45" s="371"/>
      <c r="F45" s="359"/>
      <c r="G45" s="368"/>
      <c r="H45" s="350"/>
      <c r="I45" s="347"/>
      <c r="J45" s="344"/>
      <c r="K45" s="347">
        <f>IF(NOT(ISERROR(MATCH(J45,_xlfn.ANCHORARRAY(E56),0))),I58&amp;"Por favor no seleccionar los criterios de impacto",J45)</f>
        <v>0</v>
      </c>
      <c r="L45" s="350"/>
      <c r="M45" s="347"/>
      <c r="N45" s="353"/>
      <c r="O45" s="106">
        <v>3</v>
      </c>
      <c r="P45" s="181"/>
      <c r="Q45" s="107" t="str">
        <f>IF(OR(R45="Preventivo",R45="Detectivo"),"Probabilidad",IF(R45="Correctivo","Impacto",""))</f>
        <v/>
      </c>
      <c r="R45" s="108"/>
      <c r="S45" s="108"/>
      <c r="T45" s="109" t="str">
        <f t="shared" si="33"/>
        <v/>
      </c>
      <c r="U45" s="108"/>
      <c r="V45" s="108"/>
      <c r="W45" s="108"/>
      <c r="X45" s="110" t="str">
        <f>IFERROR(IF(AND(Q44="Probabilidad",Q45="Probabilidad"),(Z44-(+Z44*T45)),IF(AND(Q44="Impacto",Q45="Probabilidad"),(Z42-(+Z42*T45)),IF(Q45="Impacto",Z44,""))),"")</f>
        <v/>
      </c>
      <c r="Y45" s="111" t="str">
        <f t="shared" si="1"/>
        <v/>
      </c>
      <c r="Z45" s="112" t="str">
        <f t="shared" si="34"/>
        <v/>
      </c>
      <c r="AA45" s="111" t="str">
        <f t="shared" si="3"/>
        <v/>
      </c>
      <c r="AB45" s="112" t="str">
        <f>IFERROR(IF(AND(Q44="Impacto",Q45="Impacto"),(AB44-(+AB44*T45)),IF(AND(Q44="Probabilidad",Q45="Impacto"),(AB42-(+AB42*T45)),IF(Q45="Probabilidad",AB44,""))),"")</f>
        <v/>
      </c>
      <c r="AC45" s="113" t="str">
        <f t="shared" si="35"/>
        <v/>
      </c>
      <c r="AD45" s="114"/>
      <c r="AE45" s="19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customHeight="1" x14ac:dyDescent="0.3">
      <c r="A46" s="356"/>
      <c r="B46" s="359"/>
      <c r="C46" s="359"/>
      <c r="D46" s="359"/>
      <c r="E46" s="371"/>
      <c r="F46" s="359"/>
      <c r="G46" s="368"/>
      <c r="H46" s="350"/>
      <c r="I46" s="347"/>
      <c r="J46" s="344"/>
      <c r="K46" s="347">
        <f>IF(NOT(ISERROR(MATCH(J46,_xlfn.ANCHORARRAY(E57),0))),I59&amp;"Por favor no seleccionar los criterios de impacto",J46)</f>
        <v>0</v>
      </c>
      <c r="L46" s="350"/>
      <c r="M46" s="347"/>
      <c r="N46" s="353"/>
      <c r="O46" s="106">
        <v>4</v>
      </c>
      <c r="P46" s="180"/>
      <c r="Q46" s="107" t="str">
        <f t="shared" ref="Q46:Q48" si="36">IF(OR(R46="Preventivo",R46="Detectivo"),"Probabilidad",IF(R46="Correctivo","Impacto",""))</f>
        <v/>
      </c>
      <c r="R46" s="108"/>
      <c r="S46" s="108"/>
      <c r="T46" s="109" t="str">
        <f t="shared" si="33"/>
        <v/>
      </c>
      <c r="U46" s="108"/>
      <c r="V46" s="108"/>
      <c r="W46" s="108"/>
      <c r="X46" s="110" t="str">
        <f t="shared" ref="X46:X48" si="37">IFERROR(IF(AND(Q45="Probabilidad",Q46="Probabilidad"),(Z45-(+Z45*T46)),IF(AND(Q45="Impacto",Q46="Probabilidad"),(Z44-(+Z44*T46)),IF(Q46="Impacto",Z45,""))),"")</f>
        <v/>
      </c>
      <c r="Y46" s="111" t="str">
        <f t="shared" si="1"/>
        <v/>
      </c>
      <c r="Z46" s="112" t="str">
        <f t="shared" si="34"/>
        <v/>
      </c>
      <c r="AA46" s="111" t="str">
        <f t="shared" si="3"/>
        <v/>
      </c>
      <c r="AB46" s="112" t="str">
        <f t="shared" ref="AB46:AB48" si="38">IFERROR(IF(AND(Q45="Impacto",Q46="Impacto"),(AB45-(+AB45*T46)),IF(AND(Q45="Probabilidad",Q46="Impacto"),(AB44-(+AB44*T46)),IF(Q46="Probabilidad",AB45,""))),"")</f>
        <v/>
      </c>
      <c r="AC46" s="11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9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customHeight="1" x14ac:dyDescent="0.3">
      <c r="A47" s="356"/>
      <c r="B47" s="359"/>
      <c r="C47" s="359"/>
      <c r="D47" s="359"/>
      <c r="E47" s="371"/>
      <c r="F47" s="359"/>
      <c r="G47" s="368"/>
      <c r="H47" s="350"/>
      <c r="I47" s="347"/>
      <c r="J47" s="344"/>
      <c r="K47" s="347">
        <f>IF(NOT(ISERROR(MATCH(J47,_xlfn.ANCHORARRAY(E58),0))),I60&amp;"Por favor no seleccionar los criterios de impacto",J47)</f>
        <v>0</v>
      </c>
      <c r="L47" s="350"/>
      <c r="M47" s="347"/>
      <c r="N47" s="353"/>
      <c r="O47" s="106">
        <v>5</v>
      </c>
      <c r="P47" s="180"/>
      <c r="Q47" s="107" t="str">
        <f t="shared" si="36"/>
        <v/>
      </c>
      <c r="R47" s="108"/>
      <c r="S47" s="108"/>
      <c r="T47" s="109" t="str">
        <f t="shared" si="33"/>
        <v/>
      </c>
      <c r="U47" s="108"/>
      <c r="V47" s="108"/>
      <c r="W47" s="108"/>
      <c r="X47" s="110" t="str">
        <f t="shared" si="37"/>
        <v/>
      </c>
      <c r="Y47" s="111" t="str">
        <f t="shared" si="1"/>
        <v/>
      </c>
      <c r="Z47" s="112" t="str">
        <f t="shared" si="34"/>
        <v/>
      </c>
      <c r="AA47" s="111" t="str">
        <f t="shared" si="3"/>
        <v/>
      </c>
      <c r="AB47" s="112" t="str">
        <f t="shared" si="38"/>
        <v/>
      </c>
      <c r="AC47" s="113" t="str">
        <f t="shared" ref="AC47" si="39">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9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customHeight="1" x14ac:dyDescent="0.3">
      <c r="A48" s="357"/>
      <c r="B48" s="360"/>
      <c r="C48" s="360"/>
      <c r="D48" s="360"/>
      <c r="E48" s="372"/>
      <c r="F48" s="360"/>
      <c r="G48" s="369"/>
      <c r="H48" s="351"/>
      <c r="I48" s="348"/>
      <c r="J48" s="345"/>
      <c r="K48" s="348">
        <f>IF(NOT(ISERROR(MATCH(J48,_xlfn.ANCHORARRAY(E59),0))),I61&amp;"Por favor no seleccionar los criterios de impacto",J48)</f>
        <v>0</v>
      </c>
      <c r="L48" s="351"/>
      <c r="M48" s="348"/>
      <c r="N48" s="354"/>
      <c r="O48" s="106">
        <v>6</v>
      </c>
      <c r="P48" s="180"/>
      <c r="Q48" s="107" t="str">
        <f t="shared" si="36"/>
        <v/>
      </c>
      <c r="R48" s="108"/>
      <c r="S48" s="108"/>
      <c r="T48" s="109" t="str">
        <f t="shared" si="33"/>
        <v/>
      </c>
      <c r="U48" s="108"/>
      <c r="V48" s="108"/>
      <c r="W48" s="108"/>
      <c r="X48" s="110" t="str">
        <f t="shared" si="37"/>
        <v/>
      </c>
      <c r="Y48" s="111" t="str">
        <f t="shared" si="1"/>
        <v/>
      </c>
      <c r="Z48" s="112" t="str">
        <f t="shared" si="34"/>
        <v/>
      </c>
      <c r="AA48" s="111" t="str">
        <f>IFERROR(IF(AB48="","",IF(AB48&lt;=0.2,"Leve",IF(AB48&lt;=0.4,"Menor",IF(AB48&lt;=0.6,"Moderado",IF(AB48&lt;=0.8,"Mayor","Catastrófico"))))),"")</f>
        <v/>
      </c>
      <c r="AB48" s="112" t="str">
        <f t="shared" si="38"/>
        <v/>
      </c>
      <c r="AC48" s="113"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4"/>
      <c r="AE48" s="195"/>
      <c r="AF48" s="116"/>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68.25" customHeight="1" x14ac:dyDescent="0.3">
      <c r="A49" s="355">
        <v>7</v>
      </c>
      <c r="B49" s="358" t="s">
        <v>228</v>
      </c>
      <c r="C49" s="358" t="s">
        <v>331</v>
      </c>
      <c r="D49" s="358" t="s">
        <v>332</v>
      </c>
      <c r="E49" s="370" t="s">
        <v>333</v>
      </c>
      <c r="F49" s="358" t="s">
        <v>236</v>
      </c>
      <c r="G49" s="367">
        <v>24</v>
      </c>
      <c r="H49" s="349" t="str">
        <f>IF(G49&lt;=0,"",IF(G49&lt;=2,"Muy Baja",IF(G49&lt;=24,"Baja",IF(G49&lt;=500,"Media",IF(G49&lt;=5000,"Alta","Muy Alta")))))</f>
        <v>Baja</v>
      </c>
      <c r="I49" s="346">
        <f>IF(H49="","",IF(H49="Muy Baja",0.2,IF(H49="Baja",0.4,IF(H49="Media",0.6,IF(H49="Alta",0.8,IF(H49="Muy Alta",1,))))))</f>
        <v>0.4</v>
      </c>
      <c r="J49" s="343" t="s">
        <v>184</v>
      </c>
      <c r="K49" s="346" t="str">
        <f>IF(NOT(ISERROR(MATCH(J49,'Tabla Impacto'!$B$221:$B$223,0))),'Tabla Impacto'!$F$223&amp;"Por favor no seleccionar los criterios de impacto(Afectación Económica o presupuestal y Pérdida Reputacional)",J49)</f>
        <v xml:space="preserve">     El riesgo afecta la imagen de la entidad con algunos usuarios de relevancia frente al logro de los objetivos</v>
      </c>
      <c r="L49" s="349" t="str">
        <f>IF(OR(K49='Tabla Impacto'!$C$11,K49='Tabla Impacto'!$D$11),"Leve",IF(OR(K49='Tabla Impacto'!$C$12,K49='Tabla Impacto'!$D$12),"Menor",IF(OR(K49='Tabla Impacto'!$C$13,K49='Tabla Impacto'!$D$13),"Moderado",IF(OR(K49='Tabla Impacto'!$C$14,K49='Tabla Impacto'!$D$14),"Mayor",IF(OR(K49='Tabla Impacto'!$C$15,K49='Tabla Impacto'!$D$15),"Catastrófico","")))))</f>
        <v>Moderado</v>
      </c>
      <c r="M49" s="346">
        <f>IF(L49="","",IF(L49="Leve",0.2,IF(L49="Menor",0.4,IF(L49="Moderado",0.6,IF(L49="Mayor",0.8,IF(L49="Catastrófico",1,))))))</f>
        <v>0.6</v>
      </c>
      <c r="N49" s="352"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Moderado</v>
      </c>
      <c r="O49" s="106">
        <v>1</v>
      </c>
      <c r="P49" s="180" t="s">
        <v>344</v>
      </c>
      <c r="Q49" s="164" t="str">
        <f>IF(OR(R49="Preventivo",R49="Detectivo"),"Probabilidad",IF(R49="Correctivo","Impacto",""))</f>
        <v>Probabilidad</v>
      </c>
      <c r="R49" s="171" t="s">
        <v>200</v>
      </c>
      <c r="S49" s="171" t="s">
        <v>208</v>
      </c>
      <c r="T49" s="172" t="str">
        <f>IF(AND(R49="Preventivo",S49="Automático"),"50%",IF(AND(R49="Preventivo",S49="Manual"),"40%",IF(AND(R49="Detectivo",S49="Automático"),"40%",IF(AND(R49="Detectivo",S49="Manual"),"30%",IF(AND(R49="Correctivo",S49="Automático"),"35%",IF(AND(R49="Correctivo",S49="Manual"),"25%",""))))))</f>
        <v>40%</v>
      </c>
      <c r="U49" s="171" t="s">
        <v>211</v>
      </c>
      <c r="V49" s="171" t="s">
        <v>216</v>
      </c>
      <c r="W49" s="171" t="s">
        <v>220</v>
      </c>
      <c r="X49" s="161">
        <f>IFERROR(IF(Q49="Probabilidad",(I49-(+I49*T49)),IF(Q49="Impacto",I49,"")),"")</f>
        <v>0.24</v>
      </c>
      <c r="Y49" s="173" t="str">
        <f>IFERROR(IF(X49="","",IF(X49&lt;=0.2,"Muy Baja",IF(X49&lt;=0.4,"Baja",IF(X49&lt;=0.6,"Media",IF(X49&lt;=0.8,"Alta","Muy Alta"))))),"")</f>
        <v>Baja</v>
      </c>
      <c r="Z49" s="174">
        <f>+X49</f>
        <v>0.24</v>
      </c>
      <c r="AA49" s="173" t="str">
        <f>IFERROR(IF(AB49="","",IF(AB49&lt;=0.2,"Leve",IF(AB49&lt;=0.4,"Menor",IF(AB49&lt;=0.6,"Moderado",IF(AB49&lt;=0.8,"Mayor","Catastrófico"))))),"")</f>
        <v>Moderado</v>
      </c>
      <c r="AB49" s="174">
        <f>IFERROR(IF(Q49="Impacto",(M49-(+M49*T49)),IF(Q49="Probabilidad",M49,"")),"")</f>
        <v>0.6</v>
      </c>
      <c r="AC49" s="175"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Moderado</v>
      </c>
      <c r="AD49" s="176" t="s">
        <v>231</v>
      </c>
      <c r="AE49" s="180" t="s">
        <v>334</v>
      </c>
      <c r="AF49" s="177" t="s">
        <v>335</v>
      </c>
      <c r="AG49" s="178">
        <v>45001</v>
      </c>
      <c r="AH49" s="178">
        <v>45275</v>
      </c>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customHeight="1" x14ac:dyDescent="0.3">
      <c r="A50" s="356"/>
      <c r="B50" s="359"/>
      <c r="C50" s="359"/>
      <c r="D50" s="359"/>
      <c r="E50" s="371"/>
      <c r="F50" s="359"/>
      <c r="G50" s="368"/>
      <c r="H50" s="350"/>
      <c r="I50" s="347"/>
      <c r="J50" s="344"/>
      <c r="K50" s="347">
        <f>IF(NOT(ISERROR(MATCH(J50,_xlfn.ANCHORARRAY(E61),0))),I63&amp;"Por favor no seleccionar los criterios de impacto",J50)</f>
        <v>0</v>
      </c>
      <c r="L50" s="350"/>
      <c r="M50" s="347"/>
      <c r="N50" s="353"/>
      <c r="O50" s="106">
        <v>2</v>
      </c>
      <c r="P50" s="180"/>
      <c r="Q50" s="164" t="str">
        <f t="shared" ref="Q50:Q62" si="40">IF(OR(R50="Preventivo",R50="Detectivo"),"Probabilidad",IF(R50="Correctivo","Impacto",""))</f>
        <v/>
      </c>
      <c r="R50" s="171"/>
      <c r="S50" s="171"/>
      <c r="T50" s="172" t="str">
        <f t="shared" ref="T50:T54" si="41">IF(AND(R50="Preventivo",S50="Automático"),"50%",IF(AND(R50="Preventivo",S50="Manual"),"40%",IF(AND(R50="Detectivo",S50="Automático"),"40%",IF(AND(R50="Detectivo",S50="Manual"),"30%",IF(AND(R50="Correctivo",S50="Automático"),"35%",IF(AND(R50="Correctivo",S50="Manual"),"25%",""))))))</f>
        <v/>
      </c>
      <c r="U50" s="171"/>
      <c r="V50" s="171"/>
      <c r="W50" s="171"/>
      <c r="X50" s="161" t="str">
        <f>IFERROR(IF(AND(Q49="Probabilidad",Q50="Probabilidad"),(Z49-(+Z49*T50)),IF(Q50="Probabilidad",(I49-(+I49*T50)),IF(Q50="Impacto",Z49,""))),"")</f>
        <v/>
      </c>
      <c r="Y50" s="173" t="str">
        <f t="shared" si="1"/>
        <v/>
      </c>
      <c r="Z50" s="174" t="str">
        <f t="shared" ref="Z50:Z54" si="42">+X50</f>
        <v/>
      </c>
      <c r="AA50" s="173" t="str">
        <f t="shared" si="3"/>
        <v/>
      </c>
      <c r="AB50" s="174" t="str">
        <f>IFERROR(IF(AND(Q49="Impacto",Q50="Impacto"),(AB49-(+AB49*T50)),IF(Q50="Impacto",(M49-(+M49*T50)),IF(Q50="Probabilidad",AB49,""))),"")</f>
        <v/>
      </c>
      <c r="AC50" s="175" t="str">
        <f t="shared" ref="AC50:AC51" si="43">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76"/>
      <c r="AE50" s="19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customHeight="1" x14ac:dyDescent="0.3">
      <c r="A51" s="356"/>
      <c r="B51" s="359"/>
      <c r="C51" s="359"/>
      <c r="D51" s="359"/>
      <c r="E51" s="371"/>
      <c r="F51" s="359"/>
      <c r="G51" s="368"/>
      <c r="H51" s="350"/>
      <c r="I51" s="347"/>
      <c r="J51" s="344"/>
      <c r="K51" s="347">
        <f>IF(NOT(ISERROR(MATCH(J51,_xlfn.ANCHORARRAY(E62),0))),I64&amp;"Por favor no seleccionar los criterios de impacto",J51)</f>
        <v>0</v>
      </c>
      <c r="L51" s="350"/>
      <c r="M51" s="347"/>
      <c r="N51" s="353"/>
      <c r="O51" s="106">
        <v>3</v>
      </c>
      <c r="P51" s="181"/>
      <c r="Q51" s="164" t="str">
        <f t="shared" si="40"/>
        <v/>
      </c>
      <c r="R51" s="108"/>
      <c r="S51" s="108"/>
      <c r="T51" s="109" t="str">
        <f t="shared" si="41"/>
        <v/>
      </c>
      <c r="U51" s="108"/>
      <c r="V51" s="108"/>
      <c r="W51" s="108"/>
      <c r="X51" s="110" t="str">
        <f>IFERROR(IF(AND(Q50="Probabilidad",Q51="Probabilidad"),(Z50-(+Z50*T51)),IF(AND(Q50="Impacto",Q51="Probabilidad"),(Z49-(+Z49*T51)),IF(Q51="Impacto",Z50,""))),"")</f>
        <v/>
      </c>
      <c r="Y51" s="111" t="str">
        <f t="shared" si="1"/>
        <v/>
      </c>
      <c r="Z51" s="112" t="str">
        <f t="shared" si="42"/>
        <v/>
      </c>
      <c r="AA51" s="111" t="str">
        <f t="shared" si="3"/>
        <v/>
      </c>
      <c r="AB51" s="112" t="str">
        <f>IFERROR(IF(AND(Q50="Impacto",Q51="Impacto"),(AB50-(+AB50*T51)),IF(AND(Q50="Probabilidad",Q51="Impacto"),(AB49-(+AB49*T51)),IF(Q51="Probabilidad",AB50,""))),"")</f>
        <v/>
      </c>
      <c r="AC51" s="113" t="str">
        <f t="shared" si="43"/>
        <v/>
      </c>
      <c r="AD51" s="114"/>
      <c r="AE51" s="19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customHeight="1" x14ac:dyDescent="0.3">
      <c r="A52" s="356"/>
      <c r="B52" s="359"/>
      <c r="C52" s="359"/>
      <c r="D52" s="359"/>
      <c r="E52" s="371"/>
      <c r="F52" s="359"/>
      <c r="G52" s="368"/>
      <c r="H52" s="350"/>
      <c r="I52" s="347"/>
      <c r="J52" s="344"/>
      <c r="K52" s="347">
        <f>IF(NOT(ISERROR(MATCH(J52,_xlfn.ANCHORARRAY(E63),0))),I65&amp;"Por favor no seleccionar los criterios de impacto",J52)</f>
        <v>0</v>
      </c>
      <c r="L52" s="350"/>
      <c r="M52" s="347"/>
      <c r="N52" s="353"/>
      <c r="O52" s="106">
        <v>4</v>
      </c>
      <c r="P52" s="180"/>
      <c r="Q52" s="164" t="str">
        <f t="shared" si="40"/>
        <v/>
      </c>
      <c r="R52" s="108"/>
      <c r="S52" s="108"/>
      <c r="T52" s="109" t="str">
        <f t="shared" si="41"/>
        <v/>
      </c>
      <c r="U52" s="108"/>
      <c r="V52" s="108"/>
      <c r="W52" s="108"/>
      <c r="X52" s="110" t="str">
        <f t="shared" ref="X52:X54" si="44">IFERROR(IF(AND(Q51="Probabilidad",Q52="Probabilidad"),(Z51-(+Z51*T52)),IF(AND(Q51="Impacto",Q52="Probabilidad"),(Z50-(+Z50*T52)),IF(Q52="Impacto",Z51,""))),"")</f>
        <v/>
      </c>
      <c r="Y52" s="111" t="str">
        <f t="shared" si="1"/>
        <v/>
      </c>
      <c r="Z52" s="112" t="str">
        <f t="shared" si="42"/>
        <v/>
      </c>
      <c r="AA52" s="111" t="str">
        <f t="shared" si="3"/>
        <v/>
      </c>
      <c r="AB52" s="112" t="str">
        <f t="shared" ref="AB52:AB54" si="45">IFERROR(IF(AND(Q51="Impacto",Q52="Impacto"),(AB51-(+AB51*T52)),IF(AND(Q51="Probabilidad",Q52="Impacto"),(AB50-(+AB50*T52)),IF(Q52="Probabilidad",AB51,""))),"")</f>
        <v/>
      </c>
      <c r="AC52" s="11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9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customHeight="1" x14ac:dyDescent="0.3">
      <c r="A53" s="356"/>
      <c r="B53" s="359"/>
      <c r="C53" s="359"/>
      <c r="D53" s="359"/>
      <c r="E53" s="371"/>
      <c r="F53" s="359"/>
      <c r="G53" s="368"/>
      <c r="H53" s="350"/>
      <c r="I53" s="347"/>
      <c r="J53" s="344"/>
      <c r="K53" s="347">
        <f>IF(NOT(ISERROR(MATCH(J53,_xlfn.ANCHORARRAY(E64),0))),I66&amp;"Por favor no seleccionar los criterios de impacto",J53)</f>
        <v>0</v>
      </c>
      <c r="L53" s="350"/>
      <c r="M53" s="347"/>
      <c r="N53" s="353"/>
      <c r="O53" s="106">
        <v>5</v>
      </c>
      <c r="P53" s="180"/>
      <c r="Q53" s="164" t="str">
        <f t="shared" si="40"/>
        <v/>
      </c>
      <c r="R53" s="108"/>
      <c r="S53" s="108"/>
      <c r="T53" s="109" t="str">
        <f t="shared" si="41"/>
        <v/>
      </c>
      <c r="U53" s="108"/>
      <c r="V53" s="108"/>
      <c r="W53" s="108"/>
      <c r="X53" s="110" t="str">
        <f t="shared" si="44"/>
        <v/>
      </c>
      <c r="Y53" s="111" t="str">
        <f t="shared" si="1"/>
        <v/>
      </c>
      <c r="Z53" s="112" t="str">
        <f t="shared" si="42"/>
        <v/>
      </c>
      <c r="AA53" s="111" t="str">
        <f t="shared" si="3"/>
        <v/>
      </c>
      <c r="AB53" s="112" t="str">
        <f t="shared" si="45"/>
        <v/>
      </c>
      <c r="AC53" s="113" t="str">
        <f t="shared" ref="AC53:AC54" si="46">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4"/>
      <c r="AE53" s="19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customHeight="1" x14ac:dyDescent="0.3">
      <c r="A54" s="357"/>
      <c r="B54" s="360"/>
      <c r="C54" s="360"/>
      <c r="D54" s="360"/>
      <c r="E54" s="372"/>
      <c r="F54" s="360"/>
      <c r="G54" s="369"/>
      <c r="H54" s="351"/>
      <c r="I54" s="348"/>
      <c r="J54" s="345"/>
      <c r="K54" s="348">
        <f>IF(NOT(ISERROR(MATCH(J54,_xlfn.ANCHORARRAY(E65),0))),I67&amp;"Por favor no seleccionar los criterios de impacto",J54)</f>
        <v>0</v>
      </c>
      <c r="L54" s="351"/>
      <c r="M54" s="348"/>
      <c r="N54" s="354"/>
      <c r="O54" s="106">
        <v>6</v>
      </c>
      <c r="P54" s="180"/>
      <c r="Q54" s="164" t="str">
        <f t="shared" si="40"/>
        <v/>
      </c>
      <c r="R54" s="108"/>
      <c r="S54" s="108"/>
      <c r="T54" s="109" t="str">
        <f t="shared" si="41"/>
        <v/>
      </c>
      <c r="U54" s="108"/>
      <c r="V54" s="108"/>
      <c r="W54" s="108"/>
      <c r="X54" s="110" t="str">
        <f t="shared" si="44"/>
        <v/>
      </c>
      <c r="Y54" s="111" t="str">
        <f t="shared" si="1"/>
        <v/>
      </c>
      <c r="Z54" s="112" t="str">
        <f t="shared" si="42"/>
        <v/>
      </c>
      <c r="AA54" s="111" t="str">
        <f t="shared" si="3"/>
        <v/>
      </c>
      <c r="AB54" s="112" t="str">
        <f t="shared" si="45"/>
        <v/>
      </c>
      <c r="AC54" s="113" t="str">
        <f t="shared" si="46"/>
        <v/>
      </c>
      <c r="AD54" s="114"/>
      <c r="AE54" s="195"/>
      <c r="AF54" s="116"/>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05" customHeight="1" x14ac:dyDescent="0.3">
      <c r="A55" s="355">
        <v>8</v>
      </c>
      <c r="B55" s="358" t="s">
        <v>230</v>
      </c>
      <c r="C55" s="358" t="s">
        <v>336</v>
      </c>
      <c r="D55" s="358" t="s">
        <v>337</v>
      </c>
      <c r="E55" s="370" t="s">
        <v>338</v>
      </c>
      <c r="F55" s="358" t="s">
        <v>236</v>
      </c>
      <c r="G55" s="367">
        <v>45</v>
      </c>
      <c r="H55" s="349" t="str">
        <f>IF(G55&lt;=0,"",IF(G55&lt;=2,"Muy Baja",IF(G55&lt;=24,"Baja",IF(G55&lt;=500,"Media",IF(G55&lt;=5000,"Alta","Muy Alta")))))</f>
        <v>Media</v>
      </c>
      <c r="I55" s="346">
        <f>IF(H55="","",IF(H55="Muy Baja",0.2,IF(H55="Baja",0.4,IF(H55="Media",0.6,IF(H55="Alta",0.8,IF(H55="Muy Alta",1,))))))</f>
        <v>0.6</v>
      </c>
      <c r="J55" s="343" t="s">
        <v>184</v>
      </c>
      <c r="K55" s="346" t="str">
        <f>IF(NOT(ISERROR(MATCH(J55,'Tabla Impacto'!$B$221:$B$223,0))),'Tabla Impacto'!$F$223&amp;"Por favor no seleccionar los criterios de impacto(Afectación Económica o presupuestal y Pérdida Reputacional)",J55)</f>
        <v xml:space="preserve">     El riesgo afecta la imagen de la entidad con algunos usuarios de relevancia frente al logro de los objetivos</v>
      </c>
      <c r="L55" s="349" t="str">
        <f>IF(OR(K55='Tabla Impacto'!$C$11,K55='Tabla Impacto'!$D$11),"Leve",IF(OR(K55='Tabla Impacto'!$C$12,K55='Tabla Impacto'!$D$12),"Menor",IF(OR(K55='Tabla Impacto'!$C$13,K55='Tabla Impacto'!$D$13),"Moderado",IF(OR(K55='Tabla Impacto'!$C$14,K55='Tabla Impacto'!$D$14),"Mayor",IF(OR(K55='Tabla Impacto'!$C$15,K55='Tabla Impacto'!$D$15),"Catastrófico","")))))</f>
        <v>Moderado</v>
      </c>
      <c r="M55" s="346">
        <f>IF(L55="","",IF(L55="Leve",0.2,IF(L55="Menor",0.4,IF(L55="Moderado",0.6,IF(L55="Mayor",0.8,IF(L55="Catastrófico",1,))))))</f>
        <v>0.6</v>
      </c>
      <c r="N55" s="352" t="str">
        <f>IF(OR(AND(H55="Muy Baja",L55="Leve"),AND(H55="Muy Baja",L55="Menor"),AND(H55="Baja",L55="Leve")),"Bajo",IF(OR(AND(H55="Muy baja",L55="Moderado"),AND(H55="Baja",L55="Menor"),AND(H55="Baja",L55="Moderado"),AND(H55="Media",L55="Leve"),AND(H55="Media",L55="Menor"),AND(H55="Media",L55="Moderado"),AND(H55="Alta",L55="Leve"),AND(H55="Alta",L55="Menor")),"Moderado",IF(OR(AND(H55="Muy Baja",L55="Mayor"),AND(H55="Baja",L55="Mayor"),AND(H55="Media",L55="Mayor"),AND(H55="Alta",L55="Moderado"),AND(H55="Alta",L55="Mayor"),AND(H55="Muy Alta",L55="Leve"),AND(H55="Muy Alta",L55="Menor"),AND(H55="Muy Alta",L55="Moderado"),AND(H55="Muy Alta",L55="Mayor")),"Alto",IF(OR(AND(H55="Muy Baja",L55="Catastrófico"),AND(H55="Baja",L55="Catastrófico"),AND(H55="Media",L55="Catastrófico"),AND(H55="Alta",L55="Catastrófico"),AND(H55="Muy Alta",L55="Catastrófico")),"Extremo",""))))</f>
        <v>Moderado</v>
      </c>
      <c r="O55" s="106">
        <v>1</v>
      </c>
      <c r="P55" s="180" t="s">
        <v>339</v>
      </c>
      <c r="Q55" s="164" t="str">
        <f t="shared" si="40"/>
        <v>Probabilidad</v>
      </c>
      <c r="R55" s="171" t="s">
        <v>200</v>
      </c>
      <c r="S55" s="171" t="s">
        <v>208</v>
      </c>
      <c r="T55" s="172" t="str">
        <f>IF(AND(R55="Preventivo",S55="Automático"),"50%",IF(AND(R55="Preventivo",S55="Manual"),"40%",IF(AND(R55="Detectivo",S55="Automático"),"40%",IF(AND(R55="Detectivo",S55="Manual"),"30%",IF(AND(R55="Correctivo",S55="Automático"),"35%",IF(AND(R55="Correctivo",S55="Manual"),"25%",""))))))</f>
        <v>40%</v>
      </c>
      <c r="U55" s="171" t="s">
        <v>211</v>
      </c>
      <c r="V55" s="171" t="s">
        <v>216</v>
      </c>
      <c r="W55" s="171" t="s">
        <v>220</v>
      </c>
      <c r="X55" s="161">
        <f>IFERROR(IF(Q55="Probabilidad",(I55-(+I55*T55)),IF(Q55="Impacto",I55,"")),"")</f>
        <v>0.36</v>
      </c>
      <c r="Y55" s="173" t="str">
        <f>IFERROR(IF(X55="","",IF(X55&lt;=0.2,"Muy Baja",IF(X55&lt;=0.4,"Baja",IF(X55&lt;=0.6,"Media",IF(X55&lt;=0.8,"Alta","Muy Alta"))))),"")</f>
        <v>Baja</v>
      </c>
      <c r="Z55" s="174">
        <f>+X55</f>
        <v>0.36</v>
      </c>
      <c r="AA55" s="173" t="str">
        <f>IFERROR(IF(AB55="","",IF(AB55&lt;=0.2,"Leve",IF(AB55&lt;=0.4,"Menor",IF(AB55&lt;=0.6,"Moderado",IF(AB55&lt;=0.8,"Mayor","Catastrófico"))))),"")</f>
        <v>Moderado</v>
      </c>
      <c r="AB55" s="174">
        <f>IFERROR(IF(Q55="Impacto",(M55-(+M55*T55)),IF(Q55="Probabilidad",M55,"")),"")</f>
        <v>0.6</v>
      </c>
      <c r="AC55" s="175"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Moderado</v>
      </c>
      <c r="AD55" s="176" t="s">
        <v>231</v>
      </c>
      <c r="AE55" s="180" t="s">
        <v>340</v>
      </c>
      <c r="AF55" s="177" t="s">
        <v>341</v>
      </c>
      <c r="AG55" s="178">
        <v>45001</v>
      </c>
      <c r="AH55" s="178">
        <v>45275</v>
      </c>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customHeight="1" x14ac:dyDescent="0.3">
      <c r="A56" s="356"/>
      <c r="B56" s="359"/>
      <c r="C56" s="359"/>
      <c r="D56" s="359"/>
      <c r="E56" s="371"/>
      <c r="F56" s="359"/>
      <c r="G56" s="368"/>
      <c r="H56" s="350"/>
      <c r="I56" s="347"/>
      <c r="J56" s="344"/>
      <c r="K56" s="347">
        <f>IF(NOT(ISERROR(MATCH(J56,_xlfn.ANCHORARRAY(E67),0))),I69&amp;"Por favor no seleccionar los criterios de impacto",J56)</f>
        <v>0</v>
      </c>
      <c r="L56" s="350"/>
      <c r="M56" s="347"/>
      <c r="N56" s="353"/>
      <c r="O56" s="106">
        <v>2</v>
      </c>
      <c r="P56" s="180"/>
      <c r="Q56" s="164" t="str">
        <f t="shared" si="40"/>
        <v/>
      </c>
      <c r="R56" s="108"/>
      <c r="S56" s="108"/>
      <c r="T56" s="109" t="str">
        <f t="shared" ref="T56:T60" si="47">IF(AND(R56="Preventivo",S56="Automático"),"50%",IF(AND(R56="Preventivo",S56="Manual"),"40%",IF(AND(R56="Detectivo",S56="Automático"),"40%",IF(AND(R56="Detectivo",S56="Manual"),"30%",IF(AND(R56="Correctivo",S56="Automático"),"35%",IF(AND(R56="Correctivo",S56="Manual"),"25%",""))))))</f>
        <v/>
      </c>
      <c r="U56" s="108"/>
      <c r="V56" s="108"/>
      <c r="W56" s="108"/>
      <c r="X56" s="110" t="str">
        <f>IFERROR(IF(AND(Q55="Probabilidad",Q56="Probabilidad"),(Z55-(+Z55*T56)),IF(Q56="Probabilidad",(I55-(+I55*T56)),IF(Q56="Impacto",Z55,""))),"")</f>
        <v/>
      </c>
      <c r="Y56" s="111" t="str">
        <f t="shared" si="1"/>
        <v/>
      </c>
      <c r="Z56" s="192" t="str">
        <f t="shared" ref="Z56:Z60" si="48">+X56</f>
        <v/>
      </c>
      <c r="AA56" s="111" t="str">
        <f t="shared" si="3"/>
        <v/>
      </c>
      <c r="AB56" s="112" t="str">
        <f>IFERROR(IF(AND(Q55="Impacto",Q56="Impacto"),(AB55-(+AB55*T56)),IF(Q56="Impacto",(M55-(+M55*T56)),IF(Q56="Probabilidad",AB55,""))),"")</f>
        <v/>
      </c>
      <c r="AC56" s="113" t="str">
        <f t="shared" ref="AC56:AC57" si="49">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14"/>
      <c r="AE56" s="19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customHeight="1" x14ac:dyDescent="0.3">
      <c r="A57" s="356"/>
      <c r="B57" s="359"/>
      <c r="C57" s="359"/>
      <c r="D57" s="359"/>
      <c r="E57" s="371"/>
      <c r="F57" s="359"/>
      <c r="G57" s="368"/>
      <c r="H57" s="350"/>
      <c r="I57" s="347"/>
      <c r="J57" s="344"/>
      <c r="K57" s="347">
        <f>IF(NOT(ISERROR(MATCH(J57,_xlfn.ANCHORARRAY(E68),0))),I70&amp;"Por favor no seleccionar los criterios de impacto",J57)</f>
        <v>0</v>
      </c>
      <c r="L57" s="350"/>
      <c r="M57" s="347"/>
      <c r="N57" s="353"/>
      <c r="O57" s="106">
        <v>3</v>
      </c>
      <c r="P57" s="181"/>
      <c r="Q57" s="164" t="str">
        <f t="shared" si="40"/>
        <v/>
      </c>
      <c r="R57" s="108"/>
      <c r="S57" s="108"/>
      <c r="T57" s="109" t="str">
        <f t="shared" si="47"/>
        <v/>
      </c>
      <c r="U57" s="108"/>
      <c r="V57" s="108"/>
      <c r="W57" s="108"/>
      <c r="X57" s="110" t="str">
        <f>IFERROR(IF(AND(Q56="Probabilidad",Q57="Probabilidad"),(Z56-(+Z56*T57)),IF(AND(Q56="Impacto",Q57="Probabilidad"),(Z55-(+Z55*T57)),IF(Q57="Impacto",Z56,""))),"")</f>
        <v/>
      </c>
      <c r="Y57" s="111" t="str">
        <f t="shared" si="1"/>
        <v/>
      </c>
      <c r="Z57" s="192" t="str">
        <f t="shared" si="48"/>
        <v/>
      </c>
      <c r="AA57" s="111" t="str">
        <f t="shared" si="3"/>
        <v/>
      </c>
      <c r="AB57" s="112" t="str">
        <f>IFERROR(IF(AND(Q56="Impacto",Q57="Impacto"),(AB56-(+AB56*T57)),IF(AND(Q56="Probabilidad",Q57="Impacto"),(AB55-(+AB55*T57)),IF(Q57="Probabilidad",AB56,""))),"")</f>
        <v/>
      </c>
      <c r="AC57" s="113" t="str">
        <f t="shared" si="49"/>
        <v/>
      </c>
      <c r="AD57" s="114"/>
      <c r="AE57" s="19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customHeight="1" x14ac:dyDescent="0.3">
      <c r="A58" s="356"/>
      <c r="B58" s="359"/>
      <c r="C58" s="359"/>
      <c r="D58" s="359"/>
      <c r="E58" s="371"/>
      <c r="F58" s="359"/>
      <c r="G58" s="368"/>
      <c r="H58" s="350"/>
      <c r="I58" s="347"/>
      <c r="J58" s="344"/>
      <c r="K58" s="347">
        <f>IF(NOT(ISERROR(MATCH(J58,_xlfn.ANCHORARRAY(E69),0))),I71&amp;"Por favor no seleccionar los criterios de impacto",J58)</f>
        <v>0</v>
      </c>
      <c r="L58" s="350"/>
      <c r="M58" s="347"/>
      <c r="N58" s="353"/>
      <c r="O58" s="106">
        <v>4</v>
      </c>
      <c r="P58" s="180"/>
      <c r="Q58" s="164" t="str">
        <f t="shared" si="40"/>
        <v/>
      </c>
      <c r="R58" s="108"/>
      <c r="S58" s="108"/>
      <c r="T58" s="109" t="str">
        <f t="shared" si="47"/>
        <v/>
      </c>
      <c r="U58" s="108"/>
      <c r="V58" s="108"/>
      <c r="W58" s="108"/>
      <c r="X58" s="110" t="str">
        <f t="shared" ref="X58:X60" si="50">IFERROR(IF(AND(Q57="Probabilidad",Q58="Probabilidad"),(Z57-(+Z57*T58)),IF(AND(Q57="Impacto",Q58="Probabilidad"),(Z56-(+Z56*T58)),IF(Q58="Impacto",Z57,""))),"")</f>
        <v/>
      </c>
      <c r="Y58" s="111" t="str">
        <f t="shared" si="1"/>
        <v/>
      </c>
      <c r="Z58" s="192" t="str">
        <f t="shared" si="48"/>
        <v/>
      </c>
      <c r="AA58" s="111" t="str">
        <f t="shared" si="3"/>
        <v/>
      </c>
      <c r="AB58" s="112" t="str">
        <f t="shared" ref="AB58:AB60" si="51">IFERROR(IF(AND(Q57="Impacto",Q58="Impacto"),(AB57-(+AB57*T58)),IF(AND(Q57="Probabilidad",Q58="Impacto"),(AB56-(+AB56*T58)),IF(Q58="Probabilidad",AB57,""))),"")</f>
        <v/>
      </c>
      <c r="AC58" s="11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9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customHeight="1" x14ac:dyDescent="0.3">
      <c r="A59" s="356"/>
      <c r="B59" s="359"/>
      <c r="C59" s="359"/>
      <c r="D59" s="359"/>
      <c r="E59" s="371"/>
      <c r="F59" s="359"/>
      <c r="G59" s="368"/>
      <c r="H59" s="350"/>
      <c r="I59" s="347"/>
      <c r="J59" s="344"/>
      <c r="K59" s="347">
        <f>IF(NOT(ISERROR(MATCH(J59,_xlfn.ANCHORARRAY(E70),0))),I72&amp;"Por favor no seleccionar los criterios de impacto",J59)</f>
        <v>0</v>
      </c>
      <c r="L59" s="350"/>
      <c r="M59" s="347"/>
      <c r="N59" s="353"/>
      <c r="O59" s="106">
        <v>5</v>
      </c>
      <c r="P59" s="180"/>
      <c r="Q59" s="164" t="str">
        <f t="shared" si="40"/>
        <v/>
      </c>
      <c r="R59" s="108"/>
      <c r="S59" s="108"/>
      <c r="T59" s="109" t="str">
        <f t="shared" si="47"/>
        <v/>
      </c>
      <c r="U59" s="108"/>
      <c r="V59" s="108"/>
      <c r="W59" s="108"/>
      <c r="X59" s="110" t="str">
        <f t="shared" si="50"/>
        <v/>
      </c>
      <c r="Y59" s="111" t="str">
        <f t="shared" si="1"/>
        <v/>
      </c>
      <c r="Z59" s="192" t="str">
        <f t="shared" si="48"/>
        <v/>
      </c>
      <c r="AA59" s="111" t="str">
        <f t="shared" si="3"/>
        <v/>
      </c>
      <c r="AB59" s="112" t="str">
        <f t="shared" si="51"/>
        <v/>
      </c>
      <c r="AC59" s="113" t="str">
        <f t="shared" ref="AC59:AC60" si="52">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4"/>
      <c r="AE59" s="19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customHeight="1" x14ac:dyDescent="0.3">
      <c r="A60" s="357"/>
      <c r="B60" s="360"/>
      <c r="C60" s="360"/>
      <c r="D60" s="360"/>
      <c r="E60" s="372"/>
      <c r="F60" s="360"/>
      <c r="G60" s="369"/>
      <c r="H60" s="351"/>
      <c r="I60" s="348"/>
      <c r="J60" s="345"/>
      <c r="K60" s="348">
        <f>IF(NOT(ISERROR(MATCH(J60,_xlfn.ANCHORARRAY(E71),0))),I91&amp;"Por favor no seleccionar los criterios de impacto",J60)</f>
        <v>0</v>
      </c>
      <c r="L60" s="351"/>
      <c r="M60" s="348"/>
      <c r="N60" s="354"/>
      <c r="O60" s="106">
        <v>6</v>
      </c>
      <c r="P60" s="180"/>
      <c r="Q60" s="164" t="str">
        <f t="shared" si="40"/>
        <v/>
      </c>
      <c r="R60" s="108"/>
      <c r="S60" s="108"/>
      <c r="T60" s="109" t="str">
        <f t="shared" si="47"/>
        <v/>
      </c>
      <c r="U60" s="108"/>
      <c r="V60" s="108"/>
      <c r="W60" s="108"/>
      <c r="X60" s="110" t="str">
        <f t="shared" si="50"/>
        <v/>
      </c>
      <c r="Y60" s="111" t="str">
        <f t="shared" si="1"/>
        <v/>
      </c>
      <c r="Z60" s="192" t="str">
        <f t="shared" si="48"/>
        <v/>
      </c>
      <c r="AA60" s="111" t="str">
        <f t="shared" si="3"/>
        <v/>
      </c>
      <c r="AB60" s="112" t="str">
        <f t="shared" si="51"/>
        <v/>
      </c>
      <c r="AC60" s="113" t="str">
        <f t="shared" si="52"/>
        <v/>
      </c>
      <c r="AD60" s="114"/>
      <c r="AE60" s="195"/>
      <c r="AF60" s="116"/>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21.5" customHeight="1" x14ac:dyDescent="0.3">
      <c r="A61" s="355">
        <v>9</v>
      </c>
      <c r="B61" s="358" t="s">
        <v>228</v>
      </c>
      <c r="C61" s="358" t="s">
        <v>342</v>
      </c>
      <c r="D61" s="358" t="s">
        <v>343</v>
      </c>
      <c r="E61" s="434" t="s">
        <v>347</v>
      </c>
      <c r="F61" s="358" t="s">
        <v>236</v>
      </c>
      <c r="G61" s="367">
        <v>360</v>
      </c>
      <c r="H61" s="349" t="str">
        <f>IF(G61&lt;=0,"",IF(G61&lt;=2,"Muy Baja",IF(G61&lt;=24,"Baja",IF(G61&lt;=500,"Media",IF(G61&lt;=5000,"Alta","Muy Alta")))))</f>
        <v>Media</v>
      </c>
      <c r="I61" s="346">
        <f>IF(H61="","",IF(H61="Muy Baja",0.2,IF(H61="Baja",0.4,IF(H61="Media",0.6,IF(H61="Alta",0.8,IF(H61="Muy Alta",1,))))))</f>
        <v>0.6</v>
      </c>
      <c r="J61" s="343" t="s">
        <v>184</v>
      </c>
      <c r="K61" s="346" t="str">
        <f>IF(NOT(ISERROR(MATCH(J61,'Tabla Impacto'!$B$221:$B$223,0))),'Tabla Impacto'!$F$223&amp;"Por favor no seleccionar los criterios de impacto(Afectación Económica o presupuestal y Pérdida Reputacional)",J61)</f>
        <v xml:space="preserve">     El riesgo afecta la imagen de la entidad con algunos usuarios de relevancia frente al logro de los objetivos</v>
      </c>
      <c r="L61" s="349" t="str">
        <f>IF(OR(K61='Tabla Impacto'!$C$11,K61='Tabla Impacto'!$D$11),"Leve",IF(OR(K61='Tabla Impacto'!$C$12,K61='Tabla Impacto'!$D$12),"Menor",IF(OR(K61='Tabla Impacto'!$C$13,K61='Tabla Impacto'!$D$13),"Moderado",IF(OR(K61='Tabla Impacto'!$C$14,K61='Tabla Impacto'!$D$14),"Mayor",IF(OR(K61='Tabla Impacto'!$C$15,K61='Tabla Impacto'!$D$15),"Catastrófico","")))))</f>
        <v>Moderado</v>
      </c>
      <c r="M61" s="346">
        <f>IF(L61="","",IF(L61="Leve",0.2,IF(L61="Menor",0.4,IF(L61="Moderado",0.6,IF(L61="Mayor",0.8,IF(L61="Catastrófico",1,))))))</f>
        <v>0.6</v>
      </c>
      <c r="N61" s="352" t="str">
        <f>IF(OR(AND(H61="Muy Baja",L61="Leve"),AND(H61="Muy Baja",L61="Menor"),AND(H61="Baja",L61="Leve")),"Bajo",IF(OR(AND(H61="Muy baja",L61="Moderado"),AND(H61="Baja",L61="Menor"),AND(H61="Baja",L61="Moderado"),AND(H61="Media",L61="Leve"),AND(H61="Media",L61="Menor"),AND(H61="Media",L61="Moderado"),AND(H61="Alta",L61="Leve"),AND(H61="Alta",L61="Menor")),"Moderado",IF(OR(AND(H61="Muy Baja",L61="Mayor"),AND(H61="Baja",L61="Mayor"),AND(H61="Media",L61="Mayor"),AND(H61="Alta",L61="Moderado"),AND(H61="Alta",L61="Mayor"),AND(H61="Muy Alta",L61="Leve"),AND(H61="Muy Alta",L61="Menor"),AND(H61="Muy Alta",L61="Moderado"),AND(H61="Muy Alta",L61="Mayor")),"Alto",IF(OR(AND(H61="Muy Baja",L61="Catastrófico"),AND(H61="Baja",L61="Catastrófico"),AND(H61="Media",L61="Catastrófico"),AND(H61="Alta",L61="Catastrófico"),AND(H61="Muy Alta",L61="Catastrófico")),"Extremo",""))))</f>
        <v>Moderado</v>
      </c>
      <c r="O61" s="106">
        <v>1</v>
      </c>
      <c r="P61" s="193" t="s">
        <v>346</v>
      </c>
      <c r="Q61" s="164" t="str">
        <f t="shared" si="40"/>
        <v>Probabilidad</v>
      </c>
      <c r="R61" s="171" t="s">
        <v>200</v>
      </c>
      <c r="S61" s="171" t="s">
        <v>208</v>
      </c>
      <c r="T61" s="172" t="str">
        <f>IF(AND(R61="Preventivo",S61="Automático"),"50%",IF(AND(R61="Preventivo",S61="Manual"),"40%",IF(AND(R61="Detectivo",S61="Automático"),"40%",IF(AND(R61="Detectivo",S61="Manual"),"30%",IF(AND(R61="Correctivo",S61="Automático"),"35%",IF(AND(R61="Correctivo",S61="Manual"),"25%",""))))))</f>
        <v>40%</v>
      </c>
      <c r="U61" s="171" t="s">
        <v>211</v>
      </c>
      <c r="V61" s="171" t="s">
        <v>216</v>
      </c>
      <c r="W61" s="171" t="s">
        <v>220</v>
      </c>
      <c r="X61" s="161">
        <f>IFERROR(IF(Q61="Probabilidad",(I61-(+I61*T61)),IF(Q61="Impacto",I61,"")),"")</f>
        <v>0.36</v>
      </c>
      <c r="Y61" s="173" t="str">
        <f>IFERROR(IF(X61="","",IF(X61&lt;=0.2,"Muy Baja",IF(X61&lt;=0.4,"Baja",IF(X61&lt;=0.6,"Media",IF(X61&lt;=0.8,"Alta","Muy Alta"))))),"")</f>
        <v>Baja</v>
      </c>
      <c r="Z61" s="192">
        <f>+X61</f>
        <v>0.36</v>
      </c>
      <c r="AA61" s="173" t="str">
        <f>IFERROR(IF(AB61="","",IF(AB61&lt;=0.2,"Leve",IF(AB61&lt;=0.4,"Menor",IF(AB61&lt;=0.6,"Moderado",IF(AB61&lt;=0.8,"Mayor","Catastrófico"))))),"")</f>
        <v>Moderado</v>
      </c>
      <c r="AB61" s="174">
        <f>IFERROR(IF(Q61="Impacto",(M61-(+M61*T61)),IF(Q61="Probabilidad",M61,"")),"")</f>
        <v>0.6</v>
      </c>
      <c r="AC61" s="175"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Moderado</v>
      </c>
      <c r="AD61" s="176" t="s">
        <v>231</v>
      </c>
      <c r="AE61" s="193" t="s">
        <v>345</v>
      </c>
      <c r="AF61" s="194" t="s">
        <v>335</v>
      </c>
      <c r="AG61" s="196">
        <v>44986</v>
      </c>
      <c r="AH61" s="197">
        <v>45016</v>
      </c>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77.25" customHeight="1" x14ac:dyDescent="0.3">
      <c r="A62" s="356"/>
      <c r="B62" s="359"/>
      <c r="C62" s="359"/>
      <c r="D62" s="359"/>
      <c r="E62" s="435"/>
      <c r="F62" s="359"/>
      <c r="G62" s="368"/>
      <c r="H62" s="350"/>
      <c r="I62" s="347"/>
      <c r="J62" s="344"/>
      <c r="K62" s="347">
        <f>IF(NOT(ISERROR(MATCH(J62,_xlfn.ANCHORARRAY(E91),0))),I93&amp;"Por favor no seleccionar los criterios de impacto",J62)</f>
        <v>0</v>
      </c>
      <c r="L62" s="350"/>
      <c r="M62" s="347"/>
      <c r="N62" s="353"/>
      <c r="O62" s="106">
        <v>2</v>
      </c>
      <c r="P62" s="193" t="s">
        <v>348</v>
      </c>
      <c r="Q62" s="164" t="str">
        <f t="shared" si="40"/>
        <v>Probabilidad</v>
      </c>
      <c r="R62" s="171" t="s">
        <v>200</v>
      </c>
      <c r="S62" s="171" t="s">
        <v>208</v>
      </c>
      <c r="T62" s="172" t="str">
        <f t="shared" ref="T62:T67" si="53">IF(AND(R62="Preventivo",S62="Automático"),"50%",IF(AND(R62="Preventivo",S62="Manual"),"40%",IF(AND(R62="Detectivo",S62="Automático"),"40%",IF(AND(R62="Detectivo",S62="Manual"),"30%",IF(AND(R62="Correctivo",S62="Automático"),"35%",IF(AND(R62="Correctivo",S62="Manual"),"25%",""))))))</f>
        <v>40%</v>
      </c>
      <c r="U62" s="171" t="s">
        <v>211</v>
      </c>
      <c r="V62" s="171" t="s">
        <v>216</v>
      </c>
      <c r="W62" s="171" t="s">
        <v>220</v>
      </c>
      <c r="X62" s="161">
        <f>IFERROR(IF(AND(Q61="Probabilidad",Q62="Probabilidad"),(Z61-(+Z61*T62)),IF(Q62="Probabilidad",(I61-(+I61*T62)),IF(Q62="Impacto",Z61,""))),"")</f>
        <v>0.216</v>
      </c>
      <c r="Y62" s="173" t="str">
        <f>IFERROR(IF(X62="","",IF(X62&lt;=0.2,"Muy Baja",IF(X62&lt;=0.4,"Baja",IF(X62&lt;=0.6,"Media",IF(X62&lt;=0.8,"Alta","Muy Alta"))))),"")</f>
        <v>Baja</v>
      </c>
      <c r="Z62" s="192">
        <f>+X62</f>
        <v>0.216</v>
      </c>
      <c r="AA62" s="173" t="str">
        <f t="shared" ref="AA62" si="54">IFERROR(IF(AB62="","",IF(AB62&lt;=0.2,"Leve",IF(AB62&lt;=0.4,"Menor",IF(AB62&lt;=0.6,"Moderado",IF(AB62&lt;=0.8,"Mayor","Catastrófico"))))),"")</f>
        <v>Moderado</v>
      </c>
      <c r="AB62" s="192">
        <f>IFERROR(IF(AND(Q61="Impacto",Q62="Impacto"),(AB61-(+AB61*T62)),IF(Q62="Impacto",(M61-(+M61*T62)),IF(Q62="Probabilidad",AB61,""))),"")</f>
        <v>0.6</v>
      </c>
      <c r="AC62" s="175" t="str">
        <f t="shared" ref="AC62" si="55">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Moderado</v>
      </c>
      <c r="AD62" s="191" t="s">
        <v>231</v>
      </c>
      <c r="AE62" s="193" t="s">
        <v>349</v>
      </c>
      <c r="AF62" s="194" t="s">
        <v>335</v>
      </c>
      <c r="AG62" s="197">
        <v>45001</v>
      </c>
      <c r="AH62" s="197">
        <v>45275</v>
      </c>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9.5" customHeight="1" x14ac:dyDescent="0.3">
      <c r="A63" s="356"/>
      <c r="B63" s="359"/>
      <c r="C63" s="359"/>
      <c r="D63" s="359"/>
      <c r="E63" s="435"/>
      <c r="F63" s="359"/>
      <c r="G63" s="368"/>
      <c r="H63" s="350"/>
      <c r="I63" s="347"/>
      <c r="J63" s="344"/>
      <c r="K63" s="347">
        <f>IF(NOT(ISERROR(MATCH(J63,_xlfn.ANCHORARRAY(E92),0))),I94&amp;"Por favor no seleccionar los criterios de impacto",J63)</f>
        <v>0</v>
      </c>
      <c r="L63" s="350"/>
      <c r="M63" s="347"/>
      <c r="N63" s="353"/>
      <c r="O63" s="106">
        <v>3</v>
      </c>
      <c r="P63" s="193"/>
      <c r="Q63" s="164"/>
      <c r="R63" s="171"/>
      <c r="S63" s="171"/>
      <c r="T63" s="172"/>
      <c r="U63" s="171"/>
      <c r="V63" s="171"/>
      <c r="W63" s="171"/>
      <c r="X63" s="110"/>
      <c r="Y63" s="173"/>
      <c r="Z63" s="192"/>
      <c r="AA63" s="173"/>
      <c r="AB63" s="192"/>
      <c r="AC63" s="175"/>
      <c r="AD63" s="191"/>
      <c r="AE63" s="193"/>
      <c r="AF63" s="170"/>
      <c r="AG63" s="170"/>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7.25" customHeight="1" x14ac:dyDescent="0.3">
      <c r="A64" s="356"/>
      <c r="B64" s="359"/>
      <c r="C64" s="359"/>
      <c r="D64" s="359"/>
      <c r="E64" s="435"/>
      <c r="F64" s="359"/>
      <c r="G64" s="368"/>
      <c r="H64" s="350"/>
      <c r="I64" s="347"/>
      <c r="J64" s="344"/>
      <c r="K64" s="347">
        <f>IF(NOT(ISERROR(MATCH(J64,_xlfn.ANCHORARRAY(E93),0))),I95&amp;"Por favor no seleccionar los criterios de impacto",J64)</f>
        <v>0</v>
      </c>
      <c r="L64" s="350"/>
      <c r="M64" s="347"/>
      <c r="N64" s="353"/>
      <c r="O64" s="106">
        <v>4</v>
      </c>
      <c r="P64" s="193"/>
      <c r="Q64" s="107"/>
      <c r="R64" s="171"/>
      <c r="S64" s="171"/>
      <c r="T64" s="172"/>
      <c r="U64" s="171"/>
      <c r="V64" s="171"/>
      <c r="W64" s="171"/>
      <c r="X64" s="110"/>
      <c r="Y64" s="111"/>
      <c r="Z64" s="112"/>
      <c r="AA64" s="111"/>
      <c r="AB64" s="112"/>
      <c r="AC64" s="11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93"/>
      <c r="AF64" s="170"/>
      <c r="AG64" s="170"/>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customHeight="1" x14ac:dyDescent="0.3">
      <c r="A65" s="356"/>
      <c r="B65" s="359"/>
      <c r="C65" s="359"/>
      <c r="D65" s="359"/>
      <c r="E65" s="435"/>
      <c r="F65" s="359"/>
      <c r="G65" s="368"/>
      <c r="H65" s="350"/>
      <c r="I65" s="347"/>
      <c r="J65" s="344"/>
      <c r="K65" s="347">
        <f>IF(NOT(ISERROR(MATCH(J65,_xlfn.ANCHORARRAY(E94),0))),I96&amp;"Por favor no seleccionar los criterios de impacto",J65)</f>
        <v>0</v>
      </c>
      <c r="L65" s="350"/>
      <c r="M65" s="347"/>
      <c r="N65" s="353"/>
      <c r="O65" s="106">
        <v>5</v>
      </c>
      <c r="P65" s="180"/>
      <c r="Q65" s="107"/>
      <c r="R65" s="171"/>
      <c r="S65" s="171"/>
      <c r="T65" s="172"/>
      <c r="U65" s="171"/>
      <c r="V65" s="171"/>
      <c r="W65" s="171"/>
      <c r="X65" s="110"/>
      <c r="Y65" s="111"/>
      <c r="Z65" s="112"/>
      <c r="AA65" s="111"/>
      <c r="AB65" s="112"/>
      <c r="AC65" s="113" t="str">
        <f t="shared" ref="AC65:AC66" si="5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4"/>
      <c r="AE65" s="19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customHeight="1" x14ac:dyDescent="0.3">
      <c r="A66" s="357"/>
      <c r="B66" s="360"/>
      <c r="C66" s="360"/>
      <c r="D66" s="360"/>
      <c r="E66" s="436"/>
      <c r="F66" s="360"/>
      <c r="G66" s="369"/>
      <c r="H66" s="351"/>
      <c r="I66" s="348"/>
      <c r="J66" s="345"/>
      <c r="K66" s="348">
        <f>IF(NOT(ISERROR(MATCH(J66,_xlfn.ANCHORARRAY(E95),0))),I97&amp;"Por favor no seleccionar los criterios de impacto",J66)</f>
        <v>0</v>
      </c>
      <c r="L66" s="351"/>
      <c r="M66" s="348"/>
      <c r="N66" s="354"/>
      <c r="O66" s="106">
        <v>6</v>
      </c>
      <c r="P66" s="180"/>
      <c r="Q66" s="107"/>
      <c r="R66" s="171"/>
      <c r="S66" s="171"/>
      <c r="T66" s="172"/>
      <c r="U66" s="171"/>
      <c r="V66" s="171"/>
      <c r="W66" s="171"/>
      <c r="X66" s="110"/>
      <c r="Y66" s="111"/>
      <c r="Z66" s="112"/>
      <c r="AA66" s="111"/>
      <c r="AB66" s="112"/>
      <c r="AC66" s="113" t="str">
        <f t="shared" si="56"/>
        <v/>
      </c>
      <c r="AD66" s="114"/>
      <c r="AE66" s="19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85.5" hidden="1" customHeight="1" x14ac:dyDescent="0.3">
      <c r="A67" s="355"/>
      <c r="B67" s="358"/>
      <c r="C67" s="358"/>
      <c r="D67" s="358"/>
      <c r="E67" s="434"/>
      <c r="F67" s="358"/>
      <c r="G67" s="364"/>
      <c r="H67" s="349"/>
      <c r="I67" s="346"/>
      <c r="J67" s="343"/>
      <c r="K67" s="346"/>
      <c r="L67" s="349"/>
      <c r="M67" s="346"/>
      <c r="N67" s="352"/>
      <c r="O67" s="106"/>
      <c r="P67" s="180"/>
      <c r="Q67" s="164"/>
      <c r="R67" s="171"/>
      <c r="S67" s="171"/>
      <c r="T67" s="172"/>
      <c r="U67" s="171"/>
      <c r="V67" s="171"/>
      <c r="W67" s="171"/>
      <c r="X67" s="161"/>
      <c r="Y67" s="173"/>
      <c r="Z67" s="174"/>
      <c r="AA67" s="173"/>
      <c r="AB67" s="174"/>
      <c r="AC67" s="175"/>
      <c r="AD67" s="176"/>
      <c r="AE67" s="193"/>
      <c r="AF67" s="177"/>
      <c r="AG67" s="170"/>
      <c r="AH67" s="170"/>
      <c r="AI67" s="117"/>
      <c r="AJ67" s="115"/>
      <c r="AK67" s="116"/>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hidden="1" customHeight="1" x14ac:dyDescent="0.3">
      <c r="A68" s="356"/>
      <c r="B68" s="359"/>
      <c r="C68" s="359"/>
      <c r="D68" s="359"/>
      <c r="E68" s="435"/>
      <c r="F68" s="359"/>
      <c r="G68" s="365"/>
      <c r="H68" s="350"/>
      <c r="I68" s="347"/>
      <c r="J68" s="344"/>
      <c r="K68" s="347"/>
      <c r="L68" s="350"/>
      <c r="M68" s="347"/>
      <c r="N68" s="353"/>
      <c r="O68" s="106"/>
      <c r="P68" s="180"/>
      <c r="Q68" s="107"/>
      <c r="R68" s="108"/>
      <c r="S68" s="108"/>
      <c r="T68" s="109"/>
      <c r="U68" s="108"/>
      <c r="V68" s="108"/>
      <c r="W68" s="108"/>
      <c r="X68" s="110"/>
      <c r="Y68" s="111"/>
      <c r="Z68" s="112"/>
      <c r="AA68" s="111"/>
      <c r="AB68" s="112"/>
      <c r="AC68" s="113"/>
      <c r="AD68" s="114"/>
      <c r="AE68" s="195"/>
      <c r="AF68" s="116"/>
      <c r="AG68" s="117"/>
      <c r="AH68" s="117"/>
      <c r="AI68" s="117"/>
      <c r="AJ68" s="115"/>
      <c r="AK68" s="116"/>
    </row>
    <row r="69" spans="1:69" ht="18" hidden="1" customHeight="1" x14ac:dyDescent="0.3">
      <c r="A69" s="356"/>
      <c r="B69" s="359"/>
      <c r="C69" s="359"/>
      <c r="D69" s="359"/>
      <c r="E69" s="435"/>
      <c r="F69" s="359"/>
      <c r="G69" s="365"/>
      <c r="H69" s="350"/>
      <c r="I69" s="347"/>
      <c r="J69" s="344"/>
      <c r="K69" s="347"/>
      <c r="L69" s="350"/>
      <c r="M69" s="347"/>
      <c r="N69" s="353"/>
      <c r="O69" s="106"/>
      <c r="P69" s="181"/>
      <c r="Q69" s="107"/>
      <c r="R69" s="108"/>
      <c r="S69" s="108"/>
      <c r="T69" s="109"/>
      <c r="U69" s="108"/>
      <c r="V69" s="108"/>
      <c r="W69" s="108"/>
      <c r="X69" s="110"/>
      <c r="Y69" s="111"/>
      <c r="Z69" s="112"/>
      <c r="AA69" s="111"/>
      <c r="AB69" s="112"/>
      <c r="AC69" s="113"/>
      <c r="AD69" s="114"/>
      <c r="AE69" s="195"/>
      <c r="AF69" s="116"/>
      <c r="AG69" s="117"/>
      <c r="AH69" s="117"/>
      <c r="AI69" s="117"/>
      <c r="AJ69" s="115"/>
      <c r="AK69" s="116"/>
    </row>
    <row r="70" spans="1:69" ht="18" hidden="1" customHeight="1" x14ac:dyDescent="0.3">
      <c r="A70" s="356"/>
      <c r="B70" s="359"/>
      <c r="C70" s="359"/>
      <c r="D70" s="359"/>
      <c r="E70" s="435"/>
      <c r="F70" s="359"/>
      <c r="G70" s="365"/>
      <c r="H70" s="350"/>
      <c r="I70" s="347"/>
      <c r="J70" s="344"/>
      <c r="K70" s="347"/>
      <c r="L70" s="350"/>
      <c r="M70" s="347"/>
      <c r="N70" s="353"/>
      <c r="O70" s="106"/>
      <c r="P70" s="180"/>
      <c r="Q70" s="107"/>
      <c r="R70" s="108"/>
      <c r="S70" s="108"/>
      <c r="T70" s="109"/>
      <c r="U70" s="108"/>
      <c r="V70" s="108"/>
      <c r="W70" s="108"/>
      <c r="X70" s="110"/>
      <c r="Y70" s="111"/>
      <c r="Z70" s="112"/>
      <c r="AA70" s="111"/>
      <c r="AB70" s="112"/>
      <c r="AC70" s="113"/>
      <c r="AD70" s="114"/>
      <c r="AE70" s="195"/>
      <c r="AF70" s="116"/>
      <c r="AG70" s="117"/>
      <c r="AH70" s="117"/>
      <c r="AI70" s="117"/>
      <c r="AJ70" s="115"/>
      <c r="AK70" s="116"/>
    </row>
    <row r="71" spans="1:69" ht="18" hidden="1" customHeight="1" x14ac:dyDescent="0.3">
      <c r="A71" s="356"/>
      <c r="B71" s="359"/>
      <c r="C71" s="359"/>
      <c r="D71" s="359"/>
      <c r="E71" s="435"/>
      <c r="F71" s="359"/>
      <c r="G71" s="365"/>
      <c r="H71" s="350"/>
      <c r="I71" s="347"/>
      <c r="J71" s="344"/>
      <c r="K71" s="347"/>
      <c r="L71" s="350"/>
      <c r="M71" s="347"/>
      <c r="N71" s="353"/>
      <c r="O71" s="106"/>
      <c r="P71" s="180"/>
      <c r="Q71" s="107"/>
      <c r="R71" s="108"/>
      <c r="S71" s="108"/>
      <c r="T71" s="109"/>
      <c r="U71" s="108"/>
      <c r="V71" s="108"/>
      <c r="W71" s="108"/>
      <c r="X71" s="110"/>
      <c r="Y71" s="111"/>
      <c r="Z71" s="112"/>
      <c r="AA71" s="111"/>
      <c r="AB71" s="112"/>
      <c r="AC71" s="113"/>
      <c r="AD71" s="114"/>
      <c r="AE71" s="195"/>
      <c r="AF71" s="116"/>
      <c r="AG71" s="117"/>
      <c r="AH71" s="117"/>
      <c r="AI71" s="117"/>
      <c r="AJ71" s="115"/>
      <c r="AK71" s="116"/>
    </row>
    <row r="72" spans="1:69" ht="18" hidden="1" customHeight="1" x14ac:dyDescent="0.3">
      <c r="A72" s="357"/>
      <c r="B72" s="360"/>
      <c r="C72" s="360"/>
      <c r="D72" s="360"/>
      <c r="E72" s="436"/>
      <c r="F72" s="360"/>
      <c r="G72" s="366"/>
      <c r="H72" s="351"/>
      <c r="I72" s="348"/>
      <c r="J72" s="345"/>
      <c r="K72" s="348"/>
      <c r="L72" s="351"/>
      <c r="M72" s="348"/>
      <c r="N72" s="354"/>
      <c r="O72" s="106"/>
      <c r="P72" s="180"/>
      <c r="Q72" s="107"/>
      <c r="R72" s="108"/>
      <c r="S72" s="108"/>
      <c r="T72" s="109"/>
      <c r="U72" s="108"/>
      <c r="V72" s="108"/>
      <c r="W72" s="108"/>
      <c r="X72" s="110"/>
      <c r="Y72" s="111"/>
      <c r="Z72" s="112"/>
      <c r="AA72" s="111"/>
      <c r="AB72" s="112"/>
      <c r="AC72" s="113"/>
      <c r="AD72" s="114"/>
      <c r="AE72" s="195"/>
      <c r="AF72" s="116"/>
      <c r="AG72" s="117"/>
      <c r="AH72" s="117"/>
      <c r="AI72" s="117"/>
      <c r="AJ72" s="115"/>
      <c r="AK72" s="116"/>
    </row>
    <row r="73" spans="1:69" ht="85.5" customHeight="1" x14ac:dyDescent="0.3">
      <c r="A73" s="355">
        <v>11</v>
      </c>
      <c r="B73" s="358" t="s">
        <v>230</v>
      </c>
      <c r="C73" s="358" t="s">
        <v>355</v>
      </c>
      <c r="D73" s="358" t="s">
        <v>354</v>
      </c>
      <c r="E73" s="361" t="s">
        <v>369</v>
      </c>
      <c r="F73" s="358" t="s">
        <v>236</v>
      </c>
      <c r="G73" s="364">
        <v>150</v>
      </c>
      <c r="H73" s="349" t="str">
        <f>IF(G73&lt;=0,"",IF(G73&lt;=2,"Muy Baja",IF(G73&lt;=24,"Baja",IF(G73&lt;=500,"Media",IF(G73&lt;=5000,"Alta","Muy Alta")))))</f>
        <v>Media</v>
      </c>
      <c r="I73" s="346">
        <f>IF(H73="","",IF(H73="Muy Baja",0.2,IF(H73="Baja",0.4,IF(H73="Media",0.6,IF(H73="Alta",0.8,IF(H73="Muy Alta",1,))))))</f>
        <v>0.6</v>
      </c>
      <c r="J73" s="343" t="s">
        <v>184</v>
      </c>
      <c r="K73" s="346" t="str">
        <f>IF(NOT(ISERROR(MATCH(J73,'Tabla Impacto'!$B$221:$B$223,0))),'Tabla Impacto'!$F$223&amp;"Por favor no seleccionar los criterios de impacto(Afectación Económica o presupuestal y Pérdida Reputacional)",J73)</f>
        <v xml:space="preserve">     El riesgo afecta la imagen de la entidad con algunos usuarios de relevancia frente al logro de los objetivos</v>
      </c>
      <c r="L73" s="349" t="str">
        <f>IF(OR(K73='Tabla Impacto'!$C$11,K73='Tabla Impacto'!$D$11),"Leve",IF(OR(K73='Tabla Impacto'!$C$12,K73='Tabla Impacto'!$D$12),"Menor",IF(OR(K73='Tabla Impacto'!$C$13,K73='Tabla Impacto'!$D$13),"Moderado",IF(OR(K73='Tabla Impacto'!$C$14,K73='Tabla Impacto'!$D$14),"Mayor",IF(OR(K73='Tabla Impacto'!$C$15,K73='Tabla Impacto'!$D$15),"Catastrófico","")))))</f>
        <v>Moderado</v>
      </c>
      <c r="M73" s="346">
        <f>IF(L73="","",IF(L73="Leve",0.2,IF(L73="Menor",0.4,IF(L73="Moderado",0.6,IF(L73="Mayor",0.8,IF(L73="Catastrófico",1,))))))</f>
        <v>0.6</v>
      </c>
      <c r="N73" s="352" t="str">
        <f>IF(OR(AND(H73="Muy Baja",L73="Leve"),AND(H73="Muy Baja",L73="Menor"),AND(H73="Baja",L73="Leve")),"Bajo",IF(OR(AND(H73="Muy baja",L73="Moderado"),AND(H73="Baja",L73="Menor"),AND(H73="Baja",L73="Moderado"),AND(H73="Media",L73="Leve"),AND(H73="Media",L73="Menor"),AND(H73="Media",L73="Moderado"),AND(H73="Alta",L73="Leve"),AND(H73="Alta",L73="Menor")),"Moderado",IF(OR(AND(H73="Muy Baja",L73="Mayor"),AND(H73="Baja",L73="Mayor"),AND(H73="Media",L73="Mayor"),AND(H73="Alta",L73="Moderado"),AND(H73="Alta",L73="Mayor"),AND(H73="Muy Alta",L73="Leve"),AND(H73="Muy Alta",L73="Menor"),AND(H73="Muy Alta",L73="Moderado"),AND(H73="Muy Alta",L73="Mayor")),"Alto",IF(OR(AND(H73="Muy Baja",L73="Catastrófico"),AND(H73="Baja",L73="Catastrófico"),AND(H73="Media",L73="Catastrófico"),AND(H73="Alta",L73="Catastrófico"),AND(H73="Muy Alta",L73="Catastrófico")),"Extremo",""))))</f>
        <v>Moderado</v>
      </c>
      <c r="O73" s="106">
        <v>1</v>
      </c>
      <c r="P73" s="180" t="s">
        <v>356</v>
      </c>
      <c r="Q73" s="164" t="str">
        <f t="shared" ref="Q70:Q73" si="57">IF(OR(R73="Preventivo",R73="Detectivo"),"Probabilidad",IF(R73="Correctivo","Impacto",""))</f>
        <v>Probabilidad</v>
      </c>
      <c r="R73" s="171" t="s">
        <v>200</v>
      </c>
      <c r="S73" s="171" t="s">
        <v>208</v>
      </c>
      <c r="T73" s="172" t="str">
        <f t="shared" ref="T68:T73" si="58">IF(AND(R73="Preventivo",S73="Automático"),"50%",IF(AND(R73="Preventivo",S73="Manual"),"40%",IF(AND(R73="Detectivo",S73="Automático"),"40%",IF(AND(R73="Detectivo",S73="Manual"),"30%",IF(AND(R73="Correctivo",S73="Automático"),"35%",IF(AND(R73="Correctivo",S73="Manual"),"25%",""))))))</f>
        <v>40%</v>
      </c>
      <c r="U73" s="171" t="s">
        <v>211</v>
      </c>
      <c r="V73" s="171" t="s">
        <v>216</v>
      </c>
      <c r="W73" s="171" t="s">
        <v>220</v>
      </c>
      <c r="X73" s="161">
        <f>IFERROR(IF(Q73="Probabilidad",(I73-(+I73*T73)),IF(Q73="Impacto",I73,"")),"")</f>
        <v>0.36</v>
      </c>
      <c r="Y73" s="173" t="str">
        <f>IFERROR(IF(X73="","",IF(X73&lt;=0.2,"Muy Baja",IF(X73&lt;=0.4,"Baja",IF(X73&lt;=0.6,"Media",IF(X73&lt;=0.8,"Alta","Muy Alta"))))),"")</f>
        <v>Baja</v>
      </c>
      <c r="Z73" s="199">
        <f>+X73</f>
        <v>0.36</v>
      </c>
      <c r="AA73" s="173" t="str">
        <f>IFERROR(IF(AB73="","",IF(AB73&lt;=0.2,"Leve",IF(AB73&lt;=0.4,"Menor",IF(AB73&lt;=0.6,"Moderado",IF(AB73&lt;=0.8,"Mayor","Catastrófico"))))),"")</f>
        <v>Moderado</v>
      </c>
      <c r="AB73" s="199">
        <f>IFERROR(IF(Q73="Impacto",(M73-(+M73*T73)),IF(Q73="Probabilidad",M73,"")),"")</f>
        <v>0.6</v>
      </c>
      <c r="AC73" s="175" t="str">
        <f>IFERROR(IF(OR(AND(Y73="Muy Baja",AA73="Leve"),AND(Y73="Muy Baja",AA73="Menor"),AND(Y73="Baja",AA73="Leve")),"Bajo",IF(OR(AND(Y73="Muy baja",AA73="Moderado"),AND(Y73="Baja",AA73="Menor"),AND(Y73="Baja",AA73="Moderado"),AND(Y73="Media",AA73="Leve"),AND(Y73="Media",AA73="Menor"),AND(Y73="Media",AA73="Moderado"),AND(Y73="Alta",AA73="Leve"),AND(Y73="Alta",AA73="Menor")),"Moderado",IF(OR(AND(Y73="Muy Baja",AA73="Mayor"),AND(Y73="Baja",AA73="Mayor"),AND(Y73="Media",AA73="Mayor"),AND(Y73="Alta",AA73="Moderado"),AND(Y73="Alta",AA73="Mayor"),AND(Y73="Muy Alta",AA73="Leve"),AND(Y73="Muy Alta",AA73="Menor"),AND(Y73="Muy Alta",AA73="Moderado"),AND(Y73="Muy Alta",AA73="Mayor")),"Alto",IF(OR(AND(Y73="Muy Baja",AA73="Catastrófico"),AND(Y73="Baja",AA73="Catastrófico"),AND(Y73="Media",AA73="Catastrófico"),AND(Y73="Alta",AA73="Catastrófico"),AND(Y73="Muy Alta",AA73="Catastrófico")),"Extremo","")))),"")</f>
        <v>Moderado</v>
      </c>
      <c r="AD73" s="200" t="s">
        <v>231</v>
      </c>
      <c r="AE73" s="193" t="s">
        <v>357</v>
      </c>
      <c r="AF73" s="177" t="s">
        <v>353</v>
      </c>
      <c r="AG73" s="170">
        <v>45137</v>
      </c>
      <c r="AH73" s="170">
        <v>45260</v>
      </c>
      <c r="AI73" s="117"/>
      <c r="AJ73" s="115"/>
      <c r="AK73" s="116"/>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row>
    <row r="74" spans="1:69" ht="18" customHeight="1" x14ac:dyDescent="0.3">
      <c r="A74" s="356"/>
      <c r="B74" s="359"/>
      <c r="C74" s="359"/>
      <c r="D74" s="359"/>
      <c r="E74" s="362"/>
      <c r="F74" s="359"/>
      <c r="G74" s="365"/>
      <c r="H74" s="350"/>
      <c r="I74" s="347"/>
      <c r="J74" s="344"/>
      <c r="K74" s="347">
        <f>IF(NOT(ISERROR(MATCH(J74,_xlfn.ANCHORARRAY(E103),0))),I105&amp;"Por favor no seleccionar los criterios de impacto",J74)</f>
        <v>0</v>
      </c>
      <c r="L74" s="350"/>
      <c r="M74" s="347"/>
      <c r="N74" s="353"/>
      <c r="O74" s="106">
        <v>2</v>
      </c>
      <c r="P74" s="180"/>
      <c r="Q74" s="107" t="str">
        <f>IF(OR(R74="Preventivo",R74="Detectivo"),"Probabilidad",IF(R74="Correctivo","Impacto",""))</f>
        <v/>
      </c>
      <c r="R74" s="108"/>
      <c r="S74" s="108"/>
      <c r="T74" s="109" t="str">
        <f t="shared" ref="T74:T79" si="59">IF(AND(R74="Preventivo",S74="Automático"),"50%",IF(AND(R74="Preventivo",S74="Manual"),"40%",IF(AND(R74="Detectivo",S74="Automático"),"40%",IF(AND(R74="Detectivo",S74="Manual"),"30%",IF(AND(R74="Correctivo",S74="Automático"),"35%",IF(AND(R74="Correctivo",S74="Manual"),"25%",""))))))</f>
        <v/>
      </c>
      <c r="U74" s="108"/>
      <c r="V74" s="108"/>
      <c r="W74" s="108"/>
      <c r="X74" s="110" t="str">
        <f>IFERROR(IF(AND(Q73="Probabilidad",Q74="Probabilidad"),(Z73-(+Z73*T74)),IF(Q74="Probabilidad",(I73-(+I73*T74)),IF(Q74="Impacto",Z73,""))),"")</f>
        <v/>
      </c>
      <c r="Y74" s="111" t="str">
        <f t="shared" ref="Y74:Y78" si="60">IFERROR(IF(X74="","",IF(X74&lt;=0.2,"Muy Baja",IF(X74&lt;=0.4,"Baja",IF(X74&lt;=0.6,"Media",IF(X74&lt;=0.8,"Alta","Muy Alta"))))),"")</f>
        <v/>
      </c>
      <c r="Z74" s="112" t="str">
        <f t="shared" ref="Z74:Z78" si="61">+X74</f>
        <v/>
      </c>
      <c r="AA74" s="111" t="str">
        <f t="shared" ref="AA74:AA78" si="62">IFERROR(IF(AB74="","",IF(AB74&lt;=0.2,"Leve",IF(AB74&lt;=0.4,"Menor",IF(AB74&lt;=0.6,"Moderado",IF(AB74&lt;=0.8,"Mayor","Catastrófico"))))),"")</f>
        <v/>
      </c>
      <c r="AB74" s="112" t="str">
        <f>IFERROR(IF(AND(Q73="Impacto",Q74="Impacto"),(AB73-(+AB73*T74)),IF(Q74="Impacto",(M73-(+M73*T74)),IF(Q74="Probabilidad",AB73,""))),"")</f>
        <v/>
      </c>
      <c r="AC74" s="113" t="str">
        <f t="shared" ref="AC74:AC75" si="63">IFERROR(IF(OR(AND(Y74="Muy Baja",AA74="Leve"),AND(Y74="Muy Baja",AA74="Menor"),AND(Y74="Baja",AA74="Leve")),"Bajo",IF(OR(AND(Y74="Muy baja",AA74="Moderado"),AND(Y74="Baja",AA74="Menor"),AND(Y74="Baja",AA74="Moderado"),AND(Y74="Media",AA74="Leve"),AND(Y74="Media",AA74="Menor"),AND(Y74="Media",AA74="Moderado"),AND(Y74="Alta",AA74="Leve"),AND(Y74="Alta",AA74="Menor")),"Moderado",IF(OR(AND(Y74="Muy Baja",AA74="Mayor"),AND(Y74="Baja",AA74="Mayor"),AND(Y74="Media",AA74="Mayor"),AND(Y74="Alta",AA74="Moderado"),AND(Y74="Alta",AA74="Mayor"),AND(Y74="Muy Alta",AA74="Leve"),AND(Y74="Muy Alta",AA74="Menor"),AND(Y74="Muy Alta",AA74="Moderado"),AND(Y74="Muy Alta",AA74="Mayor")),"Alto",IF(OR(AND(Y74="Muy Baja",AA74="Catastrófico"),AND(Y74="Baja",AA74="Catastrófico"),AND(Y74="Media",AA74="Catastrófico"),AND(Y74="Alta",AA74="Catastrófico"),AND(Y74="Muy Alta",AA74="Catastrófico")),"Extremo","")))),"")</f>
        <v/>
      </c>
      <c r="AD74" s="114"/>
      <c r="AE74" s="195"/>
      <c r="AF74" s="116"/>
      <c r="AG74" s="117"/>
      <c r="AH74" s="117"/>
      <c r="AI74" s="117"/>
      <c r="AJ74" s="115"/>
      <c r="AK74" s="116"/>
    </row>
    <row r="75" spans="1:69" ht="18" customHeight="1" x14ac:dyDescent="0.3">
      <c r="A75" s="356"/>
      <c r="B75" s="359"/>
      <c r="C75" s="359"/>
      <c r="D75" s="359"/>
      <c r="E75" s="362"/>
      <c r="F75" s="359"/>
      <c r="G75" s="365"/>
      <c r="H75" s="350"/>
      <c r="I75" s="347"/>
      <c r="J75" s="344"/>
      <c r="K75" s="347">
        <f>IF(NOT(ISERROR(MATCH(J75,_xlfn.ANCHORARRAY(E104),0))),I106&amp;"Por favor no seleccionar los criterios de impacto",J75)</f>
        <v>0</v>
      </c>
      <c r="L75" s="350"/>
      <c r="M75" s="347"/>
      <c r="N75" s="353"/>
      <c r="O75" s="106">
        <v>3</v>
      </c>
      <c r="P75" s="181"/>
      <c r="Q75" s="107" t="str">
        <f>IF(OR(R75="Preventivo",R75="Detectivo"),"Probabilidad",IF(R75="Correctivo","Impacto",""))</f>
        <v/>
      </c>
      <c r="R75" s="108"/>
      <c r="S75" s="108"/>
      <c r="T75" s="109" t="str">
        <f t="shared" si="59"/>
        <v/>
      </c>
      <c r="U75" s="108"/>
      <c r="V75" s="108"/>
      <c r="W75" s="108"/>
      <c r="X75" s="110" t="str">
        <f>IFERROR(IF(AND(Q74="Probabilidad",Q75="Probabilidad"),(Z74-(+Z74*T75)),IF(AND(Q74="Impacto",Q75="Probabilidad"),(Z73-(+Z73*T75)),IF(Q75="Impacto",Z74,""))),"")</f>
        <v/>
      </c>
      <c r="Y75" s="111" t="str">
        <f t="shared" si="60"/>
        <v/>
      </c>
      <c r="Z75" s="112" t="str">
        <f t="shared" si="61"/>
        <v/>
      </c>
      <c r="AA75" s="111" t="str">
        <f t="shared" si="62"/>
        <v/>
      </c>
      <c r="AB75" s="112" t="str">
        <f>IFERROR(IF(AND(Q74="Impacto",Q75="Impacto"),(AB74-(+AB74*T75)),IF(AND(Q74="Probabilidad",Q75="Impacto"),(AB73-(+AB73*T75)),IF(Q75="Probabilidad",AB74,""))),"")</f>
        <v/>
      </c>
      <c r="AC75" s="113" t="str">
        <f t="shared" si="63"/>
        <v/>
      </c>
      <c r="AD75" s="114"/>
      <c r="AE75" s="195"/>
      <c r="AF75" s="116"/>
      <c r="AG75" s="117"/>
      <c r="AH75" s="117"/>
      <c r="AI75" s="117"/>
      <c r="AJ75" s="115"/>
      <c r="AK75" s="116"/>
    </row>
    <row r="76" spans="1:69" ht="18" customHeight="1" x14ac:dyDescent="0.3">
      <c r="A76" s="356"/>
      <c r="B76" s="359"/>
      <c r="C76" s="359"/>
      <c r="D76" s="359"/>
      <c r="E76" s="362"/>
      <c r="F76" s="359"/>
      <c r="G76" s="365"/>
      <c r="H76" s="350"/>
      <c r="I76" s="347"/>
      <c r="J76" s="344"/>
      <c r="K76" s="347">
        <f>IF(NOT(ISERROR(MATCH(J76,_xlfn.ANCHORARRAY(E105),0))),I107&amp;"Por favor no seleccionar los criterios de impacto",J76)</f>
        <v>0</v>
      </c>
      <c r="L76" s="350"/>
      <c r="M76" s="347"/>
      <c r="N76" s="353"/>
      <c r="O76" s="106">
        <v>4</v>
      </c>
      <c r="P76" s="180"/>
      <c r="Q76" s="107" t="str">
        <f t="shared" ref="Q76:Q79" si="64">IF(OR(R76="Preventivo",R76="Detectivo"),"Probabilidad",IF(R76="Correctivo","Impacto",""))</f>
        <v/>
      </c>
      <c r="R76" s="108"/>
      <c r="S76" s="108"/>
      <c r="T76" s="109" t="str">
        <f t="shared" si="59"/>
        <v/>
      </c>
      <c r="U76" s="108"/>
      <c r="V76" s="108"/>
      <c r="W76" s="108"/>
      <c r="X76" s="110" t="str">
        <f t="shared" ref="X76:X77" si="65">IFERROR(IF(AND(Q75="Probabilidad",Q76="Probabilidad"),(Z75-(+Z75*T76)),IF(AND(Q75="Impacto",Q76="Probabilidad"),(Z74-(+Z74*T76)),IF(Q76="Impacto",Z75,""))),"")</f>
        <v/>
      </c>
      <c r="Y76" s="111" t="str">
        <f t="shared" si="60"/>
        <v/>
      </c>
      <c r="Z76" s="112" t="str">
        <f t="shared" si="61"/>
        <v/>
      </c>
      <c r="AA76" s="111" t="str">
        <f t="shared" si="62"/>
        <v/>
      </c>
      <c r="AB76" s="112" t="str">
        <f t="shared" ref="AB76:AB77" si="66">IFERROR(IF(AND(Q75="Impacto",Q76="Impacto"),(AB75-(+AB75*T76)),IF(AND(Q75="Probabilidad",Q76="Impacto"),(AB74-(+AB74*T76)),IF(Q76="Probabilidad",AB75,""))),"")</f>
        <v/>
      </c>
      <c r="AC76" s="113" t="str">
        <f>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
      </c>
      <c r="AD76" s="114"/>
      <c r="AE76" s="195"/>
      <c r="AF76" s="116"/>
      <c r="AG76" s="117"/>
      <c r="AH76" s="117"/>
      <c r="AI76" s="117"/>
      <c r="AJ76" s="115"/>
      <c r="AK76" s="116"/>
    </row>
    <row r="77" spans="1:69" ht="18" customHeight="1" x14ac:dyDescent="0.3">
      <c r="A77" s="356"/>
      <c r="B77" s="359"/>
      <c r="C77" s="359"/>
      <c r="D77" s="359"/>
      <c r="E77" s="362"/>
      <c r="F77" s="359"/>
      <c r="G77" s="365"/>
      <c r="H77" s="350"/>
      <c r="I77" s="347"/>
      <c r="J77" s="344"/>
      <c r="K77" s="347">
        <f>IF(NOT(ISERROR(MATCH(J77,_xlfn.ANCHORARRAY(E106),0))),I108&amp;"Por favor no seleccionar los criterios de impacto",J77)</f>
        <v>0</v>
      </c>
      <c r="L77" s="350"/>
      <c r="M77" s="347"/>
      <c r="N77" s="353"/>
      <c r="O77" s="106">
        <v>5</v>
      </c>
      <c r="P77" s="180"/>
      <c r="Q77" s="107" t="str">
        <f t="shared" si="64"/>
        <v/>
      </c>
      <c r="R77" s="108"/>
      <c r="S77" s="108"/>
      <c r="T77" s="109" t="str">
        <f t="shared" si="59"/>
        <v/>
      </c>
      <c r="U77" s="108"/>
      <c r="V77" s="108"/>
      <c r="W77" s="108"/>
      <c r="X77" s="110" t="str">
        <f t="shared" si="65"/>
        <v/>
      </c>
      <c r="Y77" s="111" t="str">
        <f t="shared" si="60"/>
        <v/>
      </c>
      <c r="Z77" s="112" t="str">
        <f t="shared" si="61"/>
        <v/>
      </c>
      <c r="AA77" s="111" t="str">
        <f t="shared" si="62"/>
        <v/>
      </c>
      <c r="AB77" s="112" t="str">
        <f t="shared" si="66"/>
        <v/>
      </c>
      <c r="AC77" s="113" t="str">
        <f t="shared" ref="AC77:AC78" si="67">IFERROR(IF(OR(AND(Y77="Muy Baja",AA77="Leve"),AND(Y77="Muy Baja",AA77="Menor"),AND(Y77="Baja",AA77="Leve")),"Bajo",IF(OR(AND(Y77="Muy baja",AA77="Moderado"),AND(Y77="Baja",AA77="Menor"),AND(Y77="Baja",AA77="Moderado"),AND(Y77="Media",AA77="Leve"),AND(Y77="Media",AA77="Menor"),AND(Y77="Media",AA77="Moderado"),AND(Y77="Alta",AA77="Leve"),AND(Y77="Alta",AA77="Menor")),"Moderado",IF(OR(AND(Y77="Muy Baja",AA77="Mayor"),AND(Y77="Baja",AA77="Mayor"),AND(Y77="Media",AA77="Mayor"),AND(Y77="Alta",AA77="Moderado"),AND(Y77="Alta",AA77="Mayor"),AND(Y77="Muy Alta",AA77="Leve"),AND(Y77="Muy Alta",AA77="Menor"),AND(Y77="Muy Alta",AA77="Moderado"),AND(Y77="Muy Alta",AA77="Mayor")),"Alto",IF(OR(AND(Y77="Muy Baja",AA77="Catastrófico"),AND(Y77="Baja",AA77="Catastrófico"),AND(Y77="Media",AA77="Catastrófico"),AND(Y77="Alta",AA77="Catastrófico"),AND(Y77="Muy Alta",AA77="Catastrófico")),"Extremo","")))),"")</f>
        <v/>
      </c>
      <c r="AD77" s="114"/>
      <c r="AE77" s="195"/>
      <c r="AF77" s="116"/>
      <c r="AG77" s="117"/>
      <c r="AH77" s="117"/>
      <c r="AI77" s="117"/>
      <c r="AJ77" s="115"/>
      <c r="AK77" s="116"/>
    </row>
    <row r="78" spans="1:69" ht="18" customHeight="1" x14ac:dyDescent="0.3">
      <c r="A78" s="357"/>
      <c r="B78" s="360"/>
      <c r="C78" s="360"/>
      <c r="D78" s="360"/>
      <c r="E78" s="363"/>
      <c r="F78" s="360"/>
      <c r="G78" s="366"/>
      <c r="H78" s="351"/>
      <c r="I78" s="348"/>
      <c r="J78" s="345"/>
      <c r="K78" s="348">
        <f>IF(NOT(ISERROR(MATCH(J78,_xlfn.ANCHORARRAY(E107),0))),I109&amp;"Por favor no seleccionar los criterios de impacto",J78)</f>
        <v>0</v>
      </c>
      <c r="L78" s="351"/>
      <c r="M78" s="348"/>
      <c r="N78" s="354"/>
      <c r="O78" s="106">
        <v>6</v>
      </c>
      <c r="P78" s="180"/>
      <c r="Q78" s="107" t="str">
        <f t="shared" si="64"/>
        <v/>
      </c>
      <c r="R78" s="108"/>
      <c r="S78" s="108"/>
      <c r="T78" s="109" t="str">
        <f t="shared" si="59"/>
        <v/>
      </c>
      <c r="U78" s="108"/>
      <c r="V78" s="108"/>
      <c r="W78" s="108"/>
      <c r="X78" s="110" t="str">
        <f>IFERROR(IF(AND(Q77="Probabilidad",Q78="Probabilidad"),(Z77-(+Z77*T78)),IF(AND(Q77="Impacto",Q78="Probabilidad"),(Z76-(+Z76*T78)),IF(Q78="Impacto",Z77,""))),"")</f>
        <v/>
      </c>
      <c r="Y78" s="111" t="str">
        <f t="shared" si="60"/>
        <v/>
      </c>
      <c r="Z78" s="112" t="str">
        <f t="shared" si="61"/>
        <v/>
      </c>
      <c r="AA78" s="111" t="str">
        <f t="shared" si="62"/>
        <v/>
      </c>
      <c r="AB78" s="112" t="str">
        <f>IFERROR(IF(AND(Q77="Impacto",Q78="Impacto"),(AB77-(+AB77*T78)),IF(AND(Q77="Probabilidad",Q78="Impacto"),(AB76-(+AB76*T78)),IF(Q78="Probabilidad",AB77,""))),"")</f>
        <v/>
      </c>
      <c r="AC78" s="113" t="str">
        <f t="shared" si="67"/>
        <v/>
      </c>
      <c r="AD78" s="114"/>
      <c r="AE78" s="195"/>
      <c r="AF78" s="116"/>
      <c r="AG78" s="117"/>
      <c r="AH78" s="117"/>
      <c r="AI78" s="117"/>
      <c r="AJ78" s="115"/>
      <c r="AK78" s="116"/>
    </row>
    <row r="79" spans="1:69" ht="72.75" customHeight="1" x14ac:dyDescent="0.3">
      <c r="A79" s="355">
        <v>12</v>
      </c>
      <c r="B79" s="358" t="s">
        <v>230</v>
      </c>
      <c r="C79" s="358" t="s">
        <v>358</v>
      </c>
      <c r="D79" s="358" t="s">
        <v>371</v>
      </c>
      <c r="E79" s="361" t="s">
        <v>370</v>
      </c>
      <c r="F79" s="358" t="s">
        <v>236</v>
      </c>
      <c r="G79" s="364">
        <v>150</v>
      </c>
      <c r="H79" s="349" t="str">
        <f>IF(G79&lt;=0,"",IF(G79&lt;=2,"Muy Baja",IF(G79&lt;=24,"Baja",IF(G79&lt;=500,"Media",IF(G79&lt;=5000,"Alta","Muy Alta")))))</f>
        <v>Media</v>
      </c>
      <c r="I79" s="346">
        <f>IF(H79="","",IF(H79="Muy Baja",0.2,IF(H79="Baja",0.4,IF(H79="Media",0.6,IF(H79="Alta",0.8,IF(H79="Muy Alta",1,))))))</f>
        <v>0.6</v>
      </c>
      <c r="J79" s="343" t="s">
        <v>184</v>
      </c>
      <c r="K79" s="346" t="str">
        <f>IF(NOT(ISERROR(MATCH(J79,'Tabla Impacto'!$B$221:$B$223,0))),'Tabla Impacto'!$F$223&amp;"Por favor no seleccionar los criterios de impacto(Afectación Económica o presupuestal y Pérdida Reputacional)",J79)</f>
        <v xml:space="preserve">     El riesgo afecta la imagen de la entidad con algunos usuarios de relevancia frente al logro de los objetivos</v>
      </c>
      <c r="L79" s="349" t="str">
        <f>IF(OR(K79='Tabla Impacto'!$C$11,K79='Tabla Impacto'!$D$11),"Leve",IF(OR(K79='Tabla Impacto'!$C$12,K79='Tabla Impacto'!$D$12),"Menor",IF(OR(K79='Tabla Impacto'!$C$13,K79='Tabla Impacto'!$D$13),"Moderado",IF(OR(K79='Tabla Impacto'!$C$14,K79='Tabla Impacto'!$D$14),"Mayor",IF(OR(K79='Tabla Impacto'!$C$15,K79='Tabla Impacto'!$D$15),"Catastrófico","")))))</f>
        <v>Moderado</v>
      </c>
      <c r="M79" s="346">
        <f>IF(L79="","",IF(L79="Leve",0.2,IF(L79="Menor",0.4,IF(L79="Moderado",0.6,IF(L79="Mayor",0.8,IF(L79="Catastrófico",1,))))))</f>
        <v>0.6</v>
      </c>
      <c r="N79" s="352" t="str">
        <f>IF(OR(AND(H79="Muy Baja",L79="Leve"),AND(H79="Muy Baja",L79="Menor"),AND(H79="Baja",L79="Leve")),"Bajo",IF(OR(AND(H79="Muy baja",L79="Moderado"),AND(H79="Baja",L79="Menor"),AND(H79="Baja",L79="Moderado"),AND(H79="Media",L79="Leve"),AND(H79="Media",L79="Menor"),AND(H79="Media",L79="Moderado"),AND(H79="Alta",L79="Leve"),AND(H79="Alta",L79="Menor")),"Moderado",IF(OR(AND(H79="Muy Baja",L79="Mayor"),AND(H79="Baja",L79="Mayor"),AND(H79="Media",L79="Mayor"),AND(H79="Alta",L79="Moderado"),AND(H79="Alta",L79="Mayor"),AND(H79="Muy Alta",L79="Leve"),AND(H79="Muy Alta",L79="Menor"),AND(H79="Muy Alta",L79="Moderado"),AND(H79="Muy Alta",L79="Mayor")),"Alto",IF(OR(AND(H79="Muy Baja",L79="Catastrófico"),AND(H79="Baja",L79="Catastrófico"),AND(H79="Media",L79="Catastrófico"),AND(H79="Alta",L79="Catastrófico"),AND(H79="Muy Alta",L79="Catastrófico")),"Extremo",""))))</f>
        <v>Moderado</v>
      </c>
      <c r="O79" s="106">
        <v>1</v>
      </c>
      <c r="P79" s="180" t="s">
        <v>360</v>
      </c>
      <c r="Q79" s="164" t="str">
        <f t="shared" si="64"/>
        <v>Probabilidad</v>
      </c>
      <c r="R79" s="171" t="s">
        <v>200</v>
      </c>
      <c r="S79" s="171" t="s">
        <v>208</v>
      </c>
      <c r="T79" s="172" t="str">
        <f t="shared" si="59"/>
        <v>40%</v>
      </c>
      <c r="U79" s="171" t="s">
        <v>211</v>
      </c>
      <c r="V79" s="171" t="s">
        <v>216</v>
      </c>
      <c r="W79" s="171" t="s">
        <v>220</v>
      </c>
      <c r="X79" s="161">
        <f>IFERROR(IF(Q79="Probabilidad",(I79-(+I79*T79)),IF(Q79="Impacto",I79,"")),"")</f>
        <v>0.36</v>
      </c>
      <c r="Y79" s="173" t="str">
        <f>IFERROR(IF(X79="","",IF(X79&lt;=0.2,"Muy Baja",IF(X79&lt;=0.4,"Baja",IF(X79&lt;=0.6,"Media",IF(X79&lt;=0.8,"Alta","Muy Alta"))))),"")</f>
        <v>Baja</v>
      </c>
      <c r="Z79" s="199">
        <f>+X79</f>
        <v>0.36</v>
      </c>
      <c r="AA79" s="173" t="str">
        <f>IFERROR(IF(AB79="","",IF(AB79&lt;=0.2,"Leve",IF(AB79&lt;=0.4,"Menor",IF(AB79&lt;=0.6,"Moderado",IF(AB79&lt;=0.8,"Mayor","Catastrófico"))))),"")</f>
        <v>Moderado</v>
      </c>
      <c r="AB79" s="199">
        <f>IFERROR(IF(Q79="Impacto",(M79-(+M79*T79)),IF(Q79="Probabilidad",M79,"")),"")</f>
        <v>0.6</v>
      </c>
      <c r="AC79" s="175" t="str">
        <f>IFERROR(IF(OR(AND(Y79="Muy Baja",AA79="Leve"),AND(Y79="Muy Baja",AA79="Menor"),AND(Y79="Baja",AA79="Leve")),"Bajo",IF(OR(AND(Y79="Muy baja",AA79="Moderado"),AND(Y79="Baja",AA79="Menor"),AND(Y79="Baja",AA79="Moderado"),AND(Y79="Media",AA79="Leve"),AND(Y79="Media",AA79="Menor"),AND(Y79="Media",AA79="Moderado"),AND(Y79="Alta",AA79="Leve"),AND(Y79="Alta",AA79="Menor")),"Moderado",IF(OR(AND(Y79="Muy Baja",AA79="Mayor"),AND(Y79="Baja",AA79="Mayor"),AND(Y79="Media",AA79="Mayor"),AND(Y79="Alta",AA79="Moderado"),AND(Y79="Alta",AA79="Mayor"),AND(Y79="Muy Alta",AA79="Leve"),AND(Y79="Muy Alta",AA79="Menor"),AND(Y79="Muy Alta",AA79="Moderado"),AND(Y79="Muy Alta",AA79="Mayor")),"Alto",IF(OR(AND(Y79="Muy Baja",AA79="Catastrófico"),AND(Y79="Baja",AA79="Catastrófico"),AND(Y79="Media",AA79="Catastrófico"),AND(Y79="Alta",AA79="Catastrófico"),AND(Y79="Muy Alta",AA79="Catastrófico")),"Extremo","")))),"")</f>
        <v>Moderado</v>
      </c>
      <c r="AD79" s="200" t="s">
        <v>231</v>
      </c>
      <c r="AE79" s="193" t="s">
        <v>359</v>
      </c>
      <c r="AF79" s="177" t="s">
        <v>353</v>
      </c>
      <c r="AG79" s="170">
        <v>45137</v>
      </c>
      <c r="AH79" s="170">
        <v>45260</v>
      </c>
      <c r="AI79" s="117"/>
      <c r="AJ79" s="115"/>
      <c r="AK79" s="116"/>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row>
    <row r="80" spans="1:69" ht="18" customHeight="1" x14ac:dyDescent="0.3">
      <c r="A80" s="356"/>
      <c r="B80" s="359"/>
      <c r="C80" s="359"/>
      <c r="D80" s="359"/>
      <c r="E80" s="362"/>
      <c r="F80" s="359"/>
      <c r="G80" s="365"/>
      <c r="H80" s="350"/>
      <c r="I80" s="347"/>
      <c r="J80" s="344"/>
      <c r="K80" s="347">
        <f>IF(NOT(ISERROR(MATCH(J80,_xlfn.ANCHORARRAY(E109),0))),I111&amp;"Por favor no seleccionar los criterios de impacto",J80)</f>
        <v>0</v>
      </c>
      <c r="L80" s="350"/>
      <c r="M80" s="347"/>
      <c r="N80" s="353"/>
      <c r="O80" s="106">
        <v>2</v>
      </c>
      <c r="P80" s="180"/>
      <c r="Q80" s="107" t="str">
        <f>IF(OR(R80="Preventivo",R80="Detectivo"),"Probabilidad",IF(R80="Correctivo","Impacto",""))</f>
        <v/>
      </c>
      <c r="R80" s="108"/>
      <c r="S80" s="108"/>
      <c r="T80" s="109" t="str">
        <f t="shared" ref="T80:T85" si="68">IF(AND(R80="Preventivo",S80="Automático"),"50%",IF(AND(R80="Preventivo",S80="Manual"),"40%",IF(AND(R80="Detectivo",S80="Automático"),"40%",IF(AND(R80="Detectivo",S80="Manual"),"30%",IF(AND(R80="Correctivo",S80="Automático"),"35%",IF(AND(R80="Correctivo",S80="Manual"),"25%",""))))))</f>
        <v/>
      </c>
      <c r="U80" s="108"/>
      <c r="V80" s="108"/>
      <c r="W80" s="108"/>
      <c r="X80" s="110" t="str">
        <f>IFERROR(IF(AND(Q79="Probabilidad",Q80="Probabilidad"),(Z79-(+Z79*T80)),IF(Q80="Probabilidad",(I79-(+I79*T80)),IF(Q80="Impacto",Z79,""))),"")</f>
        <v/>
      </c>
      <c r="Y80" s="111" t="str">
        <f t="shared" ref="Y80:Y84" si="69">IFERROR(IF(X80="","",IF(X80&lt;=0.2,"Muy Baja",IF(X80&lt;=0.4,"Baja",IF(X80&lt;=0.6,"Media",IF(X80&lt;=0.8,"Alta","Muy Alta"))))),"")</f>
        <v/>
      </c>
      <c r="Z80" s="112" t="str">
        <f t="shared" ref="Z80:Z84" si="70">+X80</f>
        <v/>
      </c>
      <c r="AA80" s="111" t="str">
        <f t="shared" ref="AA80:AA84" si="71">IFERROR(IF(AB80="","",IF(AB80&lt;=0.2,"Leve",IF(AB80&lt;=0.4,"Menor",IF(AB80&lt;=0.6,"Moderado",IF(AB80&lt;=0.8,"Mayor","Catastrófico"))))),"")</f>
        <v/>
      </c>
      <c r="AB80" s="112" t="str">
        <f>IFERROR(IF(AND(Q79="Impacto",Q80="Impacto"),(AB79-(+AB79*T80)),IF(Q80="Impacto",(M79-(+M79*T80)),IF(Q80="Probabilidad",AB79,""))),"")</f>
        <v/>
      </c>
      <c r="AC80" s="113" t="str">
        <f t="shared" ref="AC80:AC81" si="72">IFERROR(IF(OR(AND(Y80="Muy Baja",AA80="Leve"),AND(Y80="Muy Baja",AA80="Menor"),AND(Y80="Baja",AA80="Leve")),"Bajo",IF(OR(AND(Y80="Muy baja",AA80="Moderado"),AND(Y80="Baja",AA80="Menor"),AND(Y80="Baja",AA80="Moderado"),AND(Y80="Media",AA80="Leve"),AND(Y80="Media",AA80="Menor"),AND(Y80="Media",AA80="Moderado"),AND(Y80="Alta",AA80="Leve"),AND(Y80="Alta",AA80="Menor")),"Moderado",IF(OR(AND(Y80="Muy Baja",AA80="Mayor"),AND(Y80="Baja",AA80="Mayor"),AND(Y80="Media",AA80="Mayor"),AND(Y80="Alta",AA80="Moderado"),AND(Y80="Alta",AA80="Mayor"),AND(Y80="Muy Alta",AA80="Leve"),AND(Y80="Muy Alta",AA80="Menor"),AND(Y80="Muy Alta",AA80="Moderado"),AND(Y80="Muy Alta",AA80="Mayor")),"Alto",IF(OR(AND(Y80="Muy Baja",AA80="Catastrófico"),AND(Y80="Baja",AA80="Catastrófico"),AND(Y80="Media",AA80="Catastrófico"),AND(Y80="Alta",AA80="Catastrófico"),AND(Y80="Muy Alta",AA80="Catastrófico")),"Extremo","")))),"")</f>
        <v/>
      </c>
      <c r="AD80" s="114"/>
      <c r="AE80" s="195"/>
      <c r="AF80" s="116"/>
      <c r="AG80" s="117"/>
      <c r="AH80" s="117"/>
      <c r="AI80" s="117"/>
      <c r="AJ80" s="115"/>
      <c r="AK80" s="116"/>
    </row>
    <row r="81" spans="1:69" ht="18" customHeight="1" x14ac:dyDescent="0.3">
      <c r="A81" s="356"/>
      <c r="B81" s="359"/>
      <c r="C81" s="359"/>
      <c r="D81" s="359"/>
      <c r="E81" s="362"/>
      <c r="F81" s="359"/>
      <c r="G81" s="365"/>
      <c r="H81" s="350"/>
      <c r="I81" s="347"/>
      <c r="J81" s="344"/>
      <c r="K81" s="347">
        <f>IF(NOT(ISERROR(MATCH(J81,_xlfn.ANCHORARRAY(E110),0))),I112&amp;"Por favor no seleccionar los criterios de impacto",J81)</f>
        <v>0</v>
      </c>
      <c r="L81" s="350"/>
      <c r="M81" s="347"/>
      <c r="N81" s="353"/>
      <c r="O81" s="106">
        <v>3</v>
      </c>
      <c r="P81" s="181"/>
      <c r="Q81" s="107" t="str">
        <f>IF(OR(R81="Preventivo",R81="Detectivo"),"Probabilidad",IF(R81="Correctivo","Impacto",""))</f>
        <v/>
      </c>
      <c r="R81" s="108"/>
      <c r="S81" s="108"/>
      <c r="T81" s="109" t="str">
        <f t="shared" si="68"/>
        <v/>
      </c>
      <c r="U81" s="108"/>
      <c r="V81" s="108"/>
      <c r="W81" s="108"/>
      <c r="X81" s="110" t="str">
        <f>IFERROR(IF(AND(Q80="Probabilidad",Q81="Probabilidad"),(Z80-(+Z80*T81)),IF(AND(Q80="Impacto",Q81="Probabilidad"),(Z79-(+Z79*T81)),IF(Q81="Impacto",Z80,""))),"")</f>
        <v/>
      </c>
      <c r="Y81" s="111" t="str">
        <f t="shared" si="69"/>
        <v/>
      </c>
      <c r="Z81" s="112" t="str">
        <f t="shared" si="70"/>
        <v/>
      </c>
      <c r="AA81" s="111" t="str">
        <f t="shared" si="71"/>
        <v/>
      </c>
      <c r="AB81" s="112" t="str">
        <f>IFERROR(IF(AND(Q80="Impacto",Q81="Impacto"),(AB80-(+AB80*T81)),IF(AND(Q80="Probabilidad",Q81="Impacto"),(AB79-(+AB79*T81)),IF(Q81="Probabilidad",AB80,""))),"")</f>
        <v/>
      </c>
      <c r="AC81" s="113" t="str">
        <f t="shared" si="72"/>
        <v/>
      </c>
      <c r="AD81" s="114"/>
      <c r="AE81" s="195"/>
      <c r="AF81" s="116"/>
      <c r="AG81" s="117"/>
      <c r="AH81" s="117"/>
      <c r="AI81" s="117"/>
      <c r="AJ81" s="115"/>
      <c r="AK81" s="116"/>
    </row>
    <row r="82" spans="1:69" ht="18" customHeight="1" x14ac:dyDescent="0.3">
      <c r="A82" s="356"/>
      <c r="B82" s="359"/>
      <c r="C82" s="359"/>
      <c r="D82" s="359"/>
      <c r="E82" s="362"/>
      <c r="F82" s="359"/>
      <c r="G82" s="365"/>
      <c r="H82" s="350"/>
      <c r="I82" s="347"/>
      <c r="J82" s="344"/>
      <c r="K82" s="347">
        <f>IF(NOT(ISERROR(MATCH(J82,_xlfn.ANCHORARRAY(E111),0))),I113&amp;"Por favor no seleccionar los criterios de impacto",J82)</f>
        <v>0</v>
      </c>
      <c r="L82" s="350"/>
      <c r="M82" s="347"/>
      <c r="N82" s="353"/>
      <c r="O82" s="106">
        <v>4</v>
      </c>
      <c r="P82" s="180"/>
      <c r="Q82" s="107" t="str">
        <f t="shared" ref="Q82:Q85" si="73">IF(OR(R82="Preventivo",R82="Detectivo"),"Probabilidad",IF(R82="Correctivo","Impacto",""))</f>
        <v/>
      </c>
      <c r="R82" s="108"/>
      <c r="S82" s="108"/>
      <c r="T82" s="109" t="str">
        <f t="shared" si="68"/>
        <v/>
      </c>
      <c r="U82" s="108"/>
      <c r="V82" s="108"/>
      <c r="W82" s="108"/>
      <c r="X82" s="110" t="str">
        <f t="shared" ref="X82:X83" si="74">IFERROR(IF(AND(Q81="Probabilidad",Q82="Probabilidad"),(Z81-(+Z81*T82)),IF(AND(Q81="Impacto",Q82="Probabilidad"),(Z80-(+Z80*T82)),IF(Q82="Impacto",Z81,""))),"")</f>
        <v/>
      </c>
      <c r="Y82" s="111" t="str">
        <f t="shared" si="69"/>
        <v/>
      </c>
      <c r="Z82" s="112" t="str">
        <f t="shared" si="70"/>
        <v/>
      </c>
      <c r="AA82" s="111" t="str">
        <f t="shared" si="71"/>
        <v/>
      </c>
      <c r="AB82" s="112" t="str">
        <f t="shared" ref="AB82:AB83" si="75">IFERROR(IF(AND(Q81="Impacto",Q82="Impacto"),(AB81-(+AB81*T82)),IF(AND(Q81="Probabilidad",Q82="Impacto"),(AB80-(+AB80*T82)),IF(Q82="Probabilidad",AB81,""))),"")</f>
        <v/>
      </c>
      <c r="AC82" s="113" t="str">
        <f>IFERROR(IF(OR(AND(Y82="Muy Baja",AA82="Leve"),AND(Y82="Muy Baja",AA82="Menor"),AND(Y82="Baja",AA82="Leve")),"Bajo",IF(OR(AND(Y82="Muy baja",AA82="Moderado"),AND(Y82="Baja",AA82="Menor"),AND(Y82="Baja",AA82="Moderado"),AND(Y82="Media",AA82="Leve"),AND(Y82="Media",AA82="Menor"),AND(Y82="Media",AA82="Moderado"),AND(Y82="Alta",AA82="Leve"),AND(Y82="Alta",AA82="Menor")),"Moderado",IF(OR(AND(Y82="Muy Baja",AA82="Mayor"),AND(Y82="Baja",AA82="Mayor"),AND(Y82="Media",AA82="Mayor"),AND(Y82="Alta",AA82="Moderado"),AND(Y82="Alta",AA82="Mayor"),AND(Y82="Muy Alta",AA82="Leve"),AND(Y82="Muy Alta",AA82="Menor"),AND(Y82="Muy Alta",AA82="Moderado"),AND(Y82="Muy Alta",AA82="Mayor")),"Alto",IF(OR(AND(Y82="Muy Baja",AA82="Catastrófico"),AND(Y82="Baja",AA82="Catastrófico"),AND(Y82="Media",AA82="Catastrófico"),AND(Y82="Alta",AA82="Catastrófico"),AND(Y82="Muy Alta",AA82="Catastrófico")),"Extremo","")))),"")</f>
        <v/>
      </c>
      <c r="AD82" s="114"/>
      <c r="AE82" s="195"/>
      <c r="AF82" s="116"/>
      <c r="AG82" s="117"/>
      <c r="AH82" s="117"/>
      <c r="AI82" s="117"/>
      <c r="AJ82" s="115"/>
      <c r="AK82" s="116"/>
    </row>
    <row r="83" spans="1:69" ht="18" customHeight="1" x14ac:dyDescent="0.3">
      <c r="A83" s="356"/>
      <c r="B83" s="359"/>
      <c r="C83" s="359"/>
      <c r="D83" s="359"/>
      <c r="E83" s="362"/>
      <c r="F83" s="359"/>
      <c r="G83" s="365"/>
      <c r="H83" s="350"/>
      <c r="I83" s="347"/>
      <c r="J83" s="344"/>
      <c r="K83" s="347">
        <f>IF(NOT(ISERROR(MATCH(J83,_xlfn.ANCHORARRAY(E112),0))),I114&amp;"Por favor no seleccionar los criterios de impacto",J83)</f>
        <v>0</v>
      </c>
      <c r="L83" s="350"/>
      <c r="M83" s="347"/>
      <c r="N83" s="353"/>
      <c r="O83" s="106">
        <v>5</v>
      </c>
      <c r="P83" s="180"/>
      <c r="Q83" s="107" t="str">
        <f t="shared" si="73"/>
        <v/>
      </c>
      <c r="R83" s="108"/>
      <c r="S83" s="108"/>
      <c r="T83" s="109" t="str">
        <f t="shared" si="68"/>
        <v/>
      </c>
      <c r="U83" s="108"/>
      <c r="V83" s="108"/>
      <c r="W83" s="108"/>
      <c r="X83" s="110" t="str">
        <f t="shared" si="74"/>
        <v/>
      </c>
      <c r="Y83" s="111" t="str">
        <f t="shared" si="69"/>
        <v/>
      </c>
      <c r="Z83" s="112" t="str">
        <f t="shared" si="70"/>
        <v/>
      </c>
      <c r="AA83" s="111" t="str">
        <f t="shared" si="71"/>
        <v/>
      </c>
      <c r="AB83" s="112" t="str">
        <f t="shared" si="75"/>
        <v/>
      </c>
      <c r="AC83" s="113" t="str">
        <f t="shared" ref="AC83:AC84" si="76">IFERROR(IF(OR(AND(Y83="Muy Baja",AA83="Leve"),AND(Y83="Muy Baja",AA83="Menor"),AND(Y83="Baja",AA83="Leve")),"Bajo",IF(OR(AND(Y83="Muy baja",AA83="Moderado"),AND(Y83="Baja",AA83="Menor"),AND(Y83="Baja",AA83="Moderado"),AND(Y83="Media",AA83="Leve"),AND(Y83="Media",AA83="Menor"),AND(Y83="Media",AA83="Moderado"),AND(Y83="Alta",AA83="Leve"),AND(Y83="Alta",AA83="Menor")),"Moderado",IF(OR(AND(Y83="Muy Baja",AA83="Mayor"),AND(Y83="Baja",AA83="Mayor"),AND(Y83="Media",AA83="Mayor"),AND(Y83="Alta",AA83="Moderado"),AND(Y83="Alta",AA83="Mayor"),AND(Y83="Muy Alta",AA83="Leve"),AND(Y83="Muy Alta",AA83="Menor"),AND(Y83="Muy Alta",AA83="Moderado"),AND(Y83="Muy Alta",AA83="Mayor")),"Alto",IF(OR(AND(Y83="Muy Baja",AA83="Catastrófico"),AND(Y83="Baja",AA83="Catastrófico"),AND(Y83="Media",AA83="Catastrófico"),AND(Y83="Alta",AA83="Catastrófico"),AND(Y83="Muy Alta",AA83="Catastrófico")),"Extremo","")))),"")</f>
        <v/>
      </c>
      <c r="AD83" s="114"/>
      <c r="AE83" s="195"/>
      <c r="AF83" s="116"/>
      <c r="AG83" s="117"/>
      <c r="AH83" s="117"/>
      <c r="AI83" s="117"/>
      <c r="AJ83" s="115"/>
      <c r="AK83" s="116"/>
    </row>
    <row r="84" spans="1:69" ht="18" customHeight="1" x14ac:dyDescent="0.3">
      <c r="A84" s="357"/>
      <c r="B84" s="360"/>
      <c r="C84" s="360"/>
      <c r="D84" s="360"/>
      <c r="E84" s="363"/>
      <c r="F84" s="360"/>
      <c r="G84" s="366"/>
      <c r="H84" s="351"/>
      <c r="I84" s="348"/>
      <c r="J84" s="345"/>
      <c r="K84" s="348">
        <f>IF(NOT(ISERROR(MATCH(J84,_xlfn.ANCHORARRAY(E113),0))),I115&amp;"Por favor no seleccionar los criterios de impacto",J84)</f>
        <v>0</v>
      </c>
      <c r="L84" s="351"/>
      <c r="M84" s="348"/>
      <c r="N84" s="354"/>
      <c r="O84" s="106">
        <v>6</v>
      </c>
      <c r="P84" s="180"/>
      <c r="Q84" s="107" t="str">
        <f t="shared" si="73"/>
        <v/>
      </c>
      <c r="R84" s="108"/>
      <c r="S84" s="108"/>
      <c r="T84" s="109" t="str">
        <f t="shared" si="68"/>
        <v/>
      </c>
      <c r="U84" s="108"/>
      <c r="V84" s="108"/>
      <c r="W84" s="108"/>
      <c r="X84" s="110" t="str">
        <f>IFERROR(IF(AND(Q83="Probabilidad",Q84="Probabilidad"),(Z83-(+Z83*T84)),IF(AND(Q83="Impacto",Q84="Probabilidad"),(Z82-(+Z82*T84)),IF(Q84="Impacto",Z83,""))),"")</f>
        <v/>
      </c>
      <c r="Y84" s="111" t="str">
        <f t="shared" si="69"/>
        <v/>
      </c>
      <c r="Z84" s="112" t="str">
        <f t="shared" si="70"/>
        <v/>
      </c>
      <c r="AA84" s="111" t="str">
        <f t="shared" si="71"/>
        <v/>
      </c>
      <c r="AB84" s="112" t="str">
        <f>IFERROR(IF(AND(Q83="Impacto",Q84="Impacto"),(AB83-(+AB83*T84)),IF(AND(Q83="Probabilidad",Q84="Impacto"),(AB82-(+AB82*T84)),IF(Q84="Probabilidad",AB83,""))),"")</f>
        <v/>
      </c>
      <c r="AC84" s="113" t="str">
        <f t="shared" si="76"/>
        <v/>
      </c>
      <c r="AD84" s="114"/>
      <c r="AE84" s="195"/>
      <c r="AF84" s="116"/>
      <c r="AG84" s="117"/>
      <c r="AH84" s="117"/>
      <c r="AI84" s="117"/>
      <c r="AJ84" s="115"/>
      <c r="AK84" s="116"/>
    </row>
    <row r="85" spans="1:69" ht="110.25" customHeight="1" x14ac:dyDescent="0.3">
      <c r="A85" s="355">
        <v>13</v>
      </c>
      <c r="B85" s="358" t="s">
        <v>230</v>
      </c>
      <c r="C85" s="358" t="s">
        <v>361</v>
      </c>
      <c r="D85" s="358" t="s">
        <v>362</v>
      </c>
      <c r="E85" s="361" t="s">
        <v>372</v>
      </c>
      <c r="F85" s="358" t="s">
        <v>236</v>
      </c>
      <c r="G85" s="364">
        <v>150</v>
      </c>
      <c r="H85" s="349" t="str">
        <f>IF(G85&lt;=0,"",IF(G85&lt;=2,"Muy Baja",IF(G85&lt;=24,"Baja",IF(G85&lt;=500,"Media",IF(G85&lt;=5000,"Alta","Muy Alta")))))</f>
        <v>Media</v>
      </c>
      <c r="I85" s="346">
        <f>IF(H85="","",IF(H85="Muy Baja",0.2,IF(H85="Baja",0.4,IF(H85="Media",0.6,IF(H85="Alta",0.8,IF(H85="Muy Alta",1,))))))</f>
        <v>0.6</v>
      </c>
      <c r="J85" s="343" t="s">
        <v>184</v>
      </c>
      <c r="K85" s="346" t="str">
        <f>IF(NOT(ISERROR(MATCH(J85,'Tabla Impacto'!$B$221:$B$223,0))),'Tabla Impacto'!$F$223&amp;"Por favor no seleccionar los criterios de impacto(Afectación Económica o presupuestal y Pérdida Reputacional)",J85)</f>
        <v xml:space="preserve">     El riesgo afecta la imagen de la entidad con algunos usuarios de relevancia frente al logro de los objetivos</v>
      </c>
      <c r="L85" s="349" t="str">
        <f>IF(OR(K85='Tabla Impacto'!$C$11,K85='Tabla Impacto'!$D$11),"Leve",IF(OR(K85='Tabla Impacto'!$C$12,K85='Tabla Impacto'!$D$12),"Menor",IF(OR(K85='Tabla Impacto'!$C$13,K85='Tabla Impacto'!$D$13),"Moderado",IF(OR(K85='Tabla Impacto'!$C$14,K85='Tabla Impacto'!$D$14),"Mayor",IF(OR(K85='Tabla Impacto'!$C$15,K85='Tabla Impacto'!$D$15),"Catastrófico","")))))</f>
        <v>Moderado</v>
      </c>
      <c r="M85" s="346">
        <f>IF(L85="","",IF(L85="Leve",0.2,IF(L85="Menor",0.4,IF(L85="Moderado",0.6,IF(L85="Mayor",0.8,IF(L85="Catastrófico",1,))))))</f>
        <v>0.6</v>
      </c>
      <c r="N85" s="352" t="str">
        <f>IF(OR(AND(H85="Muy Baja",L85="Leve"),AND(H85="Muy Baja",L85="Menor"),AND(H85="Baja",L85="Leve")),"Bajo",IF(OR(AND(H85="Muy baja",L85="Moderado"),AND(H85="Baja",L85="Menor"),AND(H85="Baja",L85="Moderado"),AND(H85="Media",L85="Leve"),AND(H85="Media",L85="Menor"),AND(H85="Media",L85="Moderado"),AND(H85="Alta",L85="Leve"),AND(H85="Alta",L85="Menor")),"Moderado",IF(OR(AND(H85="Muy Baja",L85="Mayor"),AND(H85="Baja",L85="Mayor"),AND(H85="Media",L85="Mayor"),AND(H85="Alta",L85="Moderado"),AND(H85="Alta",L85="Mayor"),AND(H85="Muy Alta",L85="Leve"),AND(H85="Muy Alta",L85="Menor"),AND(H85="Muy Alta",L85="Moderado"),AND(H85="Muy Alta",L85="Mayor")),"Alto",IF(OR(AND(H85="Muy Baja",L85="Catastrófico"),AND(H85="Baja",L85="Catastrófico"),AND(H85="Media",L85="Catastrófico"),AND(H85="Alta",L85="Catastrófico"),AND(H85="Muy Alta",L85="Catastrófico")),"Extremo",""))))</f>
        <v>Moderado</v>
      </c>
      <c r="O85" s="106">
        <v>1</v>
      </c>
      <c r="P85" s="180" t="s">
        <v>363</v>
      </c>
      <c r="Q85" s="164" t="str">
        <f t="shared" si="73"/>
        <v>Probabilidad</v>
      </c>
      <c r="R85" s="171" t="s">
        <v>200</v>
      </c>
      <c r="S85" s="171" t="s">
        <v>208</v>
      </c>
      <c r="T85" s="172" t="str">
        <f t="shared" si="68"/>
        <v>40%</v>
      </c>
      <c r="U85" s="171" t="s">
        <v>211</v>
      </c>
      <c r="V85" s="171" t="s">
        <v>216</v>
      </c>
      <c r="W85" s="171" t="s">
        <v>220</v>
      </c>
      <c r="X85" s="161">
        <f>IFERROR(IF(Q85="Probabilidad",(I85-(+I85*T85)),IF(Q85="Impacto",I85,"")),"")</f>
        <v>0.36</v>
      </c>
      <c r="Y85" s="173" t="str">
        <f>IFERROR(IF(X85="","",IF(X85&lt;=0.2,"Muy Baja",IF(X85&lt;=0.4,"Baja",IF(X85&lt;=0.6,"Media",IF(X85&lt;=0.8,"Alta","Muy Alta"))))),"")</f>
        <v>Baja</v>
      </c>
      <c r="Z85" s="199">
        <f>+X85</f>
        <v>0.36</v>
      </c>
      <c r="AA85" s="173" t="str">
        <f>IFERROR(IF(AB85="","",IF(AB85&lt;=0.2,"Leve",IF(AB85&lt;=0.4,"Menor",IF(AB85&lt;=0.6,"Moderado",IF(AB85&lt;=0.8,"Mayor","Catastrófico"))))),"")</f>
        <v>Moderado</v>
      </c>
      <c r="AB85" s="199">
        <f>IFERROR(IF(Q85="Impacto",(M85-(+M85*T85)),IF(Q85="Probabilidad",M85,"")),"")</f>
        <v>0.6</v>
      </c>
      <c r="AC85" s="175" t="str">
        <f>IFERROR(IF(OR(AND(Y85="Muy Baja",AA85="Leve"),AND(Y85="Muy Baja",AA85="Menor"),AND(Y85="Baja",AA85="Leve")),"Bajo",IF(OR(AND(Y85="Muy baja",AA85="Moderado"),AND(Y85="Baja",AA85="Menor"),AND(Y85="Baja",AA85="Moderado"),AND(Y85="Media",AA85="Leve"),AND(Y85="Media",AA85="Menor"),AND(Y85="Media",AA85="Moderado"),AND(Y85="Alta",AA85="Leve"),AND(Y85="Alta",AA85="Menor")),"Moderado",IF(OR(AND(Y85="Muy Baja",AA85="Mayor"),AND(Y85="Baja",AA85="Mayor"),AND(Y85="Media",AA85="Mayor"),AND(Y85="Alta",AA85="Moderado"),AND(Y85="Alta",AA85="Mayor"),AND(Y85="Muy Alta",AA85="Leve"),AND(Y85="Muy Alta",AA85="Menor"),AND(Y85="Muy Alta",AA85="Moderado"),AND(Y85="Muy Alta",AA85="Mayor")),"Alto",IF(OR(AND(Y85="Muy Baja",AA85="Catastrófico"),AND(Y85="Baja",AA85="Catastrófico"),AND(Y85="Media",AA85="Catastrófico"),AND(Y85="Alta",AA85="Catastrófico"),AND(Y85="Muy Alta",AA85="Catastrófico")),"Extremo","")))),"")</f>
        <v>Moderado</v>
      </c>
      <c r="AD85" s="200" t="s">
        <v>231</v>
      </c>
      <c r="AE85" s="193" t="s">
        <v>364</v>
      </c>
      <c r="AF85" s="177" t="s">
        <v>353</v>
      </c>
      <c r="AG85" s="170">
        <v>45137</v>
      </c>
      <c r="AH85" s="170">
        <v>45275</v>
      </c>
      <c r="AI85" s="117"/>
      <c r="AJ85" s="115"/>
      <c r="AK85" s="116"/>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row>
    <row r="86" spans="1:69" ht="18" customHeight="1" x14ac:dyDescent="0.3">
      <c r="A86" s="356"/>
      <c r="B86" s="359"/>
      <c r="C86" s="359"/>
      <c r="D86" s="359"/>
      <c r="E86" s="362"/>
      <c r="F86" s="359"/>
      <c r="G86" s="365"/>
      <c r="H86" s="350"/>
      <c r="I86" s="347"/>
      <c r="J86" s="344"/>
      <c r="K86" s="347">
        <f>IF(NOT(ISERROR(MATCH(J86,_xlfn.ANCHORARRAY(E115),0))),I117&amp;"Por favor no seleccionar los criterios de impacto",J86)</f>
        <v>0</v>
      </c>
      <c r="L86" s="350"/>
      <c r="M86" s="347"/>
      <c r="N86" s="353"/>
      <c r="O86" s="106">
        <v>2</v>
      </c>
      <c r="P86" s="180"/>
      <c r="Q86" s="107" t="str">
        <f>IF(OR(R86="Preventivo",R86="Detectivo"),"Probabilidad",IF(R86="Correctivo","Impacto",""))</f>
        <v/>
      </c>
      <c r="R86" s="108"/>
      <c r="S86" s="108"/>
      <c r="T86" s="109" t="str">
        <f t="shared" ref="T86:T90" si="77">IF(AND(R86="Preventivo",S86="Automático"),"50%",IF(AND(R86="Preventivo",S86="Manual"),"40%",IF(AND(R86="Detectivo",S86="Automático"),"40%",IF(AND(R86="Detectivo",S86="Manual"),"30%",IF(AND(R86="Correctivo",S86="Automático"),"35%",IF(AND(R86="Correctivo",S86="Manual"),"25%",""))))))</f>
        <v/>
      </c>
      <c r="U86" s="108"/>
      <c r="V86" s="108"/>
      <c r="W86" s="108"/>
      <c r="X86" s="110" t="str">
        <f>IFERROR(IF(AND(Q85="Probabilidad",Q86="Probabilidad"),(Z85-(+Z85*T86)),IF(Q86="Probabilidad",(I85-(+I85*T86)),IF(Q86="Impacto",Z85,""))),"")</f>
        <v/>
      </c>
      <c r="Y86" s="111" t="str">
        <f t="shared" ref="Y86:Y90" si="78">IFERROR(IF(X86="","",IF(X86&lt;=0.2,"Muy Baja",IF(X86&lt;=0.4,"Baja",IF(X86&lt;=0.6,"Media",IF(X86&lt;=0.8,"Alta","Muy Alta"))))),"")</f>
        <v/>
      </c>
      <c r="Z86" s="112" t="str">
        <f t="shared" ref="Z86:Z90" si="79">+X86</f>
        <v/>
      </c>
      <c r="AA86" s="111" t="str">
        <f t="shared" ref="AA86:AA90" si="80">IFERROR(IF(AB86="","",IF(AB86&lt;=0.2,"Leve",IF(AB86&lt;=0.4,"Menor",IF(AB86&lt;=0.6,"Moderado",IF(AB86&lt;=0.8,"Mayor","Catastrófico"))))),"")</f>
        <v/>
      </c>
      <c r="AB86" s="112" t="str">
        <f>IFERROR(IF(AND(Q85="Impacto",Q86="Impacto"),(AB85-(+AB85*T86)),IF(Q86="Impacto",(M85-(+M85*T86)),IF(Q86="Probabilidad",AB85,""))),"")</f>
        <v/>
      </c>
      <c r="AC86" s="113" t="str">
        <f t="shared" ref="AC86:AC87" si="81">IFERROR(IF(OR(AND(Y86="Muy Baja",AA86="Leve"),AND(Y86="Muy Baja",AA86="Menor"),AND(Y86="Baja",AA86="Leve")),"Bajo",IF(OR(AND(Y86="Muy baja",AA86="Moderado"),AND(Y86="Baja",AA86="Menor"),AND(Y86="Baja",AA86="Moderado"),AND(Y86="Media",AA86="Leve"),AND(Y86="Media",AA86="Menor"),AND(Y86="Media",AA86="Moderado"),AND(Y86="Alta",AA86="Leve"),AND(Y86="Alta",AA86="Menor")),"Moderado",IF(OR(AND(Y86="Muy Baja",AA86="Mayor"),AND(Y86="Baja",AA86="Mayor"),AND(Y86="Media",AA86="Mayor"),AND(Y86="Alta",AA86="Moderado"),AND(Y86="Alta",AA86="Mayor"),AND(Y86="Muy Alta",AA86="Leve"),AND(Y86="Muy Alta",AA86="Menor"),AND(Y86="Muy Alta",AA86="Moderado"),AND(Y86="Muy Alta",AA86="Mayor")),"Alto",IF(OR(AND(Y86="Muy Baja",AA86="Catastrófico"),AND(Y86="Baja",AA86="Catastrófico"),AND(Y86="Media",AA86="Catastrófico"),AND(Y86="Alta",AA86="Catastrófico"),AND(Y86="Muy Alta",AA86="Catastrófico")),"Extremo","")))),"")</f>
        <v/>
      </c>
      <c r="AD86" s="114"/>
      <c r="AE86" s="195"/>
      <c r="AF86" s="116"/>
      <c r="AG86" s="117"/>
      <c r="AH86" s="117"/>
      <c r="AI86" s="117"/>
      <c r="AJ86" s="115"/>
      <c r="AK86" s="116"/>
    </row>
    <row r="87" spans="1:69" ht="18" customHeight="1" x14ac:dyDescent="0.3">
      <c r="A87" s="356"/>
      <c r="B87" s="359"/>
      <c r="C87" s="359"/>
      <c r="D87" s="359"/>
      <c r="E87" s="362"/>
      <c r="F87" s="359"/>
      <c r="G87" s="365"/>
      <c r="H87" s="350"/>
      <c r="I87" s="347"/>
      <c r="J87" s="344"/>
      <c r="K87" s="347">
        <f>IF(NOT(ISERROR(MATCH(J87,_xlfn.ANCHORARRAY(E116),0))),I118&amp;"Por favor no seleccionar los criterios de impacto",J87)</f>
        <v>0</v>
      </c>
      <c r="L87" s="350"/>
      <c r="M87" s="347"/>
      <c r="N87" s="353"/>
      <c r="O87" s="106">
        <v>3</v>
      </c>
      <c r="P87" s="181"/>
      <c r="Q87" s="107" t="str">
        <f>IF(OR(R87="Preventivo",R87="Detectivo"),"Probabilidad",IF(R87="Correctivo","Impacto",""))</f>
        <v/>
      </c>
      <c r="R87" s="108"/>
      <c r="S87" s="108"/>
      <c r="T87" s="109" t="str">
        <f t="shared" si="77"/>
        <v/>
      </c>
      <c r="U87" s="108"/>
      <c r="V87" s="108"/>
      <c r="W87" s="108"/>
      <c r="X87" s="110" t="str">
        <f>IFERROR(IF(AND(Q86="Probabilidad",Q87="Probabilidad"),(Z86-(+Z86*T87)),IF(AND(Q86="Impacto",Q87="Probabilidad"),(Z85-(+Z85*T87)),IF(Q87="Impacto",Z86,""))),"")</f>
        <v/>
      </c>
      <c r="Y87" s="111" t="str">
        <f t="shared" si="78"/>
        <v/>
      </c>
      <c r="Z87" s="112" t="str">
        <f t="shared" si="79"/>
        <v/>
      </c>
      <c r="AA87" s="111" t="str">
        <f t="shared" si="80"/>
        <v/>
      </c>
      <c r="AB87" s="112" t="str">
        <f>IFERROR(IF(AND(Q86="Impacto",Q87="Impacto"),(AB86-(+AB86*T87)),IF(AND(Q86="Probabilidad",Q87="Impacto"),(AB85-(+AB85*T87)),IF(Q87="Probabilidad",AB86,""))),"")</f>
        <v/>
      </c>
      <c r="AC87" s="113" t="str">
        <f t="shared" si="81"/>
        <v/>
      </c>
      <c r="AD87" s="114"/>
      <c r="AE87" s="195"/>
      <c r="AF87" s="116"/>
      <c r="AG87" s="117"/>
      <c r="AH87" s="117"/>
      <c r="AI87" s="117"/>
      <c r="AJ87" s="115"/>
      <c r="AK87" s="116"/>
    </row>
    <row r="88" spans="1:69" ht="18" customHeight="1" x14ac:dyDescent="0.3">
      <c r="A88" s="356"/>
      <c r="B88" s="359"/>
      <c r="C88" s="359"/>
      <c r="D88" s="359"/>
      <c r="E88" s="362"/>
      <c r="F88" s="359"/>
      <c r="G88" s="365"/>
      <c r="H88" s="350"/>
      <c r="I88" s="347"/>
      <c r="J88" s="344"/>
      <c r="K88" s="347">
        <f>IF(NOT(ISERROR(MATCH(J88,_xlfn.ANCHORARRAY(E117),0))),I119&amp;"Por favor no seleccionar los criterios de impacto",J88)</f>
        <v>0</v>
      </c>
      <c r="L88" s="350"/>
      <c r="M88" s="347"/>
      <c r="N88" s="353"/>
      <c r="O88" s="106">
        <v>4</v>
      </c>
      <c r="P88" s="180"/>
      <c r="Q88" s="107" t="str">
        <f t="shared" ref="Q88:Q90" si="82">IF(OR(R88="Preventivo",R88="Detectivo"),"Probabilidad",IF(R88="Correctivo","Impacto",""))</f>
        <v/>
      </c>
      <c r="R88" s="108"/>
      <c r="S88" s="108"/>
      <c r="T88" s="109" t="str">
        <f t="shared" si="77"/>
        <v/>
      </c>
      <c r="U88" s="108"/>
      <c r="V88" s="108"/>
      <c r="W88" s="108"/>
      <c r="X88" s="110" t="str">
        <f t="shared" ref="X88:X89" si="83">IFERROR(IF(AND(Q87="Probabilidad",Q88="Probabilidad"),(Z87-(+Z87*T88)),IF(AND(Q87="Impacto",Q88="Probabilidad"),(Z86-(+Z86*T88)),IF(Q88="Impacto",Z87,""))),"")</f>
        <v/>
      </c>
      <c r="Y88" s="111" t="str">
        <f t="shared" si="78"/>
        <v/>
      </c>
      <c r="Z88" s="112" t="str">
        <f t="shared" si="79"/>
        <v/>
      </c>
      <c r="AA88" s="111" t="str">
        <f t="shared" si="80"/>
        <v/>
      </c>
      <c r="AB88" s="112" t="str">
        <f t="shared" ref="AB88:AB89" si="84">IFERROR(IF(AND(Q87="Impacto",Q88="Impacto"),(AB87-(+AB87*T88)),IF(AND(Q87="Probabilidad",Q88="Impacto"),(AB86-(+AB86*T88)),IF(Q88="Probabilidad",AB87,""))),"")</f>
        <v/>
      </c>
      <c r="AC88" s="113" t="str">
        <f>IFERROR(IF(OR(AND(Y88="Muy Baja",AA88="Leve"),AND(Y88="Muy Baja",AA88="Menor"),AND(Y88="Baja",AA88="Leve")),"Bajo",IF(OR(AND(Y88="Muy baja",AA88="Moderado"),AND(Y88="Baja",AA88="Menor"),AND(Y88="Baja",AA88="Moderado"),AND(Y88="Media",AA88="Leve"),AND(Y88="Media",AA88="Menor"),AND(Y88="Media",AA88="Moderado"),AND(Y88="Alta",AA88="Leve"),AND(Y88="Alta",AA88="Menor")),"Moderado",IF(OR(AND(Y88="Muy Baja",AA88="Mayor"),AND(Y88="Baja",AA88="Mayor"),AND(Y88="Media",AA88="Mayor"),AND(Y88="Alta",AA88="Moderado"),AND(Y88="Alta",AA88="Mayor"),AND(Y88="Muy Alta",AA88="Leve"),AND(Y88="Muy Alta",AA88="Menor"),AND(Y88="Muy Alta",AA88="Moderado"),AND(Y88="Muy Alta",AA88="Mayor")),"Alto",IF(OR(AND(Y88="Muy Baja",AA88="Catastrófico"),AND(Y88="Baja",AA88="Catastrófico"),AND(Y88="Media",AA88="Catastrófico"),AND(Y88="Alta",AA88="Catastrófico"),AND(Y88="Muy Alta",AA88="Catastrófico")),"Extremo","")))),"")</f>
        <v/>
      </c>
      <c r="AD88" s="114"/>
      <c r="AE88" s="195"/>
      <c r="AF88" s="116"/>
      <c r="AG88" s="117"/>
      <c r="AH88" s="117"/>
      <c r="AI88" s="117"/>
      <c r="AJ88" s="115"/>
      <c r="AK88" s="116"/>
    </row>
    <row r="89" spans="1:69" ht="18" customHeight="1" x14ac:dyDescent="0.3">
      <c r="A89" s="356"/>
      <c r="B89" s="359"/>
      <c r="C89" s="359"/>
      <c r="D89" s="359"/>
      <c r="E89" s="362"/>
      <c r="F89" s="359"/>
      <c r="G89" s="365"/>
      <c r="H89" s="350"/>
      <c r="I89" s="347"/>
      <c r="J89" s="344"/>
      <c r="K89" s="347">
        <f>IF(NOT(ISERROR(MATCH(J89,_xlfn.ANCHORARRAY(E118),0))),I120&amp;"Por favor no seleccionar los criterios de impacto",J89)</f>
        <v>0</v>
      </c>
      <c r="L89" s="350"/>
      <c r="M89" s="347"/>
      <c r="N89" s="353"/>
      <c r="O89" s="106">
        <v>5</v>
      </c>
      <c r="P89" s="180"/>
      <c r="Q89" s="107" t="str">
        <f t="shared" si="82"/>
        <v/>
      </c>
      <c r="R89" s="108"/>
      <c r="S89" s="108"/>
      <c r="T89" s="109" t="str">
        <f t="shared" si="77"/>
        <v/>
      </c>
      <c r="U89" s="108"/>
      <c r="V89" s="108"/>
      <c r="W89" s="108"/>
      <c r="X89" s="110" t="str">
        <f t="shared" si="83"/>
        <v/>
      </c>
      <c r="Y89" s="111" t="str">
        <f t="shared" si="78"/>
        <v/>
      </c>
      <c r="Z89" s="112" t="str">
        <f t="shared" si="79"/>
        <v/>
      </c>
      <c r="AA89" s="111" t="str">
        <f t="shared" si="80"/>
        <v/>
      </c>
      <c r="AB89" s="112" t="str">
        <f t="shared" si="84"/>
        <v/>
      </c>
      <c r="AC89" s="113" t="str">
        <f t="shared" ref="AC89:AC90" si="85">IFERROR(IF(OR(AND(Y89="Muy Baja",AA89="Leve"),AND(Y89="Muy Baja",AA89="Menor"),AND(Y89="Baja",AA89="Leve")),"Bajo",IF(OR(AND(Y89="Muy baja",AA89="Moderado"),AND(Y89="Baja",AA89="Menor"),AND(Y89="Baja",AA89="Moderado"),AND(Y89="Media",AA89="Leve"),AND(Y89="Media",AA89="Menor"),AND(Y89="Media",AA89="Moderado"),AND(Y89="Alta",AA89="Leve"),AND(Y89="Alta",AA89="Menor")),"Moderado",IF(OR(AND(Y89="Muy Baja",AA89="Mayor"),AND(Y89="Baja",AA89="Mayor"),AND(Y89="Media",AA89="Mayor"),AND(Y89="Alta",AA89="Moderado"),AND(Y89="Alta",AA89="Mayor"),AND(Y89="Muy Alta",AA89="Leve"),AND(Y89="Muy Alta",AA89="Menor"),AND(Y89="Muy Alta",AA89="Moderado"),AND(Y89="Muy Alta",AA89="Mayor")),"Alto",IF(OR(AND(Y89="Muy Baja",AA89="Catastrófico"),AND(Y89="Baja",AA89="Catastrófico"),AND(Y89="Media",AA89="Catastrófico"),AND(Y89="Alta",AA89="Catastrófico"),AND(Y89="Muy Alta",AA89="Catastrófico")),"Extremo","")))),"")</f>
        <v/>
      </c>
      <c r="AD89" s="114"/>
      <c r="AE89" s="195"/>
      <c r="AF89" s="116"/>
      <c r="AG89" s="117"/>
      <c r="AH89" s="117"/>
      <c r="AI89" s="117"/>
      <c r="AJ89" s="115"/>
      <c r="AK89" s="116"/>
    </row>
    <row r="90" spans="1:69" ht="18" customHeight="1" x14ac:dyDescent="0.3">
      <c r="A90" s="357"/>
      <c r="B90" s="360"/>
      <c r="C90" s="360"/>
      <c r="D90" s="360"/>
      <c r="E90" s="363"/>
      <c r="F90" s="360"/>
      <c r="G90" s="366"/>
      <c r="H90" s="351"/>
      <c r="I90" s="348"/>
      <c r="J90" s="345"/>
      <c r="K90" s="348">
        <f>IF(NOT(ISERROR(MATCH(J90,_xlfn.ANCHORARRAY(E119),0))),I121&amp;"Por favor no seleccionar los criterios de impacto",J90)</f>
        <v>0</v>
      </c>
      <c r="L90" s="351"/>
      <c r="M90" s="348"/>
      <c r="N90" s="354"/>
      <c r="O90" s="106">
        <v>6</v>
      </c>
      <c r="P90" s="180"/>
      <c r="Q90" s="107" t="str">
        <f t="shared" si="82"/>
        <v/>
      </c>
      <c r="R90" s="108"/>
      <c r="S90" s="108"/>
      <c r="T90" s="109" t="str">
        <f t="shared" si="77"/>
        <v/>
      </c>
      <c r="U90" s="108"/>
      <c r="V90" s="108"/>
      <c r="W90" s="108"/>
      <c r="X90" s="110" t="str">
        <f>IFERROR(IF(AND(Q89="Probabilidad",Q90="Probabilidad"),(Z89-(+Z89*T90)),IF(AND(Q89="Impacto",Q90="Probabilidad"),(Z88-(+Z88*T90)),IF(Q90="Impacto",Z89,""))),"")</f>
        <v/>
      </c>
      <c r="Y90" s="111" t="str">
        <f t="shared" si="78"/>
        <v/>
      </c>
      <c r="Z90" s="112" t="str">
        <f t="shared" si="79"/>
        <v/>
      </c>
      <c r="AA90" s="111" t="str">
        <f t="shared" si="80"/>
        <v/>
      </c>
      <c r="AB90" s="112" t="str">
        <f>IFERROR(IF(AND(Q89="Impacto",Q90="Impacto"),(AB89-(+AB89*T90)),IF(AND(Q89="Probabilidad",Q90="Impacto"),(AB88-(+AB88*T90)),IF(Q90="Probabilidad",AB89,""))),"")</f>
        <v/>
      </c>
      <c r="AC90" s="113" t="str">
        <f t="shared" si="85"/>
        <v/>
      </c>
      <c r="AD90" s="114"/>
      <c r="AE90" s="195"/>
      <c r="AF90" s="116"/>
      <c r="AG90" s="117"/>
      <c r="AH90" s="117"/>
      <c r="AI90" s="117"/>
      <c r="AJ90" s="115"/>
      <c r="AK90" s="116"/>
    </row>
    <row r="91" spans="1:69" ht="34.5" customHeight="1" x14ac:dyDescent="0.3">
      <c r="A91" s="6"/>
      <c r="B91" s="401" t="s">
        <v>124</v>
      </c>
      <c r="C91" s="402"/>
      <c r="D91" s="402"/>
      <c r="E91" s="402"/>
      <c r="F91" s="402"/>
      <c r="G91" s="402"/>
      <c r="H91" s="402"/>
      <c r="I91" s="402"/>
      <c r="J91" s="402"/>
      <c r="K91" s="402"/>
      <c r="L91" s="402"/>
      <c r="M91" s="402"/>
      <c r="N91" s="402"/>
      <c r="O91" s="402"/>
      <c r="P91" s="402"/>
      <c r="Q91" s="402"/>
      <c r="R91" s="402"/>
      <c r="S91" s="402"/>
      <c r="T91" s="402"/>
      <c r="U91" s="402"/>
      <c r="V91" s="402"/>
      <c r="W91" s="402"/>
      <c r="X91" s="402"/>
      <c r="Y91" s="402"/>
      <c r="Z91" s="402"/>
      <c r="AA91" s="402"/>
      <c r="AB91" s="402"/>
      <c r="AC91" s="402"/>
      <c r="AD91" s="402"/>
      <c r="AE91" s="402"/>
      <c r="AF91" s="402"/>
      <c r="AG91" s="402"/>
      <c r="AH91" s="402"/>
      <c r="AI91" s="402"/>
      <c r="AJ91" s="402"/>
      <c r="AK91" s="403"/>
    </row>
    <row r="93" spans="1:69" x14ac:dyDescent="0.3">
      <c r="A93" s="1"/>
      <c r="B93" s="24" t="s">
        <v>125</v>
      </c>
      <c r="C93" s="1"/>
      <c r="D93" s="1"/>
      <c r="F93" s="1"/>
    </row>
  </sheetData>
  <dataConsolidate/>
  <mergeCells count="249">
    <mergeCell ref="Y42:Y43"/>
    <mergeCell ref="Z42:Z43"/>
    <mergeCell ref="AA42:AA43"/>
    <mergeCell ref="AB42:AB43"/>
    <mergeCell ref="AC42:AC43"/>
    <mergeCell ref="AD42:AD43"/>
    <mergeCell ref="N42:N48"/>
    <mergeCell ref="M42:M48"/>
    <mergeCell ref="L42:L48"/>
    <mergeCell ref="O42:O43"/>
    <mergeCell ref="P42:P43"/>
    <mergeCell ref="R42:R43"/>
    <mergeCell ref="S42:S43"/>
    <mergeCell ref="Q42:Q43"/>
    <mergeCell ref="T42:T43"/>
    <mergeCell ref="U42:U43"/>
    <mergeCell ref="V42:V43"/>
    <mergeCell ref="W42:W43"/>
    <mergeCell ref="X42:X43"/>
    <mergeCell ref="A61:A66"/>
    <mergeCell ref="B61:B66"/>
    <mergeCell ref="C61:C66"/>
    <mergeCell ref="D61:D66"/>
    <mergeCell ref="E61:E66"/>
    <mergeCell ref="F61:F66"/>
    <mergeCell ref="G61:G66"/>
    <mergeCell ref="H61:H66"/>
    <mergeCell ref="I61:I66"/>
    <mergeCell ref="AJ1:AK1"/>
    <mergeCell ref="AJ2:AK2"/>
    <mergeCell ref="AJ3:AK3"/>
    <mergeCell ref="AJ4:AK4"/>
    <mergeCell ref="E1:AI4"/>
    <mergeCell ref="J67:J72"/>
    <mergeCell ref="K67:K72"/>
    <mergeCell ref="L67:L72"/>
    <mergeCell ref="M67:M72"/>
    <mergeCell ref="N67:N72"/>
    <mergeCell ref="I67:I72"/>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7:A72"/>
    <mergeCell ref="B67:B72"/>
    <mergeCell ref="C67:C72"/>
    <mergeCell ref="D67:D72"/>
    <mergeCell ref="E67:E72"/>
    <mergeCell ref="F67:F72"/>
    <mergeCell ref="G67:G72"/>
    <mergeCell ref="H67:H72"/>
    <mergeCell ref="C6:N6"/>
    <mergeCell ref="A9:G9"/>
    <mergeCell ref="H9:N9"/>
    <mergeCell ref="I36:I41"/>
    <mergeCell ref="J36:J41"/>
    <mergeCell ref="K36:K41"/>
    <mergeCell ref="L36:L41"/>
    <mergeCell ref="A55:A60"/>
    <mergeCell ref="E55:E60"/>
    <mergeCell ref="A49:A54"/>
    <mergeCell ref="B49:B54"/>
    <mergeCell ref="C49:C54"/>
    <mergeCell ref="D49:D54"/>
    <mergeCell ref="E49:E54"/>
    <mergeCell ref="M36:M41"/>
    <mergeCell ref="B91:AK91"/>
    <mergeCell ref="M61:M66"/>
    <mergeCell ref="N61:N66"/>
    <mergeCell ref="J61:J66"/>
    <mergeCell ref="K61:K66"/>
    <mergeCell ref="L61:L66"/>
    <mergeCell ref="M49:M54"/>
    <mergeCell ref="N49:N54"/>
    <mergeCell ref="F55:F60"/>
    <mergeCell ref="G55:G60"/>
    <mergeCell ref="H55:H60"/>
    <mergeCell ref="I55:I60"/>
    <mergeCell ref="J55:J60"/>
    <mergeCell ref="F49:F54"/>
    <mergeCell ref="G49:G54"/>
    <mergeCell ref="H49:H54"/>
    <mergeCell ref="I49:I54"/>
    <mergeCell ref="K55:K60"/>
    <mergeCell ref="L55:L60"/>
    <mergeCell ref="M55:M60"/>
    <mergeCell ref="N55:N60"/>
    <mergeCell ref="B55:B60"/>
    <mergeCell ref="C55:C60"/>
    <mergeCell ref="D55:D60"/>
    <mergeCell ref="N36:N41"/>
    <mergeCell ref="J49:J54"/>
    <mergeCell ref="K49:K54"/>
    <mergeCell ref="L49:L54"/>
    <mergeCell ref="K43:K48"/>
    <mergeCell ref="G36:G41"/>
    <mergeCell ref="H36:H41"/>
    <mergeCell ref="J42:J48"/>
    <mergeCell ref="I42:I48"/>
    <mergeCell ref="H42:H48"/>
    <mergeCell ref="G42:G48"/>
    <mergeCell ref="A36:A41"/>
    <mergeCell ref="B36:B41"/>
    <mergeCell ref="C36:C41"/>
    <mergeCell ref="D36:D41"/>
    <mergeCell ref="E36:E41"/>
    <mergeCell ref="F36:F41"/>
    <mergeCell ref="C42:C48"/>
    <mergeCell ref="B42:B48"/>
    <mergeCell ref="A42:A48"/>
    <mergeCell ref="D30:D35"/>
    <mergeCell ref="E30:E35"/>
    <mergeCell ref="F30:F35"/>
    <mergeCell ref="G30:G35"/>
    <mergeCell ref="H30:H35"/>
    <mergeCell ref="I30:I35"/>
    <mergeCell ref="F42:F48"/>
    <mergeCell ref="E42:E48"/>
    <mergeCell ref="D42:D48"/>
    <mergeCell ref="J24:J29"/>
    <mergeCell ref="K24:K29"/>
    <mergeCell ref="L24:L29"/>
    <mergeCell ref="F18:F23"/>
    <mergeCell ref="G18:G23"/>
    <mergeCell ref="H18:H23"/>
    <mergeCell ref="I18:I23"/>
    <mergeCell ref="J18:J23"/>
    <mergeCell ref="A18:A23"/>
    <mergeCell ref="B18:B23"/>
    <mergeCell ref="C18:C23"/>
    <mergeCell ref="D18:D23"/>
    <mergeCell ref="E18:E23"/>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B10:B11"/>
    <mergeCell ref="N10:N11"/>
    <mergeCell ref="J10:J11"/>
    <mergeCell ref="K10:K11"/>
    <mergeCell ref="Q10:Q11"/>
    <mergeCell ref="R10:W10"/>
    <mergeCell ref="AE10:AE11"/>
    <mergeCell ref="AK10:AK11"/>
    <mergeCell ref="AJ10:AJ11"/>
    <mergeCell ref="AI10:AI11"/>
    <mergeCell ref="AG10:AG11"/>
    <mergeCell ref="AF10:AF11"/>
    <mergeCell ref="L18:L23"/>
    <mergeCell ref="M18:M23"/>
    <mergeCell ref="N18:N23"/>
    <mergeCell ref="N12:N17"/>
    <mergeCell ref="I12:I17"/>
    <mergeCell ref="J12:J17"/>
    <mergeCell ref="K12:K17"/>
    <mergeCell ref="L12:L17"/>
    <mergeCell ref="M12:M17"/>
    <mergeCell ref="Y10:Y11"/>
    <mergeCell ref="Z10:Z11"/>
    <mergeCell ref="G10:G11"/>
    <mergeCell ref="H10:H11"/>
    <mergeCell ref="I10:I11"/>
    <mergeCell ref="L10:L11"/>
    <mergeCell ref="M10:M11"/>
    <mergeCell ref="F73:F78"/>
    <mergeCell ref="G73:G78"/>
    <mergeCell ref="H73:H78"/>
    <mergeCell ref="I73:I78"/>
    <mergeCell ref="F12:F17"/>
    <mergeCell ref="G12:G17"/>
    <mergeCell ref="H12:H17"/>
    <mergeCell ref="A12:A17"/>
    <mergeCell ref="B12:B17"/>
    <mergeCell ref="C12:C17"/>
    <mergeCell ref="D12:D17"/>
    <mergeCell ref="E12:E17"/>
    <mergeCell ref="A24:A29"/>
    <mergeCell ref="B24:B29"/>
    <mergeCell ref="C24:C29"/>
    <mergeCell ref="D24:D29"/>
    <mergeCell ref="E24:E29"/>
    <mergeCell ref="F24:F29"/>
    <mergeCell ref="G24:G29"/>
    <mergeCell ref="H24:H29"/>
    <mergeCell ref="I24:I29"/>
    <mergeCell ref="A30:A35"/>
    <mergeCell ref="B30:B35"/>
    <mergeCell ref="C30:C35"/>
    <mergeCell ref="J73:J78"/>
    <mergeCell ref="K73:K78"/>
    <mergeCell ref="L73:L78"/>
    <mergeCell ref="M73:M78"/>
    <mergeCell ref="N73:N78"/>
    <mergeCell ref="A79:A84"/>
    <mergeCell ref="B79:B84"/>
    <mergeCell ref="C79:C84"/>
    <mergeCell ref="D79:D84"/>
    <mergeCell ref="E79:E84"/>
    <mergeCell ref="F79:F84"/>
    <mergeCell ref="G79:G84"/>
    <mergeCell ref="H79:H84"/>
    <mergeCell ref="I79:I84"/>
    <mergeCell ref="J79:J84"/>
    <mergeCell ref="K79:K84"/>
    <mergeCell ref="L79:L84"/>
    <mergeCell ref="M79:M84"/>
    <mergeCell ref="N79:N84"/>
    <mergeCell ref="A73:A78"/>
    <mergeCell ref="B73:B78"/>
    <mergeCell ref="C73:C78"/>
    <mergeCell ref="D73:D78"/>
    <mergeCell ref="E73:E78"/>
    <mergeCell ref="J85:J90"/>
    <mergeCell ref="K85:K90"/>
    <mergeCell ref="L85:L90"/>
    <mergeCell ref="M85:M90"/>
    <mergeCell ref="N85:N90"/>
    <mergeCell ref="A85:A90"/>
    <mergeCell ref="B85:B90"/>
    <mergeCell ref="C85:C90"/>
    <mergeCell ref="D85:D90"/>
    <mergeCell ref="E85:E90"/>
    <mergeCell ref="F85:F90"/>
    <mergeCell ref="G85:G90"/>
    <mergeCell ref="H85:H90"/>
    <mergeCell ref="I85:I90"/>
  </mergeCells>
  <conditionalFormatting sqref="H12 H18 Y44:Y48 Y42">
    <cfRule type="cellIs" dxfId="306" priority="594" operator="equal">
      <formula>"Muy Alta"</formula>
    </cfRule>
    <cfRule type="cellIs" dxfId="305" priority="595" operator="equal">
      <formula>"Alta"</formula>
    </cfRule>
    <cfRule type="cellIs" dxfId="304" priority="596" operator="equal">
      <formula>"Media"</formula>
    </cfRule>
    <cfRule type="cellIs" dxfId="303" priority="597" operator="equal">
      <formula>"Baja"</formula>
    </cfRule>
    <cfRule type="cellIs" dxfId="302" priority="598" operator="equal">
      <formula>"Muy Baja"</formula>
    </cfRule>
  </conditionalFormatting>
  <conditionalFormatting sqref="L12 L18 L24 L30 L36 L42 L49 L55 L61 L67 AA44:AA48 AA42">
    <cfRule type="cellIs" dxfId="301" priority="589" operator="equal">
      <formula>"Catastrófico"</formula>
    </cfRule>
    <cfRule type="cellIs" dxfId="300" priority="590" operator="equal">
      <formula>"Mayor"</formula>
    </cfRule>
    <cfRule type="cellIs" dxfId="299" priority="591" operator="equal">
      <formula>"Moderado"</formula>
    </cfRule>
    <cfRule type="cellIs" dxfId="298" priority="592" operator="equal">
      <formula>"Menor"</formula>
    </cfRule>
    <cfRule type="cellIs" dxfId="297" priority="593" operator="equal">
      <formula>"Leve"</formula>
    </cfRule>
  </conditionalFormatting>
  <conditionalFormatting sqref="N12 AC44:AC48 AC42">
    <cfRule type="cellIs" dxfId="296" priority="585" operator="equal">
      <formula>"Extremo"</formula>
    </cfRule>
    <cfRule type="cellIs" dxfId="295" priority="586" operator="equal">
      <formula>"Alto"</formula>
    </cfRule>
    <cfRule type="cellIs" dxfId="294" priority="587" operator="equal">
      <formula>"Moderado"</formula>
    </cfRule>
    <cfRule type="cellIs" dxfId="293" priority="588" operator="equal">
      <formula>"Bajo"</formula>
    </cfRule>
  </conditionalFormatting>
  <conditionalFormatting sqref="Y12:Y17">
    <cfRule type="cellIs" dxfId="292" priority="580" operator="equal">
      <formula>"Muy Alta"</formula>
    </cfRule>
    <cfRule type="cellIs" dxfId="291" priority="581" operator="equal">
      <formula>"Alta"</formula>
    </cfRule>
    <cfRule type="cellIs" dxfId="290" priority="582" operator="equal">
      <formula>"Media"</formula>
    </cfRule>
    <cfRule type="cellIs" dxfId="289" priority="583" operator="equal">
      <formula>"Baja"</formula>
    </cfRule>
    <cfRule type="cellIs" dxfId="288" priority="584" operator="equal">
      <formula>"Muy Baja"</formula>
    </cfRule>
  </conditionalFormatting>
  <conditionalFormatting sqref="AA12:AA17">
    <cfRule type="cellIs" dxfId="287" priority="575" operator="equal">
      <formula>"Catastrófico"</formula>
    </cfRule>
    <cfRule type="cellIs" dxfId="286" priority="576" operator="equal">
      <formula>"Mayor"</formula>
    </cfRule>
    <cfRule type="cellIs" dxfId="285" priority="577" operator="equal">
      <formula>"Moderado"</formula>
    </cfRule>
    <cfRule type="cellIs" dxfId="284" priority="578" operator="equal">
      <formula>"Menor"</formula>
    </cfRule>
    <cfRule type="cellIs" dxfId="283" priority="579" operator="equal">
      <formula>"Leve"</formula>
    </cfRule>
  </conditionalFormatting>
  <conditionalFormatting sqref="AC12:AC17">
    <cfRule type="cellIs" dxfId="282" priority="571" operator="equal">
      <formula>"Extremo"</formula>
    </cfRule>
    <cfRule type="cellIs" dxfId="281" priority="572" operator="equal">
      <formula>"Alto"</formula>
    </cfRule>
    <cfRule type="cellIs" dxfId="280" priority="573" operator="equal">
      <formula>"Moderado"</formula>
    </cfRule>
    <cfRule type="cellIs" dxfId="279" priority="574" operator="equal">
      <formula>"Bajo"</formula>
    </cfRule>
  </conditionalFormatting>
  <conditionalFormatting sqref="H61">
    <cfRule type="cellIs" dxfId="278" priority="328" operator="equal">
      <formula>"Muy Alta"</formula>
    </cfRule>
    <cfRule type="cellIs" dxfId="277" priority="329" operator="equal">
      <formula>"Alta"</formula>
    </cfRule>
    <cfRule type="cellIs" dxfId="276" priority="330" operator="equal">
      <formula>"Media"</formula>
    </cfRule>
    <cfRule type="cellIs" dxfId="275" priority="331" operator="equal">
      <formula>"Baja"</formula>
    </cfRule>
    <cfRule type="cellIs" dxfId="274" priority="332" operator="equal">
      <formula>"Muy Baja"</formula>
    </cfRule>
  </conditionalFormatting>
  <conditionalFormatting sqref="N18">
    <cfRule type="cellIs" dxfId="273" priority="515" operator="equal">
      <formula>"Extremo"</formula>
    </cfRule>
    <cfRule type="cellIs" dxfId="272" priority="516" operator="equal">
      <formula>"Alto"</formula>
    </cfRule>
    <cfRule type="cellIs" dxfId="271" priority="517" operator="equal">
      <formula>"Moderado"</formula>
    </cfRule>
    <cfRule type="cellIs" dxfId="270" priority="518" operator="equal">
      <formula>"Bajo"</formula>
    </cfRule>
  </conditionalFormatting>
  <conditionalFormatting sqref="Y18:Y23">
    <cfRule type="cellIs" dxfId="269" priority="510" operator="equal">
      <formula>"Muy Alta"</formula>
    </cfRule>
    <cfRule type="cellIs" dxfId="268" priority="511" operator="equal">
      <formula>"Alta"</formula>
    </cfRule>
    <cfRule type="cellIs" dxfId="267" priority="512" operator="equal">
      <formula>"Media"</formula>
    </cfRule>
    <cfRule type="cellIs" dxfId="266" priority="513" operator="equal">
      <formula>"Baja"</formula>
    </cfRule>
    <cfRule type="cellIs" dxfId="265" priority="514" operator="equal">
      <formula>"Muy Baja"</formula>
    </cfRule>
  </conditionalFormatting>
  <conditionalFormatting sqref="AA18:AA23">
    <cfRule type="cellIs" dxfId="264" priority="505" operator="equal">
      <formula>"Catastrófico"</formula>
    </cfRule>
    <cfRule type="cellIs" dxfId="263" priority="506" operator="equal">
      <formula>"Mayor"</formula>
    </cfRule>
    <cfRule type="cellIs" dxfId="262" priority="507" operator="equal">
      <formula>"Moderado"</formula>
    </cfRule>
    <cfRule type="cellIs" dxfId="261" priority="508" operator="equal">
      <formula>"Menor"</formula>
    </cfRule>
    <cfRule type="cellIs" dxfId="260" priority="509" operator="equal">
      <formula>"Leve"</formula>
    </cfRule>
  </conditionalFormatting>
  <conditionalFormatting sqref="AC18:AC23">
    <cfRule type="cellIs" dxfId="259" priority="501" operator="equal">
      <formula>"Extremo"</formula>
    </cfRule>
    <cfRule type="cellIs" dxfId="258" priority="502" operator="equal">
      <formula>"Alto"</formula>
    </cfRule>
    <cfRule type="cellIs" dxfId="257" priority="503" operator="equal">
      <formula>"Moderado"</formula>
    </cfRule>
    <cfRule type="cellIs" dxfId="256" priority="504" operator="equal">
      <formula>"Bajo"</formula>
    </cfRule>
  </conditionalFormatting>
  <conditionalFormatting sqref="H24">
    <cfRule type="cellIs" dxfId="255" priority="496" operator="equal">
      <formula>"Muy Alta"</formula>
    </cfRule>
    <cfRule type="cellIs" dxfId="254" priority="497" operator="equal">
      <formula>"Alta"</formula>
    </cfRule>
    <cfRule type="cellIs" dxfId="253" priority="498" operator="equal">
      <formula>"Media"</formula>
    </cfRule>
    <cfRule type="cellIs" dxfId="252" priority="499" operator="equal">
      <formula>"Baja"</formula>
    </cfRule>
    <cfRule type="cellIs" dxfId="251" priority="500" operator="equal">
      <formula>"Muy Baja"</formula>
    </cfRule>
  </conditionalFormatting>
  <conditionalFormatting sqref="N24">
    <cfRule type="cellIs" dxfId="250" priority="487" operator="equal">
      <formula>"Extremo"</formula>
    </cfRule>
    <cfRule type="cellIs" dxfId="249" priority="488" operator="equal">
      <formula>"Alto"</formula>
    </cfRule>
    <cfRule type="cellIs" dxfId="248" priority="489" operator="equal">
      <formula>"Moderado"</formula>
    </cfRule>
    <cfRule type="cellIs" dxfId="247" priority="490" operator="equal">
      <formula>"Bajo"</formula>
    </cfRule>
  </conditionalFormatting>
  <conditionalFormatting sqref="Y24:Y29">
    <cfRule type="cellIs" dxfId="246" priority="482" operator="equal">
      <formula>"Muy Alta"</formula>
    </cfRule>
    <cfRule type="cellIs" dxfId="245" priority="483" operator="equal">
      <formula>"Alta"</formula>
    </cfRule>
    <cfRule type="cellIs" dxfId="244" priority="484" operator="equal">
      <formula>"Media"</formula>
    </cfRule>
    <cfRule type="cellIs" dxfId="243" priority="485" operator="equal">
      <formula>"Baja"</formula>
    </cfRule>
    <cfRule type="cellIs" dxfId="242" priority="486" operator="equal">
      <formula>"Muy Baja"</formula>
    </cfRule>
  </conditionalFormatting>
  <conditionalFormatting sqref="AA24:AA29">
    <cfRule type="cellIs" dxfId="241" priority="477" operator="equal">
      <formula>"Catastrófico"</formula>
    </cfRule>
    <cfRule type="cellIs" dxfId="240" priority="478" operator="equal">
      <formula>"Mayor"</formula>
    </cfRule>
    <cfRule type="cellIs" dxfId="239" priority="479" operator="equal">
      <formula>"Moderado"</formula>
    </cfRule>
    <cfRule type="cellIs" dxfId="238" priority="480" operator="equal">
      <formula>"Menor"</formula>
    </cfRule>
    <cfRule type="cellIs" dxfId="237" priority="481" operator="equal">
      <formula>"Leve"</formula>
    </cfRule>
  </conditionalFormatting>
  <conditionalFormatting sqref="AC24:AC29">
    <cfRule type="cellIs" dxfId="236" priority="473" operator="equal">
      <formula>"Extremo"</formula>
    </cfRule>
    <cfRule type="cellIs" dxfId="235" priority="474" operator="equal">
      <formula>"Alto"</formula>
    </cfRule>
    <cfRule type="cellIs" dxfId="234" priority="475" operator="equal">
      <formula>"Moderado"</formula>
    </cfRule>
    <cfRule type="cellIs" dxfId="233" priority="476" operator="equal">
      <formula>"Bajo"</formula>
    </cfRule>
  </conditionalFormatting>
  <conditionalFormatting sqref="H30 H36">
    <cfRule type="cellIs" dxfId="232" priority="468" operator="equal">
      <formula>"Muy Alta"</formula>
    </cfRule>
    <cfRule type="cellIs" dxfId="231" priority="469" operator="equal">
      <formula>"Alta"</formula>
    </cfRule>
    <cfRule type="cellIs" dxfId="230" priority="470" operator="equal">
      <formula>"Media"</formula>
    </cfRule>
    <cfRule type="cellIs" dxfId="229" priority="471" operator="equal">
      <formula>"Baja"</formula>
    </cfRule>
    <cfRule type="cellIs" dxfId="228" priority="472" operator="equal">
      <formula>"Muy Baja"</formula>
    </cfRule>
  </conditionalFormatting>
  <conditionalFormatting sqref="N30">
    <cfRule type="cellIs" dxfId="227" priority="459" operator="equal">
      <formula>"Extremo"</formula>
    </cfRule>
    <cfRule type="cellIs" dxfId="226" priority="460" operator="equal">
      <formula>"Alto"</formula>
    </cfRule>
    <cfRule type="cellIs" dxfId="225" priority="461" operator="equal">
      <formula>"Moderado"</formula>
    </cfRule>
    <cfRule type="cellIs" dxfId="224" priority="462" operator="equal">
      <formula>"Bajo"</formula>
    </cfRule>
  </conditionalFormatting>
  <conditionalFormatting sqref="Y30:Y35">
    <cfRule type="cellIs" dxfId="223" priority="454" operator="equal">
      <formula>"Muy Alta"</formula>
    </cfRule>
    <cfRule type="cellIs" dxfId="222" priority="455" operator="equal">
      <formula>"Alta"</formula>
    </cfRule>
    <cfRule type="cellIs" dxfId="221" priority="456" operator="equal">
      <formula>"Media"</formula>
    </cfRule>
    <cfRule type="cellIs" dxfId="220" priority="457" operator="equal">
      <formula>"Baja"</formula>
    </cfRule>
    <cfRule type="cellIs" dxfId="219" priority="458" operator="equal">
      <formula>"Muy Baja"</formula>
    </cfRule>
  </conditionalFormatting>
  <conditionalFormatting sqref="AA30:AA35">
    <cfRule type="cellIs" dxfId="218" priority="449" operator="equal">
      <formula>"Catastrófico"</formula>
    </cfRule>
    <cfRule type="cellIs" dxfId="217" priority="450" operator="equal">
      <formula>"Mayor"</formula>
    </cfRule>
    <cfRule type="cellIs" dxfId="216" priority="451" operator="equal">
      <formula>"Moderado"</formula>
    </cfRule>
    <cfRule type="cellIs" dxfId="215" priority="452" operator="equal">
      <formula>"Menor"</formula>
    </cfRule>
    <cfRule type="cellIs" dxfId="214" priority="453" operator="equal">
      <formula>"Leve"</formula>
    </cfRule>
  </conditionalFormatting>
  <conditionalFormatting sqref="AC30:AC35">
    <cfRule type="cellIs" dxfId="213" priority="445" operator="equal">
      <formula>"Extremo"</formula>
    </cfRule>
    <cfRule type="cellIs" dxfId="212" priority="446" operator="equal">
      <formula>"Alto"</formula>
    </cfRule>
    <cfRule type="cellIs" dxfId="211" priority="447" operator="equal">
      <formula>"Moderado"</formula>
    </cfRule>
    <cfRule type="cellIs" dxfId="210" priority="448" operator="equal">
      <formula>"Bajo"</formula>
    </cfRule>
  </conditionalFormatting>
  <conditionalFormatting sqref="N36">
    <cfRule type="cellIs" dxfId="209" priority="431" operator="equal">
      <formula>"Extremo"</formula>
    </cfRule>
    <cfRule type="cellIs" dxfId="208" priority="432" operator="equal">
      <formula>"Alto"</formula>
    </cfRule>
    <cfRule type="cellIs" dxfId="207" priority="433" operator="equal">
      <formula>"Moderado"</formula>
    </cfRule>
    <cfRule type="cellIs" dxfId="206" priority="434" operator="equal">
      <formula>"Bajo"</formula>
    </cfRule>
  </conditionalFormatting>
  <conditionalFormatting sqref="Y36:Y41">
    <cfRule type="cellIs" dxfId="205" priority="426" operator="equal">
      <formula>"Muy Alta"</formula>
    </cfRule>
    <cfRule type="cellIs" dxfId="204" priority="427" operator="equal">
      <formula>"Alta"</formula>
    </cfRule>
    <cfRule type="cellIs" dxfId="203" priority="428" operator="equal">
      <formula>"Media"</formula>
    </cfRule>
    <cfRule type="cellIs" dxfId="202" priority="429" operator="equal">
      <formula>"Baja"</formula>
    </cfRule>
    <cfRule type="cellIs" dxfId="201" priority="430" operator="equal">
      <formula>"Muy Baja"</formula>
    </cfRule>
  </conditionalFormatting>
  <conditionalFormatting sqref="AA36:AA41">
    <cfRule type="cellIs" dxfId="200" priority="421" operator="equal">
      <formula>"Catastrófico"</formula>
    </cfRule>
    <cfRule type="cellIs" dxfId="199" priority="422" operator="equal">
      <formula>"Mayor"</formula>
    </cfRule>
    <cfRule type="cellIs" dxfId="198" priority="423" operator="equal">
      <formula>"Moderado"</formula>
    </cfRule>
    <cfRule type="cellIs" dxfId="197" priority="424" operator="equal">
      <formula>"Menor"</formula>
    </cfRule>
    <cfRule type="cellIs" dxfId="196" priority="425" operator="equal">
      <formula>"Leve"</formula>
    </cfRule>
  </conditionalFormatting>
  <conditionalFormatting sqref="AC36:AC41">
    <cfRule type="cellIs" dxfId="195" priority="417" operator="equal">
      <formula>"Extremo"</formula>
    </cfRule>
    <cfRule type="cellIs" dxfId="194" priority="418" operator="equal">
      <formula>"Alto"</formula>
    </cfRule>
    <cfRule type="cellIs" dxfId="193" priority="419" operator="equal">
      <formula>"Moderado"</formula>
    </cfRule>
    <cfRule type="cellIs" dxfId="192" priority="420" operator="equal">
      <formula>"Bajo"</formula>
    </cfRule>
  </conditionalFormatting>
  <conditionalFormatting sqref="H42">
    <cfRule type="cellIs" dxfId="191" priority="412" operator="equal">
      <formula>"Muy Alta"</formula>
    </cfRule>
    <cfRule type="cellIs" dxfId="190" priority="413" operator="equal">
      <formula>"Alta"</formula>
    </cfRule>
    <cfRule type="cellIs" dxfId="189" priority="414" operator="equal">
      <formula>"Media"</formula>
    </cfRule>
    <cfRule type="cellIs" dxfId="188" priority="415" operator="equal">
      <formula>"Baja"</formula>
    </cfRule>
    <cfRule type="cellIs" dxfId="187" priority="416" operator="equal">
      <formula>"Muy Baja"</formula>
    </cfRule>
  </conditionalFormatting>
  <conditionalFormatting sqref="N42">
    <cfRule type="cellIs" dxfId="186" priority="403" operator="equal">
      <formula>"Extremo"</formula>
    </cfRule>
    <cfRule type="cellIs" dxfId="185" priority="404" operator="equal">
      <formula>"Alto"</formula>
    </cfRule>
    <cfRule type="cellIs" dxfId="184" priority="405" operator="equal">
      <formula>"Moderado"</formula>
    </cfRule>
    <cfRule type="cellIs" dxfId="183" priority="406" operator="equal">
      <formula>"Bajo"</formula>
    </cfRule>
  </conditionalFormatting>
  <conditionalFormatting sqref="H49">
    <cfRule type="cellIs" dxfId="182" priority="384" operator="equal">
      <formula>"Muy Alta"</formula>
    </cfRule>
    <cfRule type="cellIs" dxfId="181" priority="385" operator="equal">
      <formula>"Alta"</formula>
    </cfRule>
    <cfRule type="cellIs" dxfId="180" priority="386" operator="equal">
      <formula>"Media"</formula>
    </cfRule>
    <cfRule type="cellIs" dxfId="179" priority="387" operator="equal">
      <formula>"Baja"</formula>
    </cfRule>
    <cfRule type="cellIs" dxfId="178" priority="388" operator="equal">
      <formula>"Muy Baja"</formula>
    </cfRule>
  </conditionalFormatting>
  <conditionalFormatting sqref="N49">
    <cfRule type="cellIs" dxfId="177" priority="375" operator="equal">
      <formula>"Extremo"</formula>
    </cfRule>
    <cfRule type="cellIs" dxfId="176" priority="376" operator="equal">
      <formula>"Alto"</formula>
    </cfRule>
    <cfRule type="cellIs" dxfId="175" priority="377" operator="equal">
      <formula>"Moderado"</formula>
    </cfRule>
    <cfRule type="cellIs" dxfId="174" priority="378" operator="equal">
      <formula>"Bajo"</formula>
    </cfRule>
  </conditionalFormatting>
  <conditionalFormatting sqref="Y49:Y54">
    <cfRule type="cellIs" dxfId="173" priority="370" operator="equal">
      <formula>"Muy Alta"</formula>
    </cfRule>
    <cfRule type="cellIs" dxfId="172" priority="371" operator="equal">
      <formula>"Alta"</formula>
    </cfRule>
    <cfRule type="cellIs" dxfId="171" priority="372" operator="equal">
      <formula>"Media"</formula>
    </cfRule>
    <cfRule type="cellIs" dxfId="170" priority="373" operator="equal">
      <formula>"Baja"</formula>
    </cfRule>
    <cfRule type="cellIs" dxfId="169" priority="374" operator="equal">
      <formula>"Muy Baja"</formula>
    </cfRule>
  </conditionalFormatting>
  <conditionalFormatting sqref="AA49:AA54">
    <cfRule type="cellIs" dxfId="168" priority="365" operator="equal">
      <formula>"Catastrófico"</formula>
    </cfRule>
    <cfRule type="cellIs" dxfId="167" priority="366" operator="equal">
      <formula>"Mayor"</formula>
    </cfRule>
    <cfRule type="cellIs" dxfId="166" priority="367" operator="equal">
      <formula>"Moderado"</formula>
    </cfRule>
    <cfRule type="cellIs" dxfId="165" priority="368" operator="equal">
      <formula>"Menor"</formula>
    </cfRule>
    <cfRule type="cellIs" dxfId="164" priority="369" operator="equal">
      <formula>"Leve"</formula>
    </cfRule>
  </conditionalFormatting>
  <conditionalFormatting sqref="AC49:AC54">
    <cfRule type="cellIs" dxfId="163" priority="361" operator="equal">
      <formula>"Extremo"</formula>
    </cfRule>
    <cfRule type="cellIs" dxfId="162" priority="362" operator="equal">
      <formula>"Alto"</formula>
    </cfRule>
    <cfRule type="cellIs" dxfId="161" priority="363" operator="equal">
      <formula>"Moderado"</formula>
    </cfRule>
    <cfRule type="cellIs" dxfId="160" priority="364" operator="equal">
      <formula>"Bajo"</formula>
    </cfRule>
  </conditionalFormatting>
  <conditionalFormatting sqref="H55">
    <cfRule type="cellIs" dxfId="159" priority="356" operator="equal">
      <formula>"Muy Alta"</formula>
    </cfRule>
    <cfRule type="cellIs" dxfId="158" priority="357" operator="equal">
      <formula>"Alta"</formula>
    </cfRule>
    <cfRule type="cellIs" dxfId="157" priority="358" operator="equal">
      <formula>"Media"</formula>
    </cfRule>
    <cfRule type="cellIs" dxfId="156" priority="359" operator="equal">
      <formula>"Baja"</formula>
    </cfRule>
    <cfRule type="cellIs" dxfId="155" priority="360" operator="equal">
      <formula>"Muy Baja"</formula>
    </cfRule>
  </conditionalFormatting>
  <conditionalFormatting sqref="N55">
    <cfRule type="cellIs" dxfId="154" priority="347" operator="equal">
      <formula>"Extremo"</formula>
    </cfRule>
    <cfRule type="cellIs" dxfId="153" priority="348" operator="equal">
      <formula>"Alto"</formula>
    </cfRule>
    <cfRule type="cellIs" dxfId="152" priority="349" operator="equal">
      <formula>"Moderado"</formula>
    </cfRule>
    <cfRule type="cellIs" dxfId="151" priority="350" operator="equal">
      <formula>"Bajo"</formula>
    </cfRule>
  </conditionalFormatting>
  <conditionalFormatting sqref="Y55:Y60">
    <cfRule type="cellIs" dxfId="150" priority="342" operator="equal">
      <formula>"Muy Alta"</formula>
    </cfRule>
    <cfRule type="cellIs" dxfId="149" priority="343" operator="equal">
      <formula>"Alta"</formula>
    </cfRule>
    <cfRule type="cellIs" dxfId="148" priority="344" operator="equal">
      <formula>"Media"</formula>
    </cfRule>
    <cfRule type="cellIs" dxfId="147" priority="345" operator="equal">
      <formula>"Baja"</formula>
    </cfRule>
    <cfRule type="cellIs" dxfId="146" priority="346" operator="equal">
      <formula>"Muy Baja"</formula>
    </cfRule>
  </conditionalFormatting>
  <conditionalFormatting sqref="AA55:AA60">
    <cfRule type="cellIs" dxfId="145" priority="337" operator="equal">
      <formula>"Catastrófico"</formula>
    </cfRule>
    <cfRule type="cellIs" dxfId="144" priority="338" operator="equal">
      <formula>"Mayor"</formula>
    </cfRule>
    <cfRule type="cellIs" dxfId="143" priority="339" operator="equal">
      <formula>"Moderado"</formula>
    </cfRule>
    <cfRule type="cellIs" dxfId="142" priority="340" operator="equal">
      <formula>"Menor"</formula>
    </cfRule>
    <cfRule type="cellIs" dxfId="141" priority="341" operator="equal">
      <formula>"Leve"</formula>
    </cfRule>
  </conditionalFormatting>
  <conditionalFormatting sqref="AC55:AC60">
    <cfRule type="cellIs" dxfId="140" priority="333" operator="equal">
      <formula>"Extremo"</formula>
    </cfRule>
    <cfRule type="cellIs" dxfId="139" priority="334" operator="equal">
      <formula>"Alto"</formula>
    </cfRule>
    <cfRule type="cellIs" dxfId="138" priority="335" operator="equal">
      <formula>"Moderado"</formula>
    </cfRule>
    <cfRule type="cellIs" dxfId="137" priority="336" operator="equal">
      <formula>"Bajo"</formula>
    </cfRule>
  </conditionalFormatting>
  <conditionalFormatting sqref="N61">
    <cfRule type="cellIs" dxfId="136" priority="319" operator="equal">
      <formula>"Extremo"</formula>
    </cfRule>
    <cfRule type="cellIs" dxfId="135" priority="320" operator="equal">
      <formula>"Alto"</formula>
    </cfRule>
    <cfRule type="cellIs" dxfId="134" priority="321" operator="equal">
      <formula>"Moderado"</formula>
    </cfRule>
    <cfRule type="cellIs" dxfId="133" priority="322" operator="equal">
      <formula>"Bajo"</formula>
    </cfRule>
  </conditionalFormatting>
  <conditionalFormatting sqref="Y61:Y66">
    <cfRule type="cellIs" dxfId="132" priority="314" operator="equal">
      <formula>"Muy Alta"</formula>
    </cfRule>
    <cfRule type="cellIs" dxfId="131" priority="315" operator="equal">
      <formula>"Alta"</formula>
    </cfRule>
    <cfRule type="cellIs" dxfId="130" priority="316" operator="equal">
      <formula>"Media"</formula>
    </cfRule>
    <cfRule type="cellIs" dxfId="129" priority="317" operator="equal">
      <formula>"Baja"</formula>
    </cfRule>
    <cfRule type="cellIs" dxfId="128" priority="318" operator="equal">
      <formula>"Muy Baja"</formula>
    </cfRule>
  </conditionalFormatting>
  <conditionalFormatting sqref="AA61:AA66">
    <cfRule type="cellIs" dxfId="127" priority="309" operator="equal">
      <formula>"Catastrófico"</formula>
    </cfRule>
    <cfRule type="cellIs" dxfId="126" priority="310" operator="equal">
      <formula>"Mayor"</formula>
    </cfRule>
    <cfRule type="cellIs" dxfId="125" priority="311" operator="equal">
      <formula>"Moderado"</formula>
    </cfRule>
    <cfRule type="cellIs" dxfId="124" priority="312" operator="equal">
      <formula>"Menor"</formula>
    </cfRule>
    <cfRule type="cellIs" dxfId="123" priority="313" operator="equal">
      <formula>"Leve"</formula>
    </cfRule>
  </conditionalFormatting>
  <conditionalFormatting sqref="AC61:AC62 AC64:AC66">
    <cfRule type="cellIs" dxfId="122" priority="305" operator="equal">
      <formula>"Extremo"</formula>
    </cfRule>
    <cfRule type="cellIs" dxfId="121" priority="306" operator="equal">
      <formula>"Alto"</formula>
    </cfRule>
    <cfRule type="cellIs" dxfId="120" priority="307" operator="equal">
      <formula>"Moderado"</formula>
    </cfRule>
    <cfRule type="cellIs" dxfId="119" priority="308" operator="equal">
      <formula>"Bajo"</formula>
    </cfRule>
  </conditionalFormatting>
  <conditionalFormatting sqref="H67">
    <cfRule type="cellIs" dxfId="118" priority="300" operator="equal">
      <formula>"Muy Alta"</formula>
    </cfRule>
    <cfRule type="cellIs" dxfId="117" priority="301" operator="equal">
      <formula>"Alta"</formula>
    </cfRule>
    <cfRule type="cellIs" dxfId="116" priority="302" operator="equal">
      <formula>"Media"</formula>
    </cfRule>
    <cfRule type="cellIs" dxfId="115" priority="303" operator="equal">
      <formula>"Baja"</formula>
    </cfRule>
    <cfRule type="cellIs" dxfId="114" priority="304" operator="equal">
      <formula>"Muy Baja"</formula>
    </cfRule>
  </conditionalFormatting>
  <conditionalFormatting sqref="N67">
    <cfRule type="cellIs" dxfId="113" priority="291" operator="equal">
      <formula>"Extremo"</formula>
    </cfRule>
    <cfRule type="cellIs" dxfId="112" priority="292" operator="equal">
      <formula>"Alto"</formula>
    </cfRule>
    <cfRule type="cellIs" dxfId="111" priority="293" operator="equal">
      <formula>"Moderado"</formula>
    </cfRule>
    <cfRule type="cellIs" dxfId="110" priority="294" operator="equal">
      <formula>"Bajo"</formula>
    </cfRule>
  </conditionalFormatting>
  <conditionalFormatting sqref="Y67:Y72">
    <cfRule type="cellIs" dxfId="109" priority="286" operator="equal">
      <formula>"Muy Alta"</formula>
    </cfRule>
    <cfRule type="cellIs" dxfId="108" priority="287" operator="equal">
      <formula>"Alta"</formula>
    </cfRule>
    <cfRule type="cellIs" dxfId="107" priority="288" operator="equal">
      <formula>"Media"</formula>
    </cfRule>
    <cfRule type="cellIs" dxfId="106" priority="289" operator="equal">
      <formula>"Baja"</formula>
    </cfRule>
    <cfRule type="cellIs" dxfId="105" priority="290" operator="equal">
      <formula>"Muy Baja"</formula>
    </cfRule>
  </conditionalFormatting>
  <conditionalFormatting sqref="AA67:AA72">
    <cfRule type="cellIs" dxfId="104" priority="281" operator="equal">
      <formula>"Catastrófico"</formula>
    </cfRule>
    <cfRule type="cellIs" dxfId="103" priority="282" operator="equal">
      <formula>"Mayor"</formula>
    </cfRule>
    <cfRule type="cellIs" dxfId="102" priority="283" operator="equal">
      <formula>"Moderado"</formula>
    </cfRule>
    <cfRule type="cellIs" dxfId="101" priority="284" operator="equal">
      <formula>"Menor"</formula>
    </cfRule>
    <cfRule type="cellIs" dxfId="100" priority="285" operator="equal">
      <formula>"Leve"</formula>
    </cfRule>
  </conditionalFormatting>
  <conditionalFormatting sqref="AC67:AC72">
    <cfRule type="cellIs" dxfId="99" priority="277" operator="equal">
      <formula>"Extremo"</formula>
    </cfRule>
    <cfRule type="cellIs" dxfId="98" priority="278" operator="equal">
      <formula>"Alto"</formula>
    </cfRule>
    <cfRule type="cellIs" dxfId="97" priority="279" operator="equal">
      <formula>"Moderado"</formula>
    </cfRule>
    <cfRule type="cellIs" dxfId="96" priority="280" operator="equal">
      <formula>"Bajo"</formula>
    </cfRule>
  </conditionalFormatting>
  <conditionalFormatting sqref="K12:K72">
    <cfRule type="containsText" dxfId="95" priority="276" operator="containsText" text="❌">
      <formula>NOT(ISERROR(SEARCH("❌",K12)))</formula>
    </cfRule>
  </conditionalFormatting>
  <conditionalFormatting sqref="AC63">
    <cfRule type="cellIs" dxfId="94" priority="88" operator="equal">
      <formula>"Extremo"</formula>
    </cfRule>
    <cfRule type="cellIs" dxfId="93" priority="89" operator="equal">
      <formula>"Alto"</formula>
    </cfRule>
    <cfRule type="cellIs" dxfId="92" priority="90" operator="equal">
      <formula>"Moderado"</formula>
    </cfRule>
    <cfRule type="cellIs" dxfId="91" priority="91" operator="equal">
      <formula>"Bajo"</formula>
    </cfRule>
  </conditionalFormatting>
  <conditionalFormatting sqref="L73">
    <cfRule type="cellIs" dxfId="90" priority="83" operator="equal">
      <formula>"Catastrófico"</formula>
    </cfRule>
    <cfRule type="cellIs" dxfId="89" priority="84" operator="equal">
      <formula>"Mayor"</formula>
    </cfRule>
    <cfRule type="cellIs" dxfId="88" priority="85" operator="equal">
      <formula>"Moderado"</formula>
    </cfRule>
    <cfRule type="cellIs" dxfId="87" priority="86" operator="equal">
      <formula>"Menor"</formula>
    </cfRule>
    <cfRule type="cellIs" dxfId="86" priority="87" operator="equal">
      <formula>"Leve"</formula>
    </cfRule>
  </conditionalFormatting>
  <conditionalFormatting sqref="H73">
    <cfRule type="cellIs" dxfId="85" priority="78" operator="equal">
      <formula>"Muy Alta"</formula>
    </cfRule>
    <cfRule type="cellIs" dxfId="84" priority="79" operator="equal">
      <formula>"Alta"</formula>
    </cfRule>
    <cfRule type="cellIs" dxfId="83" priority="80" operator="equal">
      <formula>"Media"</formula>
    </cfRule>
    <cfRule type="cellIs" dxfId="82" priority="81" operator="equal">
      <formula>"Baja"</formula>
    </cfRule>
    <cfRule type="cellIs" dxfId="81" priority="82" operator="equal">
      <formula>"Muy Baja"</formula>
    </cfRule>
  </conditionalFormatting>
  <conditionalFormatting sqref="N73">
    <cfRule type="cellIs" dxfId="80" priority="74" operator="equal">
      <formula>"Extremo"</formula>
    </cfRule>
    <cfRule type="cellIs" dxfId="79" priority="75" operator="equal">
      <formula>"Alto"</formula>
    </cfRule>
    <cfRule type="cellIs" dxfId="78" priority="76" operator="equal">
      <formula>"Moderado"</formula>
    </cfRule>
    <cfRule type="cellIs" dxfId="77" priority="77" operator="equal">
      <formula>"Bajo"</formula>
    </cfRule>
  </conditionalFormatting>
  <conditionalFormatting sqref="Y73:Y78">
    <cfRule type="cellIs" dxfId="76" priority="69" operator="equal">
      <formula>"Muy Alta"</formula>
    </cfRule>
    <cfRule type="cellIs" dxfId="75" priority="70" operator="equal">
      <formula>"Alta"</formula>
    </cfRule>
    <cfRule type="cellIs" dxfId="74" priority="71" operator="equal">
      <formula>"Media"</formula>
    </cfRule>
    <cfRule type="cellIs" dxfId="73" priority="72" operator="equal">
      <formula>"Baja"</formula>
    </cfRule>
    <cfRule type="cellIs" dxfId="72" priority="73" operator="equal">
      <formula>"Muy Baja"</formula>
    </cfRule>
  </conditionalFormatting>
  <conditionalFormatting sqref="AA73:AA78">
    <cfRule type="cellIs" dxfId="71" priority="64" operator="equal">
      <formula>"Catastrófico"</formula>
    </cfRule>
    <cfRule type="cellIs" dxfId="70" priority="65" operator="equal">
      <formula>"Mayor"</formula>
    </cfRule>
    <cfRule type="cellIs" dxfId="69" priority="66" operator="equal">
      <formula>"Moderado"</formula>
    </cfRule>
    <cfRule type="cellIs" dxfId="68" priority="67" operator="equal">
      <formula>"Menor"</formula>
    </cfRule>
    <cfRule type="cellIs" dxfId="67" priority="68" operator="equal">
      <formula>"Leve"</formula>
    </cfRule>
  </conditionalFormatting>
  <conditionalFormatting sqref="AC73:AC78">
    <cfRule type="cellIs" dxfId="66" priority="60" operator="equal">
      <formula>"Extremo"</formula>
    </cfRule>
    <cfRule type="cellIs" dxfId="65" priority="61" operator="equal">
      <formula>"Alto"</formula>
    </cfRule>
    <cfRule type="cellIs" dxfId="64" priority="62" operator="equal">
      <formula>"Moderado"</formula>
    </cfRule>
    <cfRule type="cellIs" dxfId="63" priority="63" operator="equal">
      <formula>"Bajo"</formula>
    </cfRule>
  </conditionalFormatting>
  <conditionalFormatting sqref="K73:K78">
    <cfRule type="containsText" dxfId="62" priority="59" operator="containsText" text="❌">
      <formula>NOT(ISERROR(SEARCH("❌",K73)))</formula>
    </cfRule>
  </conditionalFormatting>
  <conditionalFormatting sqref="L79">
    <cfRule type="cellIs" dxfId="61" priority="54" operator="equal">
      <formula>"Catastrófico"</formula>
    </cfRule>
    <cfRule type="cellIs" dxfId="60" priority="55" operator="equal">
      <formula>"Mayor"</formula>
    </cfRule>
    <cfRule type="cellIs" dxfId="59" priority="56" operator="equal">
      <formula>"Moderado"</formula>
    </cfRule>
    <cfRule type="cellIs" dxfId="58" priority="57" operator="equal">
      <formula>"Menor"</formula>
    </cfRule>
    <cfRule type="cellIs" dxfId="57" priority="58" operator="equal">
      <formula>"Leve"</formula>
    </cfRule>
  </conditionalFormatting>
  <conditionalFormatting sqref="H79">
    <cfRule type="cellIs" dxfId="56" priority="49" operator="equal">
      <formula>"Muy Alta"</formula>
    </cfRule>
    <cfRule type="cellIs" dxfId="55" priority="50" operator="equal">
      <formula>"Alta"</formula>
    </cfRule>
    <cfRule type="cellIs" dxfId="54" priority="51" operator="equal">
      <formula>"Media"</formula>
    </cfRule>
    <cfRule type="cellIs" dxfId="53" priority="52" operator="equal">
      <formula>"Baja"</formula>
    </cfRule>
    <cfRule type="cellIs" dxfId="52" priority="53" operator="equal">
      <formula>"Muy Baja"</formula>
    </cfRule>
  </conditionalFormatting>
  <conditionalFormatting sqref="N79">
    <cfRule type="cellIs" dxfId="51" priority="45" operator="equal">
      <formula>"Extremo"</formula>
    </cfRule>
    <cfRule type="cellIs" dxfId="50" priority="46" operator="equal">
      <formula>"Alto"</formula>
    </cfRule>
    <cfRule type="cellIs" dxfId="49" priority="47" operator="equal">
      <formula>"Moderado"</formula>
    </cfRule>
    <cfRule type="cellIs" dxfId="48" priority="48" operator="equal">
      <formula>"Bajo"</formula>
    </cfRule>
  </conditionalFormatting>
  <conditionalFormatting sqref="Y79:Y84">
    <cfRule type="cellIs" dxfId="47" priority="40" operator="equal">
      <formula>"Muy Alta"</formula>
    </cfRule>
    <cfRule type="cellIs" dxfId="46" priority="41" operator="equal">
      <formula>"Alta"</formula>
    </cfRule>
    <cfRule type="cellIs" dxfId="45" priority="42" operator="equal">
      <formula>"Media"</formula>
    </cfRule>
    <cfRule type="cellIs" dxfId="44" priority="43" operator="equal">
      <formula>"Baja"</formula>
    </cfRule>
    <cfRule type="cellIs" dxfId="43" priority="44" operator="equal">
      <formula>"Muy Baja"</formula>
    </cfRule>
  </conditionalFormatting>
  <conditionalFormatting sqref="AA79:AA84">
    <cfRule type="cellIs" dxfId="42" priority="35" operator="equal">
      <formula>"Catastrófico"</formula>
    </cfRule>
    <cfRule type="cellIs" dxfId="41" priority="36" operator="equal">
      <formula>"Mayor"</formula>
    </cfRule>
    <cfRule type="cellIs" dxfId="40" priority="37" operator="equal">
      <formula>"Moderado"</formula>
    </cfRule>
    <cfRule type="cellIs" dxfId="39" priority="38" operator="equal">
      <formula>"Menor"</formula>
    </cfRule>
    <cfRule type="cellIs" dxfId="38" priority="39" operator="equal">
      <formula>"Leve"</formula>
    </cfRule>
  </conditionalFormatting>
  <conditionalFormatting sqref="AC79:AC84">
    <cfRule type="cellIs" dxfId="37" priority="31" operator="equal">
      <formula>"Extremo"</formula>
    </cfRule>
    <cfRule type="cellIs" dxfId="36" priority="32" operator="equal">
      <formula>"Alto"</formula>
    </cfRule>
    <cfRule type="cellIs" dxfId="35" priority="33" operator="equal">
      <formula>"Moderado"</formula>
    </cfRule>
    <cfRule type="cellIs" dxfId="34" priority="34" operator="equal">
      <formula>"Bajo"</formula>
    </cfRule>
  </conditionalFormatting>
  <conditionalFormatting sqref="K79:K84">
    <cfRule type="containsText" dxfId="33" priority="30" operator="containsText" text="❌">
      <formula>NOT(ISERROR(SEARCH("❌",K79)))</formula>
    </cfRule>
  </conditionalFormatting>
  <conditionalFormatting sqref="L85">
    <cfRule type="cellIs" dxfId="32" priority="25" operator="equal">
      <formula>"Catastrófico"</formula>
    </cfRule>
    <cfRule type="cellIs" dxfId="31" priority="26" operator="equal">
      <formula>"Mayor"</formula>
    </cfRule>
    <cfRule type="cellIs" dxfId="30" priority="27" operator="equal">
      <formula>"Moderado"</formula>
    </cfRule>
    <cfRule type="cellIs" dxfId="29" priority="28" operator="equal">
      <formula>"Menor"</formula>
    </cfRule>
    <cfRule type="cellIs" dxfId="28" priority="29" operator="equal">
      <formula>"Leve"</formula>
    </cfRule>
  </conditionalFormatting>
  <conditionalFormatting sqref="H85">
    <cfRule type="cellIs" dxfId="27" priority="20" operator="equal">
      <formula>"Muy Alta"</formula>
    </cfRule>
    <cfRule type="cellIs" dxfId="26" priority="21" operator="equal">
      <formula>"Alta"</formula>
    </cfRule>
    <cfRule type="cellIs" dxfId="25" priority="22" operator="equal">
      <formula>"Media"</formula>
    </cfRule>
    <cfRule type="cellIs" dxfId="24" priority="23" operator="equal">
      <formula>"Baja"</formula>
    </cfRule>
    <cfRule type="cellIs" dxfId="23" priority="24" operator="equal">
      <formula>"Muy Baja"</formula>
    </cfRule>
  </conditionalFormatting>
  <conditionalFormatting sqref="N85">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85:Y90">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85:AA90">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85:AC90">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85:K90">
    <cfRule type="containsText" dxfId="4" priority="1" operator="containsText" text="❌">
      <formula>NOT(ISERROR(SEARCH("❌",K85)))</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AK43:AK44 AK46:AK47 AK49:AK50 AK52:AK53 AK55:AK56 AK58:AK59 AK61:AK62 AK64:AK65 AK67:AK68 AK70:AK71 AK73:AK74 AK76:AK77 AK79:AK80 AK82:AK83 AK85:AK86 AK88:AK89</xm:sqref>
        </x14:dataValidation>
        <x14:dataValidation type="list" allowBlank="1" showInputMessage="1" showErrorMessage="1" xr:uid="{00000000-0002-0000-0100-000000000000}">
          <x14:formula1>
            <xm:f>'Tabla Valoración controles'!$D$4:$D$6</xm:f>
          </x14:formula1>
          <xm:sqref>R12:R42 R44:R90</xm:sqref>
        </x14:dataValidation>
        <x14:dataValidation type="list" allowBlank="1" showInputMessage="1" showErrorMessage="1" xr:uid="{00000000-0002-0000-0100-000001000000}">
          <x14:formula1>
            <xm:f>'Tabla Valoración controles'!$D$7:$D$8</xm:f>
          </x14:formula1>
          <xm:sqref>S12:S42 S44:S90</xm:sqref>
        </x14:dataValidation>
        <x14:dataValidation type="list" allowBlank="1" showInputMessage="1" showErrorMessage="1" xr:uid="{00000000-0002-0000-0100-000002000000}">
          <x14:formula1>
            <xm:f>'Tabla Valoración controles'!$D$9:$D$10</xm:f>
          </x14:formula1>
          <xm:sqref>U12:U42 U44:U90</xm:sqref>
        </x14:dataValidation>
        <x14:dataValidation type="list" allowBlank="1" showInputMessage="1" showErrorMessage="1" xr:uid="{00000000-0002-0000-0100-000003000000}">
          <x14:formula1>
            <xm:f>'Tabla Valoración controles'!$D$11:$D$12</xm:f>
          </x14:formula1>
          <xm:sqref>V12:V42 V44:V90</xm:sqref>
        </x14:dataValidation>
        <x14:dataValidation type="list" allowBlank="1" showInputMessage="1" showErrorMessage="1" xr:uid="{00000000-0002-0000-0100-000005000000}">
          <x14:formula1>
            <xm:f>'Tabla Valoración controles'!$D$13:$D$14</xm:f>
          </x14:formula1>
          <xm:sqref>W12:W42 W44:W90</xm:sqref>
        </x14:dataValidation>
        <x14:dataValidation type="list" allowBlank="1" showInputMessage="1" showErrorMessage="1" xr:uid="{00000000-0002-0000-0100-000006000000}">
          <x14:formula1>
            <xm:f>'Opciones Tratamiento'!$B$13:$B$19</xm:f>
          </x14:formula1>
          <xm:sqref>F12:F42 F49:F90</xm:sqref>
        </x14:dataValidation>
        <x14:dataValidation type="list" allowBlank="1" showInputMessage="1" showErrorMessage="1" xr:uid="{00000000-0002-0000-0100-000007000000}">
          <x14:formula1>
            <xm:f>'Opciones Tratamiento'!$E$2:$E$4</xm:f>
          </x14:formula1>
          <xm:sqref>B12:B42 B49:B90</xm:sqref>
        </x14:dataValidation>
        <x14:dataValidation type="list" allowBlank="1" showInputMessage="1" showErrorMessage="1" xr:uid="{00000000-0002-0000-0100-000008000000}">
          <x14:formula1>
            <xm:f>'Opciones Tratamiento'!$B$2:$B$5</xm:f>
          </x14:formula1>
          <xm:sqref>AD12:AD42 AD44:AD90</xm:sqref>
        </x14:dataValidation>
        <x14:dataValidation type="list" allowBlank="1" showInputMessage="1" showErrorMessage="1" xr:uid="{00000000-0002-0000-0100-000009000000}">
          <x14:formula1>
            <xm:f>'Tabla Impacto'!$F$210:$F$221</xm:f>
          </x14:formula1>
          <xm:sqref>J12:J42 J49:J90</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AE12:AE60 AE62:AE66 AE68:AE72 AE74:AE78 AE80:AE84 AE86:AE90</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AG61:AG62 AF12:AF66 AF68:AF72 AF74:AF78 AF80:AF84 AF86:AF90</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AG12:AH60 AH61:AH62 AG63:AH66 AG68:AH72 AG74:AH78 AG80:AH84 AG86:AH90</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AI12:AI90</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AJ12:AJ90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P28" sqref="P28:Q29"/>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53" t="s">
        <v>126</v>
      </c>
      <c r="C2" s="453"/>
      <c r="D2" s="453"/>
      <c r="E2" s="453"/>
      <c r="F2" s="453"/>
      <c r="G2" s="453"/>
      <c r="H2" s="453"/>
      <c r="I2" s="453"/>
      <c r="J2" s="490" t="s">
        <v>23</v>
      </c>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53"/>
      <c r="C3" s="453"/>
      <c r="D3" s="453"/>
      <c r="E3" s="453"/>
      <c r="F3" s="453"/>
      <c r="G3" s="453"/>
      <c r="H3" s="453"/>
      <c r="I3" s="453"/>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53"/>
      <c r="C4" s="453"/>
      <c r="D4" s="453"/>
      <c r="E4" s="453"/>
      <c r="F4" s="453"/>
      <c r="G4" s="453"/>
      <c r="H4" s="453"/>
      <c r="I4" s="453"/>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501" t="s">
        <v>127</v>
      </c>
      <c r="C6" s="501"/>
      <c r="D6" s="502"/>
      <c r="E6" s="491" t="s">
        <v>128</v>
      </c>
      <c r="F6" s="492"/>
      <c r="G6" s="492"/>
      <c r="H6" s="492"/>
      <c r="I6" s="493"/>
      <c r="J6" s="487" t="str">
        <f>IF(AND('Mapa de Riesgos'!$H$12="Muy Alta",'Mapa de Riesgos'!$L$12="Leve"),CONCATENATE("R",'Mapa de Riesgos'!$A$12),"")</f>
        <v/>
      </c>
      <c r="K6" s="488"/>
      <c r="L6" s="488" t="str">
        <f>IF(AND('Mapa de Riesgos'!$H$18="Muy Alta",'Mapa de Riesgos'!$L$18="Leve"),CONCATENATE("R",'Mapa de Riesgos'!$A$18),"")</f>
        <v/>
      </c>
      <c r="M6" s="488"/>
      <c r="N6" s="488" t="str">
        <f>IF(AND('Mapa de Riesgos'!$H$24="Muy Alta",'Mapa de Riesgos'!$L$24="Leve"),CONCATENATE("R",'Mapa de Riesgos'!$A$24),"")</f>
        <v/>
      </c>
      <c r="O6" s="489"/>
      <c r="P6" s="487" t="str">
        <f>IF(AND('Mapa de Riesgos'!$H$12="Muy Alta",'Mapa de Riesgos'!$L$12="Menor"),CONCATENATE("R",'Mapa de Riesgos'!$A$12),"")</f>
        <v/>
      </c>
      <c r="Q6" s="488"/>
      <c r="R6" s="488" t="str">
        <f>IF(AND('Mapa de Riesgos'!$H$18="Muy Alta",'Mapa de Riesgos'!$L$18="Menor"),CONCATENATE("R",'Mapa de Riesgos'!$A$18),"")</f>
        <v/>
      </c>
      <c r="S6" s="488"/>
      <c r="T6" s="488" t="str">
        <f>IF(AND('Mapa de Riesgos'!$H$24="Muy Alta",'Mapa de Riesgos'!$L$24="Menor"),CONCATENATE("R",'Mapa de Riesgos'!$A$24),"")</f>
        <v/>
      </c>
      <c r="U6" s="489"/>
      <c r="V6" s="487" t="str">
        <f>IF(AND('Mapa de Riesgos'!$H$12="Muy Alta",'Mapa de Riesgos'!$L$12="Moderado"),CONCATENATE("R",'Mapa de Riesgos'!$A$12),"")</f>
        <v/>
      </c>
      <c r="W6" s="488"/>
      <c r="X6" s="488" t="str">
        <f>IF(AND('Mapa de Riesgos'!$H$18="Muy Alta",'Mapa de Riesgos'!$L$18="Moderado"),CONCATENATE("R",'Mapa de Riesgos'!$A$18),"")</f>
        <v/>
      </c>
      <c r="Y6" s="488"/>
      <c r="Z6" s="488" t="str">
        <f>IF(AND('Mapa de Riesgos'!$H$24="Muy Alta",'Mapa de Riesgos'!$L$24="Moderado"),CONCATENATE("R",'Mapa de Riesgos'!$A$24),"")</f>
        <v/>
      </c>
      <c r="AA6" s="489"/>
      <c r="AB6" s="487" t="str">
        <f>IF(AND('Mapa de Riesgos'!$H$12="Muy Alta",'Mapa de Riesgos'!$L$12="Mayor"),CONCATENATE("R",'Mapa de Riesgos'!$A$12),"")</f>
        <v/>
      </c>
      <c r="AC6" s="488"/>
      <c r="AD6" s="488" t="str">
        <f>IF(AND('Mapa de Riesgos'!$H$18="Muy Alta",'Mapa de Riesgos'!$L$18="Mayor"),CONCATENATE("R",'Mapa de Riesgos'!$A$18),"")</f>
        <v/>
      </c>
      <c r="AE6" s="488"/>
      <c r="AF6" s="488" t="str">
        <f>IF(AND('Mapa de Riesgos'!$H$24="Muy Alta",'Mapa de Riesgos'!$L$24="Mayor"),CONCATENATE("R",'Mapa de Riesgos'!$A$24),"")</f>
        <v/>
      </c>
      <c r="AG6" s="489"/>
      <c r="AH6" s="478" t="str">
        <f>IF(AND('Mapa de Riesgos'!$H$12="Muy Alta",'Mapa de Riesgos'!$L$12="Catastrófico"),CONCATENATE("R",'Mapa de Riesgos'!$A$12),"")</f>
        <v/>
      </c>
      <c r="AI6" s="479"/>
      <c r="AJ6" s="479" t="str">
        <f>IF(AND('Mapa de Riesgos'!$H$18="Muy Alta",'Mapa de Riesgos'!$L$18="Catastrófico"),CONCATENATE("R",'Mapa de Riesgos'!$A$18),"")</f>
        <v/>
      </c>
      <c r="AK6" s="479"/>
      <c r="AL6" s="479" t="str">
        <f>IF(AND('Mapa de Riesgos'!$H$24="Muy Alta",'Mapa de Riesgos'!$L$24="Catastrófico"),CONCATENATE("R",'Mapa de Riesgos'!$A$24),"")</f>
        <v/>
      </c>
      <c r="AM6" s="480"/>
      <c r="AO6" s="503" t="s">
        <v>129</v>
      </c>
      <c r="AP6" s="504"/>
      <c r="AQ6" s="504"/>
      <c r="AR6" s="504"/>
      <c r="AS6" s="504"/>
      <c r="AT6" s="50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501"/>
      <c r="C7" s="501"/>
      <c r="D7" s="502"/>
      <c r="E7" s="494"/>
      <c r="F7" s="495"/>
      <c r="G7" s="495"/>
      <c r="H7" s="495"/>
      <c r="I7" s="496"/>
      <c r="J7" s="481"/>
      <c r="K7" s="482"/>
      <c r="L7" s="482"/>
      <c r="M7" s="482"/>
      <c r="N7" s="482"/>
      <c r="O7" s="483"/>
      <c r="P7" s="481"/>
      <c r="Q7" s="482"/>
      <c r="R7" s="482"/>
      <c r="S7" s="482"/>
      <c r="T7" s="482"/>
      <c r="U7" s="483"/>
      <c r="V7" s="481"/>
      <c r="W7" s="482"/>
      <c r="X7" s="482"/>
      <c r="Y7" s="482"/>
      <c r="Z7" s="482"/>
      <c r="AA7" s="483"/>
      <c r="AB7" s="481"/>
      <c r="AC7" s="482"/>
      <c r="AD7" s="482"/>
      <c r="AE7" s="482"/>
      <c r="AF7" s="482"/>
      <c r="AG7" s="483"/>
      <c r="AH7" s="472"/>
      <c r="AI7" s="473"/>
      <c r="AJ7" s="473"/>
      <c r="AK7" s="473"/>
      <c r="AL7" s="473"/>
      <c r="AM7" s="474"/>
      <c r="AN7" s="83"/>
      <c r="AO7" s="506"/>
      <c r="AP7" s="507"/>
      <c r="AQ7" s="507"/>
      <c r="AR7" s="507"/>
      <c r="AS7" s="507"/>
      <c r="AT7" s="50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501"/>
      <c r="C8" s="501"/>
      <c r="D8" s="502"/>
      <c r="E8" s="494"/>
      <c r="F8" s="495"/>
      <c r="G8" s="495"/>
      <c r="H8" s="495"/>
      <c r="I8" s="496"/>
      <c r="J8" s="481" t="str">
        <f>IF(AND('Mapa de Riesgos'!$H$30="Muy Alta",'Mapa de Riesgos'!$L$30="Leve"),CONCATENATE("R",'Mapa de Riesgos'!$A$30),"")</f>
        <v/>
      </c>
      <c r="K8" s="482"/>
      <c r="L8" s="482" t="str">
        <f>IF(AND('Mapa de Riesgos'!$H$36="Muy Alta",'Mapa de Riesgos'!$L$36="Leve"),CONCATENATE("R",'Mapa de Riesgos'!$A$36),"")</f>
        <v/>
      </c>
      <c r="M8" s="482"/>
      <c r="N8" s="482" t="str">
        <f>IF(AND('Mapa de Riesgos'!$H$42="Muy Alta",'Mapa de Riesgos'!$L$42="Leve"),CONCATENATE("R",'Mapa de Riesgos'!$A$42),"")</f>
        <v/>
      </c>
      <c r="O8" s="483"/>
      <c r="P8" s="481" t="str">
        <f>IF(AND('Mapa de Riesgos'!$H$30="Muy Alta",'Mapa de Riesgos'!$L$30="Menor"),CONCATENATE("R",'Mapa de Riesgos'!$A$30),"")</f>
        <v/>
      </c>
      <c r="Q8" s="482"/>
      <c r="R8" s="482" t="str">
        <f>IF(AND('Mapa de Riesgos'!$H$36="Muy Alta",'Mapa de Riesgos'!$L$36="Menor"),CONCATENATE("R",'Mapa de Riesgos'!$A$36),"")</f>
        <v/>
      </c>
      <c r="S8" s="482"/>
      <c r="T8" s="482" t="str">
        <f>IF(AND('Mapa de Riesgos'!$H$42="Muy Alta",'Mapa de Riesgos'!$L$42="Menor"),CONCATENATE("R",'Mapa de Riesgos'!$A$42),"")</f>
        <v/>
      </c>
      <c r="U8" s="483"/>
      <c r="V8" s="481" t="str">
        <f>IF(AND('Mapa de Riesgos'!$H$30="Muy Alta",'Mapa de Riesgos'!$L$30="Moderado"),CONCATENATE("R",'Mapa de Riesgos'!$A$30),"")</f>
        <v/>
      </c>
      <c r="W8" s="482"/>
      <c r="X8" s="482" t="str">
        <f>IF(AND('Mapa de Riesgos'!$H$36="Muy Alta",'Mapa de Riesgos'!$L$36="Moderado"),CONCATENATE("R",'Mapa de Riesgos'!$A$36),"")</f>
        <v/>
      </c>
      <c r="Y8" s="482"/>
      <c r="Z8" s="482" t="str">
        <f>IF(AND('Mapa de Riesgos'!$H$42="Muy Alta",'Mapa de Riesgos'!$L$42="Moderado"),CONCATENATE("R",'Mapa de Riesgos'!$A$42),"")</f>
        <v/>
      </c>
      <c r="AA8" s="483"/>
      <c r="AB8" s="481" t="str">
        <f>IF(AND('Mapa de Riesgos'!$H$30="Muy Alta",'Mapa de Riesgos'!$L$30="Mayor"),CONCATENATE("R",'Mapa de Riesgos'!$A$30),"")</f>
        <v/>
      </c>
      <c r="AC8" s="482"/>
      <c r="AD8" s="482" t="str">
        <f>IF(AND('Mapa de Riesgos'!$H$36="Muy Alta",'Mapa de Riesgos'!$L$36="Mayor"),CONCATENATE("R",'Mapa de Riesgos'!$A$36),"")</f>
        <v/>
      </c>
      <c r="AE8" s="482"/>
      <c r="AF8" s="482" t="str">
        <f>IF(AND('Mapa de Riesgos'!$H$42="Muy Alta",'Mapa de Riesgos'!$L$42="Mayor"),CONCATENATE("R",'Mapa de Riesgos'!$A$42),"")</f>
        <v/>
      </c>
      <c r="AG8" s="483"/>
      <c r="AH8" s="472" t="str">
        <f>IF(AND('Mapa de Riesgos'!$H$30="Muy Alta",'Mapa de Riesgos'!$L$30="Catastrófico"),CONCATENATE("R",'Mapa de Riesgos'!$A$30),"")</f>
        <v/>
      </c>
      <c r="AI8" s="473"/>
      <c r="AJ8" s="473" t="str">
        <f>IF(AND('Mapa de Riesgos'!$H$36="Muy Alta",'Mapa de Riesgos'!$L$36="Catastrófico"),CONCATENATE("R",'Mapa de Riesgos'!$A$36),"")</f>
        <v/>
      </c>
      <c r="AK8" s="473"/>
      <c r="AL8" s="473" t="str">
        <f>IF(AND('Mapa de Riesgos'!$H$42="Muy Alta",'Mapa de Riesgos'!$L$42="Catastrófico"),CONCATENATE("R",'Mapa de Riesgos'!$A$42),"")</f>
        <v/>
      </c>
      <c r="AM8" s="474"/>
      <c r="AN8" s="83"/>
      <c r="AO8" s="506"/>
      <c r="AP8" s="507"/>
      <c r="AQ8" s="507"/>
      <c r="AR8" s="507"/>
      <c r="AS8" s="507"/>
      <c r="AT8" s="50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501"/>
      <c r="C9" s="501"/>
      <c r="D9" s="502"/>
      <c r="E9" s="494"/>
      <c r="F9" s="495"/>
      <c r="G9" s="495"/>
      <c r="H9" s="495"/>
      <c r="I9" s="496"/>
      <c r="J9" s="481"/>
      <c r="K9" s="482"/>
      <c r="L9" s="482"/>
      <c r="M9" s="482"/>
      <c r="N9" s="482"/>
      <c r="O9" s="483"/>
      <c r="P9" s="481"/>
      <c r="Q9" s="482"/>
      <c r="R9" s="482"/>
      <c r="S9" s="482"/>
      <c r="T9" s="482"/>
      <c r="U9" s="483"/>
      <c r="V9" s="481"/>
      <c r="W9" s="482"/>
      <c r="X9" s="482"/>
      <c r="Y9" s="482"/>
      <c r="Z9" s="482"/>
      <c r="AA9" s="483"/>
      <c r="AB9" s="481"/>
      <c r="AC9" s="482"/>
      <c r="AD9" s="482"/>
      <c r="AE9" s="482"/>
      <c r="AF9" s="482"/>
      <c r="AG9" s="483"/>
      <c r="AH9" s="472"/>
      <c r="AI9" s="473"/>
      <c r="AJ9" s="473"/>
      <c r="AK9" s="473"/>
      <c r="AL9" s="473"/>
      <c r="AM9" s="474"/>
      <c r="AN9" s="83"/>
      <c r="AO9" s="506"/>
      <c r="AP9" s="507"/>
      <c r="AQ9" s="507"/>
      <c r="AR9" s="507"/>
      <c r="AS9" s="507"/>
      <c r="AT9" s="50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501"/>
      <c r="C10" s="501"/>
      <c r="D10" s="502"/>
      <c r="E10" s="494"/>
      <c r="F10" s="495"/>
      <c r="G10" s="495"/>
      <c r="H10" s="495"/>
      <c r="I10" s="496"/>
      <c r="J10" s="481" t="str">
        <f>IF(AND('Mapa de Riesgos'!$H$49="Muy Alta",'Mapa de Riesgos'!$L$49="Leve"),CONCATENATE("R",'Mapa de Riesgos'!$A$49),"")</f>
        <v/>
      </c>
      <c r="K10" s="482"/>
      <c r="L10" s="482" t="str">
        <f>IF(AND('Mapa de Riesgos'!$H$55="Muy Alta",'Mapa de Riesgos'!$L$55="Leve"),CONCATENATE("R",'Mapa de Riesgos'!$A$55),"")</f>
        <v/>
      </c>
      <c r="M10" s="482"/>
      <c r="N10" s="482" t="str">
        <f>IF(AND('Mapa de Riesgos'!$H$61="Muy Alta",'Mapa de Riesgos'!$L$61="Leve"),CONCATENATE("R",'Mapa de Riesgos'!$A$61),"")</f>
        <v/>
      </c>
      <c r="O10" s="483"/>
      <c r="P10" s="481" t="str">
        <f>IF(AND('Mapa de Riesgos'!$H$49="Muy Alta",'Mapa de Riesgos'!$L$49="Menor"),CONCATENATE("R",'Mapa de Riesgos'!$A$49),"")</f>
        <v/>
      </c>
      <c r="Q10" s="482"/>
      <c r="R10" s="482" t="str">
        <f>IF(AND('Mapa de Riesgos'!$H$55="Muy Alta",'Mapa de Riesgos'!$L$55="Menor"),CONCATENATE("R",'Mapa de Riesgos'!$A$55),"")</f>
        <v/>
      </c>
      <c r="S10" s="482"/>
      <c r="T10" s="482" t="str">
        <f>IF(AND('Mapa de Riesgos'!$H$61="Muy Alta",'Mapa de Riesgos'!$L$61="Menor"),CONCATENATE("R",'Mapa de Riesgos'!$A$61),"")</f>
        <v/>
      </c>
      <c r="U10" s="483"/>
      <c r="V10" s="481" t="str">
        <f>IF(AND('Mapa de Riesgos'!$H$49="Muy Alta",'Mapa de Riesgos'!$L$49="Moderado"),CONCATENATE("R",'Mapa de Riesgos'!$A$49),"")</f>
        <v/>
      </c>
      <c r="W10" s="482"/>
      <c r="X10" s="482" t="str">
        <f>IF(AND('Mapa de Riesgos'!$H$55="Muy Alta",'Mapa de Riesgos'!$L$55="Moderado"),CONCATENATE("R",'Mapa de Riesgos'!$A$55),"")</f>
        <v/>
      </c>
      <c r="Y10" s="482"/>
      <c r="Z10" s="482" t="str">
        <f>IF(AND('Mapa de Riesgos'!$H$61="Muy Alta",'Mapa de Riesgos'!$L$61="Moderado"),CONCATENATE("R",'Mapa de Riesgos'!$A$61),"")</f>
        <v/>
      </c>
      <c r="AA10" s="483"/>
      <c r="AB10" s="481" t="str">
        <f>IF(AND('Mapa de Riesgos'!$H$49="Muy Alta",'Mapa de Riesgos'!$L$49="Mayor"),CONCATENATE("R",'Mapa de Riesgos'!$A$49),"")</f>
        <v/>
      </c>
      <c r="AC10" s="482"/>
      <c r="AD10" s="482" t="str">
        <f>IF(AND('Mapa de Riesgos'!$H$55="Muy Alta",'Mapa de Riesgos'!$L$55="Mayor"),CONCATENATE("R",'Mapa de Riesgos'!$A$55),"")</f>
        <v/>
      </c>
      <c r="AE10" s="482"/>
      <c r="AF10" s="482" t="str">
        <f>IF(AND('Mapa de Riesgos'!$H$61="Muy Alta",'Mapa de Riesgos'!$L$61="Mayor"),CONCATENATE("R",'Mapa de Riesgos'!$A$61),"")</f>
        <v/>
      </c>
      <c r="AG10" s="483"/>
      <c r="AH10" s="472" t="str">
        <f>IF(AND('Mapa de Riesgos'!$H$49="Muy Alta",'Mapa de Riesgos'!$L$49="Catastrófico"),CONCATENATE("R",'Mapa de Riesgos'!$A$49),"")</f>
        <v/>
      </c>
      <c r="AI10" s="473"/>
      <c r="AJ10" s="473" t="str">
        <f>IF(AND('Mapa de Riesgos'!$H$55="Muy Alta",'Mapa de Riesgos'!$L$55="Catastrófico"),CONCATENATE("R",'Mapa de Riesgos'!$A$55),"")</f>
        <v/>
      </c>
      <c r="AK10" s="473"/>
      <c r="AL10" s="473" t="str">
        <f>IF(AND('Mapa de Riesgos'!$H$61="Muy Alta",'Mapa de Riesgos'!$L$61="Catastrófico"),CONCATENATE("R",'Mapa de Riesgos'!$A$61),"")</f>
        <v/>
      </c>
      <c r="AM10" s="474"/>
      <c r="AN10" s="83"/>
      <c r="AO10" s="506"/>
      <c r="AP10" s="507"/>
      <c r="AQ10" s="507"/>
      <c r="AR10" s="507"/>
      <c r="AS10" s="507"/>
      <c r="AT10" s="50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501"/>
      <c r="C11" s="501"/>
      <c r="D11" s="502"/>
      <c r="E11" s="494"/>
      <c r="F11" s="495"/>
      <c r="G11" s="495"/>
      <c r="H11" s="495"/>
      <c r="I11" s="496"/>
      <c r="J11" s="481"/>
      <c r="K11" s="482"/>
      <c r="L11" s="482"/>
      <c r="M11" s="482"/>
      <c r="N11" s="482"/>
      <c r="O11" s="483"/>
      <c r="P11" s="481"/>
      <c r="Q11" s="482"/>
      <c r="R11" s="482"/>
      <c r="S11" s="482"/>
      <c r="T11" s="482"/>
      <c r="U11" s="483"/>
      <c r="V11" s="481"/>
      <c r="W11" s="482"/>
      <c r="X11" s="482"/>
      <c r="Y11" s="482"/>
      <c r="Z11" s="482"/>
      <c r="AA11" s="483"/>
      <c r="AB11" s="481"/>
      <c r="AC11" s="482"/>
      <c r="AD11" s="482"/>
      <c r="AE11" s="482"/>
      <c r="AF11" s="482"/>
      <c r="AG11" s="483"/>
      <c r="AH11" s="472"/>
      <c r="AI11" s="473"/>
      <c r="AJ11" s="473"/>
      <c r="AK11" s="473"/>
      <c r="AL11" s="473"/>
      <c r="AM11" s="474"/>
      <c r="AN11" s="83"/>
      <c r="AO11" s="506"/>
      <c r="AP11" s="507"/>
      <c r="AQ11" s="507"/>
      <c r="AR11" s="507"/>
      <c r="AS11" s="507"/>
      <c r="AT11" s="50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501"/>
      <c r="C12" s="501"/>
      <c r="D12" s="502"/>
      <c r="E12" s="494"/>
      <c r="F12" s="495"/>
      <c r="G12" s="495"/>
      <c r="H12" s="495"/>
      <c r="I12" s="496"/>
      <c r="J12" s="481" t="str">
        <f>IF(AND('Mapa de Riesgos'!$H$67="Muy Alta",'Mapa de Riesgos'!$L$67="Leve"),CONCATENATE("R",'Mapa de Riesgos'!$A$67),"")</f>
        <v/>
      </c>
      <c r="K12" s="482"/>
      <c r="L12" s="482" t="str">
        <f>IF(AND('Mapa de Riesgos'!$H$91="Muy Alta",'Mapa de Riesgos'!$L$91="Leve"),CONCATENATE("R",'Mapa de Riesgos'!$A$91),"")</f>
        <v/>
      </c>
      <c r="M12" s="482"/>
      <c r="N12" s="482" t="str">
        <f>IF(AND('Mapa de Riesgos'!$H$97="Muy Alta",'Mapa de Riesgos'!$L$97="Leve"),CONCATENATE("R",'Mapa de Riesgos'!$A$97),"")</f>
        <v/>
      </c>
      <c r="O12" s="483"/>
      <c r="P12" s="481" t="str">
        <f>IF(AND('Mapa de Riesgos'!$H$67="Muy Alta",'Mapa de Riesgos'!$L$67="Menor"),CONCATENATE("R",'Mapa de Riesgos'!$A$67),"")</f>
        <v/>
      </c>
      <c r="Q12" s="482"/>
      <c r="R12" s="482" t="str">
        <f>IF(AND('Mapa de Riesgos'!$H$91="Muy Alta",'Mapa de Riesgos'!$L$91="Menor"),CONCATENATE("R",'Mapa de Riesgos'!$A$91),"")</f>
        <v/>
      </c>
      <c r="S12" s="482"/>
      <c r="T12" s="482" t="str">
        <f>IF(AND('Mapa de Riesgos'!$H$97="Muy Alta",'Mapa de Riesgos'!$L$97="Menor"),CONCATENATE("R",'Mapa de Riesgos'!$A$97),"")</f>
        <v/>
      </c>
      <c r="U12" s="483"/>
      <c r="V12" s="481" t="str">
        <f>IF(AND('Mapa de Riesgos'!$H$67="Muy Alta",'Mapa de Riesgos'!$L$67="Moderado"),CONCATENATE("R",'Mapa de Riesgos'!$A$67),"")</f>
        <v/>
      </c>
      <c r="W12" s="482"/>
      <c r="X12" s="482" t="str">
        <f>IF(AND('Mapa de Riesgos'!$H$91="Muy Alta",'Mapa de Riesgos'!$L$91="Moderado"),CONCATENATE("R",'Mapa de Riesgos'!$A$91),"")</f>
        <v/>
      </c>
      <c r="Y12" s="482"/>
      <c r="Z12" s="482" t="str">
        <f>IF(AND('Mapa de Riesgos'!$H$97="Muy Alta",'Mapa de Riesgos'!$L$97="Moderado"),CONCATENATE("R",'Mapa de Riesgos'!$A$97),"")</f>
        <v/>
      </c>
      <c r="AA12" s="483"/>
      <c r="AB12" s="481" t="str">
        <f>IF(AND('Mapa de Riesgos'!$H$67="Muy Alta",'Mapa de Riesgos'!$L$67="Mayor"),CONCATENATE("R",'Mapa de Riesgos'!$A$67),"")</f>
        <v/>
      </c>
      <c r="AC12" s="482"/>
      <c r="AD12" s="482" t="str">
        <f>IF(AND('Mapa de Riesgos'!$H$91="Muy Alta",'Mapa de Riesgos'!$L$91="Mayor"),CONCATENATE("R",'Mapa de Riesgos'!$A$91),"")</f>
        <v/>
      </c>
      <c r="AE12" s="482"/>
      <c r="AF12" s="482" t="str">
        <f>IF(AND('Mapa de Riesgos'!$H$97="Muy Alta",'Mapa de Riesgos'!$L$97="Mayor"),CONCATENATE("R",'Mapa de Riesgos'!$A$97),"")</f>
        <v/>
      </c>
      <c r="AG12" s="483"/>
      <c r="AH12" s="472" t="str">
        <f>IF(AND('Mapa de Riesgos'!$H$67="Muy Alta",'Mapa de Riesgos'!$L$67="Catastrófico"),CONCATENATE("R",'Mapa de Riesgos'!$A$67),"")</f>
        <v/>
      </c>
      <c r="AI12" s="473"/>
      <c r="AJ12" s="473" t="str">
        <f>IF(AND('Mapa de Riesgos'!$H$91="Muy Alta",'Mapa de Riesgos'!$L$91="Catastrófico"),CONCATENATE("R",'Mapa de Riesgos'!$A$91),"")</f>
        <v/>
      </c>
      <c r="AK12" s="473"/>
      <c r="AL12" s="473" t="str">
        <f>IF(AND('Mapa de Riesgos'!$H$97="Muy Alta",'Mapa de Riesgos'!$L$97="Catastrófico"),CONCATENATE("R",'Mapa de Riesgos'!$A$97),"")</f>
        <v/>
      </c>
      <c r="AM12" s="474"/>
      <c r="AN12" s="83"/>
      <c r="AO12" s="506"/>
      <c r="AP12" s="507"/>
      <c r="AQ12" s="507"/>
      <c r="AR12" s="507"/>
      <c r="AS12" s="507"/>
      <c r="AT12" s="50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501"/>
      <c r="C13" s="501"/>
      <c r="D13" s="502"/>
      <c r="E13" s="497"/>
      <c r="F13" s="498"/>
      <c r="G13" s="498"/>
      <c r="H13" s="498"/>
      <c r="I13" s="499"/>
      <c r="J13" s="481"/>
      <c r="K13" s="482"/>
      <c r="L13" s="482"/>
      <c r="M13" s="482"/>
      <c r="N13" s="482"/>
      <c r="O13" s="483"/>
      <c r="P13" s="481"/>
      <c r="Q13" s="482"/>
      <c r="R13" s="482"/>
      <c r="S13" s="482"/>
      <c r="T13" s="482"/>
      <c r="U13" s="483"/>
      <c r="V13" s="481"/>
      <c r="W13" s="482"/>
      <c r="X13" s="482"/>
      <c r="Y13" s="482"/>
      <c r="Z13" s="482"/>
      <c r="AA13" s="483"/>
      <c r="AB13" s="481"/>
      <c r="AC13" s="482"/>
      <c r="AD13" s="482"/>
      <c r="AE13" s="482"/>
      <c r="AF13" s="482"/>
      <c r="AG13" s="483"/>
      <c r="AH13" s="475"/>
      <c r="AI13" s="476"/>
      <c r="AJ13" s="476"/>
      <c r="AK13" s="476"/>
      <c r="AL13" s="476"/>
      <c r="AM13" s="477"/>
      <c r="AN13" s="83"/>
      <c r="AO13" s="509"/>
      <c r="AP13" s="510"/>
      <c r="AQ13" s="510"/>
      <c r="AR13" s="510"/>
      <c r="AS13" s="510"/>
      <c r="AT13" s="511"/>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501"/>
      <c r="C14" s="501"/>
      <c r="D14" s="502"/>
      <c r="E14" s="491" t="s">
        <v>130</v>
      </c>
      <c r="F14" s="492"/>
      <c r="G14" s="492"/>
      <c r="H14" s="492"/>
      <c r="I14" s="492"/>
      <c r="J14" s="469" t="str">
        <f>IF(AND('Mapa de Riesgos'!$H$12="Alta",'Mapa de Riesgos'!$L$12="Leve"),CONCATENATE("R",'Mapa de Riesgos'!$A$12),"")</f>
        <v/>
      </c>
      <c r="K14" s="470"/>
      <c r="L14" s="470" t="str">
        <f>IF(AND('Mapa de Riesgos'!$H$18="Alta",'Mapa de Riesgos'!$L$18="Leve"),CONCATENATE("R",'Mapa de Riesgos'!$A$18),"")</f>
        <v/>
      </c>
      <c r="M14" s="470"/>
      <c r="N14" s="470" t="str">
        <f>IF(AND('Mapa de Riesgos'!$H$24="Alta",'Mapa de Riesgos'!$L$24="Leve"),CONCATENATE("R",'Mapa de Riesgos'!$A$24),"")</f>
        <v/>
      </c>
      <c r="O14" s="471"/>
      <c r="P14" s="469" t="str">
        <f>IF(AND('Mapa de Riesgos'!$H$12="Alta",'Mapa de Riesgos'!$L$12="Menor"),CONCATENATE("R",'Mapa de Riesgos'!$A$12),"")</f>
        <v/>
      </c>
      <c r="Q14" s="470"/>
      <c r="R14" s="470" t="str">
        <f>IF(AND('Mapa de Riesgos'!$H$18="Alta",'Mapa de Riesgos'!$L$18="Menor"),CONCATENATE("R",'Mapa de Riesgos'!$A$18),"")</f>
        <v/>
      </c>
      <c r="S14" s="470"/>
      <c r="T14" s="470" t="str">
        <f>IF(AND('Mapa de Riesgos'!$H$24="Alta",'Mapa de Riesgos'!$L$24="Menor"),CONCATENATE("R",'Mapa de Riesgos'!$A$24),"")</f>
        <v/>
      </c>
      <c r="U14" s="471"/>
      <c r="V14" s="487" t="str">
        <f>IF(AND('Mapa de Riesgos'!$H$12="Alta",'Mapa de Riesgos'!$L$12="Moderado"),CONCATENATE("R",'Mapa de Riesgos'!$A$12),"")</f>
        <v/>
      </c>
      <c r="W14" s="488"/>
      <c r="X14" s="488" t="str">
        <f>IF(AND('Mapa de Riesgos'!$H$18="Alta",'Mapa de Riesgos'!$L$18="Moderado"),CONCATENATE("R",'Mapa de Riesgos'!$A$18),"")</f>
        <v/>
      </c>
      <c r="Y14" s="488"/>
      <c r="Z14" s="488" t="str">
        <f>IF(AND('Mapa de Riesgos'!$H$24="Alta",'Mapa de Riesgos'!$L$24="Moderado"),CONCATENATE("R",'Mapa de Riesgos'!$A$24),"")</f>
        <v/>
      </c>
      <c r="AA14" s="489"/>
      <c r="AB14" s="487" t="str">
        <f>IF(AND('Mapa de Riesgos'!$H$12="Alta",'Mapa de Riesgos'!$L$12="Mayor"),CONCATENATE("R",'Mapa de Riesgos'!$A$12),"")</f>
        <v/>
      </c>
      <c r="AC14" s="488"/>
      <c r="AD14" s="488" t="str">
        <f>IF(AND('Mapa de Riesgos'!$H$18="Alta",'Mapa de Riesgos'!$L$18="Mayor"),CONCATENATE("R",'Mapa de Riesgos'!$A$18),"")</f>
        <v/>
      </c>
      <c r="AE14" s="488"/>
      <c r="AF14" s="488" t="str">
        <f>IF(AND('Mapa de Riesgos'!$H$24="Alta",'Mapa de Riesgos'!$L$24="Mayor"),CONCATENATE("R",'Mapa de Riesgos'!$A$24),"")</f>
        <v/>
      </c>
      <c r="AG14" s="489"/>
      <c r="AH14" s="478" t="str">
        <f>IF(AND('Mapa de Riesgos'!$H$12="Alta",'Mapa de Riesgos'!$L$12="Catastrófico"),CONCATENATE("R",'Mapa de Riesgos'!$A$12),"")</f>
        <v/>
      </c>
      <c r="AI14" s="479"/>
      <c r="AJ14" s="479" t="str">
        <f>IF(AND('Mapa de Riesgos'!$H$18="Alta",'Mapa de Riesgos'!$L$18="Catastrófico"),CONCATENATE("R",'Mapa de Riesgos'!$A$18),"")</f>
        <v/>
      </c>
      <c r="AK14" s="479"/>
      <c r="AL14" s="479" t="str">
        <f>IF(AND('Mapa de Riesgos'!$H$24="Alta",'Mapa de Riesgos'!$L$24="Catastrófico"),CONCATENATE("R",'Mapa de Riesgos'!$A$24),"")</f>
        <v/>
      </c>
      <c r="AM14" s="480"/>
      <c r="AN14" s="83"/>
      <c r="AO14" s="512" t="s">
        <v>131</v>
      </c>
      <c r="AP14" s="513"/>
      <c r="AQ14" s="513"/>
      <c r="AR14" s="513"/>
      <c r="AS14" s="513"/>
      <c r="AT14" s="51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501"/>
      <c r="C15" s="501"/>
      <c r="D15" s="502"/>
      <c r="E15" s="494"/>
      <c r="F15" s="495"/>
      <c r="G15" s="495"/>
      <c r="H15" s="495"/>
      <c r="I15" s="495"/>
      <c r="J15" s="463"/>
      <c r="K15" s="464"/>
      <c r="L15" s="464"/>
      <c r="M15" s="464"/>
      <c r="N15" s="464"/>
      <c r="O15" s="465"/>
      <c r="P15" s="463"/>
      <c r="Q15" s="464"/>
      <c r="R15" s="464"/>
      <c r="S15" s="464"/>
      <c r="T15" s="464"/>
      <c r="U15" s="465"/>
      <c r="V15" s="481"/>
      <c r="W15" s="482"/>
      <c r="X15" s="482"/>
      <c r="Y15" s="482"/>
      <c r="Z15" s="482"/>
      <c r="AA15" s="483"/>
      <c r="AB15" s="481"/>
      <c r="AC15" s="482"/>
      <c r="AD15" s="482"/>
      <c r="AE15" s="482"/>
      <c r="AF15" s="482"/>
      <c r="AG15" s="483"/>
      <c r="AH15" s="472"/>
      <c r="AI15" s="473"/>
      <c r="AJ15" s="473"/>
      <c r="AK15" s="473"/>
      <c r="AL15" s="473"/>
      <c r="AM15" s="474"/>
      <c r="AN15" s="83"/>
      <c r="AO15" s="515"/>
      <c r="AP15" s="516"/>
      <c r="AQ15" s="516"/>
      <c r="AR15" s="516"/>
      <c r="AS15" s="516"/>
      <c r="AT15" s="51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501"/>
      <c r="C16" s="501"/>
      <c r="D16" s="502"/>
      <c r="E16" s="494"/>
      <c r="F16" s="495"/>
      <c r="G16" s="495"/>
      <c r="H16" s="495"/>
      <c r="I16" s="495"/>
      <c r="J16" s="463" t="str">
        <f>IF(AND('Mapa de Riesgos'!$H$30="Alta",'Mapa de Riesgos'!$L$30="Leve"),CONCATENATE("R",'Mapa de Riesgos'!$A$30),"")</f>
        <v/>
      </c>
      <c r="K16" s="464"/>
      <c r="L16" s="464" t="str">
        <f>IF(AND('Mapa de Riesgos'!$H$36="Alta",'Mapa de Riesgos'!$L$36="Leve"),CONCATENATE("R",'Mapa de Riesgos'!$A$36),"")</f>
        <v/>
      </c>
      <c r="M16" s="464"/>
      <c r="N16" s="464" t="str">
        <f>IF(AND('Mapa de Riesgos'!$H$42="Alta",'Mapa de Riesgos'!$L$42="Leve"),CONCATENATE("R",'Mapa de Riesgos'!$A$42),"")</f>
        <v/>
      </c>
      <c r="O16" s="465"/>
      <c r="P16" s="463" t="str">
        <f>IF(AND('Mapa de Riesgos'!$H$30="Alta",'Mapa de Riesgos'!$L$30="Menor"),CONCATENATE("R",'Mapa de Riesgos'!$A$30),"")</f>
        <v/>
      </c>
      <c r="Q16" s="464"/>
      <c r="R16" s="464" t="str">
        <f>IF(AND('Mapa de Riesgos'!$H$36="Alta",'Mapa de Riesgos'!$L$36="Menor"),CONCATENATE("R",'Mapa de Riesgos'!$A$36),"")</f>
        <v/>
      </c>
      <c r="S16" s="464"/>
      <c r="T16" s="464" t="str">
        <f>IF(AND('Mapa de Riesgos'!$H$42="Alta",'Mapa de Riesgos'!$L$42="Menor"),CONCATENATE("R",'Mapa de Riesgos'!$A$42),"")</f>
        <v/>
      </c>
      <c r="U16" s="465"/>
      <c r="V16" s="481" t="str">
        <f>IF(AND('Mapa de Riesgos'!$H$30="Alta",'Mapa de Riesgos'!$L$30="Moderado"),CONCATENATE("R",'Mapa de Riesgos'!$A$30),"")</f>
        <v/>
      </c>
      <c r="W16" s="482"/>
      <c r="X16" s="482" t="str">
        <f>IF(AND('Mapa de Riesgos'!$H$36="Alta",'Mapa de Riesgos'!$L$36="Moderado"),CONCATENATE("R",'Mapa de Riesgos'!$A$36),"")</f>
        <v>R5</v>
      </c>
      <c r="Y16" s="482"/>
      <c r="Z16" s="482" t="str">
        <f>IF(AND('Mapa de Riesgos'!$H$42="Alta",'Mapa de Riesgos'!$L$42="Moderado"),CONCATENATE("R",'Mapa de Riesgos'!$A$42),"")</f>
        <v/>
      </c>
      <c r="AA16" s="483"/>
      <c r="AB16" s="481" t="str">
        <f>IF(AND('Mapa de Riesgos'!$H$30="Alta",'Mapa de Riesgos'!$L$30="Mayor"),CONCATENATE("R",'Mapa de Riesgos'!$A$30),"")</f>
        <v/>
      </c>
      <c r="AC16" s="482"/>
      <c r="AD16" s="482" t="str">
        <f>IF(AND('Mapa de Riesgos'!$H$36="Alta",'Mapa de Riesgos'!$L$36="Mayor"),CONCATENATE("R",'Mapa de Riesgos'!$A$36),"")</f>
        <v/>
      </c>
      <c r="AE16" s="482"/>
      <c r="AF16" s="482" t="str">
        <f>IF(AND('Mapa de Riesgos'!$H$42="Alta",'Mapa de Riesgos'!$L$42="Mayor"),CONCATENATE("R",'Mapa de Riesgos'!$A$42),"")</f>
        <v/>
      </c>
      <c r="AG16" s="483"/>
      <c r="AH16" s="472" t="str">
        <f>IF(AND('Mapa de Riesgos'!$H$30="Alta",'Mapa de Riesgos'!$L$30="Catastrófico"),CONCATENATE("R",'Mapa de Riesgos'!$A$30),"")</f>
        <v/>
      </c>
      <c r="AI16" s="473"/>
      <c r="AJ16" s="473" t="str">
        <f>IF(AND('Mapa de Riesgos'!$H$36="Alta",'Mapa de Riesgos'!$L$36="Catastrófico"),CONCATENATE("R",'Mapa de Riesgos'!$A$36),"")</f>
        <v/>
      </c>
      <c r="AK16" s="473"/>
      <c r="AL16" s="473" t="str">
        <f>IF(AND('Mapa de Riesgos'!$H$42="Alta",'Mapa de Riesgos'!$L$42="Catastrófico"),CONCATENATE("R",'Mapa de Riesgos'!$A$42),"")</f>
        <v/>
      </c>
      <c r="AM16" s="474"/>
      <c r="AN16" s="83"/>
      <c r="AO16" s="515"/>
      <c r="AP16" s="516"/>
      <c r="AQ16" s="516"/>
      <c r="AR16" s="516"/>
      <c r="AS16" s="516"/>
      <c r="AT16" s="51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501"/>
      <c r="C17" s="501"/>
      <c r="D17" s="502"/>
      <c r="E17" s="494"/>
      <c r="F17" s="495"/>
      <c r="G17" s="495"/>
      <c r="H17" s="495"/>
      <c r="I17" s="495"/>
      <c r="J17" s="463"/>
      <c r="K17" s="464"/>
      <c r="L17" s="464"/>
      <c r="M17" s="464"/>
      <c r="N17" s="464"/>
      <c r="O17" s="465"/>
      <c r="P17" s="463"/>
      <c r="Q17" s="464"/>
      <c r="R17" s="464"/>
      <c r="S17" s="464"/>
      <c r="T17" s="464"/>
      <c r="U17" s="465"/>
      <c r="V17" s="481"/>
      <c r="W17" s="482"/>
      <c r="X17" s="482"/>
      <c r="Y17" s="482"/>
      <c r="Z17" s="482"/>
      <c r="AA17" s="483"/>
      <c r="AB17" s="481"/>
      <c r="AC17" s="482"/>
      <c r="AD17" s="482"/>
      <c r="AE17" s="482"/>
      <c r="AF17" s="482"/>
      <c r="AG17" s="483"/>
      <c r="AH17" s="472"/>
      <c r="AI17" s="473"/>
      <c r="AJ17" s="473"/>
      <c r="AK17" s="473"/>
      <c r="AL17" s="473"/>
      <c r="AM17" s="474"/>
      <c r="AN17" s="83"/>
      <c r="AO17" s="515"/>
      <c r="AP17" s="516"/>
      <c r="AQ17" s="516"/>
      <c r="AR17" s="516"/>
      <c r="AS17" s="516"/>
      <c r="AT17" s="51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501"/>
      <c r="C18" s="501"/>
      <c r="D18" s="502"/>
      <c r="E18" s="494"/>
      <c r="F18" s="495"/>
      <c r="G18" s="495"/>
      <c r="H18" s="495"/>
      <c r="I18" s="495"/>
      <c r="J18" s="463" t="str">
        <f>IF(AND('Mapa de Riesgos'!$H$49="Alta",'Mapa de Riesgos'!$L$49="Leve"),CONCATENATE("R",'Mapa de Riesgos'!$A$49),"")</f>
        <v/>
      </c>
      <c r="K18" s="464"/>
      <c r="L18" s="464" t="str">
        <f>IF(AND('Mapa de Riesgos'!$H$55="Alta",'Mapa de Riesgos'!$L$55="Leve"),CONCATENATE("R",'Mapa de Riesgos'!$A$55),"")</f>
        <v/>
      </c>
      <c r="M18" s="464"/>
      <c r="N18" s="464" t="str">
        <f>IF(AND('Mapa de Riesgos'!$H$61="Alta",'Mapa de Riesgos'!$L$61="Leve"),CONCATENATE("R",'Mapa de Riesgos'!$A$61),"")</f>
        <v/>
      </c>
      <c r="O18" s="465"/>
      <c r="P18" s="463" t="str">
        <f>IF(AND('Mapa de Riesgos'!$H$49="Alta",'Mapa de Riesgos'!$L$49="Menor"),CONCATENATE("R",'Mapa de Riesgos'!$A$49),"")</f>
        <v/>
      </c>
      <c r="Q18" s="464"/>
      <c r="R18" s="464" t="str">
        <f>IF(AND('Mapa de Riesgos'!$H$55="Alta",'Mapa de Riesgos'!$L$55="Menor"),CONCATENATE("R",'Mapa de Riesgos'!$A$55),"")</f>
        <v/>
      </c>
      <c r="S18" s="464"/>
      <c r="T18" s="464" t="str">
        <f>IF(AND('Mapa de Riesgos'!$H$61="Alta",'Mapa de Riesgos'!$L$61="Menor"),CONCATENATE("R",'Mapa de Riesgos'!$A$61),"")</f>
        <v/>
      </c>
      <c r="U18" s="465"/>
      <c r="V18" s="481" t="str">
        <f>IF(AND('Mapa de Riesgos'!$H$49="Alta",'Mapa de Riesgos'!$L$49="Moderado"),CONCATENATE("R",'Mapa de Riesgos'!$A$49),"")</f>
        <v/>
      </c>
      <c r="W18" s="482"/>
      <c r="X18" s="482" t="str">
        <f>IF(AND('Mapa de Riesgos'!$H$55="Alta",'Mapa de Riesgos'!$L$55="Moderado"),CONCATENATE("R",'Mapa de Riesgos'!$A$55),"")</f>
        <v/>
      </c>
      <c r="Y18" s="482"/>
      <c r="Z18" s="482" t="str">
        <f>IF(AND('Mapa de Riesgos'!$H$61="Alta",'Mapa de Riesgos'!$L$61="Moderado"),CONCATENATE("R",'Mapa de Riesgos'!$A$61),"")</f>
        <v/>
      </c>
      <c r="AA18" s="483"/>
      <c r="AB18" s="481" t="str">
        <f>IF(AND('Mapa de Riesgos'!$H$49="Alta",'Mapa de Riesgos'!$L$49="Mayor"),CONCATENATE("R",'Mapa de Riesgos'!$A$49),"")</f>
        <v/>
      </c>
      <c r="AC18" s="482"/>
      <c r="AD18" s="482" t="str">
        <f>IF(AND('Mapa de Riesgos'!$H$55="Alta",'Mapa de Riesgos'!$L$55="Mayor"),CONCATENATE("R",'Mapa de Riesgos'!$A$55),"")</f>
        <v/>
      </c>
      <c r="AE18" s="482"/>
      <c r="AF18" s="482" t="str">
        <f>IF(AND('Mapa de Riesgos'!$H$61="Alta",'Mapa de Riesgos'!$L$61="Mayor"),CONCATENATE("R",'Mapa de Riesgos'!$A$61),"")</f>
        <v/>
      </c>
      <c r="AG18" s="483"/>
      <c r="AH18" s="472" t="str">
        <f>IF(AND('Mapa de Riesgos'!$H$49="Alta",'Mapa de Riesgos'!$L$49="Catastrófico"),CONCATENATE("R",'Mapa de Riesgos'!$A$49),"")</f>
        <v/>
      </c>
      <c r="AI18" s="473"/>
      <c r="AJ18" s="473" t="str">
        <f>IF(AND('Mapa de Riesgos'!$H$55="Alta",'Mapa de Riesgos'!$L$55="Catastrófico"),CONCATENATE("R",'Mapa de Riesgos'!$A$55),"")</f>
        <v/>
      </c>
      <c r="AK18" s="473"/>
      <c r="AL18" s="473" t="str">
        <f>IF(AND('Mapa de Riesgos'!$H$61="Alta",'Mapa de Riesgos'!$L$61="Catastrófico"),CONCATENATE("R",'Mapa de Riesgos'!$A$61),"")</f>
        <v/>
      </c>
      <c r="AM18" s="474"/>
      <c r="AN18" s="83"/>
      <c r="AO18" s="515"/>
      <c r="AP18" s="516"/>
      <c r="AQ18" s="516"/>
      <c r="AR18" s="516"/>
      <c r="AS18" s="516"/>
      <c r="AT18" s="51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501"/>
      <c r="C19" s="501"/>
      <c r="D19" s="502"/>
      <c r="E19" s="494"/>
      <c r="F19" s="495"/>
      <c r="G19" s="495"/>
      <c r="H19" s="495"/>
      <c r="I19" s="495"/>
      <c r="J19" s="463"/>
      <c r="K19" s="464"/>
      <c r="L19" s="464"/>
      <c r="M19" s="464"/>
      <c r="N19" s="464"/>
      <c r="O19" s="465"/>
      <c r="P19" s="463"/>
      <c r="Q19" s="464"/>
      <c r="R19" s="464"/>
      <c r="S19" s="464"/>
      <c r="T19" s="464"/>
      <c r="U19" s="465"/>
      <c r="V19" s="481"/>
      <c r="W19" s="482"/>
      <c r="X19" s="482"/>
      <c r="Y19" s="482"/>
      <c r="Z19" s="482"/>
      <c r="AA19" s="483"/>
      <c r="AB19" s="481"/>
      <c r="AC19" s="482"/>
      <c r="AD19" s="482"/>
      <c r="AE19" s="482"/>
      <c r="AF19" s="482"/>
      <c r="AG19" s="483"/>
      <c r="AH19" s="472"/>
      <c r="AI19" s="473"/>
      <c r="AJ19" s="473"/>
      <c r="AK19" s="473"/>
      <c r="AL19" s="473"/>
      <c r="AM19" s="474"/>
      <c r="AN19" s="83"/>
      <c r="AO19" s="515"/>
      <c r="AP19" s="516"/>
      <c r="AQ19" s="516"/>
      <c r="AR19" s="516"/>
      <c r="AS19" s="516"/>
      <c r="AT19" s="51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501"/>
      <c r="C20" s="501"/>
      <c r="D20" s="502"/>
      <c r="E20" s="494"/>
      <c r="F20" s="495"/>
      <c r="G20" s="495"/>
      <c r="H20" s="495"/>
      <c r="I20" s="495"/>
      <c r="J20" s="463" t="str">
        <f>IF(AND('Mapa de Riesgos'!$H$67="Alta",'Mapa de Riesgos'!$L$67="Leve"),CONCATENATE("R",'Mapa de Riesgos'!$A$67),"")</f>
        <v/>
      </c>
      <c r="K20" s="464"/>
      <c r="L20" s="464" t="str">
        <f>IF(AND('Mapa de Riesgos'!$H$91="Alta",'Mapa de Riesgos'!$L$91="Leve"),CONCATENATE("R",'Mapa de Riesgos'!$A$91),"")</f>
        <v/>
      </c>
      <c r="M20" s="464"/>
      <c r="N20" s="464" t="str">
        <f>IF(AND('Mapa de Riesgos'!$H$97="Alta",'Mapa de Riesgos'!$L$97="Leve"),CONCATENATE("R",'Mapa de Riesgos'!$A$97),"")</f>
        <v/>
      </c>
      <c r="O20" s="465"/>
      <c r="P20" s="463" t="str">
        <f>IF(AND('Mapa de Riesgos'!$H$67="Alta",'Mapa de Riesgos'!$L$67="Menor"),CONCATENATE("R",'Mapa de Riesgos'!$A$67),"")</f>
        <v/>
      </c>
      <c r="Q20" s="464"/>
      <c r="R20" s="464" t="str">
        <f>IF(AND('Mapa de Riesgos'!$H$91="Alta",'Mapa de Riesgos'!$L$91="Menor"),CONCATENATE("R",'Mapa de Riesgos'!$A$91),"")</f>
        <v/>
      </c>
      <c r="S20" s="464"/>
      <c r="T20" s="464" t="str">
        <f>IF(AND('Mapa de Riesgos'!$H$97="Alta",'Mapa de Riesgos'!$L$97="Menor"),CONCATENATE("R",'Mapa de Riesgos'!$A$97),"")</f>
        <v/>
      </c>
      <c r="U20" s="465"/>
      <c r="V20" s="481" t="str">
        <f>IF(AND('Mapa de Riesgos'!$H$67="Alta",'Mapa de Riesgos'!$L$67="Moderado"),CONCATENATE("R",'Mapa de Riesgos'!$A$67),"")</f>
        <v/>
      </c>
      <c r="W20" s="482"/>
      <c r="X20" s="482" t="str">
        <f>IF(AND('Mapa de Riesgos'!$H$91="Alta",'Mapa de Riesgos'!$L$91="Moderado"),CONCATENATE("R",'Mapa de Riesgos'!$A$91),"")</f>
        <v/>
      </c>
      <c r="Y20" s="482"/>
      <c r="Z20" s="482" t="str">
        <f>IF(AND('Mapa de Riesgos'!$H$97="Alta",'Mapa de Riesgos'!$L$97="Moderado"),CONCATENATE("R",'Mapa de Riesgos'!$A$97),"")</f>
        <v/>
      </c>
      <c r="AA20" s="483"/>
      <c r="AB20" s="481" t="str">
        <f>IF(AND('Mapa de Riesgos'!$H$67="Alta",'Mapa de Riesgos'!$L$67="Mayor"),CONCATENATE("R",'Mapa de Riesgos'!$A$67),"")</f>
        <v/>
      </c>
      <c r="AC20" s="482"/>
      <c r="AD20" s="482" t="str">
        <f>IF(AND('Mapa de Riesgos'!$H$91="Alta",'Mapa de Riesgos'!$L$91="Mayor"),CONCATENATE("R",'Mapa de Riesgos'!$A$91),"")</f>
        <v/>
      </c>
      <c r="AE20" s="482"/>
      <c r="AF20" s="482" t="str">
        <f>IF(AND('Mapa de Riesgos'!$H$97="Alta",'Mapa de Riesgos'!$L$97="Mayor"),CONCATENATE("R",'Mapa de Riesgos'!$A$97),"")</f>
        <v/>
      </c>
      <c r="AG20" s="483"/>
      <c r="AH20" s="472" t="str">
        <f>IF(AND('Mapa de Riesgos'!$H$67="Alta",'Mapa de Riesgos'!$L$67="Catastrófico"),CONCATENATE("R",'Mapa de Riesgos'!$A$67),"")</f>
        <v/>
      </c>
      <c r="AI20" s="473"/>
      <c r="AJ20" s="473" t="str">
        <f>IF(AND('Mapa de Riesgos'!$H$91="Alta",'Mapa de Riesgos'!$L$91="Catastrófico"),CONCATENATE("R",'Mapa de Riesgos'!$A$91),"")</f>
        <v/>
      </c>
      <c r="AK20" s="473"/>
      <c r="AL20" s="473" t="str">
        <f>IF(AND('Mapa de Riesgos'!$H$97="Alta",'Mapa de Riesgos'!$L$97="Catastrófico"),CONCATENATE("R",'Mapa de Riesgos'!$A$97),"")</f>
        <v/>
      </c>
      <c r="AM20" s="474"/>
      <c r="AN20" s="83"/>
      <c r="AO20" s="515"/>
      <c r="AP20" s="516"/>
      <c r="AQ20" s="516"/>
      <c r="AR20" s="516"/>
      <c r="AS20" s="516"/>
      <c r="AT20" s="51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501"/>
      <c r="C21" s="501"/>
      <c r="D21" s="502"/>
      <c r="E21" s="497"/>
      <c r="F21" s="498"/>
      <c r="G21" s="498"/>
      <c r="H21" s="498"/>
      <c r="I21" s="498"/>
      <c r="J21" s="466"/>
      <c r="K21" s="467"/>
      <c r="L21" s="467"/>
      <c r="M21" s="467"/>
      <c r="N21" s="467"/>
      <c r="O21" s="468"/>
      <c r="P21" s="466"/>
      <c r="Q21" s="467"/>
      <c r="R21" s="467"/>
      <c r="S21" s="467"/>
      <c r="T21" s="467"/>
      <c r="U21" s="468"/>
      <c r="V21" s="484"/>
      <c r="W21" s="485"/>
      <c r="X21" s="485"/>
      <c r="Y21" s="485"/>
      <c r="Z21" s="485"/>
      <c r="AA21" s="486"/>
      <c r="AB21" s="484"/>
      <c r="AC21" s="485"/>
      <c r="AD21" s="485"/>
      <c r="AE21" s="485"/>
      <c r="AF21" s="485"/>
      <c r="AG21" s="486"/>
      <c r="AH21" s="475"/>
      <c r="AI21" s="476"/>
      <c r="AJ21" s="476"/>
      <c r="AK21" s="476"/>
      <c r="AL21" s="476"/>
      <c r="AM21" s="477"/>
      <c r="AN21" s="83"/>
      <c r="AO21" s="518"/>
      <c r="AP21" s="519"/>
      <c r="AQ21" s="519"/>
      <c r="AR21" s="519"/>
      <c r="AS21" s="519"/>
      <c r="AT21" s="52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501"/>
      <c r="C22" s="501"/>
      <c r="D22" s="502"/>
      <c r="E22" s="491" t="s">
        <v>132</v>
      </c>
      <c r="F22" s="492"/>
      <c r="G22" s="492"/>
      <c r="H22" s="492"/>
      <c r="I22" s="493"/>
      <c r="J22" s="469" t="str">
        <f>IF(AND('Mapa de Riesgos'!$H$12="Media",'Mapa de Riesgos'!$L$12="Leve"),CONCATENATE("R",'Mapa de Riesgos'!$A$12),"")</f>
        <v/>
      </c>
      <c r="K22" s="470"/>
      <c r="L22" s="470" t="str">
        <f>IF(AND('Mapa de Riesgos'!$H$18="Media",'Mapa de Riesgos'!$L$18="Leve"),CONCATENATE("R",'Mapa de Riesgos'!$A$18),"")</f>
        <v/>
      </c>
      <c r="M22" s="470"/>
      <c r="N22" s="470" t="str">
        <f>IF(AND('Mapa de Riesgos'!$H$24="Media",'Mapa de Riesgos'!$L$24="Leve"),CONCATENATE("R",'Mapa de Riesgos'!$A$24),"")</f>
        <v/>
      </c>
      <c r="O22" s="471"/>
      <c r="P22" s="469" t="str">
        <f>IF(AND('Mapa de Riesgos'!$H$12="Media",'Mapa de Riesgos'!$L$12="Menor"),CONCATENATE("R",'Mapa de Riesgos'!$A$12),"")</f>
        <v/>
      </c>
      <c r="Q22" s="470"/>
      <c r="R22" s="470" t="str">
        <f>IF(AND('Mapa de Riesgos'!$H$18="Media",'Mapa de Riesgos'!$L$18="Menor"),CONCATENATE("R",'Mapa de Riesgos'!$A$18),"")</f>
        <v/>
      </c>
      <c r="S22" s="470"/>
      <c r="T22" s="470" t="str">
        <f>IF(AND('Mapa de Riesgos'!$H$24="Media",'Mapa de Riesgos'!$L$24="Menor"),CONCATENATE("R",'Mapa de Riesgos'!$A$24),"")</f>
        <v>R3</v>
      </c>
      <c r="U22" s="471"/>
      <c r="V22" s="469" t="str">
        <f>IF(AND('Mapa de Riesgos'!$H$12="Media",'Mapa de Riesgos'!$L$12="Moderado"),CONCATENATE("R",'Mapa de Riesgos'!$A$12),"")</f>
        <v/>
      </c>
      <c r="W22" s="470"/>
      <c r="X22" s="470" t="str">
        <f>IF(AND('Mapa de Riesgos'!$H$18="Media",'Mapa de Riesgos'!$L$18="Moderado"),CONCATENATE("R",'Mapa de Riesgos'!$A$18),"")</f>
        <v>R2</v>
      </c>
      <c r="Y22" s="470"/>
      <c r="Z22" s="470" t="str">
        <f>IF(AND('Mapa de Riesgos'!$H$24="Media",'Mapa de Riesgos'!$L$24="Moderado"),CONCATENATE("R",'Mapa de Riesgos'!$A$24),"")</f>
        <v/>
      </c>
      <c r="AA22" s="471"/>
      <c r="AB22" s="487" t="str">
        <f>IF(AND('Mapa de Riesgos'!$H$12="Media",'Mapa de Riesgos'!$L$12="Mayor"),CONCATENATE("R",'Mapa de Riesgos'!$A$12),"")</f>
        <v/>
      </c>
      <c r="AC22" s="488"/>
      <c r="AD22" s="488" t="str">
        <f>IF(AND('Mapa de Riesgos'!$H$18="Media",'Mapa de Riesgos'!$L$18="Mayor"),CONCATENATE("R",'Mapa de Riesgos'!$A$18),"")</f>
        <v/>
      </c>
      <c r="AE22" s="488"/>
      <c r="AF22" s="488" t="str">
        <f>IF(AND('Mapa de Riesgos'!$H$24="Media",'Mapa de Riesgos'!$L$24="Mayor"),CONCATENATE("R",'Mapa de Riesgos'!$A$24),"")</f>
        <v/>
      </c>
      <c r="AG22" s="489"/>
      <c r="AH22" s="478" t="str">
        <f>IF(AND('Mapa de Riesgos'!$H$12="Media",'Mapa de Riesgos'!$L$12="Catastrófico"),CONCATENATE("R",'Mapa de Riesgos'!$A$12),"")</f>
        <v/>
      </c>
      <c r="AI22" s="479"/>
      <c r="AJ22" s="479" t="str">
        <f>IF(AND('Mapa de Riesgos'!$H$18="Media",'Mapa de Riesgos'!$L$18="Catastrófico"),CONCATENATE("R",'Mapa de Riesgos'!$A$18),"")</f>
        <v/>
      </c>
      <c r="AK22" s="479"/>
      <c r="AL22" s="479" t="str">
        <f>IF(AND('Mapa de Riesgos'!$H$24="Media",'Mapa de Riesgos'!$L$24="Catastrófico"),CONCATENATE("R",'Mapa de Riesgos'!$A$24),"")</f>
        <v/>
      </c>
      <c r="AM22" s="480"/>
      <c r="AN22" s="83"/>
      <c r="AO22" s="521" t="s">
        <v>133</v>
      </c>
      <c r="AP22" s="522"/>
      <c r="AQ22" s="522"/>
      <c r="AR22" s="522"/>
      <c r="AS22" s="522"/>
      <c r="AT22" s="52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501"/>
      <c r="C23" s="501"/>
      <c r="D23" s="502"/>
      <c r="E23" s="494"/>
      <c r="F23" s="495"/>
      <c r="G23" s="495"/>
      <c r="H23" s="495"/>
      <c r="I23" s="496"/>
      <c r="J23" s="463"/>
      <c r="K23" s="464"/>
      <c r="L23" s="464"/>
      <c r="M23" s="464"/>
      <c r="N23" s="464"/>
      <c r="O23" s="465"/>
      <c r="P23" s="463"/>
      <c r="Q23" s="464"/>
      <c r="R23" s="464"/>
      <c r="S23" s="464"/>
      <c r="T23" s="464"/>
      <c r="U23" s="465"/>
      <c r="V23" s="463"/>
      <c r="W23" s="464"/>
      <c r="X23" s="464"/>
      <c r="Y23" s="464"/>
      <c r="Z23" s="464"/>
      <c r="AA23" s="465"/>
      <c r="AB23" s="481"/>
      <c r="AC23" s="482"/>
      <c r="AD23" s="482"/>
      <c r="AE23" s="482"/>
      <c r="AF23" s="482"/>
      <c r="AG23" s="483"/>
      <c r="AH23" s="472"/>
      <c r="AI23" s="473"/>
      <c r="AJ23" s="473"/>
      <c r="AK23" s="473"/>
      <c r="AL23" s="473"/>
      <c r="AM23" s="474"/>
      <c r="AN23" s="83"/>
      <c r="AO23" s="524"/>
      <c r="AP23" s="525"/>
      <c r="AQ23" s="525"/>
      <c r="AR23" s="525"/>
      <c r="AS23" s="525"/>
      <c r="AT23" s="526"/>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501"/>
      <c r="C24" s="501"/>
      <c r="D24" s="502"/>
      <c r="E24" s="494"/>
      <c r="F24" s="495"/>
      <c r="G24" s="495"/>
      <c r="H24" s="495"/>
      <c r="I24" s="496"/>
      <c r="J24" s="463" t="str">
        <f>IF(AND('Mapa de Riesgos'!$H$30="Media",'Mapa de Riesgos'!$L$30="Leve"),CONCATENATE("R",'Mapa de Riesgos'!$A$30),"")</f>
        <v/>
      </c>
      <c r="K24" s="464"/>
      <c r="L24" s="464" t="str">
        <f>IF(AND('Mapa de Riesgos'!$H$36="Media",'Mapa de Riesgos'!$L$36="Leve"),CONCATENATE("R",'Mapa de Riesgos'!$A$36),"")</f>
        <v/>
      </c>
      <c r="M24" s="464"/>
      <c r="N24" s="464" t="str">
        <f>IF(AND('Mapa de Riesgos'!$H$42="Media",'Mapa de Riesgos'!$L$42="Leve"),CONCATENATE("R",'Mapa de Riesgos'!$A$42),"")</f>
        <v/>
      </c>
      <c r="O24" s="465"/>
      <c r="P24" s="463" t="str">
        <f>IF(AND('Mapa de Riesgos'!$H$30="Media",'Mapa de Riesgos'!$L$30="Menor"),CONCATENATE("R",'Mapa de Riesgos'!$A$30),"")</f>
        <v/>
      </c>
      <c r="Q24" s="464"/>
      <c r="R24" s="464" t="str">
        <f>IF(AND('Mapa de Riesgos'!$H$36="Media",'Mapa de Riesgos'!$L$36="Menor"),CONCATENATE("R",'Mapa de Riesgos'!$A$36),"")</f>
        <v/>
      </c>
      <c r="S24" s="464"/>
      <c r="T24" s="464" t="str">
        <f>IF(AND('Mapa de Riesgos'!$H$42="Media",'Mapa de Riesgos'!$L$42="Menor"),CONCATENATE("R",'Mapa de Riesgos'!$A$42),"")</f>
        <v/>
      </c>
      <c r="U24" s="465"/>
      <c r="V24" s="463" t="str">
        <f>IF(AND('Mapa de Riesgos'!$H$30="Media",'Mapa de Riesgos'!$L$30="Moderado"),CONCATENATE("R",'Mapa de Riesgos'!$A$30),"")</f>
        <v>R4</v>
      </c>
      <c r="W24" s="464"/>
      <c r="X24" s="464" t="str">
        <f>IF(AND('Mapa de Riesgos'!$H$36="Media",'Mapa de Riesgos'!$L$36="Moderado"),CONCATENATE("R",'Mapa de Riesgos'!$A$36),"")</f>
        <v/>
      </c>
      <c r="Y24" s="464"/>
      <c r="Z24" s="464" t="str">
        <f>IF(AND('Mapa de Riesgos'!$H$42="Media",'Mapa de Riesgos'!$L$42="Moderado"),CONCATENATE("R",'Mapa de Riesgos'!$A$42),"")</f>
        <v/>
      </c>
      <c r="AA24" s="465"/>
      <c r="AB24" s="481" t="str">
        <f>IF(AND('Mapa de Riesgos'!$H$30="Media",'Mapa de Riesgos'!$L$30="Mayor"),CONCATENATE("R",'Mapa de Riesgos'!$A$30),"")</f>
        <v/>
      </c>
      <c r="AC24" s="482"/>
      <c r="AD24" s="482" t="str">
        <f>IF(AND('Mapa de Riesgos'!$H$36="Media",'Mapa de Riesgos'!$L$36="Mayor"),CONCATENATE("R",'Mapa de Riesgos'!$A$36),"")</f>
        <v/>
      </c>
      <c r="AE24" s="482"/>
      <c r="AF24" s="482" t="str">
        <f>IF(AND('Mapa de Riesgos'!$H$42="Media",'Mapa de Riesgos'!$L$42="Mayor"),CONCATENATE("R",'Mapa de Riesgos'!$A$42),"")</f>
        <v/>
      </c>
      <c r="AG24" s="483"/>
      <c r="AH24" s="472" t="str">
        <f>IF(AND('Mapa de Riesgos'!$H$30="Media",'Mapa de Riesgos'!$L$30="Catastrófico"),CONCATENATE("R",'Mapa de Riesgos'!$A$30),"")</f>
        <v/>
      </c>
      <c r="AI24" s="473"/>
      <c r="AJ24" s="473" t="str">
        <f>IF(AND('Mapa de Riesgos'!$H$36="Media",'Mapa de Riesgos'!$L$36="Catastrófico"),CONCATENATE("R",'Mapa de Riesgos'!$A$36),"")</f>
        <v/>
      </c>
      <c r="AK24" s="473"/>
      <c r="AL24" s="473" t="str">
        <f>IF(AND('Mapa de Riesgos'!$H$42="Media",'Mapa de Riesgos'!$L$42="Catastrófico"),CONCATENATE("R",'Mapa de Riesgos'!$A$42),"")</f>
        <v/>
      </c>
      <c r="AM24" s="474"/>
      <c r="AN24" s="83"/>
      <c r="AO24" s="524"/>
      <c r="AP24" s="525"/>
      <c r="AQ24" s="525"/>
      <c r="AR24" s="525"/>
      <c r="AS24" s="525"/>
      <c r="AT24" s="526"/>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501"/>
      <c r="C25" s="501"/>
      <c r="D25" s="502"/>
      <c r="E25" s="494"/>
      <c r="F25" s="495"/>
      <c r="G25" s="495"/>
      <c r="H25" s="495"/>
      <c r="I25" s="496"/>
      <c r="J25" s="463"/>
      <c r="K25" s="464"/>
      <c r="L25" s="464"/>
      <c r="M25" s="464"/>
      <c r="N25" s="464"/>
      <c r="O25" s="465"/>
      <c r="P25" s="463"/>
      <c r="Q25" s="464"/>
      <c r="R25" s="464"/>
      <c r="S25" s="464"/>
      <c r="T25" s="464"/>
      <c r="U25" s="465"/>
      <c r="V25" s="463"/>
      <c r="W25" s="464"/>
      <c r="X25" s="464"/>
      <c r="Y25" s="464"/>
      <c r="Z25" s="464"/>
      <c r="AA25" s="465"/>
      <c r="AB25" s="481"/>
      <c r="AC25" s="482"/>
      <c r="AD25" s="482"/>
      <c r="AE25" s="482"/>
      <c r="AF25" s="482"/>
      <c r="AG25" s="483"/>
      <c r="AH25" s="472"/>
      <c r="AI25" s="473"/>
      <c r="AJ25" s="473"/>
      <c r="AK25" s="473"/>
      <c r="AL25" s="473"/>
      <c r="AM25" s="474"/>
      <c r="AN25" s="83"/>
      <c r="AO25" s="524"/>
      <c r="AP25" s="525"/>
      <c r="AQ25" s="525"/>
      <c r="AR25" s="525"/>
      <c r="AS25" s="525"/>
      <c r="AT25" s="526"/>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501"/>
      <c r="C26" s="501"/>
      <c r="D26" s="502"/>
      <c r="E26" s="494"/>
      <c r="F26" s="495"/>
      <c r="G26" s="495"/>
      <c r="H26" s="495"/>
      <c r="I26" s="496"/>
      <c r="J26" s="463" t="str">
        <f>IF(AND('Mapa de Riesgos'!$H$49="Media",'Mapa de Riesgos'!$L$49="Leve"),CONCATENATE("R",'Mapa de Riesgos'!$A$49),"")</f>
        <v/>
      </c>
      <c r="K26" s="464"/>
      <c r="L26" s="464" t="str">
        <f>IF(AND('Mapa de Riesgos'!$H$55="Media",'Mapa de Riesgos'!$L$55="Leve"),CONCATENATE("R",'Mapa de Riesgos'!$A$55),"")</f>
        <v/>
      </c>
      <c r="M26" s="464"/>
      <c r="N26" s="464" t="str">
        <f>IF(AND('Mapa de Riesgos'!$H$61="Media",'Mapa de Riesgos'!$L$61="Leve"),CONCATENATE("R",'Mapa de Riesgos'!$A$61),"")</f>
        <v/>
      </c>
      <c r="O26" s="465"/>
      <c r="P26" s="463" t="str">
        <f>IF(AND('Mapa de Riesgos'!$H$49="Media",'Mapa de Riesgos'!$L$49="Menor"),CONCATENATE("R",'Mapa de Riesgos'!$A$49),"")</f>
        <v/>
      </c>
      <c r="Q26" s="464"/>
      <c r="R26" s="464" t="str">
        <f>IF(AND('Mapa de Riesgos'!$H$55="Media",'Mapa de Riesgos'!$L$55="Menor"),CONCATENATE("R",'Mapa de Riesgos'!$A$55),"")</f>
        <v/>
      </c>
      <c r="S26" s="464"/>
      <c r="T26" s="464" t="str">
        <f>IF(AND('Mapa de Riesgos'!$H$61="Media",'Mapa de Riesgos'!$L$61="Menor"),CONCATENATE("R",'Mapa de Riesgos'!$A$61),"")</f>
        <v/>
      </c>
      <c r="U26" s="465"/>
      <c r="V26" s="463" t="str">
        <f>IF(AND('Mapa de Riesgos'!$H$49="Media",'Mapa de Riesgos'!$L$49="Moderado"),CONCATENATE("R",'Mapa de Riesgos'!$A$49),"")</f>
        <v/>
      </c>
      <c r="W26" s="464"/>
      <c r="X26" s="464" t="str">
        <f>IF(AND('Mapa de Riesgos'!$H$55="Media",'Mapa de Riesgos'!$L$55="Moderado"),CONCATENATE("R",'Mapa de Riesgos'!$A$55),"")</f>
        <v>R8</v>
      </c>
      <c r="Y26" s="464"/>
      <c r="Z26" s="464" t="str">
        <f>IF(AND('Mapa de Riesgos'!$H$61="Media",'Mapa de Riesgos'!$L$61="Moderado"),CONCATENATE("R",'Mapa de Riesgos'!$A$61),"")</f>
        <v>R9</v>
      </c>
      <c r="AA26" s="465"/>
      <c r="AB26" s="481" t="str">
        <f>IF(AND('Mapa de Riesgos'!$H$49="Media",'Mapa de Riesgos'!$L$49="Mayor"),CONCATENATE("R",'Mapa de Riesgos'!$A$49),"")</f>
        <v/>
      </c>
      <c r="AC26" s="482"/>
      <c r="AD26" s="482" t="str">
        <f>IF(AND('Mapa de Riesgos'!$H$55="Media",'Mapa de Riesgos'!$L$55="Mayor"),CONCATENATE("R",'Mapa de Riesgos'!$A$55),"")</f>
        <v/>
      </c>
      <c r="AE26" s="482"/>
      <c r="AF26" s="482" t="str">
        <f>IF(AND('Mapa de Riesgos'!$H$61="Media",'Mapa de Riesgos'!$L$61="Mayor"),CONCATENATE("R",'Mapa de Riesgos'!$A$61),"")</f>
        <v/>
      </c>
      <c r="AG26" s="483"/>
      <c r="AH26" s="472" t="str">
        <f>IF(AND('Mapa de Riesgos'!$H$49="Media",'Mapa de Riesgos'!$L$49="Catastrófico"),CONCATENATE("R",'Mapa de Riesgos'!$A$49),"")</f>
        <v/>
      </c>
      <c r="AI26" s="473"/>
      <c r="AJ26" s="473" t="str">
        <f>IF(AND('Mapa de Riesgos'!$H$55="Media",'Mapa de Riesgos'!$L$55="Catastrófico"),CONCATENATE("R",'Mapa de Riesgos'!$A$55),"")</f>
        <v/>
      </c>
      <c r="AK26" s="473"/>
      <c r="AL26" s="473" t="str">
        <f>IF(AND('Mapa de Riesgos'!$H$61="Media",'Mapa de Riesgos'!$L$61="Catastrófico"),CONCATENATE("R",'Mapa de Riesgos'!$A$61),"")</f>
        <v/>
      </c>
      <c r="AM26" s="474"/>
      <c r="AN26" s="83"/>
      <c r="AO26" s="524"/>
      <c r="AP26" s="525"/>
      <c r="AQ26" s="525"/>
      <c r="AR26" s="525"/>
      <c r="AS26" s="525"/>
      <c r="AT26" s="52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501"/>
      <c r="C27" s="501"/>
      <c r="D27" s="502"/>
      <c r="E27" s="494"/>
      <c r="F27" s="495"/>
      <c r="G27" s="495"/>
      <c r="H27" s="495"/>
      <c r="I27" s="496"/>
      <c r="J27" s="463"/>
      <c r="K27" s="464"/>
      <c r="L27" s="464"/>
      <c r="M27" s="464"/>
      <c r="N27" s="464"/>
      <c r="O27" s="465"/>
      <c r="P27" s="463"/>
      <c r="Q27" s="464"/>
      <c r="R27" s="464"/>
      <c r="S27" s="464"/>
      <c r="T27" s="464"/>
      <c r="U27" s="465"/>
      <c r="V27" s="463"/>
      <c r="W27" s="464"/>
      <c r="X27" s="464"/>
      <c r="Y27" s="464"/>
      <c r="Z27" s="464"/>
      <c r="AA27" s="465"/>
      <c r="AB27" s="481"/>
      <c r="AC27" s="482"/>
      <c r="AD27" s="482"/>
      <c r="AE27" s="482"/>
      <c r="AF27" s="482"/>
      <c r="AG27" s="483"/>
      <c r="AH27" s="472"/>
      <c r="AI27" s="473"/>
      <c r="AJ27" s="473"/>
      <c r="AK27" s="473"/>
      <c r="AL27" s="473"/>
      <c r="AM27" s="474"/>
      <c r="AN27" s="83"/>
      <c r="AO27" s="524"/>
      <c r="AP27" s="525"/>
      <c r="AQ27" s="525"/>
      <c r="AR27" s="525"/>
      <c r="AS27" s="525"/>
      <c r="AT27" s="52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501"/>
      <c r="C28" s="501"/>
      <c r="D28" s="502"/>
      <c r="E28" s="494"/>
      <c r="F28" s="495"/>
      <c r="G28" s="495"/>
      <c r="H28" s="495"/>
      <c r="I28" s="496"/>
      <c r="J28" s="463" t="str">
        <f>IF(AND('Mapa de Riesgos'!$H$67="Media",'Mapa de Riesgos'!$L$67="Leve"),CONCATENATE("R",'Mapa de Riesgos'!$A$67),"")</f>
        <v/>
      </c>
      <c r="K28" s="464"/>
      <c r="L28" s="464" t="str">
        <f>IF(AND('Mapa de Riesgos'!$H$91="Media",'Mapa de Riesgos'!$L$91="Leve"),CONCATENATE("R",'Mapa de Riesgos'!$A$91),"")</f>
        <v/>
      </c>
      <c r="M28" s="464"/>
      <c r="N28" s="464" t="str">
        <f>IF(AND('Mapa de Riesgos'!$H$97="Media",'Mapa de Riesgos'!$L$97="Leve"),CONCATENATE("R",'Mapa de Riesgos'!$A$97),"")</f>
        <v/>
      </c>
      <c r="O28" s="465"/>
      <c r="P28" s="463" t="str">
        <f>IF(AND('Mapa de Riesgos'!$H$67="Media",'Mapa de Riesgos'!$L$67="Menor"),CONCATENATE("R",'Mapa de Riesgos'!$A$67),"")</f>
        <v/>
      </c>
      <c r="Q28" s="464"/>
      <c r="R28" s="464" t="str">
        <f>IF(AND('Mapa de Riesgos'!$H$91="Media",'Mapa de Riesgos'!$L$91="Menor"),CONCATENATE("R",'Mapa de Riesgos'!$A$91),"")</f>
        <v/>
      </c>
      <c r="S28" s="464"/>
      <c r="T28" s="464" t="str">
        <f>IF(AND('Mapa de Riesgos'!$H$97="Media",'Mapa de Riesgos'!$L$97="Menor"),CONCATENATE("R",'Mapa de Riesgos'!$A$97),"")</f>
        <v/>
      </c>
      <c r="U28" s="465"/>
      <c r="V28" s="463" t="str">
        <f>IF(AND('Mapa de Riesgos'!$H$67="Media",'Mapa de Riesgos'!$L$67="Moderado"),CONCATENATE("R",'Mapa de Riesgos'!$A$67),"")</f>
        <v/>
      </c>
      <c r="W28" s="464"/>
      <c r="X28" s="464" t="str">
        <f>IF(AND('Mapa de Riesgos'!$H$91="Media",'Mapa de Riesgos'!$L$91="Moderado"),CONCATENATE("R",'Mapa de Riesgos'!$A$91),"")</f>
        <v/>
      </c>
      <c r="Y28" s="464"/>
      <c r="Z28" s="464" t="str">
        <f>IF(AND('Mapa de Riesgos'!$H$97="Media",'Mapa de Riesgos'!$L$97="Moderado"),CONCATENATE("R",'Mapa de Riesgos'!$A$97),"")</f>
        <v/>
      </c>
      <c r="AA28" s="465"/>
      <c r="AB28" s="481" t="str">
        <f>IF(AND('Mapa de Riesgos'!$H$67="Media",'Mapa de Riesgos'!$L$67="Mayor"),CONCATENATE("R",'Mapa de Riesgos'!$A$67),"")</f>
        <v/>
      </c>
      <c r="AC28" s="482"/>
      <c r="AD28" s="482" t="str">
        <f>IF(AND('Mapa de Riesgos'!$H$91="Media",'Mapa de Riesgos'!$L$91="Mayor"),CONCATENATE("R",'Mapa de Riesgos'!$A$91),"")</f>
        <v/>
      </c>
      <c r="AE28" s="482"/>
      <c r="AF28" s="482" t="str">
        <f>IF(AND('Mapa de Riesgos'!$H$97="Media",'Mapa de Riesgos'!$L$97="Mayor"),CONCATENATE("R",'Mapa de Riesgos'!$A$97),"")</f>
        <v/>
      </c>
      <c r="AG28" s="483"/>
      <c r="AH28" s="472" t="str">
        <f>IF(AND('Mapa de Riesgos'!$H$67="Media",'Mapa de Riesgos'!$L$67="Catastrófico"),CONCATENATE("R",'Mapa de Riesgos'!$A$67),"")</f>
        <v/>
      </c>
      <c r="AI28" s="473"/>
      <c r="AJ28" s="473" t="str">
        <f>IF(AND('Mapa de Riesgos'!$H$91="Media",'Mapa de Riesgos'!$L$91="Catastrófico"),CONCATENATE("R",'Mapa de Riesgos'!$A$91),"")</f>
        <v/>
      </c>
      <c r="AK28" s="473"/>
      <c r="AL28" s="473" t="str">
        <f>IF(AND('Mapa de Riesgos'!$H$97="Media",'Mapa de Riesgos'!$L$97="Catastrófico"),CONCATENATE("R",'Mapa de Riesgos'!$A$97),"")</f>
        <v/>
      </c>
      <c r="AM28" s="474"/>
      <c r="AN28" s="83"/>
      <c r="AO28" s="524"/>
      <c r="AP28" s="525"/>
      <c r="AQ28" s="525"/>
      <c r="AR28" s="525"/>
      <c r="AS28" s="525"/>
      <c r="AT28" s="52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501"/>
      <c r="C29" s="501"/>
      <c r="D29" s="502"/>
      <c r="E29" s="497"/>
      <c r="F29" s="498"/>
      <c r="G29" s="498"/>
      <c r="H29" s="498"/>
      <c r="I29" s="499"/>
      <c r="J29" s="463"/>
      <c r="K29" s="464"/>
      <c r="L29" s="464"/>
      <c r="M29" s="464"/>
      <c r="N29" s="464"/>
      <c r="O29" s="465"/>
      <c r="P29" s="466"/>
      <c r="Q29" s="467"/>
      <c r="R29" s="467"/>
      <c r="S29" s="467"/>
      <c r="T29" s="467"/>
      <c r="U29" s="468"/>
      <c r="V29" s="466"/>
      <c r="W29" s="467"/>
      <c r="X29" s="467"/>
      <c r="Y29" s="467"/>
      <c r="Z29" s="467"/>
      <c r="AA29" s="468"/>
      <c r="AB29" s="484"/>
      <c r="AC29" s="485"/>
      <c r="AD29" s="485"/>
      <c r="AE29" s="485"/>
      <c r="AF29" s="485"/>
      <c r="AG29" s="486"/>
      <c r="AH29" s="475"/>
      <c r="AI29" s="476"/>
      <c r="AJ29" s="476"/>
      <c r="AK29" s="476"/>
      <c r="AL29" s="476"/>
      <c r="AM29" s="477"/>
      <c r="AN29" s="83"/>
      <c r="AO29" s="527"/>
      <c r="AP29" s="528"/>
      <c r="AQ29" s="528"/>
      <c r="AR29" s="528"/>
      <c r="AS29" s="528"/>
      <c r="AT29" s="52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501"/>
      <c r="C30" s="501"/>
      <c r="D30" s="502"/>
      <c r="E30" s="491" t="s">
        <v>134</v>
      </c>
      <c r="F30" s="492"/>
      <c r="G30" s="492"/>
      <c r="H30" s="492"/>
      <c r="I30" s="492"/>
      <c r="J30" s="460" t="str">
        <f>IF(AND('Mapa de Riesgos'!$H$12="Baja",'Mapa de Riesgos'!$L$12="Leve"),CONCATENATE("R",'Mapa de Riesgos'!$A$12),"")</f>
        <v/>
      </c>
      <c r="K30" s="461"/>
      <c r="L30" s="461" t="str">
        <f>IF(AND('Mapa de Riesgos'!$H$18="Baja",'Mapa de Riesgos'!$L$18="Leve"),CONCATENATE("R",'Mapa de Riesgos'!$A$18),"")</f>
        <v/>
      </c>
      <c r="M30" s="461"/>
      <c r="N30" s="461" t="str">
        <f>IF(AND('Mapa de Riesgos'!$H$24="Baja",'Mapa de Riesgos'!$L$24="Leve"),CONCATENATE("R",'Mapa de Riesgos'!$A$24),"")</f>
        <v/>
      </c>
      <c r="O30" s="462"/>
      <c r="P30" s="470" t="str">
        <f>IF(AND('Mapa de Riesgos'!$H$12="Baja",'Mapa de Riesgos'!$L$12="Menor"),CONCATENATE("R",'Mapa de Riesgos'!$A$12),"")</f>
        <v/>
      </c>
      <c r="Q30" s="470"/>
      <c r="R30" s="470" t="str">
        <f>IF(AND('Mapa de Riesgos'!$H$18="Baja",'Mapa de Riesgos'!$L$18="Menor"),CONCATENATE("R",'Mapa de Riesgos'!$A$18),"")</f>
        <v/>
      </c>
      <c r="S30" s="470"/>
      <c r="T30" s="470" t="str">
        <f>IF(AND('Mapa de Riesgos'!$H$24="Baja",'Mapa de Riesgos'!$L$24="Menor"),CONCATENATE("R",'Mapa de Riesgos'!$A$24),"")</f>
        <v/>
      </c>
      <c r="U30" s="471"/>
      <c r="V30" s="469" t="str">
        <f>IF(AND('Mapa de Riesgos'!$H$12="Baja",'Mapa de Riesgos'!$L$12="Moderado"),CONCATENATE("R",'Mapa de Riesgos'!$A$12),"")</f>
        <v/>
      </c>
      <c r="W30" s="470"/>
      <c r="X30" s="470" t="str">
        <f>IF(AND('Mapa de Riesgos'!$H$18="Baja",'Mapa de Riesgos'!$L$18="Moderado"),CONCATENATE("R",'Mapa de Riesgos'!$A$18),"")</f>
        <v/>
      </c>
      <c r="Y30" s="470"/>
      <c r="Z30" s="470" t="str">
        <f>IF(AND('Mapa de Riesgos'!$H$24="Baja",'Mapa de Riesgos'!$L$24="Moderado"),CONCATENATE("R",'Mapa de Riesgos'!$A$24),"")</f>
        <v/>
      </c>
      <c r="AA30" s="471"/>
      <c r="AB30" s="487" t="str">
        <f>IF(AND('Mapa de Riesgos'!$H$12="Baja",'Mapa de Riesgos'!$L$12="Mayor"),CONCATENATE("R",'Mapa de Riesgos'!$A$12),"")</f>
        <v>R1</v>
      </c>
      <c r="AC30" s="488"/>
      <c r="AD30" s="488" t="str">
        <f>IF(AND('Mapa de Riesgos'!$H$18="Baja",'Mapa de Riesgos'!$L$18="Mayor"),CONCATENATE("R",'Mapa de Riesgos'!$A$18),"")</f>
        <v/>
      </c>
      <c r="AE30" s="488"/>
      <c r="AF30" s="488" t="str">
        <f>IF(AND('Mapa de Riesgos'!$H$24="Baja",'Mapa de Riesgos'!$L$24="Mayor"),CONCATENATE("R",'Mapa de Riesgos'!$A$24),"")</f>
        <v/>
      </c>
      <c r="AG30" s="489"/>
      <c r="AH30" s="478" t="str">
        <f>IF(AND('Mapa de Riesgos'!$H$12="Baja",'Mapa de Riesgos'!$L$12="Catastrófico"),CONCATENATE("R",'Mapa de Riesgos'!$A$12),"")</f>
        <v/>
      </c>
      <c r="AI30" s="479"/>
      <c r="AJ30" s="479" t="str">
        <f>IF(AND('Mapa de Riesgos'!$H$18="Baja",'Mapa de Riesgos'!$L$18="Catastrófico"),CONCATENATE("R",'Mapa de Riesgos'!$A$18),"")</f>
        <v/>
      </c>
      <c r="AK30" s="479"/>
      <c r="AL30" s="479" t="str">
        <f>IF(AND('Mapa de Riesgos'!$H$24="Baja",'Mapa de Riesgos'!$L$24="Catastrófico"),CONCATENATE("R",'Mapa de Riesgos'!$A$24),"")</f>
        <v/>
      </c>
      <c r="AM30" s="480"/>
      <c r="AN30" s="83"/>
      <c r="AO30" s="530" t="s">
        <v>135</v>
      </c>
      <c r="AP30" s="531"/>
      <c r="AQ30" s="531"/>
      <c r="AR30" s="531"/>
      <c r="AS30" s="531"/>
      <c r="AT30" s="532"/>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501"/>
      <c r="C31" s="501"/>
      <c r="D31" s="502"/>
      <c r="E31" s="494"/>
      <c r="F31" s="495"/>
      <c r="G31" s="495"/>
      <c r="H31" s="495"/>
      <c r="I31" s="495"/>
      <c r="J31" s="454"/>
      <c r="K31" s="455"/>
      <c r="L31" s="455"/>
      <c r="M31" s="455"/>
      <c r="N31" s="455"/>
      <c r="O31" s="456"/>
      <c r="P31" s="464"/>
      <c r="Q31" s="464"/>
      <c r="R31" s="464"/>
      <c r="S31" s="464"/>
      <c r="T31" s="464"/>
      <c r="U31" s="465"/>
      <c r="V31" s="463"/>
      <c r="W31" s="464"/>
      <c r="X31" s="464"/>
      <c r="Y31" s="464"/>
      <c r="Z31" s="464"/>
      <c r="AA31" s="465"/>
      <c r="AB31" s="481"/>
      <c r="AC31" s="482"/>
      <c r="AD31" s="482"/>
      <c r="AE31" s="482"/>
      <c r="AF31" s="482"/>
      <c r="AG31" s="483"/>
      <c r="AH31" s="472"/>
      <c r="AI31" s="473"/>
      <c r="AJ31" s="473"/>
      <c r="AK31" s="473"/>
      <c r="AL31" s="473"/>
      <c r="AM31" s="474"/>
      <c r="AN31" s="83"/>
      <c r="AO31" s="533"/>
      <c r="AP31" s="534"/>
      <c r="AQ31" s="534"/>
      <c r="AR31" s="534"/>
      <c r="AS31" s="534"/>
      <c r="AT31" s="53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501"/>
      <c r="C32" s="501"/>
      <c r="D32" s="502"/>
      <c r="E32" s="494"/>
      <c r="F32" s="495"/>
      <c r="G32" s="495"/>
      <c r="H32" s="495"/>
      <c r="I32" s="495"/>
      <c r="J32" s="454" t="str">
        <f>IF(AND('Mapa de Riesgos'!$H$30="Baja",'Mapa de Riesgos'!$L$30="Leve"),CONCATENATE("R",'Mapa de Riesgos'!$A$30),"")</f>
        <v/>
      </c>
      <c r="K32" s="455"/>
      <c r="L32" s="455" t="str">
        <f>IF(AND('Mapa de Riesgos'!$H$36="Baja",'Mapa de Riesgos'!$L$36="Leve"),CONCATENATE("R",'Mapa de Riesgos'!$A$36),"")</f>
        <v/>
      </c>
      <c r="M32" s="455"/>
      <c r="N32" s="455" t="str">
        <f>IF(AND('Mapa de Riesgos'!$H$42="Baja",'Mapa de Riesgos'!$L$42="Leve"),CONCATENATE("R",'Mapa de Riesgos'!$A$42),"")</f>
        <v/>
      </c>
      <c r="O32" s="456"/>
      <c r="P32" s="464" t="str">
        <f>IF(AND('Mapa de Riesgos'!$H$30="Baja",'Mapa de Riesgos'!$L$30="Menor"),CONCATENATE("R",'Mapa de Riesgos'!$A$30),"")</f>
        <v/>
      </c>
      <c r="Q32" s="464"/>
      <c r="R32" s="464" t="str">
        <f>IF(AND('Mapa de Riesgos'!$H$36="Baja",'Mapa de Riesgos'!$L$36="Menor"),CONCATENATE("R",'Mapa de Riesgos'!$A$36),"")</f>
        <v/>
      </c>
      <c r="S32" s="464"/>
      <c r="T32" s="464" t="str">
        <f>IF(AND('Mapa de Riesgos'!$H$42="Baja",'Mapa de Riesgos'!$L$42="Menor"),CONCATENATE("R",'Mapa de Riesgos'!$A$42),"")</f>
        <v/>
      </c>
      <c r="U32" s="465"/>
      <c r="V32" s="463" t="str">
        <f>IF(AND('Mapa de Riesgos'!$H$30="Baja",'Mapa de Riesgos'!$L$30="Moderado"),CONCATENATE("R",'Mapa de Riesgos'!$A$30),"")</f>
        <v/>
      </c>
      <c r="W32" s="464"/>
      <c r="X32" s="464" t="str">
        <f>IF(AND('Mapa de Riesgos'!$H$36="Baja",'Mapa de Riesgos'!$L$36="Moderado"),CONCATENATE("R",'Mapa de Riesgos'!$A$36),"")</f>
        <v/>
      </c>
      <c r="Y32" s="464"/>
      <c r="Z32" s="464" t="str">
        <f>IF(AND('Mapa de Riesgos'!$H$42="Baja",'Mapa de Riesgos'!$L$42="Moderado"),CONCATENATE("R",'Mapa de Riesgos'!$A$42),"")</f>
        <v/>
      </c>
      <c r="AA32" s="465"/>
      <c r="AB32" s="481" t="str">
        <f>IF(AND('Mapa de Riesgos'!$H$30="Baja",'Mapa de Riesgos'!$L$30="Mayor"),CONCATENATE("R",'Mapa de Riesgos'!$A$30),"")</f>
        <v/>
      </c>
      <c r="AC32" s="482"/>
      <c r="AD32" s="482" t="str">
        <f>IF(AND('Mapa de Riesgos'!$H$36="Baja",'Mapa de Riesgos'!$L$36="Mayor"),CONCATENATE("R",'Mapa de Riesgos'!$A$36),"")</f>
        <v/>
      </c>
      <c r="AE32" s="482"/>
      <c r="AF32" s="482" t="str">
        <f>IF(AND('Mapa de Riesgos'!$H$42="Baja",'Mapa de Riesgos'!$L$42="Mayor"),CONCATENATE("R",'Mapa de Riesgos'!$A$42),"")</f>
        <v/>
      </c>
      <c r="AG32" s="483"/>
      <c r="AH32" s="472" t="str">
        <f>IF(AND('Mapa de Riesgos'!$H$30="Baja",'Mapa de Riesgos'!$L$30="Catastrófico"),CONCATENATE("R",'Mapa de Riesgos'!$A$30),"")</f>
        <v/>
      </c>
      <c r="AI32" s="473"/>
      <c r="AJ32" s="473" t="str">
        <f>IF(AND('Mapa de Riesgos'!$H$36="Baja",'Mapa de Riesgos'!$L$36="Catastrófico"),CONCATENATE("R",'Mapa de Riesgos'!$A$36),"")</f>
        <v/>
      </c>
      <c r="AK32" s="473"/>
      <c r="AL32" s="473" t="str">
        <f>IF(AND('Mapa de Riesgos'!$H$42="Baja",'Mapa de Riesgos'!$L$42="Catastrófico"),CONCATENATE("R",'Mapa de Riesgos'!$A$42),"")</f>
        <v/>
      </c>
      <c r="AM32" s="474"/>
      <c r="AN32" s="83"/>
      <c r="AO32" s="533"/>
      <c r="AP32" s="534"/>
      <c r="AQ32" s="534"/>
      <c r="AR32" s="534"/>
      <c r="AS32" s="534"/>
      <c r="AT32" s="53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501"/>
      <c r="C33" s="501"/>
      <c r="D33" s="502"/>
      <c r="E33" s="494"/>
      <c r="F33" s="495"/>
      <c r="G33" s="495"/>
      <c r="H33" s="495"/>
      <c r="I33" s="495"/>
      <c r="J33" s="454"/>
      <c r="K33" s="455"/>
      <c r="L33" s="455"/>
      <c r="M33" s="455"/>
      <c r="N33" s="455"/>
      <c r="O33" s="456"/>
      <c r="P33" s="464"/>
      <c r="Q33" s="464"/>
      <c r="R33" s="464"/>
      <c r="S33" s="464"/>
      <c r="T33" s="464"/>
      <c r="U33" s="465"/>
      <c r="V33" s="463"/>
      <c r="W33" s="464"/>
      <c r="X33" s="464"/>
      <c r="Y33" s="464"/>
      <c r="Z33" s="464"/>
      <c r="AA33" s="465"/>
      <c r="AB33" s="481"/>
      <c r="AC33" s="482"/>
      <c r="AD33" s="482"/>
      <c r="AE33" s="482"/>
      <c r="AF33" s="482"/>
      <c r="AG33" s="483"/>
      <c r="AH33" s="472"/>
      <c r="AI33" s="473"/>
      <c r="AJ33" s="473"/>
      <c r="AK33" s="473"/>
      <c r="AL33" s="473"/>
      <c r="AM33" s="474"/>
      <c r="AN33" s="83"/>
      <c r="AO33" s="533"/>
      <c r="AP33" s="534"/>
      <c r="AQ33" s="534"/>
      <c r="AR33" s="534"/>
      <c r="AS33" s="534"/>
      <c r="AT33" s="53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501"/>
      <c r="C34" s="501"/>
      <c r="D34" s="502"/>
      <c r="E34" s="494"/>
      <c r="F34" s="495"/>
      <c r="G34" s="495"/>
      <c r="H34" s="495"/>
      <c r="I34" s="495"/>
      <c r="J34" s="454" t="str">
        <f>IF(AND('Mapa de Riesgos'!$H$49="Baja",'Mapa de Riesgos'!$L$49="Leve"),CONCATENATE("R",'Mapa de Riesgos'!$A$49),"")</f>
        <v/>
      </c>
      <c r="K34" s="455"/>
      <c r="L34" s="455" t="str">
        <f>IF(AND('Mapa de Riesgos'!$H$55="Baja",'Mapa de Riesgos'!$L$55="Leve"),CONCATENATE("R",'Mapa de Riesgos'!$A$55),"")</f>
        <v/>
      </c>
      <c r="M34" s="455"/>
      <c r="N34" s="455" t="str">
        <f>IF(AND('Mapa de Riesgos'!$H$61="Baja",'Mapa de Riesgos'!$L$61="Leve"),CONCATENATE("R",'Mapa de Riesgos'!$A$61),"")</f>
        <v/>
      </c>
      <c r="O34" s="456"/>
      <c r="P34" s="464" t="str">
        <f>IF(AND('Mapa de Riesgos'!$H$49="Baja",'Mapa de Riesgos'!$L$49="Menor"),CONCATENATE("R",'Mapa de Riesgos'!$A$49),"")</f>
        <v/>
      </c>
      <c r="Q34" s="464"/>
      <c r="R34" s="464" t="str">
        <f>IF(AND('Mapa de Riesgos'!$H$55="Baja",'Mapa de Riesgos'!$L$55="Menor"),CONCATENATE("R",'Mapa de Riesgos'!$A$55),"")</f>
        <v/>
      </c>
      <c r="S34" s="464"/>
      <c r="T34" s="464" t="str">
        <f>IF(AND('Mapa de Riesgos'!$H$61="Baja",'Mapa de Riesgos'!$L$61="Menor"),CONCATENATE("R",'Mapa de Riesgos'!$A$61),"")</f>
        <v/>
      </c>
      <c r="U34" s="465"/>
      <c r="V34" s="463" t="str">
        <f>IF(AND('Mapa de Riesgos'!$H$49="Baja",'Mapa de Riesgos'!$L$49="Moderado"),CONCATENATE("R",'Mapa de Riesgos'!$A$49),"")</f>
        <v>R7</v>
      </c>
      <c r="W34" s="464"/>
      <c r="X34" s="464" t="str">
        <f>IF(AND('Mapa de Riesgos'!$H$55="Baja",'Mapa de Riesgos'!$L$55="Moderado"),CONCATENATE("R",'Mapa de Riesgos'!$A$55),"")</f>
        <v/>
      </c>
      <c r="Y34" s="464"/>
      <c r="Z34" s="464" t="str">
        <f>IF(AND('Mapa de Riesgos'!$H$61="Baja",'Mapa de Riesgos'!$L$61="Moderado"),CONCATENATE("R",'Mapa de Riesgos'!$A$61),"")</f>
        <v/>
      </c>
      <c r="AA34" s="465"/>
      <c r="AB34" s="481" t="str">
        <f>IF(AND('Mapa de Riesgos'!$H$49="Baja",'Mapa de Riesgos'!$L$49="Mayor"),CONCATENATE("R",'Mapa de Riesgos'!$A$49),"")</f>
        <v/>
      </c>
      <c r="AC34" s="482"/>
      <c r="AD34" s="482" t="str">
        <f>IF(AND('Mapa de Riesgos'!$H$55="Baja",'Mapa de Riesgos'!$L$55="Mayor"),CONCATENATE("R",'Mapa de Riesgos'!$A$55),"")</f>
        <v/>
      </c>
      <c r="AE34" s="482"/>
      <c r="AF34" s="482" t="str">
        <f>IF(AND('Mapa de Riesgos'!$H$61="Baja",'Mapa de Riesgos'!$L$61="Mayor"),CONCATENATE("R",'Mapa de Riesgos'!$A$61),"")</f>
        <v/>
      </c>
      <c r="AG34" s="483"/>
      <c r="AH34" s="472" t="str">
        <f>IF(AND('Mapa de Riesgos'!$H$49="Baja",'Mapa de Riesgos'!$L$49="Catastrófico"),CONCATENATE("R",'Mapa de Riesgos'!$A$49),"")</f>
        <v/>
      </c>
      <c r="AI34" s="473"/>
      <c r="AJ34" s="473" t="str">
        <f>IF(AND('Mapa de Riesgos'!$H$55="Baja",'Mapa de Riesgos'!$L$55="Catastrófico"),CONCATENATE("R",'Mapa de Riesgos'!$A$55),"")</f>
        <v/>
      </c>
      <c r="AK34" s="473"/>
      <c r="AL34" s="473" t="str">
        <f>IF(AND('Mapa de Riesgos'!$H$61="Baja",'Mapa de Riesgos'!$L$61="Catastrófico"),CONCATENATE("R",'Mapa de Riesgos'!$A$61),"")</f>
        <v/>
      </c>
      <c r="AM34" s="474"/>
      <c r="AN34" s="83"/>
      <c r="AO34" s="533"/>
      <c r="AP34" s="534"/>
      <c r="AQ34" s="534"/>
      <c r="AR34" s="534"/>
      <c r="AS34" s="534"/>
      <c r="AT34" s="53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501"/>
      <c r="C35" s="501"/>
      <c r="D35" s="502"/>
      <c r="E35" s="494"/>
      <c r="F35" s="495"/>
      <c r="G35" s="495"/>
      <c r="H35" s="495"/>
      <c r="I35" s="495"/>
      <c r="J35" s="454"/>
      <c r="K35" s="455"/>
      <c r="L35" s="455"/>
      <c r="M35" s="455"/>
      <c r="N35" s="455"/>
      <c r="O35" s="456"/>
      <c r="P35" s="464"/>
      <c r="Q35" s="464"/>
      <c r="R35" s="464"/>
      <c r="S35" s="464"/>
      <c r="T35" s="464"/>
      <c r="U35" s="465"/>
      <c r="V35" s="463"/>
      <c r="W35" s="464"/>
      <c r="X35" s="464"/>
      <c r="Y35" s="464"/>
      <c r="Z35" s="464"/>
      <c r="AA35" s="465"/>
      <c r="AB35" s="481"/>
      <c r="AC35" s="482"/>
      <c r="AD35" s="482"/>
      <c r="AE35" s="482"/>
      <c r="AF35" s="482"/>
      <c r="AG35" s="483"/>
      <c r="AH35" s="472"/>
      <c r="AI35" s="473"/>
      <c r="AJ35" s="473"/>
      <c r="AK35" s="473"/>
      <c r="AL35" s="473"/>
      <c r="AM35" s="474"/>
      <c r="AN35" s="83"/>
      <c r="AO35" s="533"/>
      <c r="AP35" s="534"/>
      <c r="AQ35" s="534"/>
      <c r="AR35" s="534"/>
      <c r="AS35" s="534"/>
      <c r="AT35" s="535"/>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501"/>
      <c r="C36" s="501"/>
      <c r="D36" s="502"/>
      <c r="E36" s="494"/>
      <c r="F36" s="495"/>
      <c r="G36" s="495"/>
      <c r="H36" s="495"/>
      <c r="I36" s="495"/>
      <c r="J36" s="454" t="str">
        <f>IF(AND('Mapa de Riesgos'!$H$67="Baja",'Mapa de Riesgos'!$L$67="Leve"),CONCATENATE("R",'Mapa de Riesgos'!$A$67),"")</f>
        <v/>
      </c>
      <c r="K36" s="455"/>
      <c r="L36" s="455" t="str">
        <f>IF(AND('Mapa de Riesgos'!$H$91="Baja",'Mapa de Riesgos'!$L$91="Leve"),CONCATENATE("R",'Mapa de Riesgos'!$A$91),"")</f>
        <v/>
      </c>
      <c r="M36" s="455"/>
      <c r="N36" s="455" t="str">
        <f>IF(AND('Mapa de Riesgos'!$H$97="Baja",'Mapa de Riesgos'!$L$97="Leve"),CONCATENATE("R",'Mapa de Riesgos'!$A$97),"")</f>
        <v/>
      </c>
      <c r="O36" s="456"/>
      <c r="P36" s="464" t="str">
        <f>IF(AND('Mapa de Riesgos'!$H$67="Baja",'Mapa de Riesgos'!$L$67="Menor"),CONCATENATE("R",'Mapa de Riesgos'!$A$67),"")</f>
        <v/>
      </c>
      <c r="Q36" s="464"/>
      <c r="R36" s="464" t="str">
        <f>IF(AND('Mapa de Riesgos'!$H$91="Baja",'Mapa de Riesgos'!$L$91="Menor"),CONCATENATE("R",'Mapa de Riesgos'!$A$91),"")</f>
        <v/>
      </c>
      <c r="S36" s="464"/>
      <c r="T36" s="464" t="str">
        <f>IF(AND('Mapa de Riesgos'!$H$97="Baja",'Mapa de Riesgos'!$L$97="Menor"),CONCATENATE("R",'Mapa de Riesgos'!$A$97),"")</f>
        <v/>
      </c>
      <c r="U36" s="465"/>
      <c r="V36" s="463" t="str">
        <f>IF(AND('Mapa de Riesgos'!$H$67="Baja",'Mapa de Riesgos'!$L$67="Moderado"),CONCATENATE("R",'Mapa de Riesgos'!$A$67),"")</f>
        <v/>
      </c>
      <c r="W36" s="464"/>
      <c r="X36" s="464" t="str">
        <f>IF(AND('Mapa de Riesgos'!$H$91="Baja",'Mapa de Riesgos'!$L$91="Moderado"),CONCATENATE("R",'Mapa de Riesgos'!$A$91),"")</f>
        <v/>
      </c>
      <c r="Y36" s="464"/>
      <c r="Z36" s="464" t="str">
        <f>IF(AND('Mapa de Riesgos'!$H$97="Baja",'Mapa de Riesgos'!$L$97="Moderado"),CONCATENATE("R",'Mapa de Riesgos'!$A$97),"")</f>
        <v/>
      </c>
      <c r="AA36" s="465"/>
      <c r="AB36" s="481" t="str">
        <f>IF(AND('Mapa de Riesgos'!$H$67="Baja",'Mapa de Riesgos'!$L$67="Mayor"),CONCATENATE("R",'Mapa de Riesgos'!$A$67),"")</f>
        <v/>
      </c>
      <c r="AC36" s="482"/>
      <c r="AD36" s="482" t="str">
        <f>IF(AND('Mapa de Riesgos'!$H$91="Baja",'Mapa de Riesgos'!$L$91="Mayor"),CONCATENATE("R",'Mapa de Riesgos'!$A$91),"")</f>
        <v/>
      </c>
      <c r="AE36" s="482"/>
      <c r="AF36" s="482" t="str">
        <f>IF(AND('Mapa de Riesgos'!$H$97="Baja",'Mapa de Riesgos'!$L$97="Mayor"),CONCATENATE("R",'Mapa de Riesgos'!$A$97),"")</f>
        <v/>
      </c>
      <c r="AG36" s="483"/>
      <c r="AH36" s="472" t="str">
        <f>IF(AND('Mapa de Riesgos'!$H$67="Baja",'Mapa de Riesgos'!$L$67="Catastrófico"),CONCATENATE("R",'Mapa de Riesgos'!$A$67),"")</f>
        <v/>
      </c>
      <c r="AI36" s="473"/>
      <c r="AJ36" s="473" t="str">
        <f>IF(AND('Mapa de Riesgos'!$H$91="Baja",'Mapa de Riesgos'!$L$91="Catastrófico"),CONCATENATE("R",'Mapa de Riesgos'!$A$91),"")</f>
        <v/>
      </c>
      <c r="AK36" s="473"/>
      <c r="AL36" s="473" t="str">
        <f>IF(AND('Mapa de Riesgos'!$H$97="Baja",'Mapa de Riesgos'!$L$97="Catastrófico"),CONCATENATE("R",'Mapa de Riesgos'!$A$97),"")</f>
        <v/>
      </c>
      <c r="AM36" s="474"/>
      <c r="AN36" s="83"/>
      <c r="AO36" s="533"/>
      <c r="AP36" s="534"/>
      <c r="AQ36" s="534"/>
      <c r="AR36" s="534"/>
      <c r="AS36" s="534"/>
      <c r="AT36" s="53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501"/>
      <c r="C37" s="501"/>
      <c r="D37" s="502"/>
      <c r="E37" s="497"/>
      <c r="F37" s="498"/>
      <c r="G37" s="498"/>
      <c r="H37" s="498"/>
      <c r="I37" s="498"/>
      <c r="J37" s="457"/>
      <c r="K37" s="458"/>
      <c r="L37" s="458"/>
      <c r="M37" s="458"/>
      <c r="N37" s="458"/>
      <c r="O37" s="459"/>
      <c r="P37" s="467"/>
      <c r="Q37" s="467"/>
      <c r="R37" s="467"/>
      <c r="S37" s="467"/>
      <c r="T37" s="467"/>
      <c r="U37" s="468"/>
      <c r="V37" s="466"/>
      <c r="W37" s="467"/>
      <c r="X37" s="467"/>
      <c r="Y37" s="467"/>
      <c r="Z37" s="467"/>
      <c r="AA37" s="468"/>
      <c r="AB37" s="484"/>
      <c r="AC37" s="485"/>
      <c r="AD37" s="485"/>
      <c r="AE37" s="485"/>
      <c r="AF37" s="485"/>
      <c r="AG37" s="486"/>
      <c r="AH37" s="475"/>
      <c r="AI37" s="476"/>
      <c r="AJ37" s="476"/>
      <c r="AK37" s="476"/>
      <c r="AL37" s="476"/>
      <c r="AM37" s="477"/>
      <c r="AN37" s="83"/>
      <c r="AO37" s="536"/>
      <c r="AP37" s="537"/>
      <c r="AQ37" s="537"/>
      <c r="AR37" s="537"/>
      <c r="AS37" s="537"/>
      <c r="AT37" s="53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501"/>
      <c r="C38" s="501"/>
      <c r="D38" s="502"/>
      <c r="E38" s="491" t="s">
        <v>136</v>
      </c>
      <c r="F38" s="492"/>
      <c r="G38" s="492"/>
      <c r="H38" s="492"/>
      <c r="I38" s="493"/>
      <c r="J38" s="460" t="str">
        <f>IF(AND('Mapa de Riesgos'!$H$12="Muy Baja",'Mapa de Riesgos'!$L$12="Leve"),CONCATENATE("R",'Mapa de Riesgos'!$A$12),"")</f>
        <v/>
      </c>
      <c r="K38" s="461"/>
      <c r="L38" s="461" t="str">
        <f>IF(AND('Mapa de Riesgos'!$H$18="Muy Baja",'Mapa de Riesgos'!$L$18="Leve"),CONCATENATE("R",'Mapa de Riesgos'!$A$18),"")</f>
        <v/>
      </c>
      <c r="M38" s="461"/>
      <c r="N38" s="461" t="str">
        <f>IF(AND('Mapa de Riesgos'!$H$24="Muy Baja",'Mapa de Riesgos'!$L$24="Leve"),CONCATENATE("R",'Mapa de Riesgos'!$A$24),"")</f>
        <v/>
      </c>
      <c r="O38" s="462"/>
      <c r="P38" s="460" t="str">
        <f>IF(AND('Mapa de Riesgos'!$H$12="Muy Baja",'Mapa de Riesgos'!$L$12="Menor"),CONCATENATE("R",'Mapa de Riesgos'!$A$12),"")</f>
        <v/>
      </c>
      <c r="Q38" s="461"/>
      <c r="R38" s="461" t="str">
        <f>IF(AND('Mapa de Riesgos'!$H$18="Muy Baja",'Mapa de Riesgos'!$L$18="Menor"),CONCATENATE("R",'Mapa de Riesgos'!$A$18),"")</f>
        <v/>
      </c>
      <c r="S38" s="461"/>
      <c r="T38" s="461" t="str">
        <f>IF(AND('Mapa de Riesgos'!$H$24="Muy Baja",'Mapa de Riesgos'!$L$24="Menor"),CONCATENATE("R",'Mapa de Riesgos'!$A$24),"")</f>
        <v/>
      </c>
      <c r="U38" s="462"/>
      <c r="V38" s="469" t="str">
        <f>IF(AND('Mapa de Riesgos'!$H$12="Muy Baja",'Mapa de Riesgos'!$L$12="Moderado"),CONCATENATE("R",'Mapa de Riesgos'!$A$12),"")</f>
        <v/>
      </c>
      <c r="W38" s="470"/>
      <c r="X38" s="470" t="str">
        <f>IF(AND('Mapa de Riesgos'!$H$18="Muy Baja",'Mapa de Riesgos'!$L$18="Moderado"),CONCATENATE("R",'Mapa de Riesgos'!$A$18),"")</f>
        <v/>
      </c>
      <c r="Y38" s="470"/>
      <c r="Z38" s="470" t="str">
        <f>IF(AND('Mapa de Riesgos'!$H$24="Muy Baja",'Mapa de Riesgos'!$L$24="Moderado"),CONCATENATE("R",'Mapa de Riesgos'!$A$24),"")</f>
        <v/>
      </c>
      <c r="AA38" s="471"/>
      <c r="AB38" s="487" t="str">
        <f>IF(AND('Mapa de Riesgos'!$H$12="Muy Baja",'Mapa de Riesgos'!$L$12="Mayor"),CONCATENATE("R",'Mapa de Riesgos'!$A$12),"")</f>
        <v/>
      </c>
      <c r="AC38" s="488"/>
      <c r="AD38" s="488" t="str">
        <f>IF(AND('Mapa de Riesgos'!$H$18="Muy Baja",'Mapa de Riesgos'!$L$18="Mayor"),CONCATENATE("R",'Mapa de Riesgos'!$A$18),"")</f>
        <v/>
      </c>
      <c r="AE38" s="488"/>
      <c r="AF38" s="488" t="str">
        <f>IF(AND('Mapa de Riesgos'!$H$24="Muy Baja",'Mapa de Riesgos'!$L$24="Mayor"),CONCATENATE("R",'Mapa de Riesgos'!$A$24),"")</f>
        <v/>
      </c>
      <c r="AG38" s="489"/>
      <c r="AH38" s="478" t="str">
        <f>IF(AND('Mapa de Riesgos'!$H$12="Muy Baja",'Mapa de Riesgos'!$L$12="Catastrófico"),CONCATENATE("R",'Mapa de Riesgos'!$A$12),"")</f>
        <v/>
      </c>
      <c r="AI38" s="479"/>
      <c r="AJ38" s="479" t="str">
        <f>IF(AND('Mapa de Riesgos'!$H$18="Muy Baja",'Mapa de Riesgos'!$L$18="Catastrófico"),CONCATENATE("R",'Mapa de Riesgos'!$A$18),"")</f>
        <v/>
      </c>
      <c r="AK38" s="479"/>
      <c r="AL38" s="479" t="str">
        <f>IF(AND('Mapa de Riesgos'!$H$24="Muy Baja",'Mapa de Riesgos'!$L$24="Catastrófico"),CONCATENATE("R",'Mapa de Riesgos'!$A$24),"")</f>
        <v/>
      </c>
      <c r="AM38" s="480"/>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501"/>
      <c r="C39" s="501"/>
      <c r="D39" s="502"/>
      <c r="E39" s="494"/>
      <c r="F39" s="495"/>
      <c r="G39" s="495"/>
      <c r="H39" s="495"/>
      <c r="I39" s="496"/>
      <c r="J39" s="454"/>
      <c r="K39" s="455"/>
      <c r="L39" s="455"/>
      <c r="M39" s="455"/>
      <c r="N39" s="455"/>
      <c r="O39" s="456"/>
      <c r="P39" s="454"/>
      <c r="Q39" s="455"/>
      <c r="R39" s="455"/>
      <c r="S39" s="455"/>
      <c r="T39" s="455"/>
      <c r="U39" s="456"/>
      <c r="V39" s="463"/>
      <c r="W39" s="464"/>
      <c r="X39" s="464"/>
      <c r="Y39" s="464"/>
      <c r="Z39" s="464"/>
      <c r="AA39" s="465"/>
      <c r="AB39" s="481"/>
      <c r="AC39" s="482"/>
      <c r="AD39" s="482"/>
      <c r="AE39" s="482"/>
      <c r="AF39" s="482"/>
      <c r="AG39" s="483"/>
      <c r="AH39" s="472"/>
      <c r="AI39" s="473"/>
      <c r="AJ39" s="473"/>
      <c r="AK39" s="473"/>
      <c r="AL39" s="473"/>
      <c r="AM39" s="474"/>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501"/>
      <c r="C40" s="501"/>
      <c r="D40" s="502"/>
      <c r="E40" s="494"/>
      <c r="F40" s="495"/>
      <c r="G40" s="495"/>
      <c r="H40" s="495"/>
      <c r="I40" s="496"/>
      <c r="J40" s="454" t="str">
        <f>IF(AND('Mapa de Riesgos'!$H$30="Muy Baja",'Mapa de Riesgos'!$L$30="Leve"),CONCATENATE("R",'Mapa de Riesgos'!$A$30),"")</f>
        <v/>
      </c>
      <c r="K40" s="455"/>
      <c r="L40" s="455" t="str">
        <f>IF(AND('Mapa de Riesgos'!$H$36="Muy Baja",'Mapa de Riesgos'!$L$36="Leve"),CONCATENATE("R",'Mapa de Riesgos'!$A$36),"")</f>
        <v/>
      </c>
      <c r="M40" s="455"/>
      <c r="N40" s="455" t="str">
        <f>IF(AND('Mapa de Riesgos'!$H$42="Muy Baja",'Mapa de Riesgos'!$L$42="Leve"),CONCATENATE("R",'Mapa de Riesgos'!$A$42),"")</f>
        <v/>
      </c>
      <c r="O40" s="456"/>
      <c r="P40" s="454" t="str">
        <f>IF(AND('Mapa de Riesgos'!$H$30="Muy Baja",'Mapa de Riesgos'!$L$30="Menor"),CONCATENATE("R",'Mapa de Riesgos'!$A$30),"")</f>
        <v/>
      </c>
      <c r="Q40" s="455"/>
      <c r="R40" s="455" t="str">
        <f>IF(AND('Mapa de Riesgos'!$H$36="Muy Baja",'Mapa de Riesgos'!$L$36="Menor"),CONCATENATE("R",'Mapa de Riesgos'!$A$36),"")</f>
        <v/>
      </c>
      <c r="S40" s="455"/>
      <c r="T40" s="455" t="str">
        <f>IF(AND('Mapa de Riesgos'!$H$42="Muy Baja",'Mapa de Riesgos'!$L$42="Menor"),CONCATENATE("R",'Mapa de Riesgos'!$A$42),"")</f>
        <v/>
      </c>
      <c r="U40" s="456"/>
      <c r="V40" s="463" t="str">
        <f>IF(AND('Mapa de Riesgos'!$H$30="Muy Baja",'Mapa de Riesgos'!$L$30="Moderado"),CONCATENATE("R",'Mapa de Riesgos'!$A$30),"")</f>
        <v/>
      </c>
      <c r="W40" s="464"/>
      <c r="X40" s="464" t="str">
        <f>IF(AND('Mapa de Riesgos'!$H$36="Muy Baja",'Mapa de Riesgos'!$L$36="Moderado"),CONCATENATE("R",'Mapa de Riesgos'!$A$36),"")</f>
        <v/>
      </c>
      <c r="Y40" s="464"/>
      <c r="Z40" s="464" t="str">
        <f>IF(AND('Mapa de Riesgos'!$H$42="Muy Baja",'Mapa de Riesgos'!$L$42="Moderado"),CONCATENATE("R",'Mapa de Riesgos'!$A$42),"")</f>
        <v/>
      </c>
      <c r="AA40" s="465"/>
      <c r="AB40" s="481" t="str">
        <f>IF(AND('Mapa de Riesgos'!$H$30="Muy Baja",'Mapa de Riesgos'!$L$30="Mayor"),CONCATENATE("R",'Mapa de Riesgos'!$A$30),"")</f>
        <v/>
      </c>
      <c r="AC40" s="482"/>
      <c r="AD40" s="482" t="str">
        <f>IF(AND('Mapa de Riesgos'!$H$36="Muy Baja",'Mapa de Riesgos'!$L$36="Mayor"),CONCATENATE("R",'Mapa de Riesgos'!$A$36),"")</f>
        <v/>
      </c>
      <c r="AE40" s="482"/>
      <c r="AF40" s="482" t="str">
        <f>IF(AND('Mapa de Riesgos'!$H$42="Muy Baja",'Mapa de Riesgos'!$L$42="Mayor"),CONCATENATE("R",'Mapa de Riesgos'!$A$42),"")</f>
        <v>R6</v>
      </c>
      <c r="AG40" s="483"/>
      <c r="AH40" s="472" t="str">
        <f>IF(AND('Mapa de Riesgos'!$H$30="Muy Baja",'Mapa de Riesgos'!$L$30="Catastrófico"),CONCATENATE("R",'Mapa de Riesgos'!$A$30),"")</f>
        <v/>
      </c>
      <c r="AI40" s="473"/>
      <c r="AJ40" s="473" t="str">
        <f>IF(AND('Mapa de Riesgos'!$H$36="Muy Baja",'Mapa de Riesgos'!$L$36="Catastrófico"),CONCATENATE("R",'Mapa de Riesgos'!$A$36),"")</f>
        <v/>
      </c>
      <c r="AK40" s="473"/>
      <c r="AL40" s="473" t="str">
        <f>IF(AND('Mapa de Riesgos'!$H$42="Muy Baja",'Mapa de Riesgos'!$L$42="Catastrófico"),CONCATENATE("R",'Mapa de Riesgos'!$A$42),"")</f>
        <v/>
      </c>
      <c r="AM40" s="474"/>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501"/>
      <c r="C41" s="501"/>
      <c r="D41" s="502"/>
      <c r="E41" s="494"/>
      <c r="F41" s="495"/>
      <c r="G41" s="495"/>
      <c r="H41" s="495"/>
      <c r="I41" s="496"/>
      <c r="J41" s="454"/>
      <c r="K41" s="455"/>
      <c r="L41" s="455"/>
      <c r="M41" s="455"/>
      <c r="N41" s="455"/>
      <c r="O41" s="456"/>
      <c r="P41" s="454"/>
      <c r="Q41" s="455"/>
      <c r="R41" s="455"/>
      <c r="S41" s="455"/>
      <c r="T41" s="455"/>
      <c r="U41" s="456"/>
      <c r="V41" s="463"/>
      <c r="W41" s="464"/>
      <c r="X41" s="464"/>
      <c r="Y41" s="464"/>
      <c r="Z41" s="464"/>
      <c r="AA41" s="465"/>
      <c r="AB41" s="481"/>
      <c r="AC41" s="482"/>
      <c r="AD41" s="482"/>
      <c r="AE41" s="482"/>
      <c r="AF41" s="482"/>
      <c r="AG41" s="483"/>
      <c r="AH41" s="472"/>
      <c r="AI41" s="473"/>
      <c r="AJ41" s="473"/>
      <c r="AK41" s="473"/>
      <c r="AL41" s="473"/>
      <c r="AM41" s="474"/>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501"/>
      <c r="C42" s="501"/>
      <c r="D42" s="502"/>
      <c r="E42" s="494"/>
      <c r="F42" s="495"/>
      <c r="G42" s="495"/>
      <c r="H42" s="495"/>
      <c r="I42" s="496"/>
      <c r="J42" s="454" t="str">
        <f>IF(AND('Mapa de Riesgos'!$H$49="Muy Baja",'Mapa de Riesgos'!$L$49="Leve"),CONCATENATE("R",'Mapa de Riesgos'!$A$49),"")</f>
        <v/>
      </c>
      <c r="K42" s="455"/>
      <c r="L42" s="455" t="str">
        <f>IF(AND('Mapa de Riesgos'!$H$55="Muy Baja",'Mapa de Riesgos'!$L$55="Leve"),CONCATENATE("R",'Mapa de Riesgos'!$A$55),"")</f>
        <v/>
      </c>
      <c r="M42" s="455"/>
      <c r="N42" s="455" t="str">
        <f>IF(AND('Mapa de Riesgos'!$H$61="Muy Baja",'Mapa de Riesgos'!$L$61="Leve"),CONCATENATE("R",'Mapa de Riesgos'!$A$61),"")</f>
        <v/>
      </c>
      <c r="O42" s="456"/>
      <c r="P42" s="454" t="str">
        <f>IF(AND('Mapa de Riesgos'!$H$49="Muy Baja",'Mapa de Riesgos'!$L$49="Menor"),CONCATENATE("R",'Mapa de Riesgos'!$A$49),"")</f>
        <v/>
      </c>
      <c r="Q42" s="455"/>
      <c r="R42" s="455" t="str">
        <f>IF(AND('Mapa de Riesgos'!$H$55="Muy Baja",'Mapa de Riesgos'!$L$55="Menor"),CONCATENATE("R",'Mapa de Riesgos'!$A$55),"")</f>
        <v/>
      </c>
      <c r="S42" s="455"/>
      <c r="T42" s="455" t="str">
        <f>IF(AND('Mapa de Riesgos'!$H$61="Muy Baja",'Mapa de Riesgos'!$L$61="Menor"),CONCATENATE("R",'Mapa de Riesgos'!$A$61),"")</f>
        <v/>
      </c>
      <c r="U42" s="456"/>
      <c r="V42" s="463" t="str">
        <f>IF(AND('Mapa de Riesgos'!$H$49="Muy Baja",'Mapa de Riesgos'!$L$49="Moderado"),CONCATENATE("R",'Mapa de Riesgos'!$A$49),"")</f>
        <v/>
      </c>
      <c r="W42" s="464"/>
      <c r="X42" s="464" t="str">
        <f>IF(AND('Mapa de Riesgos'!$H$55="Muy Baja",'Mapa de Riesgos'!$L$55="Moderado"),CONCATENATE("R",'Mapa de Riesgos'!$A$55),"")</f>
        <v/>
      </c>
      <c r="Y42" s="464"/>
      <c r="Z42" s="464" t="str">
        <f>IF(AND('Mapa de Riesgos'!$H$61="Muy Baja",'Mapa de Riesgos'!$L$61="Moderado"),CONCATENATE("R",'Mapa de Riesgos'!$A$61),"")</f>
        <v/>
      </c>
      <c r="AA42" s="465"/>
      <c r="AB42" s="481" t="str">
        <f>IF(AND('Mapa de Riesgos'!$H$49="Muy Baja",'Mapa de Riesgos'!$L$49="Mayor"),CONCATENATE("R",'Mapa de Riesgos'!$A$49),"")</f>
        <v/>
      </c>
      <c r="AC42" s="482"/>
      <c r="AD42" s="482" t="str">
        <f>IF(AND('Mapa de Riesgos'!$H$55="Muy Baja",'Mapa de Riesgos'!$L$55="Mayor"),CONCATENATE("R",'Mapa de Riesgos'!$A$55),"")</f>
        <v/>
      </c>
      <c r="AE42" s="482"/>
      <c r="AF42" s="482" t="str">
        <f>IF(AND('Mapa de Riesgos'!$H$61="Muy Baja",'Mapa de Riesgos'!$L$61="Mayor"),CONCATENATE("R",'Mapa de Riesgos'!$A$61),"")</f>
        <v/>
      </c>
      <c r="AG42" s="483"/>
      <c r="AH42" s="472" t="str">
        <f>IF(AND('Mapa de Riesgos'!$H$49="Muy Baja",'Mapa de Riesgos'!$L$49="Catastrófico"),CONCATENATE("R",'Mapa de Riesgos'!$A$49),"")</f>
        <v/>
      </c>
      <c r="AI42" s="473"/>
      <c r="AJ42" s="473" t="str">
        <f>IF(AND('Mapa de Riesgos'!$H$55="Muy Baja",'Mapa de Riesgos'!$L$55="Catastrófico"),CONCATENATE("R",'Mapa de Riesgos'!$A$55),"")</f>
        <v/>
      </c>
      <c r="AK42" s="473"/>
      <c r="AL42" s="473" t="str">
        <f>IF(AND('Mapa de Riesgos'!$H$61="Muy Baja",'Mapa de Riesgos'!$L$61="Catastrófico"),CONCATENATE("R",'Mapa de Riesgos'!$A$61),"")</f>
        <v/>
      </c>
      <c r="AM42" s="474"/>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501"/>
      <c r="C43" s="501"/>
      <c r="D43" s="502"/>
      <c r="E43" s="494"/>
      <c r="F43" s="495"/>
      <c r="G43" s="495"/>
      <c r="H43" s="495"/>
      <c r="I43" s="496"/>
      <c r="J43" s="454"/>
      <c r="K43" s="455"/>
      <c r="L43" s="455"/>
      <c r="M43" s="455"/>
      <c r="N43" s="455"/>
      <c r="O43" s="456"/>
      <c r="P43" s="454"/>
      <c r="Q43" s="455"/>
      <c r="R43" s="455"/>
      <c r="S43" s="455"/>
      <c r="T43" s="455"/>
      <c r="U43" s="456"/>
      <c r="V43" s="463"/>
      <c r="W43" s="464"/>
      <c r="X43" s="464"/>
      <c r="Y43" s="464"/>
      <c r="Z43" s="464"/>
      <c r="AA43" s="465"/>
      <c r="AB43" s="481"/>
      <c r="AC43" s="482"/>
      <c r="AD43" s="482"/>
      <c r="AE43" s="482"/>
      <c r="AF43" s="482"/>
      <c r="AG43" s="483"/>
      <c r="AH43" s="472"/>
      <c r="AI43" s="473"/>
      <c r="AJ43" s="473"/>
      <c r="AK43" s="473"/>
      <c r="AL43" s="473"/>
      <c r="AM43" s="474"/>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501"/>
      <c r="C44" s="501"/>
      <c r="D44" s="502"/>
      <c r="E44" s="494"/>
      <c r="F44" s="495"/>
      <c r="G44" s="495"/>
      <c r="H44" s="495"/>
      <c r="I44" s="496"/>
      <c r="J44" s="454" t="str">
        <f>IF(AND('Mapa de Riesgos'!$H$67="Muy Baja",'Mapa de Riesgos'!$L$67="Leve"),CONCATENATE("R",'Mapa de Riesgos'!$A$67),"")</f>
        <v/>
      </c>
      <c r="K44" s="455"/>
      <c r="L44" s="455" t="str">
        <f>IF(AND('Mapa de Riesgos'!$H$91="Muy Baja",'Mapa de Riesgos'!$L$91="Leve"),CONCATENATE("R",'Mapa de Riesgos'!$A$91),"")</f>
        <v/>
      </c>
      <c r="M44" s="455"/>
      <c r="N44" s="455" t="str">
        <f>IF(AND('Mapa de Riesgos'!$H$97="Muy Baja",'Mapa de Riesgos'!$L$97="Leve"),CONCATENATE("R",'Mapa de Riesgos'!$A$97),"")</f>
        <v/>
      </c>
      <c r="O44" s="456"/>
      <c r="P44" s="454" t="str">
        <f>IF(AND('Mapa de Riesgos'!$H$67="Muy Baja",'Mapa de Riesgos'!$L$67="Menor"),CONCATENATE("R",'Mapa de Riesgos'!$A$67),"")</f>
        <v/>
      </c>
      <c r="Q44" s="455"/>
      <c r="R44" s="455" t="str">
        <f>IF(AND('Mapa de Riesgos'!$H$91="Muy Baja",'Mapa de Riesgos'!$L$91="Menor"),CONCATENATE("R",'Mapa de Riesgos'!$A$91),"")</f>
        <v/>
      </c>
      <c r="S44" s="455"/>
      <c r="T44" s="455" t="str">
        <f>IF(AND('Mapa de Riesgos'!$H$97="Muy Baja",'Mapa de Riesgos'!$L$97="Menor"),CONCATENATE("R",'Mapa de Riesgos'!$A$97),"")</f>
        <v/>
      </c>
      <c r="U44" s="456"/>
      <c r="V44" s="463" t="str">
        <f>IF(AND('Mapa de Riesgos'!$H$67="Muy Baja",'Mapa de Riesgos'!$L$67="Moderado"),CONCATENATE("R",'Mapa de Riesgos'!$A$67),"")</f>
        <v/>
      </c>
      <c r="W44" s="464"/>
      <c r="X44" s="464" t="str">
        <f>IF(AND('Mapa de Riesgos'!$H$91="Muy Baja",'Mapa de Riesgos'!$L$91="Moderado"),CONCATENATE("R",'Mapa de Riesgos'!$A$91),"")</f>
        <v/>
      </c>
      <c r="Y44" s="464"/>
      <c r="Z44" s="464" t="str">
        <f>IF(AND('Mapa de Riesgos'!$H$97="Muy Baja",'Mapa de Riesgos'!$L$97="Moderado"),CONCATENATE("R",'Mapa de Riesgos'!$A$97),"")</f>
        <v/>
      </c>
      <c r="AA44" s="465"/>
      <c r="AB44" s="481" t="str">
        <f>IF(AND('Mapa de Riesgos'!$H$67="Muy Baja",'Mapa de Riesgos'!$L$67="Mayor"),CONCATENATE("R",'Mapa de Riesgos'!$A$67),"")</f>
        <v/>
      </c>
      <c r="AC44" s="482"/>
      <c r="AD44" s="482" t="str">
        <f>IF(AND('Mapa de Riesgos'!$H$91="Muy Baja",'Mapa de Riesgos'!$L$91="Mayor"),CONCATENATE("R",'Mapa de Riesgos'!$A$91),"")</f>
        <v/>
      </c>
      <c r="AE44" s="482"/>
      <c r="AF44" s="482" t="str">
        <f>IF(AND('Mapa de Riesgos'!$H$97="Muy Baja",'Mapa de Riesgos'!$L$97="Mayor"),CONCATENATE("R",'Mapa de Riesgos'!$A$97),"")</f>
        <v/>
      </c>
      <c r="AG44" s="483"/>
      <c r="AH44" s="472" t="str">
        <f>IF(AND('Mapa de Riesgos'!$H$67="Muy Baja",'Mapa de Riesgos'!$L$67="Catastrófico"),CONCATENATE("R",'Mapa de Riesgos'!$A$67),"")</f>
        <v/>
      </c>
      <c r="AI44" s="473"/>
      <c r="AJ44" s="473" t="str">
        <f>IF(AND('Mapa de Riesgos'!$H$91="Muy Baja",'Mapa de Riesgos'!$L$91="Catastrófico"),CONCATENATE("R",'Mapa de Riesgos'!$A$91),"")</f>
        <v/>
      </c>
      <c r="AK44" s="473"/>
      <c r="AL44" s="473" t="str">
        <f>IF(AND('Mapa de Riesgos'!$H$97="Muy Baja",'Mapa de Riesgos'!$L$97="Catastrófico"),CONCATENATE("R",'Mapa de Riesgos'!$A$97),"")</f>
        <v/>
      </c>
      <c r="AM44" s="474"/>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501"/>
      <c r="C45" s="501"/>
      <c r="D45" s="502"/>
      <c r="E45" s="497"/>
      <c r="F45" s="498"/>
      <c r="G45" s="498"/>
      <c r="H45" s="498"/>
      <c r="I45" s="499"/>
      <c r="J45" s="457"/>
      <c r="K45" s="458"/>
      <c r="L45" s="458"/>
      <c r="M45" s="458"/>
      <c r="N45" s="458"/>
      <c r="O45" s="459"/>
      <c r="P45" s="457"/>
      <c r="Q45" s="458"/>
      <c r="R45" s="458"/>
      <c r="S45" s="458"/>
      <c r="T45" s="458"/>
      <c r="U45" s="459"/>
      <c r="V45" s="466"/>
      <c r="W45" s="467"/>
      <c r="X45" s="467"/>
      <c r="Y45" s="467"/>
      <c r="Z45" s="467"/>
      <c r="AA45" s="468"/>
      <c r="AB45" s="484"/>
      <c r="AC45" s="485"/>
      <c r="AD45" s="485"/>
      <c r="AE45" s="485"/>
      <c r="AF45" s="485"/>
      <c r="AG45" s="486"/>
      <c r="AH45" s="475"/>
      <c r="AI45" s="476"/>
      <c r="AJ45" s="476"/>
      <c r="AK45" s="476"/>
      <c r="AL45" s="476"/>
      <c r="AM45" s="477"/>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91" t="s">
        <v>137</v>
      </c>
      <c r="K46" s="492"/>
      <c r="L46" s="492"/>
      <c r="M46" s="492"/>
      <c r="N46" s="492"/>
      <c r="O46" s="493"/>
      <c r="P46" s="491" t="s">
        <v>138</v>
      </c>
      <c r="Q46" s="492"/>
      <c r="R46" s="492"/>
      <c r="S46" s="492"/>
      <c r="T46" s="492"/>
      <c r="U46" s="493"/>
      <c r="V46" s="491" t="s">
        <v>139</v>
      </c>
      <c r="W46" s="492"/>
      <c r="X46" s="492"/>
      <c r="Y46" s="492"/>
      <c r="Z46" s="492"/>
      <c r="AA46" s="493"/>
      <c r="AB46" s="491" t="s">
        <v>140</v>
      </c>
      <c r="AC46" s="500"/>
      <c r="AD46" s="492"/>
      <c r="AE46" s="492"/>
      <c r="AF46" s="492"/>
      <c r="AG46" s="493"/>
      <c r="AH46" s="491" t="s">
        <v>141</v>
      </c>
      <c r="AI46" s="492"/>
      <c r="AJ46" s="492"/>
      <c r="AK46" s="492"/>
      <c r="AL46" s="492"/>
      <c r="AM46" s="49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94"/>
      <c r="K47" s="495"/>
      <c r="L47" s="495"/>
      <c r="M47" s="495"/>
      <c r="N47" s="495"/>
      <c r="O47" s="496"/>
      <c r="P47" s="494"/>
      <c r="Q47" s="495"/>
      <c r="R47" s="495"/>
      <c r="S47" s="495"/>
      <c r="T47" s="495"/>
      <c r="U47" s="496"/>
      <c r="V47" s="494"/>
      <c r="W47" s="495"/>
      <c r="X47" s="495"/>
      <c r="Y47" s="495"/>
      <c r="Z47" s="495"/>
      <c r="AA47" s="496"/>
      <c r="AB47" s="494"/>
      <c r="AC47" s="495"/>
      <c r="AD47" s="495"/>
      <c r="AE47" s="495"/>
      <c r="AF47" s="495"/>
      <c r="AG47" s="496"/>
      <c r="AH47" s="494"/>
      <c r="AI47" s="495"/>
      <c r="AJ47" s="495"/>
      <c r="AK47" s="495"/>
      <c r="AL47" s="495"/>
      <c r="AM47" s="496"/>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94"/>
      <c r="K48" s="495"/>
      <c r="L48" s="495"/>
      <c r="M48" s="495"/>
      <c r="N48" s="495"/>
      <c r="O48" s="496"/>
      <c r="P48" s="494"/>
      <c r="Q48" s="495"/>
      <c r="R48" s="495"/>
      <c r="S48" s="495"/>
      <c r="T48" s="495"/>
      <c r="U48" s="496"/>
      <c r="V48" s="494"/>
      <c r="W48" s="495"/>
      <c r="X48" s="495"/>
      <c r="Y48" s="495"/>
      <c r="Z48" s="495"/>
      <c r="AA48" s="496"/>
      <c r="AB48" s="494"/>
      <c r="AC48" s="495"/>
      <c r="AD48" s="495"/>
      <c r="AE48" s="495"/>
      <c r="AF48" s="495"/>
      <c r="AG48" s="496"/>
      <c r="AH48" s="494"/>
      <c r="AI48" s="495"/>
      <c r="AJ48" s="495"/>
      <c r="AK48" s="495"/>
      <c r="AL48" s="495"/>
      <c r="AM48" s="496"/>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94"/>
      <c r="K49" s="495"/>
      <c r="L49" s="495"/>
      <c r="M49" s="495"/>
      <c r="N49" s="495"/>
      <c r="O49" s="496"/>
      <c r="P49" s="494"/>
      <c r="Q49" s="495"/>
      <c r="R49" s="495"/>
      <c r="S49" s="495"/>
      <c r="T49" s="495"/>
      <c r="U49" s="496"/>
      <c r="V49" s="494"/>
      <c r="W49" s="495"/>
      <c r="X49" s="495"/>
      <c r="Y49" s="495"/>
      <c r="Z49" s="495"/>
      <c r="AA49" s="496"/>
      <c r="AB49" s="494"/>
      <c r="AC49" s="495"/>
      <c r="AD49" s="495"/>
      <c r="AE49" s="495"/>
      <c r="AF49" s="495"/>
      <c r="AG49" s="496"/>
      <c r="AH49" s="494"/>
      <c r="AI49" s="495"/>
      <c r="AJ49" s="495"/>
      <c r="AK49" s="495"/>
      <c r="AL49" s="495"/>
      <c r="AM49" s="496"/>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94"/>
      <c r="K50" s="495"/>
      <c r="L50" s="495"/>
      <c r="M50" s="495"/>
      <c r="N50" s="495"/>
      <c r="O50" s="496"/>
      <c r="P50" s="494"/>
      <c r="Q50" s="495"/>
      <c r="R50" s="495"/>
      <c r="S50" s="495"/>
      <c r="T50" s="495"/>
      <c r="U50" s="496"/>
      <c r="V50" s="494"/>
      <c r="W50" s="495"/>
      <c r="X50" s="495"/>
      <c r="Y50" s="495"/>
      <c r="Z50" s="495"/>
      <c r="AA50" s="496"/>
      <c r="AB50" s="494"/>
      <c r="AC50" s="495"/>
      <c r="AD50" s="495"/>
      <c r="AE50" s="495"/>
      <c r="AF50" s="495"/>
      <c r="AG50" s="496"/>
      <c r="AH50" s="494"/>
      <c r="AI50" s="495"/>
      <c r="AJ50" s="495"/>
      <c r="AK50" s="495"/>
      <c r="AL50" s="495"/>
      <c r="AM50" s="496"/>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97"/>
      <c r="K51" s="498"/>
      <c r="L51" s="498"/>
      <c r="M51" s="498"/>
      <c r="N51" s="498"/>
      <c r="O51" s="499"/>
      <c r="P51" s="497"/>
      <c r="Q51" s="498"/>
      <c r="R51" s="498"/>
      <c r="S51" s="498"/>
      <c r="T51" s="498"/>
      <c r="U51" s="499"/>
      <c r="V51" s="497"/>
      <c r="W51" s="498"/>
      <c r="X51" s="498"/>
      <c r="Y51" s="498"/>
      <c r="Z51" s="498"/>
      <c r="AA51" s="499"/>
      <c r="AB51" s="497"/>
      <c r="AC51" s="498"/>
      <c r="AD51" s="498"/>
      <c r="AE51" s="498"/>
      <c r="AF51" s="498"/>
      <c r="AG51" s="499"/>
      <c r="AH51" s="497"/>
      <c r="AI51" s="498"/>
      <c r="AJ51" s="498"/>
      <c r="AK51" s="498"/>
      <c r="AL51" s="498"/>
      <c r="AM51" s="499"/>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26" zoomScale="50" zoomScaleNormal="50" workbookViewId="0">
      <selection activeCell="P45" sqref="P45"/>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68" t="s">
        <v>142</v>
      </c>
      <c r="C2" s="569"/>
      <c r="D2" s="569"/>
      <c r="E2" s="569"/>
      <c r="F2" s="569"/>
      <c r="G2" s="569"/>
      <c r="H2" s="569"/>
      <c r="I2" s="569"/>
      <c r="J2" s="490" t="s">
        <v>23</v>
      </c>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69"/>
      <c r="C3" s="569"/>
      <c r="D3" s="569"/>
      <c r="E3" s="569"/>
      <c r="F3" s="569"/>
      <c r="G3" s="569"/>
      <c r="H3" s="569"/>
      <c r="I3" s="569"/>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69"/>
      <c r="C4" s="569"/>
      <c r="D4" s="569"/>
      <c r="E4" s="569"/>
      <c r="F4" s="569"/>
      <c r="G4" s="569"/>
      <c r="H4" s="569"/>
      <c r="I4" s="569"/>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501" t="s">
        <v>127</v>
      </c>
      <c r="C6" s="501"/>
      <c r="D6" s="502"/>
      <c r="E6" s="539" t="s">
        <v>128</v>
      </c>
      <c r="F6" s="540"/>
      <c r="G6" s="540"/>
      <c r="H6" s="540"/>
      <c r="I6" s="541"/>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59" t="s">
        <v>129</v>
      </c>
      <c r="AP6" s="560"/>
      <c r="AQ6" s="560"/>
      <c r="AR6" s="560"/>
      <c r="AS6" s="560"/>
      <c r="AT6" s="56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501"/>
      <c r="C7" s="501"/>
      <c r="D7" s="502"/>
      <c r="E7" s="542"/>
      <c r="F7" s="543"/>
      <c r="G7" s="543"/>
      <c r="H7" s="543"/>
      <c r="I7" s="544"/>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62"/>
      <c r="AP7" s="563"/>
      <c r="AQ7" s="563"/>
      <c r="AR7" s="563"/>
      <c r="AS7" s="563"/>
      <c r="AT7" s="56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501"/>
      <c r="C8" s="501"/>
      <c r="D8" s="502"/>
      <c r="E8" s="542"/>
      <c r="F8" s="543"/>
      <c r="G8" s="543"/>
      <c r="H8" s="543"/>
      <c r="I8" s="544"/>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62"/>
      <c r="AP8" s="563"/>
      <c r="AQ8" s="563"/>
      <c r="AR8" s="563"/>
      <c r="AS8" s="563"/>
      <c r="AT8" s="56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501"/>
      <c r="C9" s="501"/>
      <c r="D9" s="502"/>
      <c r="E9" s="542"/>
      <c r="F9" s="543"/>
      <c r="G9" s="543"/>
      <c r="H9" s="543"/>
      <c r="I9" s="544"/>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62"/>
      <c r="AP9" s="563"/>
      <c r="AQ9" s="563"/>
      <c r="AR9" s="563"/>
      <c r="AS9" s="563"/>
      <c r="AT9" s="56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501"/>
      <c r="C10" s="501"/>
      <c r="D10" s="502"/>
      <c r="E10" s="542"/>
      <c r="F10" s="543"/>
      <c r="G10" s="543"/>
      <c r="H10" s="543"/>
      <c r="I10" s="544"/>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62"/>
      <c r="AP10" s="563"/>
      <c r="AQ10" s="563"/>
      <c r="AR10" s="563"/>
      <c r="AS10" s="563"/>
      <c r="AT10" s="56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501"/>
      <c r="C11" s="501"/>
      <c r="D11" s="502"/>
      <c r="E11" s="542"/>
      <c r="F11" s="543"/>
      <c r="G11" s="543"/>
      <c r="H11" s="543"/>
      <c r="I11" s="544"/>
      <c r="J11" s="52" t="str">
        <f>IF(AND('Mapa de Riesgos'!$Y$42="Muy Alta",'Mapa de Riesgos'!$AA$42="Leve"),CONCATENATE("R6C",'Mapa de Riesgos'!$O$42),"")</f>
        <v/>
      </c>
      <c r="K11" s="53" t="str">
        <f>IF(AND('Mapa de Riesgos'!$Y$44="Muy Alta",'Mapa de Riesgos'!$AA$44="Leve"),CONCATENATE("R6C",'Mapa de Riesgos'!$O$44),"")</f>
        <v/>
      </c>
      <c r="L11" s="53" t="str">
        <f>IF(AND('Mapa de Riesgos'!$Y$45="Muy Alta",'Mapa de Riesgos'!$AA$45="Leve"),CONCATENATE("R6C",'Mapa de Riesgos'!$O$45),"")</f>
        <v/>
      </c>
      <c r="M11" s="53" t="str">
        <f>IF(AND('Mapa de Riesgos'!$Y$46="Muy Alta",'Mapa de Riesgos'!$AA$46="Leve"),CONCATENATE("R6C",'Mapa de Riesgos'!$O$46),"")</f>
        <v/>
      </c>
      <c r="N11" s="53" t="str">
        <f>IF(AND('Mapa de Riesgos'!$Y$47="Muy Alta",'Mapa de Riesgos'!$AA$47="Leve"),CONCATENATE("R6C",'Mapa de Riesgos'!$O$47),"")</f>
        <v/>
      </c>
      <c r="O11" s="54" t="str">
        <f>IF(AND('Mapa de Riesgos'!$Y$48="Muy Alta",'Mapa de Riesgos'!$AA$48="Leve"),CONCATENATE("R6C",'Mapa de Riesgos'!$O$48),"")</f>
        <v/>
      </c>
      <c r="P11" s="52" t="str">
        <f>IF(AND('Mapa de Riesgos'!$Y$42="Muy Alta",'Mapa de Riesgos'!$AA$42="Menor"),CONCATENATE("R6C",'Mapa de Riesgos'!$O$42),"")</f>
        <v/>
      </c>
      <c r="Q11" s="53" t="str">
        <f>IF(AND('Mapa de Riesgos'!$Y$44="Muy Alta",'Mapa de Riesgos'!$AA$44="Menor"),CONCATENATE("R6C",'Mapa de Riesgos'!$O$44),"")</f>
        <v/>
      </c>
      <c r="R11" s="53" t="str">
        <f>IF(AND('Mapa de Riesgos'!$Y$45="Muy Alta",'Mapa de Riesgos'!$AA$45="Menor"),CONCATENATE("R6C",'Mapa de Riesgos'!$O$45),"")</f>
        <v/>
      </c>
      <c r="S11" s="53" t="str">
        <f>IF(AND('Mapa de Riesgos'!$Y$46="Muy Alta",'Mapa de Riesgos'!$AA$46="Menor"),CONCATENATE("R6C",'Mapa de Riesgos'!$O$46),"")</f>
        <v/>
      </c>
      <c r="T11" s="53" t="str">
        <f>IF(AND('Mapa de Riesgos'!$Y$47="Muy Alta",'Mapa de Riesgos'!$AA$47="Menor"),CONCATENATE("R6C",'Mapa de Riesgos'!$O$47),"")</f>
        <v/>
      </c>
      <c r="U11" s="54" t="str">
        <f>IF(AND('Mapa de Riesgos'!$Y$48="Muy Alta",'Mapa de Riesgos'!$AA$48="Menor"),CONCATENATE("R6C",'Mapa de Riesgos'!$O$48),"")</f>
        <v/>
      </c>
      <c r="V11" s="52" t="str">
        <f>IF(AND('Mapa de Riesgos'!$Y$42="Muy Alta",'Mapa de Riesgos'!$AA$42="Moderado"),CONCATENATE("R6C",'Mapa de Riesgos'!$O$42),"")</f>
        <v/>
      </c>
      <c r="W11" s="53" t="str">
        <f>IF(AND('Mapa de Riesgos'!$Y$44="Muy Alta",'Mapa de Riesgos'!$AA$44="Moderado"),CONCATENATE("R6C",'Mapa de Riesgos'!$O$44),"")</f>
        <v/>
      </c>
      <c r="X11" s="53" t="str">
        <f>IF(AND('Mapa de Riesgos'!$Y$45="Muy Alta",'Mapa de Riesgos'!$AA$45="Moderado"),CONCATENATE("R6C",'Mapa de Riesgos'!$O$45),"")</f>
        <v/>
      </c>
      <c r="Y11" s="53" t="str">
        <f>IF(AND('Mapa de Riesgos'!$Y$46="Muy Alta",'Mapa de Riesgos'!$AA$46="Moderado"),CONCATENATE("R6C",'Mapa de Riesgos'!$O$46),"")</f>
        <v/>
      </c>
      <c r="Z11" s="53" t="str">
        <f>IF(AND('Mapa de Riesgos'!$Y$47="Muy Alta",'Mapa de Riesgos'!$AA$47="Moderado"),CONCATENATE("R6C",'Mapa de Riesgos'!$O$47),"")</f>
        <v/>
      </c>
      <c r="AA11" s="54" t="str">
        <f>IF(AND('Mapa de Riesgos'!$Y$48="Muy Alta",'Mapa de Riesgos'!$AA$48="Moderado"),CONCATENATE("R6C",'Mapa de Riesgos'!$O$48),"")</f>
        <v/>
      </c>
      <c r="AB11" s="52" t="str">
        <f>IF(AND('Mapa de Riesgos'!$Y$42="Muy Alta",'Mapa de Riesgos'!$AA$42="Mayor"),CONCATENATE("R6C",'Mapa de Riesgos'!$O$42),"")</f>
        <v/>
      </c>
      <c r="AC11" s="53" t="str">
        <f>IF(AND('Mapa de Riesgos'!$Y$44="Muy Alta",'Mapa de Riesgos'!$AA$44="Mayor"),CONCATENATE("R6C",'Mapa de Riesgos'!$O$44),"")</f>
        <v/>
      </c>
      <c r="AD11" s="53" t="str">
        <f>IF(AND('Mapa de Riesgos'!$Y$45="Muy Alta",'Mapa de Riesgos'!$AA$45="Mayor"),CONCATENATE("R6C",'Mapa de Riesgos'!$O$45),"")</f>
        <v/>
      </c>
      <c r="AE11" s="53" t="str">
        <f>IF(AND('Mapa de Riesgos'!$Y$46="Muy Alta",'Mapa de Riesgos'!$AA$46="Mayor"),CONCATENATE("R6C",'Mapa de Riesgos'!$O$46),"")</f>
        <v/>
      </c>
      <c r="AF11" s="53" t="str">
        <f>IF(AND('Mapa de Riesgos'!$Y$47="Muy Alta",'Mapa de Riesgos'!$AA$47="Mayor"),CONCATENATE("R6C",'Mapa de Riesgos'!$O$47),"")</f>
        <v/>
      </c>
      <c r="AG11" s="54" t="str">
        <f>IF(AND('Mapa de Riesgos'!$Y$48="Muy Alta",'Mapa de Riesgos'!$AA$48="Mayor"),CONCATENATE("R6C",'Mapa de Riesgos'!$O$48),"")</f>
        <v/>
      </c>
      <c r="AH11" s="55" t="str">
        <f>IF(AND('Mapa de Riesgos'!$Y$42="Muy Alta",'Mapa de Riesgos'!$AA$42="Catastrófico"),CONCATENATE("R6C",'Mapa de Riesgos'!$O$42),"")</f>
        <v/>
      </c>
      <c r="AI11" s="56" t="str">
        <f>IF(AND('Mapa de Riesgos'!$Y$44="Muy Alta",'Mapa de Riesgos'!$AA$44="Catastrófico"),CONCATENATE("R6C",'Mapa de Riesgos'!$O$44),"")</f>
        <v/>
      </c>
      <c r="AJ11" s="56" t="str">
        <f>IF(AND('Mapa de Riesgos'!$Y$45="Muy Alta",'Mapa de Riesgos'!$AA$45="Catastrófico"),CONCATENATE("R6C",'Mapa de Riesgos'!$O$45),"")</f>
        <v/>
      </c>
      <c r="AK11" s="56" t="str">
        <f>IF(AND('Mapa de Riesgos'!$Y$46="Muy Alta",'Mapa de Riesgos'!$AA$46="Catastrófico"),CONCATENATE("R6C",'Mapa de Riesgos'!$O$46),"")</f>
        <v/>
      </c>
      <c r="AL11" s="56" t="str">
        <f>IF(AND('Mapa de Riesgos'!$Y$47="Muy Alta",'Mapa de Riesgos'!$AA$47="Catastrófico"),CONCATENATE("R6C",'Mapa de Riesgos'!$O$47),"")</f>
        <v/>
      </c>
      <c r="AM11" s="57" t="str">
        <f>IF(AND('Mapa de Riesgos'!$Y$48="Muy Alta",'Mapa de Riesgos'!$AA$48="Catastrófico"),CONCATENATE("R6C",'Mapa de Riesgos'!$O$48),"")</f>
        <v/>
      </c>
      <c r="AN11" s="83"/>
      <c r="AO11" s="562"/>
      <c r="AP11" s="563"/>
      <c r="AQ11" s="563"/>
      <c r="AR11" s="563"/>
      <c r="AS11" s="563"/>
      <c r="AT11" s="56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501"/>
      <c r="C12" s="501"/>
      <c r="D12" s="502"/>
      <c r="E12" s="542"/>
      <c r="F12" s="543"/>
      <c r="G12" s="543"/>
      <c r="H12" s="543"/>
      <c r="I12" s="544"/>
      <c r="J12" s="52" t="str">
        <f>IF(AND('Mapa de Riesgos'!$Y$49="Muy Alta",'Mapa de Riesgos'!$AA$49="Leve"),CONCATENATE("R7C",'Mapa de Riesgos'!$O$49),"")</f>
        <v/>
      </c>
      <c r="K12" s="53" t="str">
        <f>IF(AND('Mapa de Riesgos'!$Y$50="Muy Alta",'Mapa de Riesgos'!$AA$50="Leve"),CONCATENATE("R7C",'Mapa de Riesgos'!$O$50),"")</f>
        <v/>
      </c>
      <c r="L12" s="53" t="str">
        <f>IF(AND('Mapa de Riesgos'!$Y$51="Muy Alta",'Mapa de Riesgos'!$AA$51="Leve"),CONCATENATE("R7C",'Mapa de Riesgos'!$O$51),"")</f>
        <v/>
      </c>
      <c r="M12" s="53" t="str">
        <f>IF(AND('Mapa de Riesgos'!$Y$52="Muy Alta",'Mapa de Riesgos'!$AA$52="Leve"),CONCATENATE("R7C",'Mapa de Riesgos'!$O$52),"")</f>
        <v/>
      </c>
      <c r="N12" s="53" t="str">
        <f>IF(AND('Mapa de Riesgos'!$Y$53="Muy Alta",'Mapa de Riesgos'!$AA$53="Leve"),CONCATENATE("R7C",'Mapa de Riesgos'!$O$53),"")</f>
        <v/>
      </c>
      <c r="O12" s="54" t="str">
        <f>IF(AND('Mapa de Riesgos'!$Y$54="Muy Alta",'Mapa de Riesgos'!$AA$54="Leve"),CONCATENATE("R7C",'Mapa de Riesgos'!$O$54),"")</f>
        <v/>
      </c>
      <c r="P12" s="52" t="str">
        <f>IF(AND('Mapa de Riesgos'!$Y$49="Muy Alta",'Mapa de Riesgos'!$AA$49="Menor"),CONCATENATE("R7C",'Mapa de Riesgos'!$O$49),"")</f>
        <v/>
      </c>
      <c r="Q12" s="53" t="str">
        <f>IF(AND('Mapa de Riesgos'!$Y$50="Muy Alta",'Mapa de Riesgos'!$AA$50="Menor"),CONCATENATE("R7C",'Mapa de Riesgos'!$O$50),"")</f>
        <v/>
      </c>
      <c r="R12" s="53" t="str">
        <f>IF(AND('Mapa de Riesgos'!$Y$51="Muy Alta",'Mapa de Riesgos'!$AA$51="Menor"),CONCATENATE("R7C",'Mapa de Riesgos'!$O$51),"")</f>
        <v/>
      </c>
      <c r="S12" s="53" t="str">
        <f>IF(AND('Mapa de Riesgos'!$Y$52="Muy Alta",'Mapa de Riesgos'!$AA$52="Menor"),CONCATENATE("R7C",'Mapa de Riesgos'!$O$52),"")</f>
        <v/>
      </c>
      <c r="T12" s="53" t="str">
        <f>IF(AND('Mapa de Riesgos'!$Y$53="Muy Alta",'Mapa de Riesgos'!$AA$53="Menor"),CONCATENATE("R7C",'Mapa de Riesgos'!$O$53),"")</f>
        <v/>
      </c>
      <c r="U12" s="54" t="str">
        <f>IF(AND('Mapa de Riesgos'!$Y$54="Muy Alta",'Mapa de Riesgos'!$AA$54="Menor"),CONCATENATE("R7C",'Mapa de Riesgos'!$O$54),"")</f>
        <v/>
      </c>
      <c r="V12" s="52" t="str">
        <f>IF(AND('Mapa de Riesgos'!$Y$49="Muy Alta",'Mapa de Riesgos'!$AA$49="Moderado"),CONCATENATE("R7C",'Mapa de Riesgos'!$O$49),"")</f>
        <v/>
      </c>
      <c r="W12" s="53" t="str">
        <f>IF(AND('Mapa de Riesgos'!$Y$50="Muy Alta",'Mapa de Riesgos'!$AA$50="Moderado"),CONCATENATE("R7C",'Mapa de Riesgos'!$O$50),"")</f>
        <v/>
      </c>
      <c r="X12" s="53" t="str">
        <f>IF(AND('Mapa de Riesgos'!$Y$51="Muy Alta",'Mapa de Riesgos'!$AA$51="Moderado"),CONCATENATE("R7C",'Mapa de Riesgos'!$O$51),"")</f>
        <v/>
      </c>
      <c r="Y12" s="53" t="str">
        <f>IF(AND('Mapa de Riesgos'!$Y$52="Muy Alta",'Mapa de Riesgos'!$AA$52="Moderado"),CONCATENATE("R7C",'Mapa de Riesgos'!$O$52),"")</f>
        <v/>
      </c>
      <c r="Z12" s="53" t="str">
        <f>IF(AND('Mapa de Riesgos'!$Y$53="Muy Alta",'Mapa de Riesgos'!$AA$53="Moderado"),CONCATENATE("R7C",'Mapa de Riesgos'!$O$53),"")</f>
        <v/>
      </c>
      <c r="AA12" s="54" t="str">
        <f>IF(AND('Mapa de Riesgos'!$Y$54="Muy Alta",'Mapa de Riesgos'!$AA$54="Moderado"),CONCATENATE("R7C",'Mapa de Riesgos'!$O$54),"")</f>
        <v/>
      </c>
      <c r="AB12" s="52" t="str">
        <f>IF(AND('Mapa de Riesgos'!$Y$49="Muy Alta",'Mapa de Riesgos'!$AA$49="Mayor"),CONCATENATE("R7C",'Mapa de Riesgos'!$O$49),"")</f>
        <v/>
      </c>
      <c r="AC12" s="53" t="str">
        <f>IF(AND('Mapa de Riesgos'!$Y$50="Muy Alta",'Mapa de Riesgos'!$AA$50="Mayor"),CONCATENATE("R7C",'Mapa de Riesgos'!$O$50),"")</f>
        <v/>
      </c>
      <c r="AD12" s="53" t="str">
        <f>IF(AND('Mapa de Riesgos'!$Y$51="Muy Alta",'Mapa de Riesgos'!$AA$51="Mayor"),CONCATENATE("R7C",'Mapa de Riesgos'!$O$51),"")</f>
        <v/>
      </c>
      <c r="AE12" s="53" t="str">
        <f>IF(AND('Mapa de Riesgos'!$Y$52="Muy Alta",'Mapa de Riesgos'!$AA$52="Mayor"),CONCATENATE("R7C",'Mapa de Riesgos'!$O$52),"")</f>
        <v/>
      </c>
      <c r="AF12" s="53" t="str">
        <f>IF(AND('Mapa de Riesgos'!$Y$53="Muy Alta",'Mapa de Riesgos'!$AA$53="Mayor"),CONCATENATE("R7C",'Mapa de Riesgos'!$O$53),"")</f>
        <v/>
      </c>
      <c r="AG12" s="54" t="str">
        <f>IF(AND('Mapa de Riesgos'!$Y$54="Muy Alta",'Mapa de Riesgos'!$AA$54="Mayor"),CONCATENATE("R7C",'Mapa de Riesgos'!$O$54),"")</f>
        <v/>
      </c>
      <c r="AH12" s="55" t="str">
        <f>IF(AND('Mapa de Riesgos'!$Y$49="Muy Alta",'Mapa de Riesgos'!$AA$49="Catastrófico"),CONCATENATE("R7C",'Mapa de Riesgos'!$O$49),"")</f>
        <v/>
      </c>
      <c r="AI12" s="56" t="str">
        <f>IF(AND('Mapa de Riesgos'!$Y$50="Muy Alta",'Mapa de Riesgos'!$AA$50="Catastrófico"),CONCATENATE("R7C",'Mapa de Riesgos'!$O$50),"")</f>
        <v/>
      </c>
      <c r="AJ12" s="56" t="str">
        <f>IF(AND('Mapa de Riesgos'!$Y$51="Muy Alta",'Mapa de Riesgos'!$AA$51="Catastrófico"),CONCATENATE("R7C",'Mapa de Riesgos'!$O$51),"")</f>
        <v/>
      </c>
      <c r="AK12" s="56" t="str">
        <f>IF(AND('Mapa de Riesgos'!$Y$52="Muy Alta",'Mapa de Riesgos'!$AA$52="Catastrófico"),CONCATENATE("R7C",'Mapa de Riesgos'!$O$52),"")</f>
        <v/>
      </c>
      <c r="AL12" s="56" t="str">
        <f>IF(AND('Mapa de Riesgos'!$Y$53="Muy Alta",'Mapa de Riesgos'!$AA$53="Catastrófico"),CONCATENATE("R7C",'Mapa de Riesgos'!$O$53),"")</f>
        <v/>
      </c>
      <c r="AM12" s="57" t="str">
        <f>IF(AND('Mapa de Riesgos'!$Y$54="Muy Alta",'Mapa de Riesgos'!$AA$54="Catastrófico"),CONCATENATE("R7C",'Mapa de Riesgos'!$O$54),"")</f>
        <v/>
      </c>
      <c r="AN12" s="83"/>
      <c r="AO12" s="562"/>
      <c r="AP12" s="563"/>
      <c r="AQ12" s="563"/>
      <c r="AR12" s="563"/>
      <c r="AS12" s="563"/>
      <c r="AT12" s="56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501"/>
      <c r="C13" s="501"/>
      <c r="D13" s="502"/>
      <c r="E13" s="542"/>
      <c r="F13" s="543"/>
      <c r="G13" s="543"/>
      <c r="H13" s="543"/>
      <c r="I13" s="544"/>
      <c r="J13" s="52" t="str">
        <f>IF(AND('Mapa de Riesgos'!$Y$55="Muy Alta",'Mapa de Riesgos'!$AA$55="Leve"),CONCATENATE("R8C",'Mapa de Riesgos'!$O$55),"")</f>
        <v/>
      </c>
      <c r="K13" s="53" t="str">
        <f>IF(AND('Mapa de Riesgos'!$Y$56="Muy Alta",'Mapa de Riesgos'!$AA$56="Leve"),CONCATENATE("R8C",'Mapa de Riesgos'!$O$56),"")</f>
        <v/>
      </c>
      <c r="L13" s="53" t="str">
        <f>IF(AND('Mapa de Riesgos'!$Y$57="Muy Alta",'Mapa de Riesgos'!$AA$57="Leve"),CONCATENATE("R8C",'Mapa de Riesgos'!$O$57),"")</f>
        <v/>
      </c>
      <c r="M13" s="53" t="str">
        <f>IF(AND('Mapa de Riesgos'!$Y$58="Muy Alta",'Mapa de Riesgos'!$AA$58="Leve"),CONCATENATE("R8C",'Mapa de Riesgos'!$O$58),"")</f>
        <v/>
      </c>
      <c r="N13" s="53" t="str">
        <f>IF(AND('Mapa de Riesgos'!$Y$59="Muy Alta",'Mapa de Riesgos'!$AA$59="Leve"),CONCATENATE("R8C",'Mapa de Riesgos'!$O$59),"")</f>
        <v/>
      </c>
      <c r="O13" s="54" t="str">
        <f>IF(AND('Mapa de Riesgos'!$Y$60="Muy Alta",'Mapa de Riesgos'!$AA$60="Leve"),CONCATENATE("R8C",'Mapa de Riesgos'!$O$60),"")</f>
        <v/>
      </c>
      <c r="P13" s="52" t="str">
        <f>IF(AND('Mapa de Riesgos'!$Y$55="Muy Alta",'Mapa de Riesgos'!$AA$55="Menor"),CONCATENATE("R8C",'Mapa de Riesgos'!$O$55),"")</f>
        <v/>
      </c>
      <c r="Q13" s="53" t="str">
        <f>IF(AND('Mapa de Riesgos'!$Y$56="Muy Alta",'Mapa de Riesgos'!$AA$56="Menor"),CONCATENATE("R8C",'Mapa de Riesgos'!$O$56),"")</f>
        <v/>
      </c>
      <c r="R13" s="53" t="str">
        <f>IF(AND('Mapa de Riesgos'!$Y$57="Muy Alta",'Mapa de Riesgos'!$AA$57="Menor"),CONCATENATE("R8C",'Mapa de Riesgos'!$O$57),"")</f>
        <v/>
      </c>
      <c r="S13" s="53" t="str">
        <f>IF(AND('Mapa de Riesgos'!$Y$58="Muy Alta",'Mapa de Riesgos'!$AA$58="Menor"),CONCATENATE("R8C",'Mapa de Riesgos'!$O$58),"")</f>
        <v/>
      </c>
      <c r="T13" s="53" t="str">
        <f>IF(AND('Mapa de Riesgos'!$Y$59="Muy Alta",'Mapa de Riesgos'!$AA$59="Menor"),CONCATENATE("R8C",'Mapa de Riesgos'!$O$59),"")</f>
        <v/>
      </c>
      <c r="U13" s="54" t="str">
        <f>IF(AND('Mapa de Riesgos'!$Y$60="Muy Alta",'Mapa de Riesgos'!$AA$60="Menor"),CONCATENATE("R8C",'Mapa de Riesgos'!$O$60),"")</f>
        <v/>
      </c>
      <c r="V13" s="52" t="str">
        <f>IF(AND('Mapa de Riesgos'!$Y$55="Muy Alta",'Mapa de Riesgos'!$AA$55="Moderado"),CONCATENATE("R8C",'Mapa de Riesgos'!$O$55),"")</f>
        <v/>
      </c>
      <c r="W13" s="53" t="str">
        <f>IF(AND('Mapa de Riesgos'!$Y$56="Muy Alta",'Mapa de Riesgos'!$AA$56="Moderado"),CONCATENATE("R8C",'Mapa de Riesgos'!$O$56),"")</f>
        <v/>
      </c>
      <c r="X13" s="53" t="str">
        <f>IF(AND('Mapa de Riesgos'!$Y$57="Muy Alta",'Mapa de Riesgos'!$AA$57="Moderado"),CONCATENATE("R8C",'Mapa de Riesgos'!$O$57),"")</f>
        <v/>
      </c>
      <c r="Y13" s="53" t="str">
        <f>IF(AND('Mapa de Riesgos'!$Y$58="Muy Alta",'Mapa de Riesgos'!$AA$58="Moderado"),CONCATENATE("R8C",'Mapa de Riesgos'!$O$58),"")</f>
        <v/>
      </c>
      <c r="Z13" s="53" t="str">
        <f>IF(AND('Mapa de Riesgos'!$Y$59="Muy Alta",'Mapa de Riesgos'!$AA$59="Moderado"),CONCATENATE("R8C",'Mapa de Riesgos'!$O$59),"")</f>
        <v/>
      </c>
      <c r="AA13" s="54" t="str">
        <f>IF(AND('Mapa de Riesgos'!$Y$60="Muy Alta",'Mapa de Riesgos'!$AA$60="Moderado"),CONCATENATE("R8C",'Mapa de Riesgos'!$O$60),"")</f>
        <v/>
      </c>
      <c r="AB13" s="52" t="str">
        <f>IF(AND('Mapa de Riesgos'!$Y$55="Muy Alta",'Mapa de Riesgos'!$AA$55="Mayor"),CONCATENATE("R8C",'Mapa de Riesgos'!$O$55),"")</f>
        <v/>
      </c>
      <c r="AC13" s="53" t="str">
        <f>IF(AND('Mapa de Riesgos'!$Y$56="Muy Alta",'Mapa de Riesgos'!$AA$56="Mayor"),CONCATENATE("R8C",'Mapa de Riesgos'!$O$56),"")</f>
        <v/>
      </c>
      <c r="AD13" s="53" t="str">
        <f>IF(AND('Mapa de Riesgos'!$Y$57="Muy Alta",'Mapa de Riesgos'!$AA$57="Mayor"),CONCATENATE("R8C",'Mapa de Riesgos'!$O$57),"")</f>
        <v/>
      </c>
      <c r="AE13" s="53" t="str">
        <f>IF(AND('Mapa de Riesgos'!$Y$58="Muy Alta",'Mapa de Riesgos'!$AA$58="Mayor"),CONCATENATE("R8C",'Mapa de Riesgos'!$O$58),"")</f>
        <v/>
      </c>
      <c r="AF13" s="53" t="str">
        <f>IF(AND('Mapa de Riesgos'!$Y$59="Muy Alta",'Mapa de Riesgos'!$AA$59="Mayor"),CONCATENATE("R8C",'Mapa de Riesgos'!$O$59),"")</f>
        <v/>
      </c>
      <c r="AG13" s="54" t="str">
        <f>IF(AND('Mapa de Riesgos'!$Y$60="Muy Alta",'Mapa de Riesgos'!$AA$60="Mayor"),CONCATENATE("R8C",'Mapa de Riesgos'!$O$60),"")</f>
        <v/>
      </c>
      <c r="AH13" s="55" t="str">
        <f>IF(AND('Mapa de Riesgos'!$Y$55="Muy Alta",'Mapa de Riesgos'!$AA$55="Catastrófico"),CONCATENATE("R8C",'Mapa de Riesgos'!$O$55),"")</f>
        <v/>
      </c>
      <c r="AI13" s="56" t="str">
        <f>IF(AND('Mapa de Riesgos'!$Y$56="Muy Alta",'Mapa de Riesgos'!$AA$56="Catastrófico"),CONCATENATE("R8C",'Mapa de Riesgos'!$O$56),"")</f>
        <v/>
      </c>
      <c r="AJ13" s="56" t="str">
        <f>IF(AND('Mapa de Riesgos'!$Y$57="Muy Alta",'Mapa de Riesgos'!$AA$57="Catastrófico"),CONCATENATE("R8C",'Mapa de Riesgos'!$O$57),"")</f>
        <v/>
      </c>
      <c r="AK13" s="56" t="str">
        <f>IF(AND('Mapa de Riesgos'!$Y$58="Muy Alta",'Mapa de Riesgos'!$AA$58="Catastrófico"),CONCATENATE("R8C",'Mapa de Riesgos'!$O$58),"")</f>
        <v/>
      </c>
      <c r="AL13" s="56" t="str">
        <f>IF(AND('Mapa de Riesgos'!$Y$59="Muy Alta",'Mapa de Riesgos'!$AA$59="Catastrófico"),CONCATENATE("R8C",'Mapa de Riesgos'!$O$59),"")</f>
        <v/>
      </c>
      <c r="AM13" s="57" t="str">
        <f>IF(AND('Mapa de Riesgos'!$Y$60="Muy Alta",'Mapa de Riesgos'!$AA$60="Catastrófico"),CONCATENATE("R8C",'Mapa de Riesgos'!$O$60),"")</f>
        <v/>
      </c>
      <c r="AN13" s="83"/>
      <c r="AO13" s="562"/>
      <c r="AP13" s="563"/>
      <c r="AQ13" s="563"/>
      <c r="AR13" s="563"/>
      <c r="AS13" s="563"/>
      <c r="AT13" s="56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501"/>
      <c r="C14" s="501"/>
      <c r="D14" s="502"/>
      <c r="E14" s="542"/>
      <c r="F14" s="543"/>
      <c r="G14" s="543"/>
      <c r="H14" s="543"/>
      <c r="I14" s="544"/>
      <c r="J14" s="52" t="str">
        <f>IF(AND('Mapa de Riesgos'!$Y$61="Muy Alta",'Mapa de Riesgos'!$AA$61="Leve"),CONCATENATE("R9C",'Mapa de Riesgos'!$O$61),"")</f>
        <v/>
      </c>
      <c r="K14" s="53" t="str">
        <f>IF(AND('Mapa de Riesgos'!$Y$62="Muy Alta",'Mapa de Riesgos'!$AA$62="Leve"),CONCATENATE("R9C",'Mapa de Riesgos'!$O$62),"")</f>
        <v/>
      </c>
      <c r="L14" s="53" t="str">
        <f>IF(AND('Mapa de Riesgos'!$Y$63="Muy Alta",'Mapa de Riesgos'!$AA$63="Leve"),CONCATENATE("R9C",'Mapa de Riesgos'!$O$63),"")</f>
        <v/>
      </c>
      <c r="M14" s="53" t="str">
        <f>IF(AND('Mapa de Riesgos'!$Y$64="Muy Alta",'Mapa de Riesgos'!$AA$64="Leve"),CONCATENATE("R9C",'Mapa de Riesgos'!$O$64),"")</f>
        <v/>
      </c>
      <c r="N14" s="53" t="str">
        <f>IF(AND('Mapa de Riesgos'!$Y$65="Muy Alta",'Mapa de Riesgos'!$AA$65="Leve"),CONCATENATE("R9C",'Mapa de Riesgos'!$O$65),"")</f>
        <v/>
      </c>
      <c r="O14" s="54" t="str">
        <f>IF(AND('Mapa de Riesgos'!$Y$66="Muy Alta",'Mapa de Riesgos'!$AA$66="Leve"),CONCATENATE("R9C",'Mapa de Riesgos'!$O$66),"")</f>
        <v/>
      </c>
      <c r="P14" s="52" t="str">
        <f>IF(AND('Mapa de Riesgos'!$Y$61="Muy Alta",'Mapa de Riesgos'!$AA$61="Menor"),CONCATENATE("R9C",'Mapa de Riesgos'!$O$61),"")</f>
        <v/>
      </c>
      <c r="Q14" s="53" t="str">
        <f>IF(AND('Mapa de Riesgos'!$Y$62="Muy Alta",'Mapa de Riesgos'!$AA$62="Menor"),CONCATENATE("R9C",'Mapa de Riesgos'!$O$62),"")</f>
        <v/>
      </c>
      <c r="R14" s="53" t="str">
        <f>IF(AND('Mapa de Riesgos'!$Y$63="Muy Alta",'Mapa de Riesgos'!$AA$63="Menor"),CONCATENATE("R9C",'Mapa de Riesgos'!$O$63),"")</f>
        <v/>
      </c>
      <c r="S14" s="53" t="str">
        <f>IF(AND('Mapa de Riesgos'!$Y$64="Muy Alta",'Mapa de Riesgos'!$AA$64="Menor"),CONCATENATE("R9C",'Mapa de Riesgos'!$O$64),"")</f>
        <v/>
      </c>
      <c r="T14" s="53" t="str">
        <f>IF(AND('Mapa de Riesgos'!$Y$65="Muy Alta",'Mapa de Riesgos'!$AA$65="Menor"),CONCATENATE("R9C",'Mapa de Riesgos'!$O$65),"")</f>
        <v/>
      </c>
      <c r="U14" s="54" t="str">
        <f>IF(AND('Mapa de Riesgos'!$Y$66="Muy Alta",'Mapa de Riesgos'!$AA$66="Menor"),CONCATENATE("R9C",'Mapa de Riesgos'!$O$66),"")</f>
        <v/>
      </c>
      <c r="V14" s="52" t="str">
        <f>IF(AND('Mapa de Riesgos'!$Y$61="Muy Alta",'Mapa de Riesgos'!$AA$61="Moderado"),CONCATENATE("R9C",'Mapa de Riesgos'!$O$61),"")</f>
        <v/>
      </c>
      <c r="W14" s="53" t="str">
        <f>IF(AND('Mapa de Riesgos'!$Y$62="Muy Alta",'Mapa de Riesgos'!$AA$62="Moderado"),CONCATENATE("R9C",'Mapa de Riesgos'!$O$62),"")</f>
        <v/>
      </c>
      <c r="X14" s="53" t="str">
        <f>IF(AND('Mapa de Riesgos'!$Y$63="Muy Alta",'Mapa de Riesgos'!$AA$63="Moderado"),CONCATENATE("R9C",'Mapa de Riesgos'!$O$63),"")</f>
        <v/>
      </c>
      <c r="Y14" s="53" t="str">
        <f>IF(AND('Mapa de Riesgos'!$Y$64="Muy Alta",'Mapa de Riesgos'!$AA$64="Moderado"),CONCATENATE("R9C",'Mapa de Riesgos'!$O$64),"")</f>
        <v/>
      </c>
      <c r="Z14" s="53" t="str">
        <f>IF(AND('Mapa de Riesgos'!$Y$65="Muy Alta",'Mapa de Riesgos'!$AA$65="Moderado"),CONCATENATE("R9C",'Mapa de Riesgos'!$O$65),"")</f>
        <v/>
      </c>
      <c r="AA14" s="54" t="str">
        <f>IF(AND('Mapa de Riesgos'!$Y$66="Muy Alta",'Mapa de Riesgos'!$AA$66="Moderado"),CONCATENATE("R9C",'Mapa de Riesgos'!$O$66),"")</f>
        <v/>
      </c>
      <c r="AB14" s="52" t="str">
        <f>IF(AND('Mapa de Riesgos'!$Y$61="Muy Alta",'Mapa de Riesgos'!$AA$61="Mayor"),CONCATENATE("R9C",'Mapa de Riesgos'!$O$61),"")</f>
        <v/>
      </c>
      <c r="AC14" s="53" t="str">
        <f>IF(AND('Mapa de Riesgos'!$Y$62="Muy Alta",'Mapa de Riesgos'!$AA$62="Mayor"),CONCATENATE("R9C",'Mapa de Riesgos'!$O$62),"")</f>
        <v/>
      </c>
      <c r="AD14" s="53" t="str">
        <f>IF(AND('Mapa de Riesgos'!$Y$63="Muy Alta",'Mapa de Riesgos'!$AA$63="Mayor"),CONCATENATE("R9C",'Mapa de Riesgos'!$O$63),"")</f>
        <v/>
      </c>
      <c r="AE14" s="53" t="str">
        <f>IF(AND('Mapa de Riesgos'!$Y$64="Muy Alta",'Mapa de Riesgos'!$AA$64="Mayor"),CONCATENATE("R9C",'Mapa de Riesgos'!$O$64),"")</f>
        <v/>
      </c>
      <c r="AF14" s="53" t="str">
        <f>IF(AND('Mapa de Riesgos'!$Y$65="Muy Alta",'Mapa de Riesgos'!$AA$65="Mayor"),CONCATENATE("R9C",'Mapa de Riesgos'!$O$65),"")</f>
        <v/>
      </c>
      <c r="AG14" s="54" t="str">
        <f>IF(AND('Mapa de Riesgos'!$Y$66="Muy Alta",'Mapa de Riesgos'!$AA$66="Mayor"),CONCATENATE("R9C",'Mapa de Riesgos'!$O$66),"")</f>
        <v/>
      </c>
      <c r="AH14" s="55" t="str">
        <f>IF(AND('Mapa de Riesgos'!$Y$61="Muy Alta",'Mapa de Riesgos'!$AA$61="Catastrófico"),CONCATENATE("R9C",'Mapa de Riesgos'!$O$61),"")</f>
        <v/>
      </c>
      <c r="AI14" s="56" t="str">
        <f>IF(AND('Mapa de Riesgos'!$Y$62="Muy Alta",'Mapa de Riesgos'!$AA$62="Catastrófico"),CONCATENATE("R9C",'Mapa de Riesgos'!$O$62),"")</f>
        <v/>
      </c>
      <c r="AJ14" s="56" t="str">
        <f>IF(AND('Mapa de Riesgos'!$Y$63="Muy Alta",'Mapa de Riesgos'!$AA$63="Catastrófico"),CONCATENATE("R9C",'Mapa de Riesgos'!$O$63),"")</f>
        <v/>
      </c>
      <c r="AK14" s="56" t="str">
        <f>IF(AND('Mapa de Riesgos'!$Y$64="Muy Alta",'Mapa de Riesgos'!$AA$64="Catastrófico"),CONCATENATE("R9C",'Mapa de Riesgos'!$O$64),"")</f>
        <v/>
      </c>
      <c r="AL14" s="56" t="str">
        <f>IF(AND('Mapa de Riesgos'!$Y$65="Muy Alta",'Mapa de Riesgos'!$AA$65="Catastrófico"),CONCATENATE("R9C",'Mapa de Riesgos'!$O$65),"")</f>
        <v/>
      </c>
      <c r="AM14" s="57" t="str">
        <f>IF(AND('Mapa de Riesgos'!$Y$66="Muy Alta",'Mapa de Riesgos'!$AA$66="Catastrófico"),CONCATENATE("R9C",'Mapa de Riesgos'!$O$66),"")</f>
        <v/>
      </c>
      <c r="AN14" s="83"/>
      <c r="AO14" s="562"/>
      <c r="AP14" s="563"/>
      <c r="AQ14" s="563"/>
      <c r="AR14" s="563"/>
      <c r="AS14" s="563"/>
      <c r="AT14" s="56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501"/>
      <c r="C15" s="501"/>
      <c r="D15" s="502"/>
      <c r="E15" s="545"/>
      <c r="F15" s="546"/>
      <c r="G15" s="546"/>
      <c r="H15" s="546"/>
      <c r="I15" s="547"/>
      <c r="J15" s="58" t="str">
        <f>IF(AND('Mapa de Riesgos'!$Y$67="Muy Alta",'Mapa de Riesgos'!$AA$67="Leve"),CONCATENATE("R10C",'Mapa de Riesgos'!$O$67),"")</f>
        <v/>
      </c>
      <c r="K15" s="59" t="str">
        <f>IF(AND('Mapa de Riesgos'!$Y$68="Muy Alta",'Mapa de Riesgos'!$AA$68="Leve"),CONCATENATE("R10C",'Mapa de Riesgos'!$O$68),"")</f>
        <v/>
      </c>
      <c r="L15" s="59" t="str">
        <f>IF(AND('Mapa de Riesgos'!$Y$69="Muy Alta",'Mapa de Riesgos'!$AA$69="Leve"),CONCATENATE("R10C",'Mapa de Riesgos'!$O$69),"")</f>
        <v/>
      </c>
      <c r="M15" s="59" t="str">
        <f>IF(AND('Mapa de Riesgos'!$Y$70="Muy Alta",'Mapa de Riesgos'!$AA$70="Leve"),CONCATENATE("R10C",'Mapa de Riesgos'!$O$70),"")</f>
        <v/>
      </c>
      <c r="N15" s="59" t="str">
        <f>IF(AND('Mapa de Riesgos'!$Y$71="Muy Alta",'Mapa de Riesgos'!$AA$71="Leve"),CONCATENATE("R10C",'Mapa de Riesgos'!$O$71),"")</f>
        <v/>
      </c>
      <c r="O15" s="60" t="str">
        <f>IF(AND('Mapa de Riesgos'!$Y$72="Muy Alta",'Mapa de Riesgos'!$AA$72="Leve"),CONCATENATE("R10C",'Mapa de Riesgos'!$O$72),"")</f>
        <v/>
      </c>
      <c r="P15" s="52" t="str">
        <f>IF(AND('Mapa de Riesgos'!$Y$67="Muy Alta",'Mapa de Riesgos'!$AA$67="Menor"),CONCATENATE("R10C",'Mapa de Riesgos'!$O$67),"")</f>
        <v/>
      </c>
      <c r="Q15" s="53" t="str">
        <f>IF(AND('Mapa de Riesgos'!$Y$68="Muy Alta",'Mapa de Riesgos'!$AA$68="Menor"),CONCATENATE("R10C",'Mapa de Riesgos'!$O$68),"")</f>
        <v/>
      </c>
      <c r="R15" s="53" t="str">
        <f>IF(AND('Mapa de Riesgos'!$Y$69="Muy Alta",'Mapa de Riesgos'!$AA$69="Menor"),CONCATENATE("R10C",'Mapa de Riesgos'!$O$69),"")</f>
        <v/>
      </c>
      <c r="S15" s="53" t="str">
        <f>IF(AND('Mapa de Riesgos'!$Y$70="Muy Alta",'Mapa de Riesgos'!$AA$70="Menor"),CONCATENATE("R10C",'Mapa de Riesgos'!$O$70),"")</f>
        <v/>
      </c>
      <c r="T15" s="53" t="str">
        <f>IF(AND('Mapa de Riesgos'!$Y$71="Muy Alta",'Mapa de Riesgos'!$AA$71="Menor"),CONCATENATE("R10C",'Mapa de Riesgos'!$O$71),"")</f>
        <v/>
      </c>
      <c r="U15" s="54" t="str">
        <f>IF(AND('Mapa de Riesgos'!$Y$72="Muy Alta",'Mapa de Riesgos'!$AA$72="Menor"),CONCATENATE("R10C",'Mapa de Riesgos'!$O$72),"")</f>
        <v/>
      </c>
      <c r="V15" s="58" t="str">
        <f>IF(AND('Mapa de Riesgos'!$Y$67="Muy Alta",'Mapa de Riesgos'!$AA$67="Moderado"),CONCATENATE("R10C",'Mapa de Riesgos'!$O$67),"")</f>
        <v/>
      </c>
      <c r="W15" s="59" t="str">
        <f>IF(AND('Mapa de Riesgos'!$Y$68="Muy Alta",'Mapa de Riesgos'!$AA$68="Moderado"),CONCATENATE("R10C",'Mapa de Riesgos'!$O$68),"")</f>
        <v/>
      </c>
      <c r="X15" s="59" t="str">
        <f>IF(AND('Mapa de Riesgos'!$Y$69="Muy Alta",'Mapa de Riesgos'!$AA$69="Moderado"),CONCATENATE("R10C",'Mapa de Riesgos'!$O$69),"")</f>
        <v/>
      </c>
      <c r="Y15" s="59" t="str">
        <f>IF(AND('Mapa de Riesgos'!$Y$70="Muy Alta",'Mapa de Riesgos'!$AA$70="Moderado"),CONCATENATE("R10C",'Mapa de Riesgos'!$O$70),"")</f>
        <v/>
      </c>
      <c r="Z15" s="59" t="str">
        <f>IF(AND('Mapa de Riesgos'!$Y$71="Muy Alta",'Mapa de Riesgos'!$AA$71="Moderado"),CONCATENATE("R10C",'Mapa de Riesgos'!$O$71),"")</f>
        <v/>
      </c>
      <c r="AA15" s="60" t="str">
        <f>IF(AND('Mapa de Riesgos'!$Y$72="Muy Alta",'Mapa de Riesgos'!$AA$72="Moderado"),CONCATENATE("R10C",'Mapa de Riesgos'!$O$72),"")</f>
        <v/>
      </c>
      <c r="AB15" s="52" t="str">
        <f>IF(AND('Mapa de Riesgos'!$Y$67="Muy Alta",'Mapa de Riesgos'!$AA$67="Mayor"),CONCATENATE("R10C",'Mapa de Riesgos'!$O$67),"")</f>
        <v/>
      </c>
      <c r="AC15" s="53" t="str">
        <f>IF(AND('Mapa de Riesgos'!$Y$68="Muy Alta",'Mapa de Riesgos'!$AA$68="Mayor"),CONCATENATE("R10C",'Mapa de Riesgos'!$O$68),"")</f>
        <v/>
      </c>
      <c r="AD15" s="53" t="str">
        <f>IF(AND('Mapa de Riesgos'!$Y$69="Muy Alta",'Mapa de Riesgos'!$AA$69="Mayor"),CONCATENATE("R10C",'Mapa de Riesgos'!$O$69),"")</f>
        <v/>
      </c>
      <c r="AE15" s="53" t="str">
        <f>IF(AND('Mapa de Riesgos'!$Y$70="Muy Alta",'Mapa de Riesgos'!$AA$70="Mayor"),CONCATENATE("R10C",'Mapa de Riesgos'!$O$70),"")</f>
        <v/>
      </c>
      <c r="AF15" s="53" t="str">
        <f>IF(AND('Mapa de Riesgos'!$Y$71="Muy Alta",'Mapa de Riesgos'!$AA$71="Mayor"),CONCATENATE("R10C",'Mapa de Riesgos'!$O$71),"")</f>
        <v/>
      </c>
      <c r="AG15" s="54" t="str">
        <f>IF(AND('Mapa de Riesgos'!$Y$72="Muy Alta",'Mapa de Riesgos'!$AA$72="Mayor"),CONCATENATE("R10C",'Mapa de Riesgos'!$O$72),"")</f>
        <v/>
      </c>
      <c r="AH15" s="61" t="str">
        <f>IF(AND('Mapa de Riesgos'!$Y$67="Muy Alta",'Mapa de Riesgos'!$AA$67="Catastrófico"),CONCATENATE("R10C",'Mapa de Riesgos'!$O$67),"")</f>
        <v/>
      </c>
      <c r="AI15" s="62" t="str">
        <f>IF(AND('Mapa de Riesgos'!$Y$68="Muy Alta",'Mapa de Riesgos'!$AA$68="Catastrófico"),CONCATENATE("R10C",'Mapa de Riesgos'!$O$68),"")</f>
        <v/>
      </c>
      <c r="AJ15" s="62" t="str">
        <f>IF(AND('Mapa de Riesgos'!$Y$69="Muy Alta",'Mapa de Riesgos'!$AA$69="Catastrófico"),CONCATENATE("R10C",'Mapa de Riesgos'!$O$69),"")</f>
        <v/>
      </c>
      <c r="AK15" s="62" t="str">
        <f>IF(AND('Mapa de Riesgos'!$Y$70="Muy Alta",'Mapa de Riesgos'!$AA$70="Catastrófico"),CONCATENATE("R10C",'Mapa de Riesgos'!$O$70),"")</f>
        <v/>
      </c>
      <c r="AL15" s="62" t="str">
        <f>IF(AND('Mapa de Riesgos'!$Y$71="Muy Alta",'Mapa de Riesgos'!$AA$71="Catastrófico"),CONCATENATE("R10C",'Mapa de Riesgos'!$O$71),"")</f>
        <v/>
      </c>
      <c r="AM15" s="63" t="str">
        <f>IF(AND('Mapa de Riesgos'!$Y$72="Muy Alta",'Mapa de Riesgos'!$AA$72="Catastrófico"),CONCATENATE("R10C",'Mapa de Riesgos'!$O$72),"")</f>
        <v/>
      </c>
      <c r="AN15" s="83"/>
      <c r="AO15" s="565"/>
      <c r="AP15" s="566"/>
      <c r="AQ15" s="566"/>
      <c r="AR15" s="566"/>
      <c r="AS15" s="566"/>
      <c r="AT15" s="56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501"/>
      <c r="C16" s="501"/>
      <c r="D16" s="502"/>
      <c r="E16" s="539" t="s">
        <v>130</v>
      </c>
      <c r="F16" s="540"/>
      <c r="G16" s="540"/>
      <c r="H16" s="540"/>
      <c r="I16" s="540"/>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49" t="s">
        <v>131</v>
      </c>
      <c r="AP16" s="550"/>
      <c r="AQ16" s="550"/>
      <c r="AR16" s="550"/>
      <c r="AS16" s="550"/>
      <c r="AT16" s="55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501"/>
      <c r="C17" s="501"/>
      <c r="D17" s="502"/>
      <c r="E17" s="558"/>
      <c r="F17" s="543"/>
      <c r="G17" s="543"/>
      <c r="H17" s="543"/>
      <c r="I17" s="543"/>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52"/>
      <c r="AP17" s="553"/>
      <c r="AQ17" s="553"/>
      <c r="AR17" s="553"/>
      <c r="AS17" s="553"/>
      <c r="AT17" s="55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501"/>
      <c r="C18" s="501"/>
      <c r="D18" s="502"/>
      <c r="E18" s="542"/>
      <c r="F18" s="543"/>
      <c r="G18" s="543"/>
      <c r="H18" s="543"/>
      <c r="I18" s="543"/>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52"/>
      <c r="AP18" s="553"/>
      <c r="AQ18" s="553"/>
      <c r="AR18" s="553"/>
      <c r="AS18" s="553"/>
      <c r="AT18" s="55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501"/>
      <c r="C19" s="501"/>
      <c r="D19" s="502"/>
      <c r="E19" s="542"/>
      <c r="F19" s="543"/>
      <c r="G19" s="543"/>
      <c r="H19" s="543"/>
      <c r="I19" s="543"/>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52"/>
      <c r="AP19" s="553"/>
      <c r="AQ19" s="553"/>
      <c r="AR19" s="553"/>
      <c r="AS19" s="553"/>
      <c r="AT19" s="55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501"/>
      <c r="C20" s="501"/>
      <c r="D20" s="502"/>
      <c r="E20" s="542"/>
      <c r="F20" s="543"/>
      <c r="G20" s="543"/>
      <c r="H20" s="543"/>
      <c r="I20" s="543"/>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52"/>
      <c r="AP20" s="553"/>
      <c r="AQ20" s="553"/>
      <c r="AR20" s="553"/>
      <c r="AS20" s="553"/>
      <c r="AT20" s="55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501"/>
      <c r="C21" s="501"/>
      <c r="D21" s="502"/>
      <c r="E21" s="542"/>
      <c r="F21" s="543"/>
      <c r="G21" s="543"/>
      <c r="H21" s="543"/>
      <c r="I21" s="543"/>
      <c r="J21" s="67" t="str">
        <f>IF(AND('Mapa de Riesgos'!$Y$42="Alta",'Mapa de Riesgos'!$AA$42="Leve"),CONCATENATE("R6C",'Mapa de Riesgos'!$O$42),"")</f>
        <v/>
      </c>
      <c r="K21" s="68" t="str">
        <f>IF(AND('Mapa de Riesgos'!$Y$44="Alta",'Mapa de Riesgos'!$AA$44="Leve"),CONCATENATE("R6C",'Mapa de Riesgos'!$O$44),"")</f>
        <v/>
      </c>
      <c r="L21" s="68" t="str">
        <f>IF(AND('Mapa de Riesgos'!$Y$45="Alta",'Mapa de Riesgos'!$AA$45="Leve"),CONCATENATE("R6C",'Mapa de Riesgos'!$O$45),"")</f>
        <v/>
      </c>
      <c r="M21" s="68" t="str">
        <f>IF(AND('Mapa de Riesgos'!$Y$46="Alta",'Mapa de Riesgos'!$AA$46="Leve"),CONCATENATE("R6C",'Mapa de Riesgos'!$O$46),"")</f>
        <v/>
      </c>
      <c r="N21" s="68" t="str">
        <f>IF(AND('Mapa de Riesgos'!$Y$47="Alta",'Mapa de Riesgos'!$AA$47="Leve"),CONCATENATE("R6C",'Mapa de Riesgos'!$O$47),"")</f>
        <v/>
      </c>
      <c r="O21" s="69" t="str">
        <f>IF(AND('Mapa de Riesgos'!$Y$48="Alta",'Mapa de Riesgos'!$AA$48="Leve"),CONCATENATE("R6C",'Mapa de Riesgos'!$O$48),"")</f>
        <v/>
      </c>
      <c r="P21" s="67" t="str">
        <f>IF(AND('Mapa de Riesgos'!$Y$42="Alta",'Mapa de Riesgos'!$AA$42="Menor"),CONCATENATE("R6C",'Mapa de Riesgos'!$O$42),"")</f>
        <v/>
      </c>
      <c r="Q21" s="68" t="str">
        <f>IF(AND('Mapa de Riesgos'!$Y$44="Alta",'Mapa de Riesgos'!$AA$44="Menor"),CONCATENATE("R6C",'Mapa de Riesgos'!$O$44),"")</f>
        <v/>
      </c>
      <c r="R21" s="68" t="str">
        <f>IF(AND('Mapa de Riesgos'!$Y$45="Alta",'Mapa de Riesgos'!$AA$45="Menor"),CONCATENATE("R6C",'Mapa de Riesgos'!$O$45),"")</f>
        <v/>
      </c>
      <c r="S21" s="68" t="str">
        <f>IF(AND('Mapa de Riesgos'!$Y$46="Alta",'Mapa de Riesgos'!$AA$46="Menor"),CONCATENATE("R6C",'Mapa de Riesgos'!$O$46),"")</f>
        <v/>
      </c>
      <c r="T21" s="68" t="str">
        <f>IF(AND('Mapa de Riesgos'!$Y$47="Alta",'Mapa de Riesgos'!$AA$47="Menor"),CONCATENATE("R6C",'Mapa de Riesgos'!$O$47),"")</f>
        <v/>
      </c>
      <c r="U21" s="69" t="str">
        <f>IF(AND('Mapa de Riesgos'!$Y$48="Alta",'Mapa de Riesgos'!$AA$48="Menor"),CONCATENATE("R6C",'Mapa de Riesgos'!$O$48),"")</f>
        <v/>
      </c>
      <c r="V21" s="52" t="str">
        <f>IF(AND('Mapa de Riesgos'!$Y$42="Alta",'Mapa de Riesgos'!$AA$42="Moderado"),CONCATENATE("R6C",'Mapa de Riesgos'!$O$42),"")</f>
        <v/>
      </c>
      <c r="W21" s="53" t="str">
        <f>IF(AND('Mapa de Riesgos'!$Y$44="Alta",'Mapa de Riesgos'!$AA$44="Moderado"),CONCATENATE("R6C",'Mapa de Riesgos'!$O$44),"")</f>
        <v/>
      </c>
      <c r="X21" s="53" t="str">
        <f>IF(AND('Mapa de Riesgos'!$Y$45="Alta",'Mapa de Riesgos'!$AA$45="Moderado"),CONCATENATE("R6C",'Mapa de Riesgos'!$O$45),"")</f>
        <v/>
      </c>
      <c r="Y21" s="53" t="str">
        <f>IF(AND('Mapa de Riesgos'!$Y$46="Alta",'Mapa de Riesgos'!$AA$46="Moderado"),CONCATENATE("R6C",'Mapa de Riesgos'!$O$46),"")</f>
        <v/>
      </c>
      <c r="Z21" s="53" t="str">
        <f>IF(AND('Mapa de Riesgos'!$Y$47="Alta",'Mapa de Riesgos'!$AA$47="Moderado"),CONCATENATE("R6C",'Mapa de Riesgos'!$O$47),"")</f>
        <v/>
      </c>
      <c r="AA21" s="54" t="str">
        <f>IF(AND('Mapa de Riesgos'!$Y$48="Alta",'Mapa de Riesgos'!$AA$48="Moderado"),CONCATENATE("R6C",'Mapa de Riesgos'!$O$48),"")</f>
        <v/>
      </c>
      <c r="AB21" s="52" t="str">
        <f>IF(AND('Mapa de Riesgos'!$Y$42="Alta",'Mapa de Riesgos'!$AA$42="Mayor"),CONCATENATE("R6C",'Mapa de Riesgos'!$O$42),"")</f>
        <v/>
      </c>
      <c r="AC21" s="53" t="str">
        <f>IF(AND('Mapa de Riesgos'!$Y$44="Alta",'Mapa de Riesgos'!$AA$44="Mayor"),CONCATENATE("R6C",'Mapa de Riesgos'!$O$44),"")</f>
        <v/>
      </c>
      <c r="AD21" s="53" t="str">
        <f>IF(AND('Mapa de Riesgos'!$Y$45="Alta",'Mapa de Riesgos'!$AA$45="Mayor"),CONCATENATE("R6C",'Mapa de Riesgos'!$O$45),"")</f>
        <v/>
      </c>
      <c r="AE21" s="53" t="str">
        <f>IF(AND('Mapa de Riesgos'!$Y$46="Alta",'Mapa de Riesgos'!$AA$46="Mayor"),CONCATENATE("R6C",'Mapa de Riesgos'!$O$46),"")</f>
        <v/>
      </c>
      <c r="AF21" s="53" t="str">
        <f>IF(AND('Mapa de Riesgos'!$Y$47="Alta",'Mapa de Riesgos'!$AA$47="Mayor"),CONCATENATE("R6C",'Mapa de Riesgos'!$O$47),"")</f>
        <v/>
      </c>
      <c r="AG21" s="54" t="str">
        <f>IF(AND('Mapa de Riesgos'!$Y$48="Alta",'Mapa de Riesgos'!$AA$48="Mayor"),CONCATENATE("R6C",'Mapa de Riesgos'!$O$48),"")</f>
        <v/>
      </c>
      <c r="AH21" s="55" t="str">
        <f>IF(AND('Mapa de Riesgos'!$Y$42="Alta",'Mapa de Riesgos'!$AA$42="Catastrófico"),CONCATENATE("R6C",'Mapa de Riesgos'!$O$42),"")</f>
        <v/>
      </c>
      <c r="AI21" s="56" t="str">
        <f>IF(AND('Mapa de Riesgos'!$Y$44="Alta",'Mapa de Riesgos'!$AA$44="Catastrófico"),CONCATENATE("R6C",'Mapa de Riesgos'!$O$44),"")</f>
        <v/>
      </c>
      <c r="AJ21" s="56" t="str">
        <f>IF(AND('Mapa de Riesgos'!$Y$45="Alta",'Mapa de Riesgos'!$AA$45="Catastrófico"),CONCATENATE("R6C",'Mapa de Riesgos'!$O$45),"")</f>
        <v/>
      </c>
      <c r="AK21" s="56" t="str">
        <f>IF(AND('Mapa de Riesgos'!$Y$46="Alta",'Mapa de Riesgos'!$AA$46="Catastrófico"),CONCATENATE("R6C",'Mapa de Riesgos'!$O$46),"")</f>
        <v/>
      </c>
      <c r="AL21" s="56" t="str">
        <f>IF(AND('Mapa de Riesgos'!$Y$47="Alta",'Mapa de Riesgos'!$AA$47="Catastrófico"),CONCATENATE("R6C",'Mapa de Riesgos'!$O$47),"")</f>
        <v/>
      </c>
      <c r="AM21" s="57" t="str">
        <f>IF(AND('Mapa de Riesgos'!$Y$48="Alta",'Mapa de Riesgos'!$AA$48="Catastrófico"),CONCATENATE("R6C",'Mapa de Riesgos'!$O$48),"")</f>
        <v/>
      </c>
      <c r="AN21" s="83"/>
      <c r="AO21" s="552"/>
      <c r="AP21" s="553"/>
      <c r="AQ21" s="553"/>
      <c r="AR21" s="553"/>
      <c r="AS21" s="553"/>
      <c r="AT21" s="55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501"/>
      <c r="C22" s="501"/>
      <c r="D22" s="502"/>
      <c r="E22" s="542"/>
      <c r="F22" s="543"/>
      <c r="G22" s="543"/>
      <c r="H22" s="543"/>
      <c r="I22" s="543"/>
      <c r="J22" s="67" t="str">
        <f>IF(AND('Mapa de Riesgos'!$Y$49="Alta",'Mapa de Riesgos'!$AA$49="Leve"),CONCATENATE("R7C",'Mapa de Riesgos'!$O$49),"")</f>
        <v/>
      </c>
      <c r="K22" s="68" t="str">
        <f>IF(AND('Mapa de Riesgos'!$Y$50="Alta",'Mapa de Riesgos'!$AA$50="Leve"),CONCATENATE("R7C",'Mapa de Riesgos'!$O$50),"")</f>
        <v/>
      </c>
      <c r="L22" s="68" t="str">
        <f>IF(AND('Mapa de Riesgos'!$Y$51="Alta",'Mapa de Riesgos'!$AA$51="Leve"),CONCATENATE("R7C",'Mapa de Riesgos'!$O$51),"")</f>
        <v/>
      </c>
      <c r="M22" s="68" t="str">
        <f>IF(AND('Mapa de Riesgos'!$Y$52="Alta",'Mapa de Riesgos'!$AA$52="Leve"),CONCATENATE("R7C",'Mapa de Riesgos'!$O$52),"")</f>
        <v/>
      </c>
      <c r="N22" s="68" t="str">
        <f>IF(AND('Mapa de Riesgos'!$Y$53="Alta",'Mapa de Riesgos'!$AA$53="Leve"),CONCATENATE("R7C",'Mapa de Riesgos'!$O$53),"")</f>
        <v/>
      </c>
      <c r="O22" s="69" t="str">
        <f>IF(AND('Mapa de Riesgos'!$Y$54="Alta",'Mapa de Riesgos'!$AA$54="Leve"),CONCATENATE("R7C",'Mapa de Riesgos'!$O$54),"")</f>
        <v/>
      </c>
      <c r="P22" s="67" t="str">
        <f>IF(AND('Mapa de Riesgos'!$Y$49="Alta",'Mapa de Riesgos'!$AA$49="Menor"),CONCATENATE("R7C",'Mapa de Riesgos'!$O$49),"")</f>
        <v/>
      </c>
      <c r="Q22" s="68" t="str">
        <f>IF(AND('Mapa de Riesgos'!$Y$50="Alta",'Mapa de Riesgos'!$AA$50="Menor"),CONCATENATE("R7C",'Mapa de Riesgos'!$O$50),"")</f>
        <v/>
      </c>
      <c r="R22" s="68" t="str">
        <f>IF(AND('Mapa de Riesgos'!$Y$51="Alta",'Mapa de Riesgos'!$AA$51="Menor"),CONCATENATE("R7C",'Mapa de Riesgos'!$O$51),"")</f>
        <v/>
      </c>
      <c r="S22" s="68" t="str">
        <f>IF(AND('Mapa de Riesgos'!$Y$52="Alta",'Mapa de Riesgos'!$AA$52="Menor"),CONCATENATE("R7C",'Mapa de Riesgos'!$O$52),"")</f>
        <v/>
      </c>
      <c r="T22" s="68" t="str">
        <f>IF(AND('Mapa de Riesgos'!$Y$53="Alta",'Mapa de Riesgos'!$AA$53="Menor"),CONCATENATE("R7C",'Mapa de Riesgos'!$O$53),"")</f>
        <v/>
      </c>
      <c r="U22" s="69" t="str">
        <f>IF(AND('Mapa de Riesgos'!$Y$54="Alta",'Mapa de Riesgos'!$AA$54="Menor"),CONCATENATE("R7C",'Mapa de Riesgos'!$O$54),"")</f>
        <v/>
      </c>
      <c r="V22" s="52" t="str">
        <f>IF(AND('Mapa de Riesgos'!$Y$49="Alta",'Mapa de Riesgos'!$AA$49="Moderado"),CONCATENATE("R7C",'Mapa de Riesgos'!$O$49),"")</f>
        <v/>
      </c>
      <c r="W22" s="53" t="str">
        <f>IF(AND('Mapa de Riesgos'!$Y$50="Alta",'Mapa de Riesgos'!$AA$50="Moderado"),CONCATENATE("R7C",'Mapa de Riesgos'!$O$50),"")</f>
        <v/>
      </c>
      <c r="X22" s="53" t="str">
        <f>IF(AND('Mapa de Riesgos'!$Y$51="Alta",'Mapa de Riesgos'!$AA$51="Moderado"),CONCATENATE("R7C",'Mapa de Riesgos'!$O$51),"")</f>
        <v/>
      </c>
      <c r="Y22" s="53" t="str">
        <f>IF(AND('Mapa de Riesgos'!$Y$52="Alta",'Mapa de Riesgos'!$AA$52="Moderado"),CONCATENATE("R7C",'Mapa de Riesgos'!$O$52),"")</f>
        <v/>
      </c>
      <c r="Z22" s="53" t="str">
        <f>IF(AND('Mapa de Riesgos'!$Y$53="Alta",'Mapa de Riesgos'!$AA$53="Moderado"),CONCATENATE("R7C",'Mapa de Riesgos'!$O$53),"")</f>
        <v/>
      </c>
      <c r="AA22" s="54" t="str">
        <f>IF(AND('Mapa de Riesgos'!$Y$54="Alta",'Mapa de Riesgos'!$AA$54="Moderado"),CONCATENATE("R7C",'Mapa de Riesgos'!$O$54),"")</f>
        <v/>
      </c>
      <c r="AB22" s="52" t="str">
        <f>IF(AND('Mapa de Riesgos'!$Y$49="Alta",'Mapa de Riesgos'!$AA$49="Mayor"),CONCATENATE("R7C",'Mapa de Riesgos'!$O$49),"")</f>
        <v/>
      </c>
      <c r="AC22" s="53" t="str">
        <f>IF(AND('Mapa de Riesgos'!$Y$50="Alta",'Mapa de Riesgos'!$AA$50="Mayor"),CONCATENATE("R7C",'Mapa de Riesgos'!$O$50),"")</f>
        <v/>
      </c>
      <c r="AD22" s="53" t="str">
        <f>IF(AND('Mapa de Riesgos'!$Y$51="Alta",'Mapa de Riesgos'!$AA$51="Mayor"),CONCATENATE("R7C",'Mapa de Riesgos'!$O$51),"")</f>
        <v/>
      </c>
      <c r="AE22" s="53" t="str">
        <f>IF(AND('Mapa de Riesgos'!$Y$52="Alta",'Mapa de Riesgos'!$AA$52="Mayor"),CONCATENATE("R7C",'Mapa de Riesgos'!$O$52),"")</f>
        <v/>
      </c>
      <c r="AF22" s="53" t="str">
        <f>IF(AND('Mapa de Riesgos'!$Y$53="Alta",'Mapa de Riesgos'!$AA$53="Mayor"),CONCATENATE("R7C",'Mapa de Riesgos'!$O$53),"")</f>
        <v/>
      </c>
      <c r="AG22" s="54" t="str">
        <f>IF(AND('Mapa de Riesgos'!$Y$54="Alta",'Mapa de Riesgos'!$AA$54="Mayor"),CONCATENATE("R7C",'Mapa de Riesgos'!$O$54),"")</f>
        <v/>
      </c>
      <c r="AH22" s="55" t="str">
        <f>IF(AND('Mapa de Riesgos'!$Y$49="Alta",'Mapa de Riesgos'!$AA$49="Catastrófico"),CONCATENATE("R7C",'Mapa de Riesgos'!$O$49),"")</f>
        <v/>
      </c>
      <c r="AI22" s="56" t="str">
        <f>IF(AND('Mapa de Riesgos'!$Y$50="Alta",'Mapa de Riesgos'!$AA$50="Catastrófico"),CONCATENATE("R7C",'Mapa de Riesgos'!$O$50),"")</f>
        <v/>
      </c>
      <c r="AJ22" s="56" t="str">
        <f>IF(AND('Mapa de Riesgos'!$Y$51="Alta",'Mapa de Riesgos'!$AA$51="Catastrófico"),CONCATENATE("R7C",'Mapa de Riesgos'!$O$51),"")</f>
        <v/>
      </c>
      <c r="AK22" s="56" t="str">
        <f>IF(AND('Mapa de Riesgos'!$Y$52="Alta",'Mapa de Riesgos'!$AA$52="Catastrófico"),CONCATENATE("R7C",'Mapa de Riesgos'!$O$52),"")</f>
        <v/>
      </c>
      <c r="AL22" s="56" t="str">
        <f>IF(AND('Mapa de Riesgos'!$Y$53="Alta",'Mapa de Riesgos'!$AA$53="Catastrófico"),CONCATENATE("R7C",'Mapa de Riesgos'!$O$53),"")</f>
        <v/>
      </c>
      <c r="AM22" s="57" t="str">
        <f>IF(AND('Mapa de Riesgos'!$Y$54="Alta",'Mapa de Riesgos'!$AA$54="Catastrófico"),CONCATENATE("R7C",'Mapa de Riesgos'!$O$54),"")</f>
        <v/>
      </c>
      <c r="AN22" s="83"/>
      <c r="AO22" s="552"/>
      <c r="AP22" s="553"/>
      <c r="AQ22" s="553"/>
      <c r="AR22" s="553"/>
      <c r="AS22" s="553"/>
      <c r="AT22" s="554"/>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501"/>
      <c r="C23" s="501"/>
      <c r="D23" s="502"/>
      <c r="E23" s="542"/>
      <c r="F23" s="543"/>
      <c r="G23" s="543"/>
      <c r="H23" s="543"/>
      <c r="I23" s="543"/>
      <c r="J23" s="67" t="str">
        <f>IF(AND('Mapa de Riesgos'!$Y$55="Alta",'Mapa de Riesgos'!$AA$55="Leve"),CONCATENATE("R8C",'Mapa de Riesgos'!$O$55),"")</f>
        <v/>
      </c>
      <c r="K23" s="68" t="str">
        <f>IF(AND('Mapa de Riesgos'!$Y$56="Alta",'Mapa de Riesgos'!$AA$56="Leve"),CONCATENATE("R8C",'Mapa de Riesgos'!$O$56),"")</f>
        <v/>
      </c>
      <c r="L23" s="68" t="str">
        <f>IF(AND('Mapa de Riesgos'!$Y$57="Alta",'Mapa de Riesgos'!$AA$57="Leve"),CONCATENATE("R8C",'Mapa de Riesgos'!$O$57),"")</f>
        <v/>
      </c>
      <c r="M23" s="68" t="str">
        <f>IF(AND('Mapa de Riesgos'!$Y$58="Alta",'Mapa de Riesgos'!$AA$58="Leve"),CONCATENATE("R8C",'Mapa de Riesgos'!$O$58),"")</f>
        <v/>
      </c>
      <c r="N23" s="68" t="str">
        <f>IF(AND('Mapa de Riesgos'!$Y$59="Alta",'Mapa de Riesgos'!$AA$59="Leve"),CONCATENATE("R8C",'Mapa de Riesgos'!$O$59),"")</f>
        <v/>
      </c>
      <c r="O23" s="69" t="str">
        <f>IF(AND('Mapa de Riesgos'!$Y$60="Alta",'Mapa de Riesgos'!$AA$60="Leve"),CONCATENATE("R8C",'Mapa de Riesgos'!$O$60),"")</f>
        <v/>
      </c>
      <c r="P23" s="67" t="str">
        <f>IF(AND('Mapa de Riesgos'!$Y$55="Alta",'Mapa de Riesgos'!$AA$55="Menor"),CONCATENATE("R8C",'Mapa de Riesgos'!$O$55),"")</f>
        <v/>
      </c>
      <c r="Q23" s="68" t="str">
        <f>IF(AND('Mapa de Riesgos'!$Y$56="Alta",'Mapa de Riesgos'!$AA$56="Menor"),CONCATENATE("R8C",'Mapa de Riesgos'!$O$56),"")</f>
        <v/>
      </c>
      <c r="R23" s="68" t="str">
        <f>IF(AND('Mapa de Riesgos'!$Y$57="Alta",'Mapa de Riesgos'!$AA$57="Menor"),CONCATENATE("R8C",'Mapa de Riesgos'!$O$57),"")</f>
        <v/>
      </c>
      <c r="S23" s="68" t="str">
        <f>IF(AND('Mapa de Riesgos'!$Y$58="Alta",'Mapa de Riesgos'!$AA$58="Menor"),CONCATENATE("R8C",'Mapa de Riesgos'!$O$58),"")</f>
        <v/>
      </c>
      <c r="T23" s="68" t="str">
        <f>IF(AND('Mapa de Riesgos'!$Y$59="Alta",'Mapa de Riesgos'!$AA$59="Menor"),CONCATENATE("R8C",'Mapa de Riesgos'!$O$59),"")</f>
        <v/>
      </c>
      <c r="U23" s="69" t="str">
        <f>IF(AND('Mapa de Riesgos'!$Y$60="Alta",'Mapa de Riesgos'!$AA$60="Menor"),CONCATENATE("R8C",'Mapa de Riesgos'!$O$60),"")</f>
        <v/>
      </c>
      <c r="V23" s="52" t="str">
        <f>IF(AND('Mapa de Riesgos'!$Y$55="Alta",'Mapa de Riesgos'!$AA$55="Moderado"),CONCATENATE("R8C",'Mapa de Riesgos'!$O$55),"")</f>
        <v/>
      </c>
      <c r="W23" s="53" t="str">
        <f>IF(AND('Mapa de Riesgos'!$Y$56="Alta",'Mapa de Riesgos'!$AA$56="Moderado"),CONCATENATE("R8C",'Mapa de Riesgos'!$O$56),"")</f>
        <v/>
      </c>
      <c r="X23" s="53" t="str">
        <f>IF(AND('Mapa de Riesgos'!$Y$57="Alta",'Mapa de Riesgos'!$AA$57="Moderado"),CONCATENATE("R8C",'Mapa de Riesgos'!$O$57),"")</f>
        <v/>
      </c>
      <c r="Y23" s="53" t="str">
        <f>IF(AND('Mapa de Riesgos'!$Y$58="Alta",'Mapa de Riesgos'!$AA$58="Moderado"),CONCATENATE("R8C",'Mapa de Riesgos'!$O$58),"")</f>
        <v/>
      </c>
      <c r="Z23" s="53" t="str">
        <f>IF(AND('Mapa de Riesgos'!$Y$59="Alta",'Mapa de Riesgos'!$AA$59="Moderado"),CONCATENATE("R8C",'Mapa de Riesgos'!$O$59),"")</f>
        <v/>
      </c>
      <c r="AA23" s="54" t="str">
        <f>IF(AND('Mapa de Riesgos'!$Y$60="Alta",'Mapa de Riesgos'!$AA$60="Moderado"),CONCATENATE("R8C",'Mapa de Riesgos'!$O$60),"")</f>
        <v/>
      </c>
      <c r="AB23" s="52" t="str">
        <f>IF(AND('Mapa de Riesgos'!$Y$55="Alta",'Mapa de Riesgos'!$AA$55="Mayor"),CONCATENATE("R8C",'Mapa de Riesgos'!$O$55),"")</f>
        <v/>
      </c>
      <c r="AC23" s="53" t="str">
        <f>IF(AND('Mapa de Riesgos'!$Y$56="Alta",'Mapa de Riesgos'!$AA$56="Mayor"),CONCATENATE("R8C",'Mapa de Riesgos'!$O$56),"")</f>
        <v/>
      </c>
      <c r="AD23" s="53" t="str">
        <f>IF(AND('Mapa de Riesgos'!$Y$57="Alta",'Mapa de Riesgos'!$AA$57="Mayor"),CONCATENATE("R8C",'Mapa de Riesgos'!$O$57),"")</f>
        <v/>
      </c>
      <c r="AE23" s="53" t="str">
        <f>IF(AND('Mapa de Riesgos'!$Y$58="Alta",'Mapa de Riesgos'!$AA$58="Mayor"),CONCATENATE("R8C",'Mapa de Riesgos'!$O$58),"")</f>
        <v/>
      </c>
      <c r="AF23" s="53" t="str">
        <f>IF(AND('Mapa de Riesgos'!$Y$59="Alta",'Mapa de Riesgos'!$AA$59="Mayor"),CONCATENATE("R8C",'Mapa de Riesgos'!$O$59),"")</f>
        <v/>
      </c>
      <c r="AG23" s="54" t="str">
        <f>IF(AND('Mapa de Riesgos'!$Y$60="Alta",'Mapa de Riesgos'!$AA$60="Mayor"),CONCATENATE("R8C",'Mapa de Riesgos'!$O$60),"")</f>
        <v/>
      </c>
      <c r="AH23" s="55" t="str">
        <f>IF(AND('Mapa de Riesgos'!$Y$55="Alta",'Mapa de Riesgos'!$AA$55="Catastrófico"),CONCATENATE("R8C",'Mapa de Riesgos'!$O$55),"")</f>
        <v/>
      </c>
      <c r="AI23" s="56" t="str">
        <f>IF(AND('Mapa de Riesgos'!$Y$56="Alta",'Mapa de Riesgos'!$AA$56="Catastrófico"),CONCATENATE("R8C",'Mapa de Riesgos'!$O$56),"")</f>
        <v/>
      </c>
      <c r="AJ23" s="56" t="str">
        <f>IF(AND('Mapa de Riesgos'!$Y$57="Alta",'Mapa de Riesgos'!$AA$57="Catastrófico"),CONCATENATE("R8C",'Mapa de Riesgos'!$O$57),"")</f>
        <v/>
      </c>
      <c r="AK23" s="56" t="str">
        <f>IF(AND('Mapa de Riesgos'!$Y$58="Alta",'Mapa de Riesgos'!$AA$58="Catastrófico"),CONCATENATE("R8C",'Mapa de Riesgos'!$O$58),"")</f>
        <v/>
      </c>
      <c r="AL23" s="56" t="str">
        <f>IF(AND('Mapa de Riesgos'!$Y$59="Alta",'Mapa de Riesgos'!$AA$59="Catastrófico"),CONCATENATE("R8C",'Mapa de Riesgos'!$O$59),"")</f>
        <v/>
      </c>
      <c r="AM23" s="57" t="str">
        <f>IF(AND('Mapa de Riesgos'!$Y$60="Alta",'Mapa de Riesgos'!$AA$60="Catastrófico"),CONCATENATE("R8C",'Mapa de Riesgos'!$O$60),"")</f>
        <v/>
      </c>
      <c r="AN23" s="83"/>
      <c r="AO23" s="552"/>
      <c r="AP23" s="553"/>
      <c r="AQ23" s="553"/>
      <c r="AR23" s="553"/>
      <c r="AS23" s="553"/>
      <c r="AT23" s="55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501"/>
      <c r="C24" s="501"/>
      <c r="D24" s="502"/>
      <c r="E24" s="542"/>
      <c r="F24" s="543"/>
      <c r="G24" s="543"/>
      <c r="H24" s="543"/>
      <c r="I24" s="543"/>
      <c r="J24" s="67" t="str">
        <f>IF(AND('Mapa de Riesgos'!$Y$61="Alta",'Mapa de Riesgos'!$AA$61="Leve"),CONCATENATE("R9C",'Mapa de Riesgos'!$O$61),"")</f>
        <v/>
      </c>
      <c r="K24" s="68" t="str">
        <f>IF(AND('Mapa de Riesgos'!$Y$62="Alta",'Mapa de Riesgos'!$AA$62="Leve"),CONCATENATE("R9C",'Mapa de Riesgos'!$O$62),"")</f>
        <v/>
      </c>
      <c r="L24" s="68" t="str">
        <f>IF(AND('Mapa de Riesgos'!$Y$63="Alta",'Mapa de Riesgos'!$AA$63="Leve"),CONCATENATE("R9C",'Mapa de Riesgos'!$O$63),"")</f>
        <v/>
      </c>
      <c r="M24" s="68" t="str">
        <f>IF(AND('Mapa de Riesgos'!$Y$64="Alta",'Mapa de Riesgos'!$AA$64="Leve"),CONCATENATE("R9C",'Mapa de Riesgos'!$O$64),"")</f>
        <v/>
      </c>
      <c r="N24" s="68" t="str">
        <f>IF(AND('Mapa de Riesgos'!$Y$65="Alta",'Mapa de Riesgos'!$AA$65="Leve"),CONCATENATE("R9C",'Mapa de Riesgos'!$O$65),"")</f>
        <v/>
      </c>
      <c r="O24" s="69" t="str">
        <f>IF(AND('Mapa de Riesgos'!$Y$66="Alta",'Mapa de Riesgos'!$AA$66="Leve"),CONCATENATE("R9C",'Mapa de Riesgos'!$O$66),"")</f>
        <v/>
      </c>
      <c r="P24" s="67" t="str">
        <f>IF(AND('Mapa de Riesgos'!$Y$61="Alta",'Mapa de Riesgos'!$AA$61="Menor"),CONCATENATE("R9C",'Mapa de Riesgos'!$O$61),"")</f>
        <v/>
      </c>
      <c r="Q24" s="68" t="str">
        <f>IF(AND('Mapa de Riesgos'!$Y$62="Alta",'Mapa de Riesgos'!$AA$62="Menor"),CONCATENATE("R9C",'Mapa de Riesgos'!$O$62),"")</f>
        <v/>
      </c>
      <c r="R24" s="68" t="str">
        <f>IF(AND('Mapa de Riesgos'!$Y$63="Alta",'Mapa de Riesgos'!$AA$63="Menor"),CONCATENATE("R9C",'Mapa de Riesgos'!$O$63),"")</f>
        <v/>
      </c>
      <c r="S24" s="68" t="str">
        <f>IF(AND('Mapa de Riesgos'!$Y$64="Alta",'Mapa de Riesgos'!$AA$64="Menor"),CONCATENATE("R9C",'Mapa de Riesgos'!$O$64),"")</f>
        <v/>
      </c>
      <c r="T24" s="68" t="str">
        <f>IF(AND('Mapa de Riesgos'!$Y$65="Alta",'Mapa de Riesgos'!$AA$65="Menor"),CONCATENATE("R9C",'Mapa de Riesgos'!$O$65),"")</f>
        <v/>
      </c>
      <c r="U24" s="69" t="str">
        <f>IF(AND('Mapa de Riesgos'!$Y$66="Alta",'Mapa de Riesgos'!$AA$66="Menor"),CONCATENATE("R9C",'Mapa de Riesgos'!$O$66),"")</f>
        <v/>
      </c>
      <c r="V24" s="52" t="str">
        <f>IF(AND('Mapa de Riesgos'!$Y$61="Alta",'Mapa de Riesgos'!$AA$61="Moderado"),CONCATENATE("R9C",'Mapa de Riesgos'!$O$61),"")</f>
        <v/>
      </c>
      <c r="W24" s="53" t="str">
        <f>IF(AND('Mapa de Riesgos'!$Y$62="Alta",'Mapa de Riesgos'!$AA$62="Moderado"),CONCATENATE("R9C",'Mapa de Riesgos'!$O$62),"")</f>
        <v/>
      </c>
      <c r="X24" s="53" t="str">
        <f>IF(AND('Mapa de Riesgos'!$Y$63="Alta",'Mapa de Riesgos'!$AA$63="Moderado"),CONCATENATE("R9C",'Mapa de Riesgos'!$O$63),"")</f>
        <v/>
      </c>
      <c r="Y24" s="53" t="str">
        <f>IF(AND('Mapa de Riesgos'!$Y$64="Alta",'Mapa de Riesgos'!$AA$64="Moderado"),CONCATENATE("R9C",'Mapa de Riesgos'!$O$64),"")</f>
        <v/>
      </c>
      <c r="Z24" s="53" t="str">
        <f>IF(AND('Mapa de Riesgos'!$Y$65="Alta",'Mapa de Riesgos'!$AA$65="Moderado"),CONCATENATE("R9C",'Mapa de Riesgos'!$O$65),"")</f>
        <v/>
      </c>
      <c r="AA24" s="54" t="str">
        <f>IF(AND('Mapa de Riesgos'!$Y$66="Alta",'Mapa de Riesgos'!$AA$66="Moderado"),CONCATENATE("R9C",'Mapa de Riesgos'!$O$66),"")</f>
        <v/>
      </c>
      <c r="AB24" s="52" t="str">
        <f>IF(AND('Mapa de Riesgos'!$Y$61="Alta",'Mapa de Riesgos'!$AA$61="Mayor"),CONCATENATE("R9C",'Mapa de Riesgos'!$O$61),"")</f>
        <v/>
      </c>
      <c r="AC24" s="53" t="str">
        <f>IF(AND('Mapa de Riesgos'!$Y$62="Alta",'Mapa de Riesgos'!$AA$62="Mayor"),CONCATENATE("R9C",'Mapa de Riesgos'!$O$62),"")</f>
        <v/>
      </c>
      <c r="AD24" s="53" t="str">
        <f>IF(AND('Mapa de Riesgos'!$Y$63="Alta",'Mapa de Riesgos'!$AA$63="Mayor"),CONCATENATE("R9C",'Mapa de Riesgos'!$O$63),"")</f>
        <v/>
      </c>
      <c r="AE24" s="53" t="str">
        <f>IF(AND('Mapa de Riesgos'!$Y$64="Alta",'Mapa de Riesgos'!$AA$64="Mayor"),CONCATENATE("R9C",'Mapa de Riesgos'!$O$64),"")</f>
        <v/>
      </c>
      <c r="AF24" s="53" t="str">
        <f>IF(AND('Mapa de Riesgos'!$Y$65="Alta",'Mapa de Riesgos'!$AA$65="Mayor"),CONCATENATE("R9C",'Mapa de Riesgos'!$O$65),"")</f>
        <v/>
      </c>
      <c r="AG24" s="54" t="str">
        <f>IF(AND('Mapa de Riesgos'!$Y$66="Alta",'Mapa de Riesgos'!$AA$66="Mayor"),CONCATENATE("R9C",'Mapa de Riesgos'!$O$66),"")</f>
        <v/>
      </c>
      <c r="AH24" s="55" t="str">
        <f>IF(AND('Mapa de Riesgos'!$Y$61="Alta",'Mapa de Riesgos'!$AA$61="Catastrófico"),CONCATENATE("R9C",'Mapa de Riesgos'!$O$61),"")</f>
        <v/>
      </c>
      <c r="AI24" s="56" t="str">
        <f>IF(AND('Mapa de Riesgos'!$Y$62="Alta",'Mapa de Riesgos'!$AA$62="Catastrófico"),CONCATENATE("R9C",'Mapa de Riesgos'!$O$62),"")</f>
        <v/>
      </c>
      <c r="AJ24" s="56" t="str">
        <f>IF(AND('Mapa de Riesgos'!$Y$63="Alta",'Mapa de Riesgos'!$AA$63="Catastrófico"),CONCATENATE("R9C",'Mapa de Riesgos'!$O$63),"")</f>
        <v/>
      </c>
      <c r="AK24" s="56" t="str">
        <f>IF(AND('Mapa de Riesgos'!$Y$64="Alta",'Mapa de Riesgos'!$AA$64="Catastrófico"),CONCATENATE("R9C",'Mapa de Riesgos'!$O$64),"")</f>
        <v/>
      </c>
      <c r="AL24" s="56" t="str">
        <f>IF(AND('Mapa de Riesgos'!$Y$65="Alta",'Mapa de Riesgos'!$AA$65="Catastrófico"),CONCATENATE("R9C",'Mapa de Riesgos'!$O$65),"")</f>
        <v/>
      </c>
      <c r="AM24" s="57" t="str">
        <f>IF(AND('Mapa de Riesgos'!$Y$66="Alta",'Mapa de Riesgos'!$AA$66="Catastrófico"),CONCATENATE("R9C",'Mapa de Riesgos'!$O$66),"")</f>
        <v/>
      </c>
      <c r="AN24" s="83"/>
      <c r="AO24" s="552"/>
      <c r="AP24" s="553"/>
      <c r="AQ24" s="553"/>
      <c r="AR24" s="553"/>
      <c r="AS24" s="553"/>
      <c r="AT24" s="55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501"/>
      <c r="C25" s="501"/>
      <c r="D25" s="502"/>
      <c r="E25" s="545"/>
      <c r="F25" s="546"/>
      <c r="G25" s="546"/>
      <c r="H25" s="546"/>
      <c r="I25" s="546"/>
      <c r="J25" s="70" t="str">
        <f>IF(AND('Mapa de Riesgos'!$Y$67="Alta",'Mapa de Riesgos'!$AA$67="Leve"),CONCATENATE("R10C",'Mapa de Riesgos'!$O$67),"")</f>
        <v/>
      </c>
      <c r="K25" s="71" t="str">
        <f>IF(AND('Mapa de Riesgos'!$Y$68="Alta",'Mapa de Riesgos'!$AA$68="Leve"),CONCATENATE("R10C",'Mapa de Riesgos'!$O$68),"")</f>
        <v/>
      </c>
      <c r="L25" s="71" t="str">
        <f>IF(AND('Mapa de Riesgos'!$Y$69="Alta",'Mapa de Riesgos'!$AA$69="Leve"),CONCATENATE("R10C",'Mapa de Riesgos'!$O$69),"")</f>
        <v/>
      </c>
      <c r="M25" s="71" t="str">
        <f>IF(AND('Mapa de Riesgos'!$Y$70="Alta",'Mapa de Riesgos'!$AA$70="Leve"),CONCATENATE("R10C",'Mapa de Riesgos'!$O$70),"")</f>
        <v/>
      </c>
      <c r="N25" s="71" t="str">
        <f>IF(AND('Mapa de Riesgos'!$Y$71="Alta",'Mapa de Riesgos'!$AA$71="Leve"),CONCATENATE("R10C",'Mapa de Riesgos'!$O$71),"")</f>
        <v/>
      </c>
      <c r="O25" s="72" t="str">
        <f>IF(AND('Mapa de Riesgos'!$Y$72="Alta",'Mapa de Riesgos'!$AA$72="Leve"),CONCATENATE("R10C",'Mapa de Riesgos'!$O$72),"")</f>
        <v/>
      </c>
      <c r="P25" s="70" t="str">
        <f>IF(AND('Mapa de Riesgos'!$Y$67="Alta",'Mapa de Riesgos'!$AA$67="Menor"),CONCATENATE("R10C",'Mapa de Riesgos'!$O$67),"")</f>
        <v/>
      </c>
      <c r="Q25" s="71" t="str">
        <f>IF(AND('Mapa de Riesgos'!$Y$68="Alta",'Mapa de Riesgos'!$AA$68="Menor"),CONCATENATE("R10C",'Mapa de Riesgos'!$O$68),"")</f>
        <v/>
      </c>
      <c r="R25" s="71" t="str">
        <f>IF(AND('Mapa de Riesgos'!$Y$69="Alta",'Mapa de Riesgos'!$AA$69="Menor"),CONCATENATE("R10C",'Mapa de Riesgos'!$O$69),"")</f>
        <v/>
      </c>
      <c r="S25" s="71" t="str">
        <f>IF(AND('Mapa de Riesgos'!$Y$70="Alta",'Mapa de Riesgos'!$AA$70="Menor"),CONCATENATE("R10C",'Mapa de Riesgos'!$O$70),"")</f>
        <v/>
      </c>
      <c r="T25" s="71" t="str">
        <f>IF(AND('Mapa de Riesgos'!$Y$71="Alta",'Mapa de Riesgos'!$AA$71="Menor"),CONCATENATE("R10C",'Mapa de Riesgos'!$O$71),"")</f>
        <v/>
      </c>
      <c r="U25" s="72" t="str">
        <f>IF(AND('Mapa de Riesgos'!$Y$72="Alta",'Mapa de Riesgos'!$AA$72="Menor"),CONCATENATE("R10C",'Mapa de Riesgos'!$O$72),"")</f>
        <v/>
      </c>
      <c r="V25" s="58" t="str">
        <f>IF(AND('Mapa de Riesgos'!$Y$67="Alta",'Mapa de Riesgos'!$AA$67="Moderado"),CONCATENATE("R10C",'Mapa de Riesgos'!$O$67),"")</f>
        <v/>
      </c>
      <c r="W25" s="59" t="str">
        <f>IF(AND('Mapa de Riesgos'!$Y$68="Alta",'Mapa de Riesgos'!$AA$68="Moderado"),CONCATENATE("R10C",'Mapa de Riesgos'!$O$68),"")</f>
        <v/>
      </c>
      <c r="X25" s="59" t="str">
        <f>IF(AND('Mapa de Riesgos'!$Y$69="Alta",'Mapa de Riesgos'!$AA$69="Moderado"),CONCATENATE("R10C",'Mapa de Riesgos'!$O$69),"")</f>
        <v/>
      </c>
      <c r="Y25" s="59" t="str">
        <f>IF(AND('Mapa de Riesgos'!$Y$70="Alta",'Mapa de Riesgos'!$AA$70="Moderado"),CONCATENATE("R10C",'Mapa de Riesgos'!$O$70),"")</f>
        <v/>
      </c>
      <c r="Z25" s="59" t="str">
        <f>IF(AND('Mapa de Riesgos'!$Y$71="Alta",'Mapa de Riesgos'!$AA$71="Moderado"),CONCATENATE("R10C",'Mapa de Riesgos'!$O$71),"")</f>
        <v/>
      </c>
      <c r="AA25" s="60" t="str">
        <f>IF(AND('Mapa de Riesgos'!$Y$72="Alta",'Mapa de Riesgos'!$AA$72="Moderado"),CONCATENATE("R10C",'Mapa de Riesgos'!$O$72),"")</f>
        <v/>
      </c>
      <c r="AB25" s="58" t="str">
        <f>IF(AND('Mapa de Riesgos'!$Y$67="Alta",'Mapa de Riesgos'!$AA$67="Mayor"),CONCATENATE("R10C",'Mapa de Riesgos'!$O$67),"")</f>
        <v/>
      </c>
      <c r="AC25" s="59" t="str">
        <f>IF(AND('Mapa de Riesgos'!$Y$68="Alta",'Mapa de Riesgos'!$AA$68="Mayor"),CONCATENATE("R10C",'Mapa de Riesgos'!$O$68),"")</f>
        <v/>
      </c>
      <c r="AD25" s="59" t="str">
        <f>IF(AND('Mapa de Riesgos'!$Y$69="Alta",'Mapa de Riesgos'!$AA$69="Mayor"),CONCATENATE("R10C",'Mapa de Riesgos'!$O$69),"")</f>
        <v/>
      </c>
      <c r="AE25" s="59" t="str">
        <f>IF(AND('Mapa de Riesgos'!$Y$70="Alta",'Mapa de Riesgos'!$AA$70="Mayor"),CONCATENATE("R10C",'Mapa de Riesgos'!$O$70),"")</f>
        <v/>
      </c>
      <c r="AF25" s="59" t="str">
        <f>IF(AND('Mapa de Riesgos'!$Y$71="Alta",'Mapa de Riesgos'!$AA$71="Mayor"),CONCATENATE("R10C",'Mapa de Riesgos'!$O$71),"")</f>
        <v/>
      </c>
      <c r="AG25" s="60" t="str">
        <f>IF(AND('Mapa de Riesgos'!$Y$72="Alta",'Mapa de Riesgos'!$AA$72="Mayor"),CONCATENATE("R10C",'Mapa de Riesgos'!$O$72),"")</f>
        <v/>
      </c>
      <c r="AH25" s="61" t="str">
        <f>IF(AND('Mapa de Riesgos'!$Y$67="Alta",'Mapa de Riesgos'!$AA$67="Catastrófico"),CONCATENATE("R10C",'Mapa de Riesgos'!$O$67),"")</f>
        <v/>
      </c>
      <c r="AI25" s="62" t="str">
        <f>IF(AND('Mapa de Riesgos'!$Y$68="Alta",'Mapa de Riesgos'!$AA$68="Catastrófico"),CONCATENATE("R10C",'Mapa de Riesgos'!$O$68),"")</f>
        <v/>
      </c>
      <c r="AJ25" s="62" t="str">
        <f>IF(AND('Mapa de Riesgos'!$Y$69="Alta",'Mapa de Riesgos'!$AA$69="Catastrófico"),CONCATENATE("R10C",'Mapa de Riesgos'!$O$69),"")</f>
        <v/>
      </c>
      <c r="AK25" s="62" t="str">
        <f>IF(AND('Mapa de Riesgos'!$Y$70="Alta",'Mapa de Riesgos'!$AA$70="Catastrófico"),CONCATENATE("R10C",'Mapa de Riesgos'!$O$70),"")</f>
        <v/>
      </c>
      <c r="AL25" s="62" t="str">
        <f>IF(AND('Mapa de Riesgos'!$Y$71="Alta",'Mapa de Riesgos'!$AA$71="Catastrófico"),CONCATENATE("R10C",'Mapa de Riesgos'!$O$71),"")</f>
        <v/>
      </c>
      <c r="AM25" s="63" t="str">
        <f>IF(AND('Mapa de Riesgos'!$Y$72="Alta",'Mapa de Riesgos'!$AA$72="Catastrófico"),CONCATENATE("R10C",'Mapa de Riesgos'!$O$72),"")</f>
        <v/>
      </c>
      <c r="AN25" s="83"/>
      <c r="AO25" s="555"/>
      <c r="AP25" s="556"/>
      <c r="AQ25" s="556"/>
      <c r="AR25" s="556"/>
      <c r="AS25" s="556"/>
      <c r="AT25" s="557"/>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501"/>
      <c r="C26" s="501"/>
      <c r="D26" s="502"/>
      <c r="E26" s="539" t="s">
        <v>132</v>
      </c>
      <c r="F26" s="540"/>
      <c r="G26" s="540"/>
      <c r="H26" s="540"/>
      <c r="I26" s="541"/>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79" t="s">
        <v>133</v>
      </c>
      <c r="AP26" s="580"/>
      <c r="AQ26" s="580"/>
      <c r="AR26" s="580"/>
      <c r="AS26" s="580"/>
      <c r="AT26" s="58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501"/>
      <c r="C27" s="501"/>
      <c r="D27" s="502"/>
      <c r="E27" s="558"/>
      <c r="F27" s="543"/>
      <c r="G27" s="543"/>
      <c r="H27" s="543"/>
      <c r="I27" s="544"/>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82"/>
      <c r="AP27" s="583"/>
      <c r="AQ27" s="583"/>
      <c r="AR27" s="583"/>
      <c r="AS27" s="583"/>
      <c r="AT27" s="58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501"/>
      <c r="C28" s="501"/>
      <c r="D28" s="502"/>
      <c r="E28" s="542"/>
      <c r="F28" s="543"/>
      <c r="G28" s="543"/>
      <c r="H28" s="543"/>
      <c r="I28" s="544"/>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82"/>
      <c r="AP28" s="583"/>
      <c r="AQ28" s="583"/>
      <c r="AR28" s="583"/>
      <c r="AS28" s="583"/>
      <c r="AT28" s="58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501"/>
      <c r="C29" s="501"/>
      <c r="D29" s="502"/>
      <c r="E29" s="542"/>
      <c r="F29" s="543"/>
      <c r="G29" s="543"/>
      <c r="H29" s="543"/>
      <c r="I29" s="544"/>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82"/>
      <c r="AP29" s="583"/>
      <c r="AQ29" s="583"/>
      <c r="AR29" s="583"/>
      <c r="AS29" s="583"/>
      <c r="AT29" s="58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501"/>
      <c r="C30" s="501"/>
      <c r="D30" s="502"/>
      <c r="E30" s="542"/>
      <c r="F30" s="543"/>
      <c r="G30" s="543"/>
      <c r="H30" s="543"/>
      <c r="I30" s="544"/>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R5C1</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82"/>
      <c r="AP30" s="583"/>
      <c r="AQ30" s="583"/>
      <c r="AR30" s="583"/>
      <c r="AS30" s="583"/>
      <c r="AT30" s="584"/>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501"/>
      <c r="C31" s="501"/>
      <c r="D31" s="502"/>
      <c r="E31" s="542"/>
      <c r="F31" s="543"/>
      <c r="G31" s="543"/>
      <c r="H31" s="543"/>
      <c r="I31" s="544"/>
      <c r="J31" s="67" t="str">
        <f>IF(AND('Mapa de Riesgos'!$Y$42="Media",'Mapa de Riesgos'!$AA$42="Leve"),CONCATENATE("R6C",'Mapa de Riesgos'!$O$42),"")</f>
        <v/>
      </c>
      <c r="K31" s="68" t="str">
        <f>IF(AND('Mapa de Riesgos'!$Y$44="Media",'Mapa de Riesgos'!$AA$44="Leve"),CONCATENATE("R6C",'Mapa de Riesgos'!$O$44),"")</f>
        <v/>
      </c>
      <c r="L31" s="68" t="str">
        <f>IF(AND('Mapa de Riesgos'!$Y$45="Media",'Mapa de Riesgos'!$AA$45="Leve"),CONCATENATE("R6C",'Mapa de Riesgos'!$O$45),"")</f>
        <v/>
      </c>
      <c r="M31" s="68" t="str">
        <f>IF(AND('Mapa de Riesgos'!$Y$46="Media",'Mapa de Riesgos'!$AA$46="Leve"),CONCATENATE("R6C",'Mapa de Riesgos'!$O$46),"")</f>
        <v/>
      </c>
      <c r="N31" s="68" t="str">
        <f>IF(AND('Mapa de Riesgos'!$Y$47="Media",'Mapa de Riesgos'!$AA$47="Leve"),CONCATENATE("R6C",'Mapa de Riesgos'!$O$47),"")</f>
        <v/>
      </c>
      <c r="O31" s="69" t="str">
        <f>IF(AND('Mapa de Riesgos'!$Y$48="Media",'Mapa de Riesgos'!$AA$48="Leve"),CONCATENATE("R6C",'Mapa de Riesgos'!$O$48),"")</f>
        <v/>
      </c>
      <c r="P31" s="67" t="str">
        <f>IF(AND('Mapa de Riesgos'!$Y$42="Media",'Mapa de Riesgos'!$AA$42="Menor"),CONCATENATE("R6C",'Mapa de Riesgos'!$O$42),"")</f>
        <v/>
      </c>
      <c r="Q31" s="68" t="str">
        <f>IF(AND('Mapa de Riesgos'!$Y$44="Media",'Mapa de Riesgos'!$AA$44="Menor"),CONCATENATE("R6C",'Mapa de Riesgos'!$O$44),"")</f>
        <v/>
      </c>
      <c r="R31" s="68" t="str">
        <f>IF(AND('Mapa de Riesgos'!$Y$45="Media",'Mapa de Riesgos'!$AA$45="Menor"),CONCATENATE("R6C",'Mapa de Riesgos'!$O$45),"")</f>
        <v/>
      </c>
      <c r="S31" s="68" t="str">
        <f>IF(AND('Mapa de Riesgos'!$Y$46="Media",'Mapa de Riesgos'!$AA$46="Menor"),CONCATENATE("R6C",'Mapa de Riesgos'!$O$46),"")</f>
        <v/>
      </c>
      <c r="T31" s="68" t="str">
        <f>IF(AND('Mapa de Riesgos'!$Y$47="Media",'Mapa de Riesgos'!$AA$47="Menor"),CONCATENATE("R6C",'Mapa de Riesgos'!$O$47),"")</f>
        <v/>
      </c>
      <c r="U31" s="69" t="str">
        <f>IF(AND('Mapa de Riesgos'!$Y$48="Media",'Mapa de Riesgos'!$AA$48="Menor"),CONCATENATE("R6C",'Mapa de Riesgos'!$O$48),"")</f>
        <v/>
      </c>
      <c r="V31" s="67" t="str">
        <f>IF(AND('Mapa de Riesgos'!$Y$42="Media",'Mapa de Riesgos'!$AA$42="Moderado"),CONCATENATE("R6C",'Mapa de Riesgos'!$O$42),"")</f>
        <v/>
      </c>
      <c r="W31" s="68" t="str">
        <f>IF(AND('Mapa de Riesgos'!$Y$44="Media",'Mapa de Riesgos'!$AA$44="Moderado"),CONCATENATE("R6C",'Mapa de Riesgos'!$O$44),"")</f>
        <v/>
      </c>
      <c r="X31" s="68" t="str">
        <f>IF(AND('Mapa de Riesgos'!$Y$45="Media",'Mapa de Riesgos'!$AA$45="Moderado"),CONCATENATE("R6C",'Mapa de Riesgos'!$O$45),"")</f>
        <v/>
      </c>
      <c r="Y31" s="68" t="str">
        <f>IF(AND('Mapa de Riesgos'!$Y$46="Media",'Mapa de Riesgos'!$AA$46="Moderado"),CONCATENATE("R6C",'Mapa de Riesgos'!$O$46),"")</f>
        <v/>
      </c>
      <c r="Z31" s="68" t="str">
        <f>IF(AND('Mapa de Riesgos'!$Y$47="Media",'Mapa de Riesgos'!$AA$47="Moderado"),CONCATENATE("R6C",'Mapa de Riesgos'!$O$47),"")</f>
        <v/>
      </c>
      <c r="AA31" s="69" t="str">
        <f>IF(AND('Mapa de Riesgos'!$Y$48="Media",'Mapa de Riesgos'!$AA$48="Moderado"),CONCATENATE("R6C",'Mapa de Riesgos'!$O$48),"")</f>
        <v/>
      </c>
      <c r="AB31" s="52" t="str">
        <f>IF(AND('Mapa de Riesgos'!$Y$42="Media",'Mapa de Riesgos'!$AA$42="Mayor"),CONCATENATE("R6C",'Mapa de Riesgos'!$O$42),"")</f>
        <v/>
      </c>
      <c r="AC31" s="53" t="str">
        <f>IF(AND('Mapa de Riesgos'!$Y$44="Media",'Mapa de Riesgos'!$AA$44="Mayor"),CONCATENATE("R6C",'Mapa de Riesgos'!$O$44),"")</f>
        <v/>
      </c>
      <c r="AD31" s="53" t="str">
        <f>IF(AND('Mapa de Riesgos'!$Y$45="Media",'Mapa de Riesgos'!$AA$45="Mayor"),CONCATENATE("R6C",'Mapa de Riesgos'!$O$45),"")</f>
        <v/>
      </c>
      <c r="AE31" s="53" t="str">
        <f>IF(AND('Mapa de Riesgos'!$Y$46="Media",'Mapa de Riesgos'!$AA$46="Mayor"),CONCATENATE("R6C",'Mapa de Riesgos'!$O$46),"")</f>
        <v/>
      </c>
      <c r="AF31" s="53" t="str">
        <f>IF(AND('Mapa de Riesgos'!$Y$47="Media",'Mapa de Riesgos'!$AA$47="Mayor"),CONCATENATE("R6C",'Mapa de Riesgos'!$O$47),"")</f>
        <v/>
      </c>
      <c r="AG31" s="54" t="str">
        <f>IF(AND('Mapa de Riesgos'!$Y$48="Media",'Mapa de Riesgos'!$AA$48="Mayor"),CONCATENATE("R6C",'Mapa de Riesgos'!$O$48),"")</f>
        <v/>
      </c>
      <c r="AH31" s="55" t="str">
        <f>IF(AND('Mapa de Riesgos'!$Y$42="Media",'Mapa de Riesgos'!$AA$42="Catastrófico"),CONCATENATE("R6C",'Mapa de Riesgos'!$O$42),"")</f>
        <v/>
      </c>
      <c r="AI31" s="56" t="str">
        <f>IF(AND('Mapa de Riesgos'!$Y$44="Media",'Mapa de Riesgos'!$AA$44="Catastrófico"),CONCATENATE("R6C",'Mapa de Riesgos'!$O$44),"")</f>
        <v/>
      </c>
      <c r="AJ31" s="56" t="str">
        <f>IF(AND('Mapa de Riesgos'!$Y$45="Media",'Mapa de Riesgos'!$AA$45="Catastrófico"),CONCATENATE("R6C",'Mapa de Riesgos'!$O$45),"")</f>
        <v/>
      </c>
      <c r="AK31" s="56" t="str">
        <f>IF(AND('Mapa de Riesgos'!$Y$46="Media",'Mapa de Riesgos'!$AA$46="Catastrófico"),CONCATENATE("R6C",'Mapa de Riesgos'!$O$46),"")</f>
        <v/>
      </c>
      <c r="AL31" s="56" t="str">
        <f>IF(AND('Mapa de Riesgos'!$Y$47="Media",'Mapa de Riesgos'!$AA$47="Catastrófico"),CONCATENATE("R6C",'Mapa de Riesgos'!$O$47),"")</f>
        <v/>
      </c>
      <c r="AM31" s="57" t="str">
        <f>IF(AND('Mapa de Riesgos'!$Y$48="Media",'Mapa de Riesgos'!$AA$48="Catastrófico"),CONCATENATE("R6C",'Mapa de Riesgos'!$O$48),"")</f>
        <v/>
      </c>
      <c r="AN31" s="83"/>
      <c r="AO31" s="582"/>
      <c r="AP31" s="583"/>
      <c r="AQ31" s="583"/>
      <c r="AR31" s="583"/>
      <c r="AS31" s="583"/>
      <c r="AT31" s="584"/>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501"/>
      <c r="C32" s="501"/>
      <c r="D32" s="502"/>
      <c r="E32" s="542"/>
      <c r="F32" s="543"/>
      <c r="G32" s="543"/>
      <c r="H32" s="543"/>
      <c r="I32" s="544"/>
      <c r="J32" s="67" t="str">
        <f>IF(AND('Mapa de Riesgos'!$Y$49="Media",'Mapa de Riesgos'!$AA$49="Leve"),CONCATENATE("R7C",'Mapa de Riesgos'!$O$49),"")</f>
        <v/>
      </c>
      <c r="K32" s="68" t="str">
        <f>IF(AND('Mapa de Riesgos'!$Y$50="Media",'Mapa de Riesgos'!$AA$50="Leve"),CONCATENATE("R7C",'Mapa de Riesgos'!$O$50),"")</f>
        <v/>
      </c>
      <c r="L32" s="68" t="str">
        <f>IF(AND('Mapa de Riesgos'!$Y$51="Media",'Mapa de Riesgos'!$AA$51="Leve"),CONCATENATE("R7C",'Mapa de Riesgos'!$O$51),"")</f>
        <v/>
      </c>
      <c r="M32" s="68" t="str">
        <f>IF(AND('Mapa de Riesgos'!$Y$52="Media",'Mapa de Riesgos'!$AA$52="Leve"),CONCATENATE("R7C",'Mapa de Riesgos'!$O$52),"")</f>
        <v/>
      </c>
      <c r="N32" s="68" t="str">
        <f>IF(AND('Mapa de Riesgos'!$Y$53="Media",'Mapa de Riesgos'!$AA$53="Leve"),CONCATENATE("R7C",'Mapa de Riesgos'!$O$53),"")</f>
        <v/>
      </c>
      <c r="O32" s="69" t="str">
        <f>IF(AND('Mapa de Riesgos'!$Y$54="Media",'Mapa de Riesgos'!$AA$54="Leve"),CONCATENATE("R7C",'Mapa de Riesgos'!$O$54),"")</f>
        <v/>
      </c>
      <c r="P32" s="67" t="str">
        <f>IF(AND('Mapa de Riesgos'!$Y$49="Media",'Mapa de Riesgos'!$AA$49="Menor"),CONCATENATE("R7C",'Mapa de Riesgos'!$O$49),"")</f>
        <v/>
      </c>
      <c r="Q32" s="68" t="str">
        <f>IF(AND('Mapa de Riesgos'!$Y$50="Media",'Mapa de Riesgos'!$AA$50="Menor"),CONCATENATE("R7C",'Mapa de Riesgos'!$O$50),"")</f>
        <v/>
      </c>
      <c r="R32" s="68" t="str">
        <f>IF(AND('Mapa de Riesgos'!$Y$51="Media",'Mapa de Riesgos'!$AA$51="Menor"),CONCATENATE("R7C",'Mapa de Riesgos'!$O$51),"")</f>
        <v/>
      </c>
      <c r="S32" s="68" t="str">
        <f>IF(AND('Mapa de Riesgos'!$Y$52="Media",'Mapa de Riesgos'!$AA$52="Menor"),CONCATENATE("R7C",'Mapa de Riesgos'!$O$52),"")</f>
        <v/>
      </c>
      <c r="T32" s="68" t="str">
        <f>IF(AND('Mapa de Riesgos'!$Y$53="Media",'Mapa de Riesgos'!$AA$53="Menor"),CONCATENATE("R7C",'Mapa de Riesgos'!$O$53),"")</f>
        <v/>
      </c>
      <c r="U32" s="69" t="str">
        <f>IF(AND('Mapa de Riesgos'!$Y$54="Media",'Mapa de Riesgos'!$AA$54="Menor"),CONCATENATE("R7C",'Mapa de Riesgos'!$O$54),"")</f>
        <v/>
      </c>
      <c r="V32" s="67" t="str">
        <f>IF(AND('Mapa de Riesgos'!$Y$49="Media",'Mapa de Riesgos'!$AA$49="Moderado"),CONCATENATE("R7C",'Mapa de Riesgos'!$O$49),"")</f>
        <v/>
      </c>
      <c r="W32" s="68" t="str">
        <f>IF(AND('Mapa de Riesgos'!$Y$50="Media",'Mapa de Riesgos'!$AA$50="Moderado"),CONCATENATE("R7C",'Mapa de Riesgos'!$O$50),"")</f>
        <v/>
      </c>
      <c r="X32" s="68" t="str">
        <f>IF(AND('Mapa de Riesgos'!$Y$51="Media",'Mapa de Riesgos'!$AA$51="Moderado"),CONCATENATE("R7C",'Mapa de Riesgos'!$O$51),"")</f>
        <v/>
      </c>
      <c r="Y32" s="68" t="str">
        <f>IF(AND('Mapa de Riesgos'!$Y$52="Media",'Mapa de Riesgos'!$AA$52="Moderado"),CONCATENATE("R7C",'Mapa de Riesgos'!$O$52),"")</f>
        <v/>
      </c>
      <c r="Z32" s="68" t="str">
        <f>IF(AND('Mapa de Riesgos'!$Y$53="Media",'Mapa de Riesgos'!$AA$53="Moderado"),CONCATENATE("R7C",'Mapa de Riesgos'!$O$53),"")</f>
        <v/>
      </c>
      <c r="AA32" s="69" t="str">
        <f>IF(AND('Mapa de Riesgos'!$Y$54="Media",'Mapa de Riesgos'!$AA$54="Moderado"),CONCATENATE("R7C",'Mapa de Riesgos'!$O$54),"")</f>
        <v/>
      </c>
      <c r="AB32" s="52" t="str">
        <f>IF(AND('Mapa de Riesgos'!$Y$49="Media",'Mapa de Riesgos'!$AA$49="Mayor"),CONCATENATE("R7C",'Mapa de Riesgos'!$O$49),"")</f>
        <v/>
      </c>
      <c r="AC32" s="53" t="str">
        <f>IF(AND('Mapa de Riesgos'!$Y$50="Media",'Mapa de Riesgos'!$AA$50="Mayor"),CONCATENATE("R7C",'Mapa de Riesgos'!$O$50),"")</f>
        <v/>
      </c>
      <c r="AD32" s="53" t="str">
        <f>IF(AND('Mapa de Riesgos'!$Y$51="Media",'Mapa de Riesgos'!$AA$51="Mayor"),CONCATENATE("R7C",'Mapa de Riesgos'!$O$51),"")</f>
        <v/>
      </c>
      <c r="AE32" s="53" t="str">
        <f>IF(AND('Mapa de Riesgos'!$Y$52="Media",'Mapa de Riesgos'!$AA$52="Mayor"),CONCATENATE("R7C",'Mapa de Riesgos'!$O$52),"")</f>
        <v/>
      </c>
      <c r="AF32" s="53" t="str">
        <f>IF(AND('Mapa de Riesgos'!$Y$53="Media",'Mapa de Riesgos'!$AA$53="Mayor"),CONCATENATE("R7C",'Mapa de Riesgos'!$O$53),"")</f>
        <v/>
      </c>
      <c r="AG32" s="54" t="str">
        <f>IF(AND('Mapa de Riesgos'!$Y$54="Media",'Mapa de Riesgos'!$AA$54="Mayor"),CONCATENATE("R7C",'Mapa de Riesgos'!$O$54),"")</f>
        <v/>
      </c>
      <c r="AH32" s="55" t="str">
        <f>IF(AND('Mapa de Riesgos'!$Y$49="Media",'Mapa de Riesgos'!$AA$49="Catastrófico"),CONCATENATE("R7C",'Mapa de Riesgos'!$O$49),"")</f>
        <v/>
      </c>
      <c r="AI32" s="56" t="str">
        <f>IF(AND('Mapa de Riesgos'!$Y$50="Media",'Mapa de Riesgos'!$AA$50="Catastrófico"),CONCATENATE("R7C",'Mapa de Riesgos'!$O$50),"")</f>
        <v/>
      </c>
      <c r="AJ32" s="56" t="str">
        <f>IF(AND('Mapa de Riesgos'!$Y$51="Media",'Mapa de Riesgos'!$AA$51="Catastrófico"),CONCATENATE("R7C",'Mapa de Riesgos'!$O$51),"")</f>
        <v/>
      </c>
      <c r="AK32" s="56" t="str">
        <f>IF(AND('Mapa de Riesgos'!$Y$52="Media",'Mapa de Riesgos'!$AA$52="Catastrófico"),CONCATENATE("R7C",'Mapa de Riesgos'!$O$52),"")</f>
        <v/>
      </c>
      <c r="AL32" s="56" t="str">
        <f>IF(AND('Mapa de Riesgos'!$Y$53="Media",'Mapa de Riesgos'!$AA$53="Catastrófico"),CONCATENATE("R7C",'Mapa de Riesgos'!$O$53),"")</f>
        <v/>
      </c>
      <c r="AM32" s="57" t="str">
        <f>IF(AND('Mapa de Riesgos'!$Y$54="Media",'Mapa de Riesgos'!$AA$54="Catastrófico"),CONCATENATE("R7C",'Mapa de Riesgos'!$O$54),"")</f>
        <v/>
      </c>
      <c r="AN32" s="83"/>
      <c r="AO32" s="582"/>
      <c r="AP32" s="583"/>
      <c r="AQ32" s="583"/>
      <c r="AR32" s="583"/>
      <c r="AS32" s="583"/>
      <c r="AT32" s="584"/>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501"/>
      <c r="C33" s="501"/>
      <c r="D33" s="502"/>
      <c r="E33" s="542"/>
      <c r="F33" s="543"/>
      <c r="G33" s="543"/>
      <c r="H33" s="543"/>
      <c r="I33" s="544"/>
      <c r="J33" s="67" t="str">
        <f>IF(AND('Mapa de Riesgos'!$Y$55="Media",'Mapa de Riesgos'!$AA$55="Leve"),CONCATENATE("R8C",'Mapa de Riesgos'!$O$55),"")</f>
        <v/>
      </c>
      <c r="K33" s="68" t="str">
        <f>IF(AND('Mapa de Riesgos'!$Y$56="Media",'Mapa de Riesgos'!$AA$56="Leve"),CONCATENATE("R8C",'Mapa de Riesgos'!$O$56),"")</f>
        <v/>
      </c>
      <c r="L33" s="68" t="str">
        <f>IF(AND('Mapa de Riesgos'!$Y$57="Media",'Mapa de Riesgos'!$AA$57="Leve"),CONCATENATE("R8C",'Mapa de Riesgos'!$O$57),"")</f>
        <v/>
      </c>
      <c r="M33" s="68" t="str">
        <f>IF(AND('Mapa de Riesgos'!$Y$58="Media",'Mapa de Riesgos'!$AA$58="Leve"),CONCATENATE("R8C",'Mapa de Riesgos'!$O$58),"")</f>
        <v/>
      </c>
      <c r="N33" s="68" t="str">
        <f>IF(AND('Mapa de Riesgos'!$Y$59="Media",'Mapa de Riesgos'!$AA$59="Leve"),CONCATENATE("R8C",'Mapa de Riesgos'!$O$59),"")</f>
        <v/>
      </c>
      <c r="O33" s="69" t="str">
        <f>IF(AND('Mapa de Riesgos'!$Y$60="Media",'Mapa de Riesgos'!$AA$60="Leve"),CONCATENATE("R8C",'Mapa de Riesgos'!$O$60),"")</f>
        <v/>
      </c>
      <c r="P33" s="67" t="str">
        <f>IF(AND('Mapa de Riesgos'!$Y$55="Media",'Mapa de Riesgos'!$AA$55="Menor"),CONCATENATE("R8C",'Mapa de Riesgos'!$O$55),"")</f>
        <v/>
      </c>
      <c r="Q33" s="68" t="str">
        <f>IF(AND('Mapa de Riesgos'!$Y$56="Media",'Mapa de Riesgos'!$AA$56="Menor"),CONCATENATE("R8C",'Mapa de Riesgos'!$O$56),"")</f>
        <v/>
      </c>
      <c r="R33" s="68" t="str">
        <f>IF(AND('Mapa de Riesgos'!$Y$57="Media",'Mapa de Riesgos'!$AA$57="Menor"),CONCATENATE("R8C",'Mapa de Riesgos'!$O$57),"")</f>
        <v/>
      </c>
      <c r="S33" s="68" t="str">
        <f>IF(AND('Mapa de Riesgos'!$Y$58="Media",'Mapa de Riesgos'!$AA$58="Menor"),CONCATENATE("R8C",'Mapa de Riesgos'!$O$58),"")</f>
        <v/>
      </c>
      <c r="T33" s="68" t="str">
        <f>IF(AND('Mapa de Riesgos'!$Y$59="Media",'Mapa de Riesgos'!$AA$59="Menor"),CONCATENATE("R8C",'Mapa de Riesgos'!$O$59),"")</f>
        <v/>
      </c>
      <c r="U33" s="69" t="str">
        <f>IF(AND('Mapa de Riesgos'!$Y$60="Media",'Mapa de Riesgos'!$AA$60="Menor"),CONCATENATE("R8C",'Mapa de Riesgos'!$O$60),"")</f>
        <v/>
      </c>
      <c r="V33" s="67" t="str">
        <f>IF(AND('Mapa de Riesgos'!$Y$55="Media",'Mapa de Riesgos'!$AA$55="Moderado"),CONCATENATE("R8C",'Mapa de Riesgos'!$O$55),"")</f>
        <v/>
      </c>
      <c r="W33" s="68" t="str">
        <f>IF(AND('Mapa de Riesgos'!$Y$56="Media",'Mapa de Riesgos'!$AA$56="Moderado"),CONCATENATE("R8C",'Mapa de Riesgos'!$O$56),"")</f>
        <v/>
      </c>
      <c r="X33" s="68" t="str">
        <f>IF(AND('Mapa de Riesgos'!$Y$57="Media",'Mapa de Riesgos'!$AA$57="Moderado"),CONCATENATE("R8C",'Mapa de Riesgos'!$O$57),"")</f>
        <v/>
      </c>
      <c r="Y33" s="68" t="str">
        <f>IF(AND('Mapa de Riesgos'!$Y$58="Media",'Mapa de Riesgos'!$AA$58="Moderado"),CONCATENATE("R8C",'Mapa de Riesgos'!$O$58),"")</f>
        <v/>
      </c>
      <c r="Z33" s="68" t="str">
        <f>IF(AND('Mapa de Riesgos'!$Y$59="Media",'Mapa de Riesgos'!$AA$59="Moderado"),CONCATENATE("R8C",'Mapa de Riesgos'!$O$59),"")</f>
        <v/>
      </c>
      <c r="AA33" s="69" t="str">
        <f>IF(AND('Mapa de Riesgos'!$Y$60="Media",'Mapa de Riesgos'!$AA$60="Moderado"),CONCATENATE("R8C",'Mapa de Riesgos'!$O$60),"")</f>
        <v/>
      </c>
      <c r="AB33" s="52" t="str">
        <f>IF(AND('Mapa de Riesgos'!$Y$55="Media",'Mapa de Riesgos'!$AA$55="Mayor"),CONCATENATE("R8C",'Mapa de Riesgos'!$O$55),"")</f>
        <v/>
      </c>
      <c r="AC33" s="53" t="str">
        <f>IF(AND('Mapa de Riesgos'!$Y$56="Media",'Mapa de Riesgos'!$AA$56="Mayor"),CONCATENATE("R8C",'Mapa de Riesgos'!$O$56),"")</f>
        <v/>
      </c>
      <c r="AD33" s="53" t="str">
        <f>IF(AND('Mapa de Riesgos'!$Y$57="Media",'Mapa de Riesgos'!$AA$57="Mayor"),CONCATENATE("R8C",'Mapa de Riesgos'!$O$57),"")</f>
        <v/>
      </c>
      <c r="AE33" s="53" t="str">
        <f>IF(AND('Mapa de Riesgos'!$Y$58="Media",'Mapa de Riesgos'!$AA$58="Mayor"),CONCATENATE("R8C",'Mapa de Riesgos'!$O$58),"")</f>
        <v/>
      </c>
      <c r="AF33" s="53" t="str">
        <f>IF(AND('Mapa de Riesgos'!$Y$59="Media",'Mapa de Riesgos'!$AA$59="Mayor"),CONCATENATE("R8C",'Mapa de Riesgos'!$O$59),"")</f>
        <v/>
      </c>
      <c r="AG33" s="54" t="str">
        <f>IF(AND('Mapa de Riesgos'!$Y$60="Media",'Mapa de Riesgos'!$AA$60="Mayor"),CONCATENATE("R8C",'Mapa de Riesgos'!$O$60),"")</f>
        <v/>
      </c>
      <c r="AH33" s="55" t="str">
        <f>IF(AND('Mapa de Riesgos'!$Y$55="Media",'Mapa de Riesgos'!$AA$55="Catastrófico"),CONCATENATE("R8C",'Mapa de Riesgos'!$O$55),"")</f>
        <v/>
      </c>
      <c r="AI33" s="56" t="str">
        <f>IF(AND('Mapa de Riesgos'!$Y$56="Media",'Mapa de Riesgos'!$AA$56="Catastrófico"),CONCATENATE("R8C",'Mapa de Riesgos'!$O$56),"")</f>
        <v/>
      </c>
      <c r="AJ33" s="56" t="str">
        <f>IF(AND('Mapa de Riesgos'!$Y$57="Media",'Mapa de Riesgos'!$AA$57="Catastrófico"),CONCATENATE("R8C",'Mapa de Riesgos'!$O$57),"")</f>
        <v/>
      </c>
      <c r="AK33" s="56" t="str">
        <f>IF(AND('Mapa de Riesgos'!$Y$58="Media",'Mapa de Riesgos'!$AA$58="Catastrófico"),CONCATENATE("R8C",'Mapa de Riesgos'!$O$58),"")</f>
        <v/>
      </c>
      <c r="AL33" s="56" t="str">
        <f>IF(AND('Mapa de Riesgos'!$Y$59="Media",'Mapa de Riesgos'!$AA$59="Catastrófico"),CONCATENATE("R8C",'Mapa de Riesgos'!$O$59),"")</f>
        <v/>
      </c>
      <c r="AM33" s="57" t="str">
        <f>IF(AND('Mapa de Riesgos'!$Y$60="Media",'Mapa de Riesgos'!$AA$60="Catastrófico"),CONCATENATE("R8C",'Mapa de Riesgos'!$O$60),"")</f>
        <v/>
      </c>
      <c r="AN33" s="83"/>
      <c r="AO33" s="582"/>
      <c r="AP33" s="583"/>
      <c r="AQ33" s="583"/>
      <c r="AR33" s="583"/>
      <c r="AS33" s="583"/>
      <c r="AT33" s="584"/>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501"/>
      <c r="C34" s="501"/>
      <c r="D34" s="502"/>
      <c r="E34" s="542"/>
      <c r="F34" s="543"/>
      <c r="G34" s="543"/>
      <c r="H34" s="543"/>
      <c r="I34" s="544"/>
      <c r="J34" s="67" t="str">
        <f>IF(AND('Mapa de Riesgos'!$Y$61="Media",'Mapa de Riesgos'!$AA$61="Leve"),CONCATENATE("R9C",'Mapa de Riesgos'!$O$61),"")</f>
        <v/>
      </c>
      <c r="K34" s="68" t="str">
        <f>IF(AND('Mapa de Riesgos'!$Y$62="Media",'Mapa de Riesgos'!$AA$62="Leve"),CONCATENATE("R9C",'Mapa de Riesgos'!$O$62),"")</f>
        <v/>
      </c>
      <c r="L34" s="68" t="str">
        <f>IF(AND('Mapa de Riesgos'!$Y$63="Media",'Mapa de Riesgos'!$AA$63="Leve"),CONCATENATE("R9C",'Mapa de Riesgos'!$O$63),"")</f>
        <v/>
      </c>
      <c r="M34" s="68" t="str">
        <f>IF(AND('Mapa de Riesgos'!$Y$64="Media",'Mapa de Riesgos'!$AA$64="Leve"),CONCATENATE("R9C",'Mapa de Riesgos'!$O$64),"")</f>
        <v/>
      </c>
      <c r="N34" s="68" t="str">
        <f>IF(AND('Mapa de Riesgos'!$Y$65="Media",'Mapa de Riesgos'!$AA$65="Leve"),CONCATENATE("R9C",'Mapa de Riesgos'!$O$65),"")</f>
        <v/>
      </c>
      <c r="O34" s="69" t="str">
        <f>IF(AND('Mapa de Riesgos'!$Y$66="Media",'Mapa de Riesgos'!$AA$66="Leve"),CONCATENATE("R9C",'Mapa de Riesgos'!$O$66),"")</f>
        <v/>
      </c>
      <c r="P34" s="67" t="str">
        <f>IF(AND('Mapa de Riesgos'!$Y$61="Media",'Mapa de Riesgos'!$AA$61="Menor"),CONCATENATE("R9C",'Mapa de Riesgos'!$O$61),"")</f>
        <v/>
      </c>
      <c r="Q34" s="68" t="str">
        <f>IF(AND('Mapa de Riesgos'!$Y$62="Media",'Mapa de Riesgos'!$AA$62="Menor"),CONCATENATE("R9C",'Mapa de Riesgos'!$O$62),"")</f>
        <v/>
      </c>
      <c r="R34" s="68" t="str">
        <f>IF(AND('Mapa de Riesgos'!$Y$63="Media",'Mapa de Riesgos'!$AA$63="Menor"),CONCATENATE("R9C",'Mapa de Riesgos'!$O$63),"")</f>
        <v/>
      </c>
      <c r="S34" s="68" t="str">
        <f>IF(AND('Mapa de Riesgos'!$Y$64="Media",'Mapa de Riesgos'!$AA$64="Menor"),CONCATENATE("R9C",'Mapa de Riesgos'!$O$64),"")</f>
        <v/>
      </c>
      <c r="T34" s="68" t="str">
        <f>IF(AND('Mapa de Riesgos'!$Y$65="Media",'Mapa de Riesgos'!$AA$65="Menor"),CONCATENATE("R9C",'Mapa de Riesgos'!$O$65),"")</f>
        <v/>
      </c>
      <c r="U34" s="69" t="str">
        <f>IF(AND('Mapa de Riesgos'!$Y$66="Media",'Mapa de Riesgos'!$AA$66="Menor"),CONCATENATE("R9C",'Mapa de Riesgos'!$O$66),"")</f>
        <v/>
      </c>
      <c r="V34" s="67" t="str">
        <f>IF(AND('Mapa de Riesgos'!$Y$61="Media",'Mapa de Riesgos'!$AA$61="Moderado"),CONCATENATE("R9C",'Mapa de Riesgos'!$O$61),"")</f>
        <v/>
      </c>
      <c r="W34" s="68" t="str">
        <f>IF(AND('Mapa de Riesgos'!$Y$62="Media",'Mapa de Riesgos'!$AA$62="Moderado"),CONCATENATE("R9C",'Mapa de Riesgos'!$O$62),"")</f>
        <v/>
      </c>
      <c r="X34" s="68" t="str">
        <f>IF(AND('Mapa de Riesgos'!$Y$63="Media",'Mapa de Riesgos'!$AA$63="Moderado"),CONCATENATE("R9C",'Mapa de Riesgos'!$O$63),"")</f>
        <v/>
      </c>
      <c r="Y34" s="68" t="str">
        <f>IF(AND('Mapa de Riesgos'!$Y$64="Media",'Mapa de Riesgos'!$AA$64="Moderado"),CONCATENATE("R9C",'Mapa de Riesgos'!$O$64),"")</f>
        <v/>
      </c>
      <c r="Z34" s="68" t="str">
        <f>IF(AND('Mapa de Riesgos'!$Y$65="Media",'Mapa de Riesgos'!$AA$65="Moderado"),CONCATENATE("R9C",'Mapa de Riesgos'!$O$65),"")</f>
        <v/>
      </c>
      <c r="AA34" s="69" t="str">
        <f>IF(AND('Mapa de Riesgos'!$Y$66="Media",'Mapa de Riesgos'!$AA$66="Moderado"),CONCATENATE("R9C",'Mapa de Riesgos'!$O$66),"")</f>
        <v/>
      </c>
      <c r="AB34" s="52" t="str">
        <f>IF(AND('Mapa de Riesgos'!$Y$61="Media",'Mapa de Riesgos'!$AA$61="Mayor"),CONCATENATE("R9C",'Mapa de Riesgos'!$O$61),"")</f>
        <v/>
      </c>
      <c r="AC34" s="53" t="str">
        <f>IF(AND('Mapa de Riesgos'!$Y$62="Media",'Mapa de Riesgos'!$AA$62="Mayor"),CONCATENATE("R9C",'Mapa de Riesgos'!$O$62),"")</f>
        <v/>
      </c>
      <c r="AD34" s="53" t="str">
        <f>IF(AND('Mapa de Riesgos'!$Y$63="Media",'Mapa de Riesgos'!$AA$63="Mayor"),CONCATENATE("R9C",'Mapa de Riesgos'!$O$63),"")</f>
        <v/>
      </c>
      <c r="AE34" s="53" t="str">
        <f>IF(AND('Mapa de Riesgos'!$Y$64="Media",'Mapa de Riesgos'!$AA$64="Mayor"),CONCATENATE("R9C",'Mapa de Riesgos'!$O$64),"")</f>
        <v/>
      </c>
      <c r="AF34" s="53" t="str">
        <f>IF(AND('Mapa de Riesgos'!$Y$65="Media",'Mapa de Riesgos'!$AA$65="Mayor"),CONCATENATE("R9C",'Mapa de Riesgos'!$O$65),"")</f>
        <v/>
      </c>
      <c r="AG34" s="54" t="str">
        <f>IF(AND('Mapa de Riesgos'!$Y$66="Media",'Mapa de Riesgos'!$AA$66="Mayor"),CONCATENATE("R9C",'Mapa de Riesgos'!$O$66),"")</f>
        <v/>
      </c>
      <c r="AH34" s="55" t="str">
        <f>IF(AND('Mapa de Riesgos'!$Y$61="Media",'Mapa de Riesgos'!$AA$61="Catastrófico"),CONCATENATE("R9C",'Mapa de Riesgos'!$O$61),"")</f>
        <v/>
      </c>
      <c r="AI34" s="56" t="str">
        <f>IF(AND('Mapa de Riesgos'!$Y$62="Media",'Mapa de Riesgos'!$AA$62="Catastrófico"),CONCATENATE("R9C",'Mapa de Riesgos'!$O$62),"")</f>
        <v/>
      </c>
      <c r="AJ34" s="56" t="str">
        <f>IF(AND('Mapa de Riesgos'!$Y$63="Media",'Mapa de Riesgos'!$AA$63="Catastrófico"),CONCATENATE("R9C",'Mapa de Riesgos'!$O$63),"")</f>
        <v/>
      </c>
      <c r="AK34" s="56" t="str">
        <f>IF(AND('Mapa de Riesgos'!$Y$64="Media",'Mapa de Riesgos'!$AA$64="Catastrófico"),CONCATENATE("R9C",'Mapa de Riesgos'!$O$64),"")</f>
        <v/>
      </c>
      <c r="AL34" s="56" t="str">
        <f>IF(AND('Mapa de Riesgos'!$Y$65="Media",'Mapa de Riesgos'!$AA$65="Catastrófico"),CONCATENATE("R9C",'Mapa de Riesgos'!$O$65),"")</f>
        <v/>
      </c>
      <c r="AM34" s="57" t="str">
        <f>IF(AND('Mapa de Riesgos'!$Y$66="Media",'Mapa de Riesgos'!$AA$66="Catastrófico"),CONCATENATE("R9C",'Mapa de Riesgos'!$O$66),"")</f>
        <v/>
      </c>
      <c r="AN34" s="83"/>
      <c r="AO34" s="582"/>
      <c r="AP34" s="583"/>
      <c r="AQ34" s="583"/>
      <c r="AR34" s="583"/>
      <c r="AS34" s="583"/>
      <c r="AT34" s="584"/>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501"/>
      <c r="C35" s="501"/>
      <c r="D35" s="502"/>
      <c r="E35" s="545"/>
      <c r="F35" s="546"/>
      <c r="G35" s="546"/>
      <c r="H35" s="546"/>
      <c r="I35" s="547"/>
      <c r="J35" s="67" t="str">
        <f>IF(AND('Mapa de Riesgos'!$Y$67="Media",'Mapa de Riesgos'!$AA$67="Leve"),CONCATENATE("R10C",'Mapa de Riesgos'!$O$67),"")</f>
        <v/>
      </c>
      <c r="K35" s="68" t="str">
        <f>IF(AND('Mapa de Riesgos'!$Y$68="Media",'Mapa de Riesgos'!$AA$68="Leve"),CONCATENATE("R10C",'Mapa de Riesgos'!$O$68),"")</f>
        <v/>
      </c>
      <c r="L35" s="68" t="str">
        <f>IF(AND('Mapa de Riesgos'!$Y$69="Media",'Mapa de Riesgos'!$AA$69="Leve"),CONCATENATE("R10C",'Mapa de Riesgos'!$O$69),"")</f>
        <v/>
      </c>
      <c r="M35" s="68" t="str">
        <f>IF(AND('Mapa de Riesgos'!$Y$70="Media",'Mapa de Riesgos'!$AA$70="Leve"),CONCATENATE("R10C",'Mapa de Riesgos'!$O$70),"")</f>
        <v/>
      </c>
      <c r="N35" s="68" t="str">
        <f>IF(AND('Mapa de Riesgos'!$Y$71="Media",'Mapa de Riesgos'!$AA$71="Leve"),CONCATENATE("R10C",'Mapa de Riesgos'!$O$71),"")</f>
        <v/>
      </c>
      <c r="O35" s="69" t="str">
        <f>IF(AND('Mapa de Riesgos'!$Y$72="Media",'Mapa de Riesgos'!$AA$72="Leve"),CONCATENATE("R10C",'Mapa de Riesgos'!$O$72),"")</f>
        <v/>
      </c>
      <c r="P35" s="67" t="str">
        <f>IF(AND('Mapa de Riesgos'!$Y$67="Media",'Mapa de Riesgos'!$AA$67="Menor"),CONCATENATE("R10C",'Mapa de Riesgos'!$O$67),"")</f>
        <v/>
      </c>
      <c r="Q35" s="68" t="str">
        <f>IF(AND('Mapa de Riesgos'!$Y$68="Media",'Mapa de Riesgos'!$AA$68="Menor"),CONCATENATE("R10C",'Mapa de Riesgos'!$O$68),"")</f>
        <v/>
      </c>
      <c r="R35" s="68" t="str">
        <f>IF(AND('Mapa de Riesgos'!$Y$69="Media",'Mapa de Riesgos'!$AA$69="Menor"),CONCATENATE("R10C",'Mapa de Riesgos'!$O$69),"")</f>
        <v/>
      </c>
      <c r="S35" s="68" t="str">
        <f>IF(AND('Mapa de Riesgos'!$Y$70="Media",'Mapa de Riesgos'!$AA$70="Menor"),CONCATENATE("R10C",'Mapa de Riesgos'!$O$70),"")</f>
        <v/>
      </c>
      <c r="T35" s="68" t="str">
        <f>IF(AND('Mapa de Riesgos'!$Y$71="Media",'Mapa de Riesgos'!$AA$71="Menor"),CONCATENATE("R10C",'Mapa de Riesgos'!$O$71),"")</f>
        <v/>
      </c>
      <c r="U35" s="69" t="str">
        <f>IF(AND('Mapa de Riesgos'!$Y$72="Media",'Mapa de Riesgos'!$AA$72="Menor"),CONCATENATE("R10C",'Mapa de Riesgos'!$O$72),"")</f>
        <v/>
      </c>
      <c r="V35" s="67" t="str">
        <f>IF(AND('Mapa de Riesgos'!$Y$67="Media",'Mapa de Riesgos'!$AA$67="Moderado"),CONCATENATE("R10C",'Mapa de Riesgos'!$O$67),"")</f>
        <v/>
      </c>
      <c r="W35" s="68" t="str">
        <f>IF(AND('Mapa de Riesgos'!$Y$68="Media",'Mapa de Riesgos'!$AA$68="Moderado"),CONCATENATE("R10C",'Mapa de Riesgos'!$O$68),"")</f>
        <v/>
      </c>
      <c r="X35" s="68" t="str">
        <f>IF(AND('Mapa de Riesgos'!$Y$69="Media",'Mapa de Riesgos'!$AA$69="Moderado"),CONCATENATE("R10C",'Mapa de Riesgos'!$O$69),"")</f>
        <v/>
      </c>
      <c r="Y35" s="68" t="str">
        <f>IF(AND('Mapa de Riesgos'!$Y$70="Media",'Mapa de Riesgos'!$AA$70="Moderado"),CONCATENATE("R10C",'Mapa de Riesgos'!$O$70),"")</f>
        <v/>
      </c>
      <c r="Z35" s="68" t="str">
        <f>IF(AND('Mapa de Riesgos'!$Y$71="Media",'Mapa de Riesgos'!$AA$71="Moderado"),CONCATENATE("R10C",'Mapa de Riesgos'!$O$71),"")</f>
        <v/>
      </c>
      <c r="AA35" s="69" t="str">
        <f>IF(AND('Mapa de Riesgos'!$Y$72="Media",'Mapa de Riesgos'!$AA$72="Moderado"),CONCATENATE("R10C",'Mapa de Riesgos'!$O$72),"")</f>
        <v/>
      </c>
      <c r="AB35" s="58" t="str">
        <f>IF(AND('Mapa de Riesgos'!$Y$67="Media",'Mapa de Riesgos'!$AA$67="Mayor"),CONCATENATE("R10C",'Mapa de Riesgos'!$O$67),"")</f>
        <v/>
      </c>
      <c r="AC35" s="59" t="str">
        <f>IF(AND('Mapa de Riesgos'!$Y$68="Media",'Mapa de Riesgos'!$AA$68="Mayor"),CONCATENATE("R10C",'Mapa de Riesgos'!$O$68),"")</f>
        <v/>
      </c>
      <c r="AD35" s="59" t="str">
        <f>IF(AND('Mapa de Riesgos'!$Y$69="Media",'Mapa de Riesgos'!$AA$69="Mayor"),CONCATENATE("R10C",'Mapa de Riesgos'!$O$69),"")</f>
        <v/>
      </c>
      <c r="AE35" s="59" t="str">
        <f>IF(AND('Mapa de Riesgos'!$Y$70="Media",'Mapa de Riesgos'!$AA$70="Mayor"),CONCATENATE("R10C",'Mapa de Riesgos'!$O$70),"")</f>
        <v/>
      </c>
      <c r="AF35" s="59" t="str">
        <f>IF(AND('Mapa de Riesgos'!$Y$71="Media",'Mapa de Riesgos'!$AA$71="Mayor"),CONCATENATE("R10C",'Mapa de Riesgos'!$O$71),"")</f>
        <v/>
      </c>
      <c r="AG35" s="60" t="str">
        <f>IF(AND('Mapa de Riesgos'!$Y$72="Media",'Mapa de Riesgos'!$AA$72="Mayor"),CONCATENATE("R10C",'Mapa de Riesgos'!$O$72),"")</f>
        <v/>
      </c>
      <c r="AH35" s="61" t="str">
        <f>IF(AND('Mapa de Riesgos'!$Y$67="Media",'Mapa de Riesgos'!$AA$67="Catastrófico"),CONCATENATE("R10C",'Mapa de Riesgos'!$O$67),"")</f>
        <v/>
      </c>
      <c r="AI35" s="62" t="str">
        <f>IF(AND('Mapa de Riesgos'!$Y$68="Media",'Mapa de Riesgos'!$AA$68="Catastrófico"),CONCATENATE("R10C",'Mapa de Riesgos'!$O$68),"")</f>
        <v/>
      </c>
      <c r="AJ35" s="62" t="str">
        <f>IF(AND('Mapa de Riesgos'!$Y$69="Media",'Mapa de Riesgos'!$AA$69="Catastrófico"),CONCATENATE("R10C",'Mapa de Riesgos'!$O$69),"")</f>
        <v/>
      </c>
      <c r="AK35" s="62" t="str">
        <f>IF(AND('Mapa de Riesgos'!$Y$70="Media",'Mapa de Riesgos'!$AA$70="Catastrófico"),CONCATENATE("R10C",'Mapa de Riesgos'!$O$70),"")</f>
        <v/>
      </c>
      <c r="AL35" s="62" t="str">
        <f>IF(AND('Mapa de Riesgos'!$Y$71="Media",'Mapa de Riesgos'!$AA$71="Catastrófico"),CONCATENATE("R10C",'Mapa de Riesgos'!$O$71),"")</f>
        <v/>
      </c>
      <c r="AM35" s="63" t="str">
        <f>IF(AND('Mapa de Riesgos'!$Y$72="Media",'Mapa de Riesgos'!$AA$72="Catastrófico"),CONCATENATE("R10C",'Mapa de Riesgos'!$O$72),"")</f>
        <v/>
      </c>
      <c r="AN35" s="83"/>
      <c r="AO35" s="585"/>
      <c r="AP35" s="586"/>
      <c r="AQ35" s="586"/>
      <c r="AR35" s="586"/>
      <c r="AS35" s="586"/>
      <c r="AT35" s="587"/>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501"/>
      <c r="C36" s="501"/>
      <c r="D36" s="502"/>
      <c r="E36" s="539" t="s">
        <v>134</v>
      </c>
      <c r="F36" s="540"/>
      <c r="G36" s="540"/>
      <c r="H36" s="540"/>
      <c r="I36" s="540"/>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R1C1</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70" t="s">
        <v>135</v>
      </c>
      <c r="AP36" s="571"/>
      <c r="AQ36" s="571"/>
      <c r="AR36" s="571"/>
      <c r="AS36" s="571"/>
      <c r="AT36" s="57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501"/>
      <c r="C37" s="501"/>
      <c r="D37" s="502"/>
      <c r="E37" s="558"/>
      <c r="F37" s="543"/>
      <c r="G37" s="543"/>
      <c r="H37" s="543"/>
      <c r="I37" s="543"/>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R2C1</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73"/>
      <c r="AP37" s="574"/>
      <c r="AQ37" s="574"/>
      <c r="AR37" s="574"/>
      <c r="AS37" s="574"/>
      <c r="AT37" s="57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501"/>
      <c r="C38" s="501"/>
      <c r="D38" s="502"/>
      <c r="E38" s="542"/>
      <c r="F38" s="543"/>
      <c r="G38" s="543"/>
      <c r="H38" s="543"/>
      <c r="I38" s="543"/>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R3C1</v>
      </c>
      <c r="Q38" s="68" t="str">
        <f>IF(AND('Mapa de Riesgos'!$Y$25="Baja",'Mapa de Riesgos'!$AA$25="Menor"),CONCATENATE("R3C",'Mapa de Riesgos'!$O$25),"")</f>
        <v>R3C2</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73"/>
      <c r="AP38" s="574"/>
      <c r="AQ38" s="574"/>
      <c r="AR38" s="574"/>
      <c r="AS38" s="574"/>
      <c r="AT38" s="575"/>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501"/>
      <c r="C39" s="501"/>
      <c r="D39" s="502"/>
      <c r="E39" s="542"/>
      <c r="F39" s="543"/>
      <c r="G39" s="543"/>
      <c r="H39" s="543"/>
      <c r="I39" s="543"/>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R4C1</v>
      </c>
      <c r="W39" s="68" t="str">
        <f>IF(AND('Mapa de Riesgos'!$Y$31="Baja",'Mapa de Riesgos'!$AA$31="Moderado"),CONCATENATE("R4C",'Mapa de Riesgos'!$O$31),"")</f>
        <v>R4C2</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73"/>
      <c r="AP39" s="574"/>
      <c r="AQ39" s="574"/>
      <c r="AR39" s="574"/>
      <c r="AS39" s="574"/>
      <c r="AT39" s="575"/>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501"/>
      <c r="C40" s="501"/>
      <c r="D40" s="502"/>
      <c r="E40" s="542"/>
      <c r="F40" s="543"/>
      <c r="G40" s="543"/>
      <c r="H40" s="543"/>
      <c r="I40" s="543"/>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73"/>
      <c r="AP40" s="574"/>
      <c r="AQ40" s="574"/>
      <c r="AR40" s="574"/>
      <c r="AS40" s="574"/>
      <c r="AT40" s="575"/>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501"/>
      <c r="C41" s="501"/>
      <c r="D41" s="502"/>
      <c r="E41" s="542"/>
      <c r="F41" s="543"/>
      <c r="G41" s="543"/>
      <c r="H41" s="543"/>
      <c r="I41" s="543"/>
      <c r="J41" s="76" t="str">
        <f>IF(AND('Mapa de Riesgos'!$Y$42="Baja",'Mapa de Riesgos'!$AA$42="Leve"),CONCATENATE("R6C",'Mapa de Riesgos'!$O$42),"")</f>
        <v/>
      </c>
      <c r="K41" s="77" t="str">
        <f>IF(AND('Mapa de Riesgos'!$Y$44="Baja",'Mapa de Riesgos'!$AA$44="Leve"),CONCATENATE("R6C",'Mapa de Riesgos'!$O$44),"")</f>
        <v/>
      </c>
      <c r="L41" s="77" t="str">
        <f>IF(AND('Mapa de Riesgos'!$Y$45="Baja",'Mapa de Riesgos'!$AA$45="Leve"),CONCATENATE("R6C",'Mapa de Riesgos'!$O$45),"")</f>
        <v/>
      </c>
      <c r="M41" s="77" t="str">
        <f>IF(AND('Mapa de Riesgos'!$Y$46="Baja",'Mapa de Riesgos'!$AA$46="Leve"),CONCATENATE("R6C",'Mapa de Riesgos'!$O$46),"")</f>
        <v/>
      </c>
      <c r="N41" s="77" t="str">
        <f>IF(AND('Mapa de Riesgos'!$Y$47="Baja",'Mapa de Riesgos'!$AA$47="Leve"),CONCATENATE("R6C",'Mapa de Riesgos'!$O$47),"")</f>
        <v/>
      </c>
      <c r="O41" s="78" t="str">
        <f>IF(AND('Mapa de Riesgos'!$Y$48="Baja",'Mapa de Riesgos'!$AA$48="Leve"),CONCATENATE("R6C",'Mapa de Riesgos'!$O$48),"")</f>
        <v/>
      </c>
      <c r="P41" s="67" t="str">
        <f>IF(AND('Mapa de Riesgos'!$Y$42="Baja",'Mapa de Riesgos'!$AA$42="Menor"),CONCATENATE("R6C",'Mapa de Riesgos'!$O$42),"")</f>
        <v/>
      </c>
      <c r="Q41" s="68" t="str">
        <f>IF(AND('Mapa de Riesgos'!$Y$44="Baja",'Mapa de Riesgos'!$AA$44="Menor"),CONCATENATE("R6C",'Mapa de Riesgos'!$O$44),"")</f>
        <v/>
      </c>
      <c r="R41" s="68" t="str">
        <f>IF(AND('Mapa de Riesgos'!$Y$45="Baja",'Mapa de Riesgos'!$AA$45="Menor"),CONCATENATE("R6C",'Mapa de Riesgos'!$O$45),"")</f>
        <v/>
      </c>
      <c r="S41" s="68" t="str">
        <f>IF(AND('Mapa de Riesgos'!$Y$46="Baja",'Mapa de Riesgos'!$AA$46="Menor"),CONCATENATE("R6C",'Mapa de Riesgos'!$O$46),"")</f>
        <v/>
      </c>
      <c r="T41" s="68" t="str">
        <f>IF(AND('Mapa de Riesgos'!$Y$47="Baja",'Mapa de Riesgos'!$AA$47="Menor"),CONCATENATE("R6C",'Mapa de Riesgos'!$O$47),"")</f>
        <v/>
      </c>
      <c r="U41" s="69" t="str">
        <f>IF(AND('Mapa de Riesgos'!$Y$48="Baja",'Mapa de Riesgos'!$AA$48="Menor"),CONCATENATE("R6C",'Mapa de Riesgos'!$O$48),"")</f>
        <v/>
      </c>
      <c r="V41" s="67" t="str">
        <f>IF(AND('Mapa de Riesgos'!$Y$42="Baja",'Mapa de Riesgos'!$AA$42="Moderado"),CONCATENATE("R6C",'Mapa de Riesgos'!$O$42),"")</f>
        <v/>
      </c>
      <c r="W41" s="68" t="str">
        <f>IF(AND('Mapa de Riesgos'!$Y$44="Baja",'Mapa de Riesgos'!$AA$44="Moderado"),CONCATENATE("R6C",'Mapa de Riesgos'!$O$44),"")</f>
        <v/>
      </c>
      <c r="X41" s="68" t="str">
        <f>IF(AND('Mapa de Riesgos'!$Y$45="Baja",'Mapa de Riesgos'!$AA$45="Moderado"),CONCATENATE("R6C",'Mapa de Riesgos'!$O$45),"")</f>
        <v/>
      </c>
      <c r="Y41" s="68" t="str">
        <f>IF(AND('Mapa de Riesgos'!$Y$46="Baja",'Mapa de Riesgos'!$AA$46="Moderado"),CONCATENATE("R6C",'Mapa de Riesgos'!$O$46),"")</f>
        <v/>
      </c>
      <c r="Z41" s="68" t="str">
        <f>IF(AND('Mapa de Riesgos'!$Y$47="Baja",'Mapa de Riesgos'!$AA$47="Moderado"),CONCATENATE("R6C",'Mapa de Riesgos'!$O$47),"")</f>
        <v/>
      </c>
      <c r="AA41" s="69" t="str">
        <f>IF(AND('Mapa de Riesgos'!$Y$48="Baja",'Mapa de Riesgos'!$AA$48="Moderado"),CONCATENATE("R6C",'Mapa de Riesgos'!$O$48),"")</f>
        <v/>
      </c>
      <c r="AB41" s="52" t="str">
        <f>IF(AND('Mapa de Riesgos'!$Y$42="Baja",'Mapa de Riesgos'!$AA$42="Mayor"),CONCATENATE("R6C",'Mapa de Riesgos'!$O$42),"")</f>
        <v/>
      </c>
      <c r="AC41" s="53" t="str">
        <f>IF(AND('Mapa de Riesgos'!$Y$44="Baja",'Mapa de Riesgos'!$AA$44="Mayor"),CONCATENATE("R6C",'Mapa de Riesgos'!$O$44),"")</f>
        <v/>
      </c>
      <c r="AD41" s="53" t="str">
        <f>IF(AND('Mapa de Riesgos'!$Y$45="Baja",'Mapa de Riesgos'!$AA$45="Mayor"),CONCATENATE("R6C",'Mapa de Riesgos'!$O$45),"")</f>
        <v/>
      </c>
      <c r="AE41" s="53" t="str">
        <f>IF(AND('Mapa de Riesgos'!$Y$46="Baja",'Mapa de Riesgos'!$AA$46="Mayor"),CONCATENATE("R6C",'Mapa de Riesgos'!$O$46),"")</f>
        <v/>
      </c>
      <c r="AF41" s="53" t="str">
        <f>IF(AND('Mapa de Riesgos'!$Y$47="Baja",'Mapa de Riesgos'!$AA$47="Mayor"),CONCATENATE("R6C",'Mapa de Riesgos'!$O$47),"")</f>
        <v/>
      </c>
      <c r="AG41" s="54" t="str">
        <f>IF(AND('Mapa de Riesgos'!$Y$48="Baja",'Mapa de Riesgos'!$AA$48="Mayor"),CONCATENATE("R6C",'Mapa de Riesgos'!$O$48),"")</f>
        <v/>
      </c>
      <c r="AH41" s="55" t="str">
        <f>IF(AND('Mapa de Riesgos'!$Y$42="Baja",'Mapa de Riesgos'!$AA$42="Catastrófico"),CONCATENATE("R6C",'Mapa de Riesgos'!$O$42),"")</f>
        <v/>
      </c>
      <c r="AI41" s="56" t="str">
        <f>IF(AND('Mapa de Riesgos'!$Y$44="Baja",'Mapa de Riesgos'!$AA$44="Catastrófico"),CONCATENATE("R6C",'Mapa de Riesgos'!$O$44),"")</f>
        <v/>
      </c>
      <c r="AJ41" s="56" t="str">
        <f>IF(AND('Mapa de Riesgos'!$Y$45="Baja",'Mapa de Riesgos'!$AA$45="Catastrófico"),CONCATENATE("R6C",'Mapa de Riesgos'!$O$45),"")</f>
        <v/>
      </c>
      <c r="AK41" s="56" t="str">
        <f>IF(AND('Mapa de Riesgos'!$Y$46="Baja",'Mapa de Riesgos'!$AA$46="Catastrófico"),CONCATENATE("R6C",'Mapa de Riesgos'!$O$46),"")</f>
        <v/>
      </c>
      <c r="AL41" s="56" t="str">
        <f>IF(AND('Mapa de Riesgos'!$Y$47="Baja",'Mapa de Riesgos'!$AA$47="Catastrófico"),CONCATENATE("R6C",'Mapa de Riesgos'!$O$47),"")</f>
        <v/>
      </c>
      <c r="AM41" s="57" t="str">
        <f>IF(AND('Mapa de Riesgos'!$Y$48="Baja",'Mapa de Riesgos'!$AA$48="Catastrófico"),CONCATENATE("R6C",'Mapa de Riesgos'!$O$48),"")</f>
        <v/>
      </c>
      <c r="AN41" s="83"/>
      <c r="AO41" s="573"/>
      <c r="AP41" s="574"/>
      <c r="AQ41" s="574"/>
      <c r="AR41" s="574"/>
      <c r="AS41" s="574"/>
      <c r="AT41" s="575"/>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501"/>
      <c r="C42" s="501"/>
      <c r="D42" s="502"/>
      <c r="E42" s="542"/>
      <c r="F42" s="543"/>
      <c r="G42" s="543"/>
      <c r="H42" s="543"/>
      <c r="I42" s="543"/>
      <c r="J42" s="76" t="str">
        <f>IF(AND('Mapa de Riesgos'!$Y$49="Baja",'Mapa de Riesgos'!$AA$49="Leve"),CONCATENATE("R7C",'Mapa de Riesgos'!$O$49),"")</f>
        <v/>
      </c>
      <c r="K42" s="77" t="str">
        <f>IF(AND('Mapa de Riesgos'!$Y$50="Baja",'Mapa de Riesgos'!$AA$50="Leve"),CONCATENATE("R7C",'Mapa de Riesgos'!$O$50),"")</f>
        <v/>
      </c>
      <c r="L42" s="77" t="str">
        <f>IF(AND('Mapa de Riesgos'!$Y$51="Baja",'Mapa de Riesgos'!$AA$51="Leve"),CONCATENATE("R7C",'Mapa de Riesgos'!$O$51),"")</f>
        <v/>
      </c>
      <c r="M42" s="77" t="str">
        <f>IF(AND('Mapa de Riesgos'!$Y$52="Baja",'Mapa de Riesgos'!$AA$52="Leve"),CONCATENATE("R7C",'Mapa de Riesgos'!$O$52),"")</f>
        <v/>
      </c>
      <c r="N42" s="77" t="str">
        <f>IF(AND('Mapa de Riesgos'!$Y$53="Baja",'Mapa de Riesgos'!$AA$53="Leve"),CONCATENATE("R7C",'Mapa de Riesgos'!$O$53),"")</f>
        <v/>
      </c>
      <c r="O42" s="78" t="str">
        <f>IF(AND('Mapa de Riesgos'!$Y$54="Baja",'Mapa de Riesgos'!$AA$54="Leve"),CONCATENATE("R7C",'Mapa de Riesgos'!$O$54),"")</f>
        <v/>
      </c>
      <c r="P42" s="67" t="str">
        <f>IF(AND('Mapa de Riesgos'!$Y$49="Baja",'Mapa de Riesgos'!$AA$49="Menor"),CONCATENATE("R7C",'Mapa de Riesgos'!$O$49),"")</f>
        <v/>
      </c>
      <c r="Q42" s="68" t="str">
        <f>IF(AND('Mapa de Riesgos'!$Y$50="Baja",'Mapa de Riesgos'!$AA$50="Menor"),CONCATENATE("R7C",'Mapa de Riesgos'!$O$50),"")</f>
        <v/>
      </c>
      <c r="R42" s="68" t="str">
        <f>IF(AND('Mapa de Riesgos'!$Y$51="Baja",'Mapa de Riesgos'!$AA$51="Menor"),CONCATENATE("R7C",'Mapa de Riesgos'!$O$51),"")</f>
        <v/>
      </c>
      <c r="S42" s="68" t="str">
        <f>IF(AND('Mapa de Riesgos'!$Y$52="Baja",'Mapa de Riesgos'!$AA$52="Menor"),CONCATENATE("R7C",'Mapa de Riesgos'!$O$52),"")</f>
        <v/>
      </c>
      <c r="T42" s="68" t="str">
        <f>IF(AND('Mapa de Riesgos'!$Y$53="Baja",'Mapa de Riesgos'!$AA$53="Menor"),CONCATENATE("R7C",'Mapa de Riesgos'!$O$53),"")</f>
        <v/>
      </c>
      <c r="U42" s="69" t="str">
        <f>IF(AND('Mapa de Riesgos'!$Y$54="Baja",'Mapa de Riesgos'!$AA$54="Menor"),CONCATENATE("R7C",'Mapa de Riesgos'!$O$54),"")</f>
        <v/>
      </c>
      <c r="V42" s="67" t="str">
        <f>IF(AND('Mapa de Riesgos'!$Y$49="Baja",'Mapa de Riesgos'!$AA$49="Moderado"),CONCATENATE("R7C",'Mapa de Riesgos'!$O$49),"")</f>
        <v>R7C1</v>
      </c>
      <c r="W42" s="68" t="str">
        <f>IF(AND('Mapa de Riesgos'!$Y$50="Baja",'Mapa de Riesgos'!$AA$50="Moderado"),CONCATENATE("R7C",'Mapa de Riesgos'!$O$50),"")</f>
        <v/>
      </c>
      <c r="X42" s="68" t="str">
        <f>IF(AND('Mapa de Riesgos'!$Y$51="Baja",'Mapa de Riesgos'!$AA$51="Moderado"),CONCATENATE("R7C",'Mapa de Riesgos'!$O$51),"")</f>
        <v/>
      </c>
      <c r="Y42" s="68" t="str">
        <f>IF(AND('Mapa de Riesgos'!$Y$52="Baja",'Mapa de Riesgos'!$AA$52="Moderado"),CONCATENATE("R7C",'Mapa de Riesgos'!$O$52),"")</f>
        <v/>
      </c>
      <c r="Z42" s="68" t="str">
        <f>IF(AND('Mapa de Riesgos'!$Y$53="Baja",'Mapa de Riesgos'!$AA$53="Moderado"),CONCATENATE("R7C",'Mapa de Riesgos'!$O$53),"")</f>
        <v/>
      </c>
      <c r="AA42" s="69" t="str">
        <f>IF(AND('Mapa de Riesgos'!$Y$54="Baja",'Mapa de Riesgos'!$AA$54="Moderado"),CONCATENATE("R7C",'Mapa de Riesgos'!$O$54),"")</f>
        <v/>
      </c>
      <c r="AB42" s="52" t="str">
        <f>IF(AND('Mapa de Riesgos'!$Y$49="Baja",'Mapa de Riesgos'!$AA$49="Mayor"),CONCATENATE("R7C",'Mapa de Riesgos'!$O$49),"")</f>
        <v/>
      </c>
      <c r="AC42" s="53" t="str">
        <f>IF(AND('Mapa de Riesgos'!$Y$50="Baja",'Mapa de Riesgos'!$AA$50="Mayor"),CONCATENATE("R7C",'Mapa de Riesgos'!$O$50),"")</f>
        <v/>
      </c>
      <c r="AD42" s="53" t="str">
        <f>IF(AND('Mapa de Riesgos'!$Y$51="Baja",'Mapa de Riesgos'!$AA$51="Mayor"),CONCATENATE("R7C",'Mapa de Riesgos'!$O$51),"")</f>
        <v/>
      </c>
      <c r="AE42" s="53" t="str">
        <f>IF(AND('Mapa de Riesgos'!$Y$52="Baja",'Mapa de Riesgos'!$AA$52="Mayor"),CONCATENATE("R7C",'Mapa de Riesgos'!$O$52),"")</f>
        <v/>
      </c>
      <c r="AF42" s="53" t="str">
        <f>IF(AND('Mapa de Riesgos'!$Y$53="Baja",'Mapa de Riesgos'!$AA$53="Mayor"),CONCATENATE("R7C",'Mapa de Riesgos'!$O$53),"")</f>
        <v/>
      </c>
      <c r="AG42" s="54" t="str">
        <f>IF(AND('Mapa de Riesgos'!$Y$54="Baja",'Mapa de Riesgos'!$AA$54="Mayor"),CONCATENATE("R7C",'Mapa de Riesgos'!$O$54),"")</f>
        <v/>
      </c>
      <c r="AH42" s="55" t="str">
        <f>IF(AND('Mapa de Riesgos'!$Y$49="Baja",'Mapa de Riesgos'!$AA$49="Catastrófico"),CONCATENATE("R7C",'Mapa de Riesgos'!$O$49),"")</f>
        <v/>
      </c>
      <c r="AI42" s="56" t="str">
        <f>IF(AND('Mapa de Riesgos'!$Y$50="Baja",'Mapa de Riesgos'!$AA$50="Catastrófico"),CONCATENATE("R7C",'Mapa de Riesgos'!$O$50),"")</f>
        <v/>
      </c>
      <c r="AJ42" s="56" t="str">
        <f>IF(AND('Mapa de Riesgos'!$Y$51="Baja",'Mapa de Riesgos'!$AA$51="Catastrófico"),CONCATENATE("R7C",'Mapa de Riesgos'!$O$51),"")</f>
        <v/>
      </c>
      <c r="AK42" s="56" t="str">
        <f>IF(AND('Mapa de Riesgos'!$Y$52="Baja",'Mapa de Riesgos'!$AA$52="Catastrófico"),CONCATENATE("R7C",'Mapa de Riesgos'!$O$52),"")</f>
        <v/>
      </c>
      <c r="AL42" s="56" t="str">
        <f>IF(AND('Mapa de Riesgos'!$Y$53="Baja",'Mapa de Riesgos'!$AA$53="Catastrófico"),CONCATENATE("R7C",'Mapa de Riesgos'!$O$53),"")</f>
        <v/>
      </c>
      <c r="AM42" s="57" t="str">
        <f>IF(AND('Mapa de Riesgos'!$Y$54="Baja",'Mapa de Riesgos'!$AA$54="Catastrófico"),CONCATENATE("R7C",'Mapa de Riesgos'!$O$54),"")</f>
        <v/>
      </c>
      <c r="AN42" s="83"/>
      <c r="AO42" s="573"/>
      <c r="AP42" s="574"/>
      <c r="AQ42" s="574"/>
      <c r="AR42" s="574"/>
      <c r="AS42" s="574"/>
      <c r="AT42" s="575"/>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501"/>
      <c r="C43" s="501"/>
      <c r="D43" s="502"/>
      <c r="E43" s="542"/>
      <c r="F43" s="543"/>
      <c r="G43" s="543"/>
      <c r="H43" s="543"/>
      <c r="I43" s="543"/>
      <c r="J43" s="76" t="str">
        <f>IF(AND('Mapa de Riesgos'!$Y$55="Baja",'Mapa de Riesgos'!$AA$55="Leve"),CONCATENATE("R8C",'Mapa de Riesgos'!$O$55),"")</f>
        <v/>
      </c>
      <c r="K43" s="77" t="str">
        <f>IF(AND('Mapa de Riesgos'!$Y$56="Baja",'Mapa de Riesgos'!$AA$56="Leve"),CONCATENATE("R8C",'Mapa de Riesgos'!$O$56),"")</f>
        <v/>
      </c>
      <c r="L43" s="77" t="str">
        <f>IF(AND('Mapa de Riesgos'!$Y$57="Baja",'Mapa de Riesgos'!$AA$57="Leve"),CONCATENATE("R8C",'Mapa de Riesgos'!$O$57),"")</f>
        <v/>
      </c>
      <c r="M43" s="77" t="str">
        <f>IF(AND('Mapa de Riesgos'!$Y$58="Baja",'Mapa de Riesgos'!$AA$58="Leve"),CONCATENATE("R8C",'Mapa de Riesgos'!$O$58),"")</f>
        <v/>
      </c>
      <c r="N43" s="77" t="str">
        <f>IF(AND('Mapa de Riesgos'!$Y$59="Baja",'Mapa de Riesgos'!$AA$59="Leve"),CONCATENATE("R8C",'Mapa de Riesgos'!$O$59),"")</f>
        <v/>
      </c>
      <c r="O43" s="78" t="str">
        <f>IF(AND('Mapa de Riesgos'!$Y$60="Baja",'Mapa de Riesgos'!$AA$60="Leve"),CONCATENATE("R8C",'Mapa de Riesgos'!$O$60),"")</f>
        <v/>
      </c>
      <c r="P43" s="67" t="str">
        <f>IF(AND('Mapa de Riesgos'!$Y$55="Baja",'Mapa de Riesgos'!$AA$55="Menor"),CONCATENATE("R8C",'Mapa de Riesgos'!$O$55),"")</f>
        <v/>
      </c>
      <c r="Q43" s="68" t="str">
        <f>IF(AND('Mapa de Riesgos'!$Y$56="Baja",'Mapa de Riesgos'!$AA$56="Menor"),CONCATENATE("R8C",'Mapa de Riesgos'!$O$56),"")</f>
        <v/>
      </c>
      <c r="R43" s="68" t="str">
        <f>IF(AND('Mapa de Riesgos'!$Y$57="Baja",'Mapa de Riesgos'!$AA$57="Menor"),CONCATENATE("R8C",'Mapa de Riesgos'!$O$57),"")</f>
        <v/>
      </c>
      <c r="S43" s="68" t="str">
        <f>IF(AND('Mapa de Riesgos'!$Y$58="Baja",'Mapa de Riesgos'!$AA$58="Menor"),CONCATENATE("R8C",'Mapa de Riesgos'!$O$58),"")</f>
        <v/>
      </c>
      <c r="T43" s="68" t="str">
        <f>IF(AND('Mapa de Riesgos'!$Y$59="Baja",'Mapa de Riesgos'!$AA$59="Menor"),CONCATENATE("R8C",'Mapa de Riesgos'!$O$59),"")</f>
        <v/>
      </c>
      <c r="U43" s="69" t="str">
        <f>IF(AND('Mapa de Riesgos'!$Y$60="Baja",'Mapa de Riesgos'!$AA$60="Menor"),CONCATENATE("R8C",'Mapa de Riesgos'!$O$60),"")</f>
        <v/>
      </c>
      <c r="V43" s="67" t="str">
        <f>IF(AND('Mapa de Riesgos'!$Y$55="Baja",'Mapa de Riesgos'!$AA$55="Moderado"),CONCATENATE("R8C",'Mapa de Riesgos'!$O$55),"")</f>
        <v>R8C1</v>
      </c>
      <c r="W43" s="68" t="str">
        <f>IF(AND('Mapa de Riesgos'!$Y$56="Baja",'Mapa de Riesgos'!$AA$56="Moderado"),CONCATENATE("R8C",'Mapa de Riesgos'!$O$56),"")</f>
        <v/>
      </c>
      <c r="X43" s="68" t="str">
        <f>IF(AND('Mapa de Riesgos'!$Y$57="Baja",'Mapa de Riesgos'!$AA$57="Moderado"),CONCATENATE("R8C",'Mapa de Riesgos'!$O$57),"")</f>
        <v/>
      </c>
      <c r="Y43" s="68" t="str">
        <f>IF(AND('Mapa de Riesgos'!$Y$58="Baja",'Mapa de Riesgos'!$AA$58="Moderado"),CONCATENATE("R8C",'Mapa de Riesgos'!$O$58),"")</f>
        <v/>
      </c>
      <c r="Z43" s="68" t="str">
        <f>IF(AND('Mapa de Riesgos'!$Y$59="Baja",'Mapa de Riesgos'!$AA$59="Moderado"),CONCATENATE("R8C",'Mapa de Riesgos'!$O$59),"")</f>
        <v/>
      </c>
      <c r="AA43" s="69" t="str">
        <f>IF(AND('Mapa de Riesgos'!$Y$60="Baja",'Mapa de Riesgos'!$AA$60="Moderado"),CONCATENATE("R8C",'Mapa de Riesgos'!$O$60),"")</f>
        <v/>
      </c>
      <c r="AB43" s="52" t="str">
        <f>IF(AND('Mapa de Riesgos'!$Y$55="Baja",'Mapa de Riesgos'!$AA$55="Mayor"),CONCATENATE("R8C",'Mapa de Riesgos'!$O$55),"")</f>
        <v/>
      </c>
      <c r="AC43" s="53" t="str">
        <f>IF(AND('Mapa de Riesgos'!$Y$56="Baja",'Mapa de Riesgos'!$AA$56="Mayor"),CONCATENATE("R8C",'Mapa de Riesgos'!$O$56),"")</f>
        <v/>
      </c>
      <c r="AD43" s="53" t="str">
        <f>IF(AND('Mapa de Riesgos'!$Y$57="Baja",'Mapa de Riesgos'!$AA$57="Mayor"),CONCATENATE("R8C",'Mapa de Riesgos'!$O$57),"")</f>
        <v/>
      </c>
      <c r="AE43" s="53" t="str">
        <f>IF(AND('Mapa de Riesgos'!$Y$58="Baja",'Mapa de Riesgos'!$AA$58="Mayor"),CONCATENATE("R8C",'Mapa de Riesgos'!$O$58),"")</f>
        <v/>
      </c>
      <c r="AF43" s="53" t="str">
        <f>IF(AND('Mapa de Riesgos'!$Y$59="Baja",'Mapa de Riesgos'!$AA$59="Mayor"),CONCATENATE("R8C",'Mapa de Riesgos'!$O$59),"")</f>
        <v/>
      </c>
      <c r="AG43" s="54" t="str">
        <f>IF(AND('Mapa de Riesgos'!$Y$60="Baja",'Mapa de Riesgos'!$AA$60="Mayor"),CONCATENATE("R8C",'Mapa de Riesgos'!$O$60),"")</f>
        <v/>
      </c>
      <c r="AH43" s="55" t="str">
        <f>IF(AND('Mapa de Riesgos'!$Y$55="Baja",'Mapa de Riesgos'!$AA$55="Catastrófico"),CONCATENATE("R8C",'Mapa de Riesgos'!$O$55),"")</f>
        <v/>
      </c>
      <c r="AI43" s="56" t="str">
        <f>IF(AND('Mapa de Riesgos'!$Y$56="Baja",'Mapa de Riesgos'!$AA$56="Catastrófico"),CONCATENATE("R8C",'Mapa de Riesgos'!$O$56),"")</f>
        <v/>
      </c>
      <c r="AJ43" s="56" t="str">
        <f>IF(AND('Mapa de Riesgos'!$Y$57="Baja",'Mapa de Riesgos'!$AA$57="Catastrófico"),CONCATENATE("R8C",'Mapa de Riesgos'!$O$57),"")</f>
        <v/>
      </c>
      <c r="AK43" s="56" t="str">
        <f>IF(AND('Mapa de Riesgos'!$Y$58="Baja",'Mapa de Riesgos'!$AA$58="Catastrófico"),CONCATENATE("R8C",'Mapa de Riesgos'!$O$58),"")</f>
        <v/>
      </c>
      <c r="AL43" s="56" t="str">
        <f>IF(AND('Mapa de Riesgos'!$Y$59="Baja",'Mapa de Riesgos'!$AA$59="Catastrófico"),CONCATENATE("R8C",'Mapa de Riesgos'!$O$59),"")</f>
        <v/>
      </c>
      <c r="AM43" s="57" t="str">
        <f>IF(AND('Mapa de Riesgos'!$Y$60="Baja",'Mapa de Riesgos'!$AA$60="Catastrófico"),CONCATENATE("R8C",'Mapa de Riesgos'!$O$60),"")</f>
        <v/>
      </c>
      <c r="AN43" s="83"/>
      <c r="AO43" s="573"/>
      <c r="AP43" s="574"/>
      <c r="AQ43" s="574"/>
      <c r="AR43" s="574"/>
      <c r="AS43" s="574"/>
      <c r="AT43" s="575"/>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501"/>
      <c r="C44" s="501"/>
      <c r="D44" s="502"/>
      <c r="E44" s="542"/>
      <c r="F44" s="543"/>
      <c r="G44" s="543"/>
      <c r="H44" s="543"/>
      <c r="I44" s="543"/>
      <c r="J44" s="76" t="str">
        <f>IF(AND('Mapa de Riesgos'!$Y$61="Baja",'Mapa de Riesgos'!$AA$61="Leve"),CONCATENATE("R9C",'Mapa de Riesgos'!$O$61),"")</f>
        <v/>
      </c>
      <c r="K44" s="77" t="str">
        <f>IF(AND('Mapa de Riesgos'!$Y$62="Baja",'Mapa de Riesgos'!$AA$62="Leve"),CONCATENATE("R9C",'Mapa de Riesgos'!$O$62),"")</f>
        <v/>
      </c>
      <c r="L44" s="77" t="str">
        <f>IF(AND('Mapa de Riesgos'!$Y$63="Baja",'Mapa de Riesgos'!$AA$63="Leve"),CONCATENATE("R9C",'Mapa de Riesgos'!$O$63),"")</f>
        <v/>
      </c>
      <c r="M44" s="77" t="str">
        <f>IF(AND('Mapa de Riesgos'!$Y$64="Baja",'Mapa de Riesgos'!$AA$64="Leve"),CONCATENATE("R9C",'Mapa de Riesgos'!$O$64),"")</f>
        <v/>
      </c>
      <c r="N44" s="77" t="str">
        <f>IF(AND('Mapa de Riesgos'!$Y$65="Baja",'Mapa de Riesgos'!$AA$65="Leve"),CONCATENATE("R9C",'Mapa de Riesgos'!$O$65),"")</f>
        <v/>
      </c>
      <c r="O44" s="78" t="str">
        <f>IF(AND('Mapa de Riesgos'!$Y$66="Baja",'Mapa de Riesgos'!$AA$66="Leve"),CONCATENATE("R9C",'Mapa de Riesgos'!$O$66),"")</f>
        <v/>
      </c>
      <c r="P44" s="67" t="str">
        <f>IF(AND('Mapa de Riesgos'!$Y$61="Baja",'Mapa de Riesgos'!$AA$61="Menor"),CONCATENATE("R9C",'Mapa de Riesgos'!$O$61),"")</f>
        <v/>
      </c>
      <c r="Q44" s="68" t="str">
        <f>IF(AND('Mapa de Riesgos'!$Y$62="Baja",'Mapa de Riesgos'!$AA$62="Menor"),CONCATENATE("R9C",'Mapa de Riesgos'!$O$62),"")</f>
        <v/>
      </c>
      <c r="R44" s="68" t="str">
        <f>IF(AND('Mapa de Riesgos'!$Y$63="Baja",'Mapa de Riesgos'!$AA$63="Menor"),CONCATENATE("R9C",'Mapa de Riesgos'!$O$63),"")</f>
        <v/>
      </c>
      <c r="S44" s="68" t="str">
        <f>IF(AND('Mapa de Riesgos'!$Y$64="Baja",'Mapa de Riesgos'!$AA$64="Menor"),CONCATENATE("R9C",'Mapa de Riesgos'!$O$64),"")</f>
        <v/>
      </c>
      <c r="T44" s="68" t="str">
        <f>IF(AND('Mapa de Riesgos'!$Y$65="Baja",'Mapa de Riesgos'!$AA$65="Menor"),CONCATENATE("R9C",'Mapa de Riesgos'!$O$65),"")</f>
        <v/>
      </c>
      <c r="U44" s="69" t="str">
        <f>IF(AND('Mapa de Riesgos'!$Y$66="Baja",'Mapa de Riesgos'!$AA$66="Menor"),CONCATENATE("R9C",'Mapa de Riesgos'!$O$66),"")</f>
        <v/>
      </c>
      <c r="V44" s="67" t="str">
        <f>IF(AND('Mapa de Riesgos'!$Y$61="Baja",'Mapa de Riesgos'!$AA$61="Moderado"),CONCATENATE("R9C",'Mapa de Riesgos'!$O$61),"")</f>
        <v>R9C1</v>
      </c>
      <c r="W44" s="68" t="str">
        <f>IF(AND('Mapa de Riesgos'!$Y$62="Baja",'Mapa de Riesgos'!$AA$62="Moderado"),CONCATENATE("R9C",'Mapa de Riesgos'!$O$62),"")</f>
        <v>R9C2</v>
      </c>
      <c r="X44" s="68" t="str">
        <f>IF(AND('Mapa de Riesgos'!$Y$63="Baja",'Mapa de Riesgos'!$AA$63="Moderado"),CONCATENATE("R9C",'Mapa de Riesgos'!$O$63),"")</f>
        <v/>
      </c>
      <c r="Y44" s="68" t="str">
        <f>IF(AND('Mapa de Riesgos'!$Y$64="Baja",'Mapa de Riesgos'!$AA$64="Moderado"),CONCATENATE("R9C",'Mapa de Riesgos'!$O$64),"")</f>
        <v/>
      </c>
      <c r="Z44" s="68" t="str">
        <f>IF(AND('Mapa de Riesgos'!$Y$65="Baja",'Mapa de Riesgos'!$AA$65="Moderado"),CONCATENATE("R9C",'Mapa de Riesgos'!$O$65),"")</f>
        <v/>
      </c>
      <c r="AA44" s="69" t="str">
        <f>IF(AND('Mapa de Riesgos'!$Y$66="Baja",'Mapa de Riesgos'!$AA$66="Moderado"),CONCATENATE("R9C",'Mapa de Riesgos'!$O$66),"")</f>
        <v/>
      </c>
      <c r="AB44" s="52" t="str">
        <f>IF(AND('Mapa de Riesgos'!$Y$61="Baja",'Mapa de Riesgos'!$AA$61="Mayor"),CONCATENATE("R9C",'Mapa de Riesgos'!$O$61),"")</f>
        <v/>
      </c>
      <c r="AC44" s="53" t="str">
        <f>IF(AND('Mapa de Riesgos'!$Y$62="Baja",'Mapa de Riesgos'!$AA$62="Mayor"),CONCATENATE("R9C",'Mapa de Riesgos'!$O$62),"")</f>
        <v/>
      </c>
      <c r="AD44" s="53" t="str">
        <f>IF(AND('Mapa de Riesgos'!$Y$63="Baja",'Mapa de Riesgos'!$AA$63="Mayor"),CONCATENATE("R9C",'Mapa de Riesgos'!$O$63),"")</f>
        <v/>
      </c>
      <c r="AE44" s="53" t="str">
        <f>IF(AND('Mapa de Riesgos'!$Y$64="Baja",'Mapa de Riesgos'!$AA$64="Mayor"),CONCATENATE("R9C",'Mapa de Riesgos'!$O$64),"")</f>
        <v/>
      </c>
      <c r="AF44" s="53" t="str">
        <f>IF(AND('Mapa de Riesgos'!$Y$65="Baja",'Mapa de Riesgos'!$AA$65="Mayor"),CONCATENATE("R9C",'Mapa de Riesgos'!$O$65),"")</f>
        <v/>
      </c>
      <c r="AG44" s="54" t="str">
        <f>IF(AND('Mapa de Riesgos'!$Y$66="Baja",'Mapa de Riesgos'!$AA$66="Mayor"),CONCATENATE("R9C",'Mapa de Riesgos'!$O$66),"")</f>
        <v/>
      </c>
      <c r="AH44" s="55" t="str">
        <f>IF(AND('Mapa de Riesgos'!$Y$61="Baja",'Mapa de Riesgos'!$AA$61="Catastrófico"),CONCATENATE("R9C",'Mapa de Riesgos'!$O$61),"")</f>
        <v/>
      </c>
      <c r="AI44" s="56" t="str">
        <f>IF(AND('Mapa de Riesgos'!$Y$62="Baja",'Mapa de Riesgos'!$AA$62="Catastrófico"),CONCATENATE("R9C",'Mapa de Riesgos'!$O$62),"")</f>
        <v/>
      </c>
      <c r="AJ44" s="56" t="str">
        <f>IF(AND('Mapa de Riesgos'!$Y$63="Baja",'Mapa de Riesgos'!$AA$63="Catastrófico"),CONCATENATE("R9C",'Mapa de Riesgos'!$O$63),"")</f>
        <v/>
      </c>
      <c r="AK44" s="56" t="str">
        <f>IF(AND('Mapa de Riesgos'!$Y$64="Baja",'Mapa de Riesgos'!$AA$64="Catastrófico"),CONCATENATE("R9C",'Mapa de Riesgos'!$O$64),"")</f>
        <v/>
      </c>
      <c r="AL44" s="56" t="str">
        <f>IF(AND('Mapa de Riesgos'!$Y$65="Baja",'Mapa de Riesgos'!$AA$65="Catastrófico"),CONCATENATE("R9C",'Mapa de Riesgos'!$O$65),"")</f>
        <v/>
      </c>
      <c r="AM44" s="57" t="str">
        <f>IF(AND('Mapa de Riesgos'!$Y$66="Baja",'Mapa de Riesgos'!$AA$66="Catastrófico"),CONCATENATE("R9C",'Mapa de Riesgos'!$O$66),"")</f>
        <v/>
      </c>
      <c r="AN44" s="83"/>
      <c r="AO44" s="573"/>
      <c r="AP44" s="574"/>
      <c r="AQ44" s="574"/>
      <c r="AR44" s="574"/>
      <c r="AS44" s="574"/>
      <c r="AT44" s="575"/>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501"/>
      <c r="C45" s="501"/>
      <c r="D45" s="502"/>
      <c r="E45" s="545"/>
      <c r="F45" s="546"/>
      <c r="G45" s="546"/>
      <c r="H45" s="546"/>
      <c r="I45" s="546"/>
      <c r="J45" s="79" t="str">
        <f>IF(AND('Mapa de Riesgos'!$Y$67="Baja",'Mapa de Riesgos'!$AA$67="Leve"),CONCATENATE("R10C",'Mapa de Riesgos'!$O$67),"")</f>
        <v/>
      </c>
      <c r="K45" s="80" t="str">
        <f>IF(AND('Mapa de Riesgos'!$Y$68="Baja",'Mapa de Riesgos'!$AA$68="Leve"),CONCATENATE("R10C",'Mapa de Riesgos'!$O$68),"")</f>
        <v/>
      </c>
      <c r="L45" s="80" t="str">
        <f>IF(AND('Mapa de Riesgos'!$Y$69="Baja",'Mapa de Riesgos'!$AA$69="Leve"),CONCATENATE("R10C",'Mapa de Riesgos'!$O$69),"")</f>
        <v/>
      </c>
      <c r="M45" s="80" t="str">
        <f>IF(AND('Mapa de Riesgos'!$Y$70="Baja",'Mapa de Riesgos'!$AA$70="Leve"),CONCATENATE("R10C",'Mapa de Riesgos'!$O$70),"")</f>
        <v/>
      </c>
      <c r="N45" s="80" t="str">
        <f>IF(AND('Mapa de Riesgos'!$Y$71="Baja",'Mapa de Riesgos'!$AA$71="Leve"),CONCATENATE("R10C",'Mapa de Riesgos'!$O$71),"")</f>
        <v/>
      </c>
      <c r="O45" s="81" t="str">
        <f>IF(AND('Mapa de Riesgos'!$Y$72="Baja",'Mapa de Riesgos'!$AA$72="Leve"),CONCATENATE("R10C",'Mapa de Riesgos'!$O$72),"")</f>
        <v/>
      </c>
      <c r="P45" s="67" t="str">
        <f>IF(AND('Mapa de Riesgos'!$Y$67="Baja",'Mapa de Riesgos'!$AA$67="Menor"),CONCATENATE("R10C",'Mapa de Riesgos'!$O$67),"")</f>
        <v/>
      </c>
      <c r="Q45" s="68" t="str">
        <f>IF(AND('Mapa de Riesgos'!$Y$68="Baja",'Mapa de Riesgos'!$AA$68="Menor"),CONCATENATE("R10C",'Mapa de Riesgos'!$O$68),"")</f>
        <v/>
      </c>
      <c r="R45" s="68" t="str">
        <f>IF(AND('Mapa de Riesgos'!$Y$69="Baja",'Mapa de Riesgos'!$AA$69="Menor"),CONCATENATE("R10C",'Mapa de Riesgos'!$O$69),"")</f>
        <v/>
      </c>
      <c r="S45" s="68" t="str">
        <f>IF(AND('Mapa de Riesgos'!$Y$70="Baja",'Mapa de Riesgos'!$AA$70="Menor"),CONCATENATE("R10C",'Mapa de Riesgos'!$O$70),"")</f>
        <v/>
      </c>
      <c r="T45" s="68" t="str">
        <f>IF(AND('Mapa de Riesgos'!$Y$71="Baja",'Mapa de Riesgos'!$AA$71="Menor"),CONCATENATE("R10C",'Mapa de Riesgos'!$O$71),"")</f>
        <v/>
      </c>
      <c r="U45" s="69" t="str">
        <f>IF(AND('Mapa de Riesgos'!$Y$72="Baja",'Mapa de Riesgos'!$AA$72="Menor"),CONCATENATE("R10C",'Mapa de Riesgos'!$O$72),"")</f>
        <v/>
      </c>
      <c r="V45" s="70" t="str">
        <f>IF(AND('Mapa de Riesgos'!$Y$67="Baja",'Mapa de Riesgos'!$AA$67="Moderado"),CONCATENATE("R10C",'Mapa de Riesgos'!$O$67),"")</f>
        <v/>
      </c>
      <c r="W45" s="71" t="str">
        <f>IF(AND('Mapa de Riesgos'!$Y$68="Baja",'Mapa de Riesgos'!$AA$68="Moderado"),CONCATENATE("R10C",'Mapa de Riesgos'!$O$68),"")</f>
        <v/>
      </c>
      <c r="X45" s="71" t="str">
        <f>IF(AND('Mapa de Riesgos'!$Y$69="Baja",'Mapa de Riesgos'!$AA$69="Moderado"),CONCATENATE("R10C",'Mapa de Riesgos'!$O$69),"")</f>
        <v/>
      </c>
      <c r="Y45" s="71" t="str">
        <f>IF(AND('Mapa de Riesgos'!$Y$70="Baja",'Mapa de Riesgos'!$AA$70="Moderado"),CONCATENATE("R10C",'Mapa de Riesgos'!$O$70),"")</f>
        <v/>
      </c>
      <c r="Z45" s="71" t="str">
        <f>IF(AND('Mapa de Riesgos'!$Y$71="Baja",'Mapa de Riesgos'!$AA$71="Moderado"),CONCATENATE("R10C",'Mapa de Riesgos'!$O$71),"")</f>
        <v/>
      </c>
      <c r="AA45" s="72" t="str">
        <f>IF(AND('Mapa de Riesgos'!$Y$72="Baja",'Mapa de Riesgos'!$AA$72="Moderado"),CONCATENATE("R10C",'Mapa de Riesgos'!$O$72),"")</f>
        <v/>
      </c>
      <c r="AB45" s="58" t="str">
        <f>IF(AND('Mapa de Riesgos'!$Y$67="Baja",'Mapa de Riesgos'!$AA$67="Mayor"),CONCATENATE("R10C",'Mapa de Riesgos'!$O$67),"")</f>
        <v/>
      </c>
      <c r="AC45" s="59" t="str">
        <f>IF(AND('Mapa de Riesgos'!$Y$68="Baja",'Mapa de Riesgos'!$AA$68="Mayor"),CONCATENATE("R10C",'Mapa de Riesgos'!$O$68),"")</f>
        <v/>
      </c>
      <c r="AD45" s="59" t="str">
        <f>IF(AND('Mapa de Riesgos'!$Y$69="Baja",'Mapa de Riesgos'!$AA$69="Mayor"),CONCATENATE("R10C",'Mapa de Riesgos'!$O$69),"")</f>
        <v/>
      </c>
      <c r="AE45" s="59" t="str">
        <f>IF(AND('Mapa de Riesgos'!$Y$70="Baja",'Mapa de Riesgos'!$AA$70="Mayor"),CONCATENATE("R10C",'Mapa de Riesgos'!$O$70),"")</f>
        <v/>
      </c>
      <c r="AF45" s="59" t="str">
        <f>IF(AND('Mapa de Riesgos'!$Y$71="Baja",'Mapa de Riesgos'!$AA$71="Mayor"),CONCATENATE("R10C",'Mapa de Riesgos'!$O$71),"")</f>
        <v/>
      </c>
      <c r="AG45" s="60" t="str">
        <f>IF(AND('Mapa de Riesgos'!$Y$72="Baja",'Mapa de Riesgos'!$AA$72="Mayor"),CONCATENATE("R10C",'Mapa de Riesgos'!$O$72),"")</f>
        <v/>
      </c>
      <c r="AH45" s="61" t="str">
        <f>IF(AND('Mapa de Riesgos'!$Y$67="Baja",'Mapa de Riesgos'!$AA$67="Catastrófico"),CONCATENATE("R10C",'Mapa de Riesgos'!$O$67),"")</f>
        <v/>
      </c>
      <c r="AI45" s="62" t="str">
        <f>IF(AND('Mapa de Riesgos'!$Y$68="Baja",'Mapa de Riesgos'!$AA$68="Catastrófico"),CONCATENATE("R10C",'Mapa de Riesgos'!$O$68),"")</f>
        <v/>
      </c>
      <c r="AJ45" s="62" t="str">
        <f>IF(AND('Mapa de Riesgos'!$Y$69="Baja",'Mapa de Riesgos'!$AA$69="Catastrófico"),CONCATENATE("R10C",'Mapa de Riesgos'!$O$69),"")</f>
        <v/>
      </c>
      <c r="AK45" s="62" t="str">
        <f>IF(AND('Mapa de Riesgos'!$Y$70="Baja",'Mapa de Riesgos'!$AA$70="Catastrófico"),CONCATENATE("R10C",'Mapa de Riesgos'!$O$70),"")</f>
        <v/>
      </c>
      <c r="AL45" s="62" t="str">
        <f>IF(AND('Mapa de Riesgos'!$Y$71="Baja",'Mapa de Riesgos'!$AA$71="Catastrófico"),CONCATENATE("R10C",'Mapa de Riesgos'!$O$71),"")</f>
        <v/>
      </c>
      <c r="AM45" s="63" t="str">
        <f>IF(AND('Mapa de Riesgos'!$Y$72="Baja",'Mapa de Riesgos'!$AA$72="Catastrófico"),CONCATENATE("R10C",'Mapa de Riesgos'!$O$72),"")</f>
        <v/>
      </c>
      <c r="AN45" s="83"/>
      <c r="AO45" s="576"/>
      <c r="AP45" s="577"/>
      <c r="AQ45" s="577"/>
      <c r="AR45" s="577"/>
      <c r="AS45" s="577"/>
      <c r="AT45" s="578"/>
    </row>
    <row r="46" spans="1:80" ht="46.5" customHeight="1" x14ac:dyDescent="0.35">
      <c r="A46" s="83"/>
      <c r="B46" s="501"/>
      <c r="C46" s="501"/>
      <c r="D46" s="502"/>
      <c r="E46" s="539" t="s">
        <v>136</v>
      </c>
      <c r="F46" s="540"/>
      <c r="G46" s="540"/>
      <c r="H46" s="540"/>
      <c r="I46" s="541"/>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501"/>
      <c r="C47" s="501"/>
      <c r="D47" s="502"/>
      <c r="E47" s="558"/>
      <c r="F47" s="543"/>
      <c r="G47" s="543"/>
      <c r="H47" s="543"/>
      <c r="I47" s="544"/>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501"/>
      <c r="C48" s="501"/>
      <c r="D48" s="502"/>
      <c r="E48" s="558"/>
      <c r="F48" s="543"/>
      <c r="G48" s="543"/>
      <c r="H48" s="543"/>
      <c r="I48" s="544"/>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501"/>
      <c r="C49" s="501"/>
      <c r="D49" s="502"/>
      <c r="E49" s="542"/>
      <c r="F49" s="543"/>
      <c r="G49" s="543"/>
      <c r="H49" s="543"/>
      <c r="I49" s="544"/>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501"/>
      <c r="C50" s="501"/>
      <c r="D50" s="502"/>
      <c r="E50" s="542"/>
      <c r="F50" s="543"/>
      <c r="G50" s="543"/>
      <c r="H50" s="543"/>
      <c r="I50" s="544"/>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501"/>
      <c r="C51" s="501"/>
      <c r="D51" s="502"/>
      <c r="E51" s="542"/>
      <c r="F51" s="543"/>
      <c r="G51" s="543"/>
      <c r="H51" s="543"/>
      <c r="I51" s="544"/>
      <c r="J51" s="76" t="str">
        <f>IF(AND('Mapa de Riesgos'!$Y$42="Muy Baja",'Mapa de Riesgos'!$AA$42="Leve"),CONCATENATE("R6C",'Mapa de Riesgos'!$O$42),"")</f>
        <v/>
      </c>
      <c r="K51" s="77" t="str">
        <f>IF(AND('Mapa de Riesgos'!$Y$44="Muy Baja",'Mapa de Riesgos'!$AA$44="Leve"),CONCATENATE("R6C",'Mapa de Riesgos'!$O$44),"")</f>
        <v/>
      </c>
      <c r="L51" s="77" t="str">
        <f>IF(AND('Mapa de Riesgos'!$Y$45="Muy Baja",'Mapa de Riesgos'!$AA$45="Leve"),CONCATENATE("R6C",'Mapa de Riesgos'!$O$45),"")</f>
        <v/>
      </c>
      <c r="M51" s="77" t="str">
        <f>IF(AND('Mapa de Riesgos'!$Y$46="Muy Baja",'Mapa de Riesgos'!$AA$46="Leve"),CONCATENATE("R6C",'Mapa de Riesgos'!$O$46),"")</f>
        <v/>
      </c>
      <c r="N51" s="77" t="str">
        <f>IF(AND('Mapa de Riesgos'!$Y$47="Muy Baja",'Mapa de Riesgos'!$AA$47="Leve"),CONCATENATE("R6C",'Mapa de Riesgos'!$O$47),"")</f>
        <v/>
      </c>
      <c r="O51" s="78" t="str">
        <f>IF(AND('Mapa de Riesgos'!$Y$48="Muy Baja",'Mapa de Riesgos'!$AA$48="Leve"),CONCATENATE("R6C",'Mapa de Riesgos'!$O$48),"")</f>
        <v/>
      </c>
      <c r="P51" s="76" t="str">
        <f>IF(AND('Mapa de Riesgos'!$Y$42="Muy Baja",'Mapa de Riesgos'!$AA$42="Menor"),CONCATENATE("R6C",'Mapa de Riesgos'!$O$42),"")</f>
        <v/>
      </c>
      <c r="Q51" s="77" t="str">
        <f>IF(AND('Mapa de Riesgos'!$Y$44="Muy Baja",'Mapa de Riesgos'!$AA$44="Menor"),CONCATENATE("R6C",'Mapa de Riesgos'!$O$44),"")</f>
        <v/>
      </c>
      <c r="R51" s="77" t="str">
        <f>IF(AND('Mapa de Riesgos'!$Y$45="Muy Baja",'Mapa de Riesgos'!$AA$45="Menor"),CONCATENATE("R6C",'Mapa de Riesgos'!$O$45),"")</f>
        <v/>
      </c>
      <c r="S51" s="77" t="str">
        <f>IF(AND('Mapa de Riesgos'!$Y$46="Muy Baja",'Mapa de Riesgos'!$AA$46="Menor"),CONCATENATE("R6C",'Mapa de Riesgos'!$O$46),"")</f>
        <v/>
      </c>
      <c r="T51" s="77" t="str">
        <f>IF(AND('Mapa de Riesgos'!$Y$47="Muy Baja",'Mapa de Riesgos'!$AA$47="Menor"),CONCATENATE("R6C",'Mapa de Riesgos'!$O$47),"")</f>
        <v/>
      </c>
      <c r="U51" s="78" t="str">
        <f>IF(AND('Mapa de Riesgos'!$Y$48="Muy Baja",'Mapa de Riesgos'!$AA$48="Menor"),CONCATENATE("R6C",'Mapa de Riesgos'!$O$48),"")</f>
        <v/>
      </c>
      <c r="V51" s="67" t="str">
        <f>IF(AND('Mapa de Riesgos'!$Y$42="Muy Baja",'Mapa de Riesgos'!$AA$42="Moderado"),CONCATENATE("R6C",'Mapa de Riesgos'!$O$42),"")</f>
        <v/>
      </c>
      <c r="W51" s="68" t="str">
        <f>IF(AND('Mapa de Riesgos'!$Y$44="Muy Baja",'Mapa de Riesgos'!$AA$44="Moderado"),CONCATENATE("R6C",'Mapa de Riesgos'!$O$44),"")</f>
        <v/>
      </c>
      <c r="X51" s="68" t="str">
        <f>IF(AND('Mapa de Riesgos'!$Y$45="Muy Baja",'Mapa de Riesgos'!$AA$45="Moderado"),CONCATENATE("R6C",'Mapa de Riesgos'!$O$45),"")</f>
        <v/>
      </c>
      <c r="Y51" s="68" t="str">
        <f>IF(AND('Mapa de Riesgos'!$Y$46="Muy Baja",'Mapa de Riesgos'!$AA$46="Moderado"),CONCATENATE("R6C",'Mapa de Riesgos'!$O$46),"")</f>
        <v/>
      </c>
      <c r="Z51" s="68" t="str">
        <f>IF(AND('Mapa de Riesgos'!$Y$47="Muy Baja",'Mapa de Riesgos'!$AA$47="Moderado"),CONCATENATE("R6C",'Mapa de Riesgos'!$O$47),"")</f>
        <v/>
      </c>
      <c r="AA51" s="69" t="str">
        <f>IF(AND('Mapa de Riesgos'!$Y$48="Muy Baja",'Mapa de Riesgos'!$AA$48="Moderado"),CONCATENATE("R6C",'Mapa de Riesgos'!$O$48),"")</f>
        <v/>
      </c>
      <c r="AB51" s="52" t="str">
        <f>IF(AND('Mapa de Riesgos'!$Y$42="Muy Baja",'Mapa de Riesgos'!$AA$42="Mayor"),CONCATENATE("R6C",'Mapa de Riesgos'!$O$42),"")</f>
        <v>R6C1</v>
      </c>
      <c r="AC51" s="53" t="str">
        <f>IF(AND('Mapa de Riesgos'!$Y$44="Muy Baja",'Mapa de Riesgos'!$AA$44="Mayor"),CONCATENATE("R6C",'Mapa de Riesgos'!$O$44),"")</f>
        <v/>
      </c>
      <c r="AD51" s="53" t="str">
        <f>IF(AND('Mapa de Riesgos'!$Y$45="Muy Baja",'Mapa de Riesgos'!$AA$45="Mayor"),CONCATENATE("R6C",'Mapa de Riesgos'!$O$45),"")</f>
        <v/>
      </c>
      <c r="AE51" s="53" t="str">
        <f>IF(AND('Mapa de Riesgos'!$Y$46="Muy Baja",'Mapa de Riesgos'!$AA$46="Mayor"),CONCATENATE("R6C",'Mapa de Riesgos'!$O$46),"")</f>
        <v/>
      </c>
      <c r="AF51" s="53" t="str">
        <f>IF(AND('Mapa de Riesgos'!$Y$47="Muy Baja",'Mapa de Riesgos'!$AA$47="Mayor"),CONCATENATE("R6C",'Mapa de Riesgos'!$O$47),"")</f>
        <v/>
      </c>
      <c r="AG51" s="54" t="str">
        <f>IF(AND('Mapa de Riesgos'!$Y$48="Muy Baja",'Mapa de Riesgos'!$AA$48="Mayor"),CONCATENATE("R6C",'Mapa de Riesgos'!$O$48),"")</f>
        <v/>
      </c>
      <c r="AH51" s="55" t="str">
        <f>IF(AND('Mapa de Riesgos'!$Y$42="Muy Baja",'Mapa de Riesgos'!$AA$42="Catastrófico"),CONCATENATE("R6C",'Mapa de Riesgos'!$O$42),"")</f>
        <v/>
      </c>
      <c r="AI51" s="56" t="str">
        <f>IF(AND('Mapa de Riesgos'!$Y$44="Muy Baja",'Mapa de Riesgos'!$AA$44="Catastrófico"),CONCATENATE("R6C",'Mapa de Riesgos'!$O$44),"")</f>
        <v/>
      </c>
      <c r="AJ51" s="56" t="str">
        <f>IF(AND('Mapa de Riesgos'!$Y$45="Muy Baja",'Mapa de Riesgos'!$AA$45="Catastrófico"),CONCATENATE("R6C",'Mapa de Riesgos'!$O$45),"")</f>
        <v/>
      </c>
      <c r="AK51" s="56" t="str">
        <f>IF(AND('Mapa de Riesgos'!$Y$46="Muy Baja",'Mapa de Riesgos'!$AA$46="Catastrófico"),CONCATENATE("R6C",'Mapa de Riesgos'!$O$46),"")</f>
        <v/>
      </c>
      <c r="AL51" s="56" t="str">
        <f>IF(AND('Mapa de Riesgos'!$Y$47="Muy Baja",'Mapa de Riesgos'!$AA$47="Catastrófico"),CONCATENATE("R6C",'Mapa de Riesgos'!$O$47),"")</f>
        <v/>
      </c>
      <c r="AM51" s="57" t="str">
        <f>IF(AND('Mapa de Riesgos'!$Y$48="Muy Baja",'Mapa de Riesgos'!$AA$48="Catastrófico"),CONCATENATE("R6C",'Mapa de Riesgos'!$O$48),"")</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501"/>
      <c r="C52" s="501"/>
      <c r="D52" s="502"/>
      <c r="E52" s="542"/>
      <c r="F52" s="543"/>
      <c r="G52" s="543"/>
      <c r="H52" s="543"/>
      <c r="I52" s="544"/>
      <c r="J52" s="76" t="str">
        <f>IF(AND('Mapa de Riesgos'!$Y$49="Muy Baja",'Mapa de Riesgos'!$AA$49="Leve"),CONCATENATE("R7C",'Mapa de Riesgos'!$O$49),"")</f>
        <v/>
      </c>
      <c r="K52" s="77" t="str">
        <f>IF(AND('Mapa de Riesgos'!$Y$50="Muy Baja",'Mapa de Riesgos'!$AA$50="Leve"),CONCATENATE("R7C",'Mapa de Riesgos'!$O$50),"")</f>
        <v/>
      </c>
      <c r="L52" s="77" t="str">
        <f>IF(AND('Mapa de Riesgos'!$Y$51="Muy Baja",'Mapa de Riesgos'!$AA$51="Leve"),CONCATENATE("R7C",'Mapa de Riesgos'!$O$51),"")</f>
        <v/>
      </c>
      <c r="M52" s="77" t="str">
        <f>IF(AND('Mapa de Riesgos'!$Y$52="Muy Baja",'Mapa de Riesgos'!$AA$52="Leve"),CONCATENATE("R7C",'Mapa de Riesgos'!$O$52),"")</f>
        <v/>
      </c>
      <c r="N52" s="77" t="str">
        <f>IF(AND('Mapa de Riesgos'!$Y$53="Muy Baja",'Mapa de Riesgos'!$AA$53="Leve"),CONCATENATE("R7C",'Mapa de Riesgos'!$O$53),"")</f>
        <v/>
      </c>
      <c r="O52" s="78" t="str">
        <f>IF(AND('Mapa de Riesgos'!$Y$54="Muy Baja",'Mapa de Riesgos'!$AA$54="Leve"),CONCATENATE("R7C",'Mapa de Riesgos'!$O$54),"")</f>
        <v/>
      </c>
      <c r="P52" s="76" t="str">
        <f>IF(AND('Mapa de Riesgos'!$Y$49="Muy Baja",'Mapa de Riesgos'!$AA$49="Menor"),CONCATENATE("R7C",'Mapa de Riesgos'!$O$49),"")</f>
        <v/>
      </c>
      <c r="Q52" s="77" t="str">
        <f>IF(AND('Mapa de Riesgos'!$Y$50="Muy Baja",'Mapa de Riesgos'!$AA$50="Menor"),CONCATENATE("R7C",'Mapa de Riesgos'!$O$50),"")</f>
        <v/>
      </c>
      <c r="R52" s="77" t="str">
        <f>IF(AND('Mapa de Riesgos'!$Y$51="Muy Baja",'Mapa de Riesgos'!$AA$51="Menor"),CONCATENATE("R7C",'Mapa de Riesgos'!$O$51),"")</f>
        <v/>
      </c>
      <c r="S52" s="77" t="str">
        <f>IF(AND('Mapa de Riesgos'!$Y$52="Muy Baja",'Mapa de Riesgos'!$AA$52="Menor"),CONCATENATE("R7C",'Mapa de Riesgos'!$O$52),"")</f>
        <v/>
      </c>
      <c r="T52" s="77" t="str">
        <f>IF(AND('Mapa de Riesgos'!$Y$53="Muy Baja",'Mapa de Riesgos'!$AA$53="Menor"),CONCATENATE("R7C",'Mapa de Riesgos'!$O$53),"")</f>
        <v/>
      </c>
      <c r="U52" s="78" t="str">
        <f>IF(AND('Mapa de Riesgos'!$Y$54="Muy Baja",'Mapa de Riesgos'!$AA$54="Menor"),CONCATENATE("R7C",'Mapa de Riesgos'!$O$54),"")</f>
        <v/>
      </c>
      <c r="V52" s="67" t="str">
        <f>IF(AND('Mapa de Riesgos'!$Y$49="Muy Baja",'Mapa de Riesgos'!$AA$49="Moderado"),CONCATENATE("R7C",'Mapa de Riesgos'!$O$49),"")</f>
        <v/>
      </c>
      <c r="W52" s="68" t="str">
        <f>IF(AND('Mapa de Riesgos'!$Y$50="Muy Baja",'Mapa de Riesgos'!$AA$50="Moderado"),CONCATENATE("R7C",'Mapa de Riesgos'!$O$50),"")</f>
        <v/>
      </c>
      <c r="X52" s="68" t="str">
        <f>IF(AND('Mapa de Riesgos'!$Y$51="Muy Baja",'Mapa de Riesgos'!$AA$51="Moderado"),CONCATENATE("R7C",'Mapa de Riesgos'!$O$51),"")</f>
        <v/>
      </c>
      <c r="Y52" s="68" t="str">
        <f>IF(AND('Mapa de Riesgos'!$Y$52="Muy Baja",'Mapa de Riesgos'!$AA$52="Moderado"),CONCATENATE("R7C",'Mapa de Riesgos'!$O$52),"")</f>
        <v/>
      </c>
      <c r="Z52" s="68" t="str">
        <f>IF(AND('Mapa de Riesgos'!$Y$53="Muy Baja",'Mapa de Riesgos'!$AA$53="Moderado"),CONCATENATE("R7C",'Mapa de Riesgos'!$O$53),"")</f>
        <v/>
      </c>
      <c r="AA52" s="69" t="str">
        <f>IF(AND('Mapa de Riesgos'!$Y$54="Muy Baja",'Mapa de Riesgos'!$AA$54="Moderado"),CONCATENATE("R7C",'Mapa de Riesgos'!$O$54),"")</f>
        <v/>
      </c>
      <c r="AB52" s="52" t="str">
        <f>IF(AND('Mapa de Riesgos'!$Y$49="Muy Baja",'Mapa de Riesgos'!$AA$49="Mayor"),CONCATENATE("R7C",'Mapa de Riesgos'!$O$49),"")</f>
        <v/>
      </c>
      <c r="AC52" s="53" t="str">
        <f>IF(AND('Mapa de Riesgos'!$Y$50="Muy Baja",'Mapa de Riesgos'!$AA$50="Mayor"),CONCATENATE("R7C",'Mapa de Riesgos'!$O$50),"")</f>
        <v/>
      </c>
      <c r="AD52" s="53" t="str">
        <f>IF(AND('Mapa de Riesgos'!$Y$51="Muy Baja",'Mapa de Riesgos'!$AA$51="Mayor"),CONCATENATE("R7C",'Mapa de Riesgos'!$O$51),"")</f>
        <v/>
      </c>
      <c r="AE52" s="53" t="str">
        <f>IF(AND('Mapa de Riesgos'!$Y$52="Muy Baja",'Mapa de Riesgos'!$AA$52="Mayor"),CONCATENATE("R7C",'Mapa de Riesgos'!$O$52),"")</f>
        <v/>
      </c>
      <c r="AF52" s="53" t="str">
        <f>IF(AND('Mapa de Riesgos'!$Y$53="Muy Baja",'Mapa de Riesgos'!$AA$53="Mayor"),CONCATENATE("R7C",'Mapa de Riesgos'!$O$53),"")</f>
        <v/>
      </c>
      <c r="AG52" s="54" t="str">
        <f>IF(AND('Mapa de Riesgos'!$Y$54="Muy Baja",'Mapa de Riesgos'!$AA$54="Mayor"),CONCATENATE("R7C",'Mapa de Riesgos'!$O$54),"")</f>
        <v/>
      </c>
      <c r="AH52" s="55" t="str">
        <f>IF(AND('Mapa de Riesgos'!$Y$49="Muy Baja",'Mapa de Riesgos'!$AA$49="Catastrófico"),CONCATENATE("R7C",'Mapa de Riesgos'!$O$49),"")</f>
        <v/>
      </c>
      <c r="AI52" s="56" t="str">
        <f>IF(AND('Mapa de Riesgos'!$Y$50="Muy Baja",'Mapa de Riesgos'!$AA$50="Catastrófico"),CONCATENATE("R7C",'Mapa de Riesgos'!$O$50),"")</f>
        <v/>
      </c>
      <c r="AJ52" s="56" t="str">
        <f>IF(AND('Mapa de Riesgos'!$Y$51="Muy Baja",'Mapa de Riesgos'!$AA$51="Catastrófico"),CONCATENATE("R7C",'Mapa de Riesgos'!$O$51),"")</f>
        <v/>
      </c>
      <c r="AK52" s="56" t="str">
        <f>IF(AND('Mapa de Riesgos'!$Y$52="Muy Baja",'Mapa de Riesgos'!$AA$52="Catastrófico"),CONCATENATE("R7C",'Mapa de Riesgos'!$O$52),"")</f>
        <v/>
      </c>
      <c r="AL52" s="56" t="str">
        <f>IF(AND('Mapa de Riesgos'!$Y$53="Muy Baja",'Mapa de Riesgos'!$AA$53="Catastrófico"),CONCATENATE("R7C",'Mapa de Riesgos'!$O$53),"")</f>
        <v/>
      </c>
      <c r="AM52" s="57" t="str">
        <f>IF(AND('Mapa de Riesgos'!$Y$54="Muy Baja",'Mapa de Riesgos'!$AA$54="Catastrófico"),CONCATENATE("R7C",'Mapa de Riesgos'!$O$54),"")</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501"/>
      <c r="C53" s="501"/>
      <c r="D53" s="502"/>
      <c r="E53" s="542"/>
      <c r="F53" s="543"/>
      <c r="G53" s="543"/>
      <c r="H53" s="543"/>
      <c r="I53" s="544"/>
      <c r="J53" s="76" t="str">
        <f>IF(AND('Mapa de Riesgos'!$Y$55="Muy Baja",'Mapa de Riesgos'!$AA$55="Leve"),CONCATENATE("R8C",'Mapa de Riesgos'!$O$55),"")</f>
        <v/>
      </c>
      <c r="K53" s="77" t="str">
        <f>IF(AND('Mapa de Riesgos'!$Y$56="Muy Baja",'Mapa de Riesgos'!$AA$56="Leve"),CONCATENATE("R8C",'Mapa de Riesgos'!$O$56),"")</f>
        <v/>
      </c>
      <c r="L53" s="77" t="str">
        <f>IF(AND('Mapa de Riesgos'!$Y$57="Muy Baja",'Mapa de Riesgos'!$AA$57="Leve"),CONCATENATE("R8C",'Mapa de Riesgos'!$O$57),"")</f>
        <v/>
      </c>
      <c r="M53" s="77" t="str">
        <f>IF(AND('Mapa de Riesgos'!$Y$58="Muy Baja",'Mapa de Riesgos'!$AA$58="Leve"),CONCATENATE("R8C",'Mapa de Riesgos'!$O$58),"")</f>
        <v/>
      </c>
      <c r="N53" s="77" t="str">
        <f>IF(AND('Mapa de Riesgos'!$Y$59="Muy Baja",'Mapa de Riesgos'!$AA$59="Leve"),CONCATENATE("R8C",'Mapa de Riesgos'!$O$59),"")</f>
        <v/>
      </c>
      <c r="O53" s="78" t="str">
        <f>IF(AND('Mapa de Riesgos'!$Y$60="Muy Baja",'Mapa de Riesgos'!$AA$60="Leve"),CONCATENATE("R8C",'Mapa de Riesgos'!$O$60),"")</f>
        <v/>
      </c>
      <c r="P53" s="76" t="str">
        <f>IF(AND('Mapa de Riesgos'!$Y$55="Muy Baja",'Mapa de Riesgos'!$AA$55="Menor"),CONCATENATE("R8C",'Mapa de Riesgos'!$O$55),"")</f>
        <v/>
      </c>
      <c r="Q53" s="77" t="str">
        <f>IF(AND('Mapa de Riesgos'!$Y$56="Muy Baja",'Mapa de Riesgos'!$AA$56="Menor"),CONCATENATE("R8C",'Mapa de Riesgos'!$O$56),"")</f>
        <v/>
      </c>
      <c r="R53" s="77" t="str">
        <f>IF(AND('Mapa de Riesgos'!$Y$57="Muy Baja",'Mapa de Riesgos'!$AA$57="Menor"),CONCATENATE("R8C",'Mapa de Riesgos'!$O$57),"")</f>
        <v/>
      </c>
      <c r="S53" s="77" t="str">
        <f>IF(AND('Mapa de Riesgos'!$Y$58="Muy Baja",'Mapa de Riesgos'!$AA$58="Menor"),CONCATENATE("R8C",'Mapa de Riesgos'!$O$58),"")</f>
        <v/>
      </c>
      <c r="T53" s="77" t="str">
        <f>IF(AND('Mapa de Riesgos'!$Y$59="Muy Baja",'Mapa de Riesgos'!$AA$59="Menor"),CONCATENATE("R8C",'Mapa de Riesgos'!$O$59),"")</f>
        <v/>
      </c>
      <c r="U53" s="78" t="str">
        <f>IF(AND('Mapa de Riesgos'!$Y$60="Muy Baja",'Mapa de Riesgos'!$AA$60="Menor"),CONCATENATE("R8C",'Mapa de Riesgos'!$O$60),"")</f>
        <v/>
      </c>
      <c r="V53" s="67" t="str">
        <f>IF(AND('Mapa de Riesgos'!$Y$55="Muy Baja",'Mapa de Riesgos'!$AA$55="Moderado"),CONCATENATE("R8C",'Mapa de Riesgos'!$O$55),"")</f>
        <v/>
      </c>
      <c r="W53" s="68" t="str">
        <f>IF(AND('Mapa de Riesgos'!$Y$56="Muy Baja",'Mapa de Riesgos'!$AA$56="Moderado"),CONCATENATE("R8C",'Mapa de Riesgos'!$O$56),"")</f>
        <v/>
      </c>
      <c r="X53" s="68" t="str">
        <f>IF(AND('Mapa de Riesgos'!$Y$57="Muy Baja",'Mapa de Riesgos'!$AA$57="Moderado"),CONCATENATE("R8C",'Mapa de Riesgos'!$O$57),"")</f>
        <v/>
      </c>
      <c r="Y53" s="68" t="str">
        <f>IF(AND('Mapa de Riesgos'!$Y$58="Muy Baja",'Mapa de Riesgos'!$AA$58="Moderado"),CONCATENATE("R8C",'Mapa de Riesgos'!$O$58),"")</f>
        <v/>
      </c>
      <c r="Z53" s="68" t="str">
        <f>IF(AND('Mapa de Riesgos'!$Y$59="Muy Baja",'Mapa de Riesgos'!$AA$59="Moderado"),CONCATENATE("R8C",'Mapa de Riesgos'!$O$59),"")</f>
        <v/>
      </c>
      <c r="AA53" s="69" t="str">
        <f>IF(AND('Mapa de Riesgos'!$Y$60="Muy Baja",'Mapa de Riesgos'!$AA$60="Moderado"),CONCATENATE("R8C",'Mapa de Riesgos'!$O$60),"")</f>
        <v/>
      </c>
      <c r="AB53" s="52" t="str">
        <f>IF(AND('Mapa de Riesgos'!$Y$55="Muy Baja",'Mapa de Riesgos'!$AA$55="Mayor"),CONCATENATE("R8C",'Mapa de Riesgos'!$O$55),"")</f>
        <v/>
      </c>
      <c r="AC53" s="53" t="str">
        <f>IF(AND('Mapa de Riesgos'!$Y$56="Muy Baja",'Mapa de Riesgos'!$AA$56="Mayor"),CONCATENATE("R8C",'Mapa de Riesgos'!$O$56),"")</f>
        <v/>
      </c>
      <c r="AD53" s="53" t="str">
        <f>IF(AND('Mapa de Riesgos'!$Y$57="Muy Baja",'Mapa de Riesgos'!$AA$57="Mayor"),CONCATENATE("R8C",'Mapa de Riesgos'!$O$57),"")</f>
        <v/>
      </c>
      <c r="AE53" s="53" t="str">
        <f>IF(AND('Mapa de Riesgos'!$Y$58="Muy Baja",'Mapa de Riesgos'!$AA$58="Mayor"),CONCATENATE("R8C",'Mapa de Riesgos'!$O$58),"")</f>
        <v/>
      </c>
      <c r="AF53" s="53" t="str">
        <f>IF(AND('Mapa de Riesgos'!$Y$59="Muy Baja",'Mapa de Riesgos'!$AA$59="Mayor"),CONCATENATE("R8C",'Mapa de Riesgos'!$O$59),"")</f>
        <v/>
      </c>
      <c r="AG53" s="54" t="str">
        <f>IF(AND('Mapa de Riesgos'!$Y$60="Muy Baja",'Mapa de Riesgos'!$AA$60="Mayor"),CONCATENATE("R8C",'Mapa de Riesgos'!$O$60),"")</f>
        <v/>
      </c>
      <c r="AH53" s="55" t="str">
        <f>IF(AND('Mapa de Riesgos'!$Y$55="Muy Baja",'Mapa de Riesgos'!$AA$55="Catastrófico"),CONCATENATE("R8C",'Mapa de Riesgos'!$O$55),"")</f>
        <v/>
      </c>
      <c r="AI53" s="56" t="str">
        <f>IF(AND('Mapa de Riesgos'!$Y$56="Muy Baja",'Mapa de Riesgos'!$AA$56="Catastrófico"),CONCATENATE("R8C",'Mapa de Riesgos'!$O$56),"")</f>
        <v/>
      </c>
      <c r="AJ53" s="56" t="str">
        <f>IF(AND('Mapa de Riesgos'!$Y$57="Muy Baja",'Mapa de Riesgos'!$AA$57="Catastrófico"),CONCATENATE("R8C",'Mapa de Riesgos'!$O$57),"")</f>
        <v/>
      </c>
      <c r="AK53" s="56" t="str">
        <f>IF(AND('Mapa de Riesgos'!$Y$58="Muy Baja",'Mapa de Riesgos'!$AA$58="Catastrófico"),CONCATENATE("R8C",'Mapa de Riesgos'!$O$58),"")</f>
        <v/>
      </c>
      <c r="AL53" s="56" t="str">
        <f>IF(AND('Mapa de Riesgos'!$Y$59="Muy Baja",'Mapa de Riesgos'!$AA$59="Catastrófico"),CONCATENATE("R8C",'Mapa de Riesgos'!$O$59),"")</f>
        <v/>
      </c>
      <c r="AM53" s="57" t="str">
        <f>IF(AND('Mapa de Riesgos'!$Y$60="Muy Baja",'Mapa de Riesgos'!$AA$60="Catastrófico"),CONCATENATE("R8C",'Mapa de Riesgos'!$O$60),"")</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501"/>
      <c r="C54" s="501"/>
      <c r="D54" s="502"/>
      <c r="E54" s="542"/>
      <c r="F54" s="543"/>
      <c r="G54" s="543"/>
      <c r="H54" s="543"/>
      <c r="I54" s="544"/>
      <c r="J54" s="76" t="str">
        <f>IF(AND('Mapa de Riesgos'!$Y$61="Muy Baja",'Mapa de Riesgos'!$AA$61="Leve"),CONCATENATE("R9C",'Mapa de Riesgos'!$O$61),"")</f>
        <v/>
      </c>
      <c r="K54" s="77" t="str">
        <f>IF(AND('Mapa de Riesgos'!$Y$62="Muy Baja",'Mapa de Riesgos'!$AA$62="Leve"),CONCATENATE("R9C",'Mapa de Riesgos'!$O$62),"")</f>
        <v/>
      </c>
      <c r="L54" s="77" t="str">
        <f>IF(AND('Mapa de Riesgos'!$Y$63="Muy Baja",'Mapa de Riesgos'!$AA$63="Leve"),CONCATENATE("R9C",'Mapa de Riesgos'!$O$63),"")</f>
        <v/>
      </c>
      <c r="M54" s="77" t="str">
        <f>IF(AND('Mapa de Riesgos'!$Y$64="Muy Baja",'Mapa de Riesgos'!$AA$64="Leve"),CONCATENATE("R9C",'Mapa de Riesgos'!$O$64),"")</f>
        <v/>
      </c>
      <c r="N54" s="77" t="str">
        <f>IF(AND('Mapa de Riesgos'!$Y$65="Muy Baja",'Mapa de Riesgos'!$AA$65="Leve"),CONCATENATE("R9C",'Mapa de Riesgos'!$O$65),"")</f>
        <v/>
      </c>
      <c r="O54" s="78" t="str">
        <f>IF(AND('Mapa de Riesgos'!$Y$66="Muy Baja",'Mapa de Riesgos'!$AA$66="Leve"),CONCATENATE("R9C",'Mapa de Riesgos'!$O$66),"")</f>
        <v/>
      </c>
      <c r="P54" s="76" t="str">
        <f>IF(AND('Mapa de Riesgos'!$Y$61="Muy Baja",'Mapa de Riesgos'!$AA$61="Menor"),CONCATENATE("R9C",'Mapa de Riesgos'!$O$61),"")</f>
        <v/>
      </c>
      <c r="Q54" s="77" t="str">
        <f>IF(AND('Mapa de Riesgos'!$Y$62="Muy Baja",'Mapa de Riesgos'!$AA$62="Menor"),CONCATENATE("R9C",'Mapa de Riesgos'!$O$62),"")</f>
        <v/>
      </c>
      <c r="R54" s="77" t="str">
        <f>IF(AND('Mapa de Riesgos'!$Y$63="Muy Baja",'Mapa de Riesgos'!$AA$63="Menor"),CONCATENATE("R9C",'Mapa de Riesgos'!$O$63),"")</f>
        <v/>
      </c>
      <c r="S54" s="77" t="str">
        <f>IF(AND('Mapa de Riesgos'!$Y$64="Muy Baja",'Mapa de Riesgos'!$AA$64="Menor"),CONCATENATE("R9C",'Mapa de Riesgos'!$O$64),"")</f>
        <v/>
      </c>
      <c r="T54" s="77" t="str">
        <f>IF(AND('Mapa de Riesgos'!$Y$65="Muy Baja",'Mapa de Riesgos'!$AA$65="Menor"),CONCATENATE("R9C",'Mapa de Riesgos'!$O$65),"")</f>
        <v/>
      </c>
      <c r="U54" s="78" t="str">
        <f>IF(AND('Mapa de Riesgos'!$Y$66="Muy Baja",'Mapa de Riesgos'!$AA$66="Menor"),CONCATENATE("R9C",'Mapa de Riesgos'!$O$66),"")</f>
        <v/>
      </c>
      <c r="V54" s="67" t="str">
        <f>IF(AND('Mapa de Riesgos'!$Y$61="Muy Baja",'Mapa de Riesgos'!$AA$61="Moderado"),CONCATENATE("R9C",'Mapa de Riesgos'!$O$61),"")</f>
        <v/>
      </c>
      <c r="W54" s="68" t="str">
        <f>IF(AND('Mapa de Riesgos'!$Y$62="Muy Baja",'Mapa de Riesgos'!$AA$62="Moderado"),CONCATENATE("R9C",'Mapa de Riesgos'!$O$62),"")</f>
        <v/>
      </c>
      <c r="X54" s="68" t="str">
        <f>IF(AND('Mapa de Riesgos'!$Y$63="Muy Baja",'Mapa de Riesgos'!$AA$63="Moderado"),CONCATENATE("R9C",'Mapa de Riesgos'!$O$63),"")</f>
        <v/>
      </c>
      <c r="Y54" s="68" t="str">
        <f>IF(AND('Mapa de Riesgos'!$Y$64="Muy Baja",'Mapa de Riesgos'!$AA$64="Moderado"),CONCATENATE("R9C",'Mapa de Riesgos'!$O$64),"")</f>
        <v/>
      </c>
      <c r="Z54" s="68" t="str">
        <f>IF(AND('Mapa de Riesgos'!$Y$65="Muy Baja",'Mapa de Riesgos'!$AA$65="Moderado"),CONCATENATE("R9C",'Mapa de Riesgos'!$O$65),"")</f>
        <v/>
      </c>
      <c r="AA54" s="69" t="str">
        <f>IF(AND('Mapa de Riesgos'!$Y$66="Muy Baja",'Mapa de Riesgos'!$AA$66="Moderado"),CONCATENATE("R9C",'Mapa de Riesgos'!$O$66),"")</f>
        <v/>
      </c>
      <c r="AB54" s="52" t="str">
        <f>IF(AND('Mapa de Riesgos'!$Y$61="Muy Baja",'Mapa de Riesgos'!$AA$61="Mayor"),CONCATENATE("R9C",'Mapa de Riesgos'!$O$61),"")</f>
        <v/>
      </c>
      <c r="AC54" s="53" t="str">
        <f>IF(AND('Mapa de Riesgos'!$Y$62="Muy Baja",'Mapa de Riesgos'!$AA$62="Mayor"),CONCATENATE("R9C",'Mapa de Riesgos'!$O$62),"")</f>
        <v/>
      </c>
      <c r="AD54" s="53" t="str">
        <f>IF(AND('Mapa de Riesgos'!$Y$63="Muy Baja",'Mapa de Riesgos'!$AA$63="Mayor"),CONCATENATE("R9C",'Mapa de Riesgos'!$O$63),"")</f>
        <v/>
      </c>
      <c r="AE54" s="53" t="str">
        <f>IF(AND('Mapa de Riesgos'!$Y$64="Muy Baja",'Mapa de Riesgos'!$AA$64="Mayor"),CONCATENATE("R9C",'Mapa de Riesgos'!$O$64),"")</f>
        <v/>
      </c>
      <c r="AF54" s="53" t="str">
        <f>IF(AND('Mapa de Riesgos'!$Y$65="Muy Baja",'Mapa de Riesgos'!$AA$65="Mayor"),CONCATENATE("R9C",'Mapa de Riesgos'!$O$65),"")</f>
        <v/>
      </c>
      <c r="AG54" s="54" t="str">
        <f>IF(AND('Mapa de Riesgos'!$Y$66="Muy Baja",'Mapa de Riesgos'!$AA$66="Mayor"),CONCATENATE("R9C",'Mapa de Riesgos'!$O$66),"")</f>
        <v/>
      </c>
      <c r="AH54" s="55" t="str">
        <f>IF(AND('Mapa de Riesgos'!$Y$61="Muy Baja",'Mapa de Riesgos'!$AA$61="Catastrófico"),CONCATENATE("R9C",'Mapa de Riesgos'!$O$61),"")</f>
        <v/>
      </c>
      <c r="AI54" s="56" t="str">
        <f>IF(AND('Mapa de Riesgos'!$Y$62="Muy Baja",'Mapa de Riesgos'!$AA$62="Catastrófico"),CONCATENATE("R9C",'Mapa de Riesgos'!$O$62),"")</f>
        <v/>
      </c>
      <c r="AJ54" s="56" t="str">
        <f>IF(AND('Mapa de Riesgos'!$Y$63="Muy Baja",'Mapa de Riesgos'!$AA$63="Catastrófico"),CONCATENATE("R9C",'Mapa de Riesgos'!$O$63),"")</f>
        <v/>
      </c>
      <c r="AK54" s="56" t="str">
        <f>IF(AND('Mapa de Riesgos'!$Y$64="Muy Baja",'Mapa de Riesgos'!$AA$64="Catastrófico"),CONCATENATE("R9C",'Mapa de Riesgos'!$O$64),"")</f>
        <v/>
      </c>
      <c r="AL54" s="56" t="str">
        <f>IF(AND('Mapa de Riesgos'!$Y$65="Muy Baja",'Mapa de Riesgos'!$AA$65="Catastrófico"),CONCATENATE("R9C",'Mapa de Riesgos'!$O$65),"")</f>
        <v/>
      </c>
      <c r="AM54" s="57" t="str">
        <f>IF(AND('Mapa de Riesgos'!$Y$66="Muy Baja",'Mapa de Riesgos'!$AA$66="Catastrófico"),CONCATENATE("R9C",'Mapa de Riesgos'!$O$66),"")</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501"/>
      <c r="C55" s="501"/>
      <c r="D55" s="502"/>
      <c r="E55" s="545"/>
      <c r="F55" s="546"/>
      <c r="G55" s="546"/>
      <c r="H55" s="546"/>
      <c r="I55" s="547"/>
      <c r="J55" s="79" t="str">
        <f>IF(AND('Mapa de Riesgos'!$Y$67="Muy Baja",'Mapa de Riesgos'!$AA$67="Leve"),CONCATENATE("R10C",'Mapa de Riesgos'!$O$67),"")</f>
        <v/>
      </c>
      <c r="K55" s="80" t="str">
        <f>IF(AND('Mapa de Riesgos'!$Y$68="Muy Baja",'Mapa de Riesgos'!$AA$68="Leve"),CONCATENATE("R10C",'Mapa de Riesgos'!$O$68),"")</f>
        <v/>
      </c>
      <c r="L55" s="80" t="str">
        <f>IF(AND('Mapa de Riesgos'!$Y$69="Muy Baja",'Mapa de Riesgos'!$AA$69="Leve"),CONCATENATE("R10C",'Mapa de Riesgos'!$O$69),"")</f>
        <v/>
      </c>
      <c r="M55" s="80" t="str">
        <f>IF(AND('Mapa de Riesgos'!$Y$70="Muy Baja",'Mapa de Riesgos'!$AA$70="Leve"),CONCATENATE("R10C",'Mapa de Riesgos'!$O$70),"")</f>
        <v/>
      </c>
      <c r="N55" s="80" t="str">
        <f>IF(AND('Mapa de Riesgos'!$Y$71="Muy Baja",'Mapa de Riesgos'!$AA$71="Leve"),CONCATENATE("R10C",'Mapa de Riesgos'!$O$71),"")</f>
        <v/>
      </c>
      <c r="O55" s="81" t="str">
        <f>IF(AND('Mapa de Riesgos'!$Y$72="Muy Baja",'Mapa de Riesgos'!$AA$72="Leve"),CONCATENATE("R10C",'Mapa de Riesgos'!$O$72),"")</f>
        <v/>
      </c>
      <c r="P55" s="79" t="str">
        <f>IF(AND('Mapa de Riesgos'!$Y$67="Muy Baja",'Mapa de Riesgos'!$AA$67="Menor"),CONCATENATE("R10C",'Mapa de Riesgos'!$O$67),"")</f>
        <v/>
      </c>
      <c r="Q55" s="80" t="str">
        <f>IF(AND('Mapa de Riesgos'!$Y$68="Muy Baja",'Mapa de Riesgos'!$AA$68="Menor"),CONCATENATE("R10C",'Mapa de Riesgos'!$O$68),"")</f>
        <v/>
      </c>
      <c r="R55" s="80" t="str">
        <f>IF(AND('Mapa de Riesgos'!$Y$69="Muy Baja",'Mapa de Riesgos'!$AA$69="Menor"),CONCATENATE("R10C",'Mapa de Riesgos'!$O$69),"")</f>
        <v/>
      </c>
      <c r="S55" s="80" t="str">
        <f>IF(AND('Mapa de Riesgos'!$Y$70="Muy Baja",'Mapa de Riesgos'!$AA$70="Menor"),CONCATENATE("R10C",'Mapa de Riesgos'!$O$70),"")</f>
        <v/>
      </c>
      <c r="T55" s="80" t="str">
        <f>IF(AND('Mapa de Riesgos'!$Y$71="Muy Baja",'Mapa de Riesgos'!$AA$71="Menor"),CONCATENATE("R10C",'Mapa de Riesgos'!$O$71),"")</f>
        <v/>
      </c>
      <c r="U55" s="81" t="str">
        <f>IF(AND('Mapa de Riesgos'!$Y$72="Muy Baja",'Mapa de Riesgos'!$AA$72="Menor"),CONCATENATE("R10C",'Mapa de Riesgos'!$O$72),"")</f>
        <v/>
      </c>
      <c r="V55" s="70" t="str">
        <f>IF(AND('Mapa de Riesgos'!$Y$67="Muy Baja",'Mapa de Riesgos'!$AA$67="Moderado"),CONCATENATE("R10C",'Mapa de Riesgos'!$O$67),"")</f>
        <v/>
      </c>
      <c r="W55" s="71" t="str">
        <f>IF(AND('Mapa de Riesgos'!$Y$68="Muy Baja",'Mapa de Riesgos'!$AA$68="Moderado"),CONCATENATE("R10C",'Mapa de Riesgos'!$O$68),"")</f>
        <v/>
      </c>
      <c r="X55" s="71" t="str">
        <f>IF(AND('Mapa de Riesgos'!$Y$69="Muy Baja",'Mapa de Riesgos'!$AA$69="Moderado"),CONCATENATE("R10C",'Mapa de Riesgos'!$O$69),"")</f>
        <v/>
      </c>
      <c r="Y55" s="71" t="str">
        <f>IF(AND('Mapa de Riesgos'!$Y$70="Muy Baja",'Mapa de Riesgos'!$AA$70="Moderado"),CONCATENATE("R10C",'Mapa de Riesgos'!$O$70),"")</f>
        <v/>
      </c>
      <c r="Z55" s="71" t="str">
        <f>IF(AND('Mapa de Riesgos'!$Y$71="Muy Baja",'Mapa de Riesgos'!$AA$71="Moderado"),CONCATENATE("R10C",'Mapa de Riesgos'!$O$71),"")</f>
        <v/>
      </c>
      <c r="AA55" s="72" t="str">
        <f>IF(AND('Mapa de Riesgos'!$Y$72="Muy Baja",'Mapa de Riesgos'!$AA$72="Moderado"),CONCATENATE("R10C",'Mapa de Riesgos'!$O$72),"")</f>
        <v/>
      </c>
      <c r="AB55" s="58" t="str">
        <f>IF(AND('Mapa de Riesgos'!$Y$67="Muy Baja",'Mapa de Riesgos'!$AA$67="Mayor"),CONCATENATE("R10C",'Mapa de Riesgos'!$O$67),"")</f>
        <v/>
      </c>
      <c r="AC55" s="59" t="str">
        <f>IF(AND('Mapa de Riesgos'!$Y$68="Muy Baja",'Mapa de Riesgos'!$AA$68="Mayor"),CONCATENATE("R10C",'Mapa de Riesgos'!$O$68),"")</f>
        <v/>
      </c>
      <c r="AD55" s="59" t="str">
        <f>IF(AND('Mapa de Riesgos'!$Y$69="Muy Baja",'Mapa de Riesgos'!$AA$69="Mayor"),CONCATENATE("R10C",'Mapa de Riesgos'!$O$69),"")</f>
        <v/>
      </c>
      <c r="AE55" s="59" t="str">
        <f>IF(AND('Mapa de Riesgos'!$Y$70="Muy Baja",'Mapa de Riesgos'!$AA$70="Mayor"),CONCATENATE("R10C",'Mapa de Riesgos'!$O$70),"")</f>
        <v/>
      </c>
      <c r="AF55" s="59" t="str">
        <f>IF(AND('Mapa de Riesgos'!$Y$71="Muy Baja",'Mapa de Riesgos'!$AA$71="Mayor"),CONCATENATE("R10C",'Mapa de Riesgos'!$O$71),"")</f>
        <v/>
      </c>
      <c r="AG55" s="60" t="str">
        <f>IF(AND('Mapa de Riesgos'!$Y$72="Muy Baja",'Mapa de Riesgos'!$AA$72="Mayor"),CONCATENATE("R10C",'Mapa de Riesgos'!$O$72),"")</f>
        <v/>
      </c>
      <c r="AH55" s="61" t="str">
        <f>IF(AND('Mapa de Riesgos'!$Y$67="Muy Baja",'Mapa de Riesgos'!$AA$67="Catastrófico"),CONCATENATE("R10C",'Mapa de Riesgos'!$O$67),"")</f>
        <v/>
      </c>
      <c r="AI55" s="62" t="str">
        <f>IF(AND('Mapa de Riesgos'!$Y$68="Muy Baja",'Mapa de Riesgos'!$AA$68="Catastrófico"),CONCATENATE("R10C",'Mapa de Riesgos'!$O$68),"")</f>
        <v/>
      </c>
      <c r="AJ55" s="62" t="str">
        <f>IF(AND('Mapa de Riesgos'!$Y$69="Muy Baja",'Mapa de Riesgos'!$AA$69="Catastrófico"),CONCATENATE("R10C",'Mapa de Riesgos'!$O$69),"")</f>
        <v/>
      </c>
      <c r="AK55" s="62" t="str">
        <f>IF(AND('Mapa de Riesgos'!$Y$70="Muy Baja",'Mapa de Riesgos'!$AA$70="Catastrófico"),CONCATENATE("R10C",'Mapa de Riesgos'!$O$70),"")</f>
        <v/>
      </c>
      <c r="AL55" s="62" t="str">
        <f>IF(AND('Mapa de Riesgos'!$Y$71="Muy Baja",'Mapa de Riesgos'!$AA$71="Catastrófico"),CONCATENATE("R10C",'Mapa de Riesgos'!$O$71),"")</f>
        <v/>
      </c>
      <c r="AM55" s="63" t="str">
        <f>IF(AND('Mapa de Riesgos'!$Y$72="Muy Baja",'Mapa de Riesgos'!$AA$72="Catastrófico"),CONCATENATE("R10C",'Mapa de Riesgos'!$O$72),"")</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39" t="s">
        <v>137</v>
      </c>
      <c r="K56" s="540"/>
      <c r="L56" s="540"/>
      <c r="M56" s="540"/>
      <c r="N56" s="540"/>
      <c r="O56" s="541"/>
      <c r="P56" s="539" t="s">
        <v>138</v>
      </c>
      <c r="Q56" s="540"/>
      <c r="R56" s="540"/>
      <c r="S56" s="540"/>
      <c r="T56" s="540"/>
      <c r="U56" s="541"/>
      <c r="V56" s="539" t="s">
        <v>139</v>
      </c>
      <c r="W56" s="540"/>
      <c r="X56" s="540"/>
      <c r="Y56" s="540"/>
      <c r="Z56" s="540"/>
      <c r="AA56" s="541"/>
      <c r="AB56" s="539" t="s">
        <v>140</v>
      </c>
      <c r="AC56" s="548"/>
      <c r="AD56" s="540"/>
      <c r="AE56" s="540"/>
      <c r="AF56" s="540"/>
      <c r="AG56" s="541"/>
      <c r="AH56" s="539" t="s">
        <v>141</v>
      </c>
      <c r="AI56" s="540"/>
      <c r="AJ56" s="540"/>
      <c r="AK56" s="540"/>
      <c r="AL56" s="540"/>
      <c r="AM56" s="541"/>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42"/>
      <c r="K57" s="543"/>
      <c r="L57" s="543"/>
      <c r="M57" s="543"/>
      <c r="N57" s="543"/>
      <c r="O57" s="544"/>
      <c r="P57" s="542"/>
      <c r="Q57" s="543"/>
      <c r="R57" s="543"/>
      <c r="S57" s="543"/>
      <c r="T57" s="543"/>
      <c r="U57" s="544"/>
      <c r="V57" s="542"/>
      <c r="W57" s="543"/>
      <c r="X57" s="543"/>
      <c r="Y57" s="543"/>
      <c r="Z57" s="543"/>
      <c r="AA57" s="544"/>
      <c r="AB57" s="542"/>
      <c r="AC57" s="543"/>
      <c r="AD57" s="543"/>
      <c r="AE57" s="543"/>
      <c r="AF57" s="543"/>
      <c r="AG57" s="544"/>
      <c r="AH57" s="542"/>
      <c r="AI57" s="543"/>
      <c r="AJ57" s="543"/>
      <c r="AK57" s="543"/>
      <c r="AL57" s="543"/>
      <c r="AM57" s="544"/>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42"/>
      <c r="K58" s="543"/>
      <c r="L58" s="543"/>
      <c r="M58" s="543"/>
      <c r="N58" s="543"/>
      <c r="O58" s="544"/>
      <c r="P58" s="542"/>
      <c r="Q58" s="543"/>
      <c r="R58" s="543"/>
      <c r="S58" s="543"/>
      <c r="T58" s="543"/>
      <c r="U58" s="544"/>
      <c r="V58" s="542"/>
      <c r="W58" s="543"/>
      <c r="X58" s="543"/>
      <c r="Y58" s="543"/>
      <c r="Z58" s="543"/>
      <c r="AA58" s="544"/>
      <c r="AB58" s="542"/>
      <c r="AC58" s="543"/>
      <c r="AD58" s="543"/>
      <c r="AE58" s="543"/>
      <c r="AF58" s="543"/>
      <c r="AG58" s="544"/>
      <c r="AH58" s="542"/>
      <c r="AI58" s="543"/>
      <c r="AJ58" s="543"/>
      <c r="AK58" s="543"/>
      <c r="AL58" s="543"/>
      <c r="AM58" s="544"/>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42"/>
      <c r="K59" s="543"/>
      <c r="L59" s="543"/>
      <c r="M59" s="543"/>
      <c r="N59" s="543"/>
      <c r="O59" s="544"/>
      <c r="P59" s="542"/>
      <c r="Q59" s="543"/>
      <c r="R59" s="543"/>
      <c r="S59" s="543"/>
      <c r="T59" s="543"/>
      <c r="U59" s="544"/>
      <c r="V59" s="542"/>
      <c r="W59" s="543"/>
      <c r="X59" s="543"/>
      <c r="Y59" s="543"/>
      <c r="Z59" s="543"/>
      <c r="AA59" s="544"/>
      <c r="AB59" s="542"/>
      <c r="AC59" s="543"/>
      <c r="AD59" s="543"/>
      <c r="AE59" s="543"/>
      <c r="AF59" s="543"/>
      <c r="AG59" s="544"/>
      <c r="AH59" s="542"/>
      <c r="AI59" s="543"/>
      <c r="AJ59" s="543"/>
      <c r="AK59" s="543"/>
      <c r="AL59" s="543"/>
      <c r="AM59" s="544"/>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42"/>
      <c r="K60" s="543"/>
      <c r="L60" s="543"/>
      <c r="M60" s="543"/>
      <c r="N60" s="543"/>
      <c r="O60" s="544"/>
      <c r="P60" s="542"/>
      <c r="Q60" s="543"/>
      <c r="R60" s="543"/>
      <c r="S60" s="543"/>
      <c r="T60" s="543"/>
      <c r="U60" s="544"/>
      <c r="V60" s="542"/>
      <c r="W60" s="543"/>
      <c r="X60" s="543"/>
      <c r="Y60" s="543"/>
      <c r="Z60" s="543"/>
      <c r="AA60" s="544"/>
      <c r="AB60" s="542"/>
      <c r="AC60" s="543"/>
      <c r="AD60" s="543"/>
      <c r="AE60" s="543"/>
      <c r="AF60" s="543"/>
      <c r="AG60" s="544"/>
      <c r="AH60" s="542"/>
      <c r="AI60" s="543"/>
      <c r="AJ60" s="543"/>
      <c r="AK60" s="543"/>
      <c r="AL60" s="543"/>
      <c r="AM60" s="544"/>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45"/>
      <c r="K61" s="546"/>
      <c r="L61" s="546"/>
      <c r="M61" s="546"/>
      <c r="N61" s="546"/>
      <c r="O61" s="547"/>
      <c r="P61" s="545"/>
      <c r="Q61" s="546"/>
      <c r="R61" s="546"/>
      <c r="S61" s="546"/>
      <c r="T61" s="546"/>
      <c r="U61" s="547"/>
      <c r="V61" s="545"/>
      <c r="W61" s="546"/>
      <c r="X61" s="546"/>
      <c r="Y61" s="546"/>
      <c r="Z61" s="546"/>
      <c r="AA61" s="547"/>
      <c r="AB61" s="545"/>
      <c r="AC61" s="546"/>
      <c r="AD61" s="546"/>
      <c r="AE61" s="546"/>
      <c r="AF61" s="546"/>
      <c r="AG61" s="547"/>
      <c r="AH61" s="545"/>
      <c r="AI61" s="546"/>
      <c r="AJ61" s="546"/>
      <c r="AK61" s="546"/>
      <c r="AL61" s="546"/>
      <c r="AM61" s="547"/>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88" t="s">
        <v>143</v>
      </c>
      <c r="C1" s="588"/>
      <c r="D1" s="588"/>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144</v>
      </c>
      <c r="D3" s="12" t="s">
        <v>127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145</v>
      </c>
      <c r="C4" s="14" t="s">
        <v>146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147</v>
      </c>
      <c r="C5" s="17" t="s">
        <v>148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149</v>
      </c>
      <c r="C6" s="17" t="s">
        <v>150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151</v>
      </c>
      <c r="C7" s="17" t="s">
        <v>152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153</v>
      </c>
      <c r="C8" s="17" t="s">
        <v>154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89" t="s">
        <v>155</v>
      </c>
      <c r="C1" s="589"/>
      <c r="D1" s="589"/>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156</v>
      </c>
      <c r="D3" s="36" t="s">
        <v>157</v>
      </c>
      <c r="E3" s="83"/>
      <c r="F3" s="83"/>
      <c r="G3" s="83"/>
      <c r="H3" s="83"/>
      <c r="I3" s="83"/>
      <c r="J3" s="83"/>
      <c r="K3" s="83"/>
      <c r="L3" s="83"/>
      <c r="M3" s="83"/>
      <c r="N3" s="83"/>
      <c r="O3" s="83"/>
      <c r="P3" s="83"/>
      <c r="Q3" s="83"/>
      <c r="R3" s="83"/>
      <c r="S3" s="83"/>
      <c r="T3" s="83"/>
      <c r="U3" s="83"/>
    </row>
    <row r="4" spans="1:21" ht="33.75" x14ac:dyDescent="0.25">
      <c r="A4" s="100" t="s">
        <v>158</v>
      </c>
      <c r="B4" s="39" t="s">
        <v>159</v>
      </c>
      <c r="C4" s="44" t="s">
        <v>160</v>
      </c>
      <c r="D4" s="37" t="s">
        <v>161</v>
      </c>
      <c r="E4" s="83"/>
      <c r="F4" s="83"/>
      <c r="G4" s="83"/>
      <c r="H4" s="83"/>
      <c r="I4" s="83"/>
      <c r="J4" s="83"/>
      <c r="K4" s="83"/>
      <c r="L4" s="83"/>
      <c r="M4" s="83"/>
      <c r="N4" s="83"/>
      <c r="O4" s="83"/>
      <c r="P4" s="83"/>
      <c r="Q4" s="83"/>
      <c r="R4" s="83"/>
      <c r="S4" s="83"/>
      <c r="T4" s="83"/>
      <c r="U4" s="83"/>
    </row>
    <row r="5" spans="1:21" ht="67.5" x14ac:dyDescent="0.25">
      <c r="A5" s="100" t="s">
        <v>162</v>
      </c>
      <c r="B5" s="40" t="s">
        <v>163</v>
      </c>
      <c r="C5" s="45" t="s">
        <v>164</v>
      </c>
      <c r="D5" s="38" t="s">
        <v>165</v>
      </c>
      <c r="E5" s="83"/>
      <c r="F5" s="83"/>
      <c r="G5" s="83"/>
      <c r="H5" s="83"/>
      <c r="I5" s="83"/>
      <c r="J5" s="83"/>
      <c r="K5" s="83"/>
      <c r="L5" s="83"/>
      <c r="M5" s="83"/>
      <c r="N5" s="83"/>
      <c r="O5" s="83"/>
      <c r="P5" s="83"/>
      <c r="Q5" s="83"/>
      <c r="R5" s="83"/>
      <c r="S5" s="83"/>
      <c r="T5" s="83"/>
      <c r="U5" s="83"/>
    </row>
    <row r="6" spans="1:21" ht="67.5" x14ac:dyDescent="0.25">
      <c r="A6" s="100" t="s">
        <v>133</v>
      </c>
      <c r="B6" s="41" t="s">
        <v>166</v>
      </c>
      <c r="C6" s="45" t="s">
        <v>167</v>
      </c>
      <c r="D6" s="38" t="s">
        <v>168</v>
      </c>
      <c r="E6" s="83"/>
      <c r="F6" s="83"/>
      <c r="G6" s="83"/>
      <c r="H6" s="83"/>
      <c r="I6" s="83"/>
      <c r="J6" s="83"/>
      <c r="K6" s="83"/>
      <c r="L6" s="83"/>
      <c r="M6" s="83"/>
      <c r="N6" s="83"/>
      <c r="O6" s="83"/>
      <c r="P6" s="83"/>
      <c r="Q6" s="83"/>
      <c r="R6" s="83"/>
      <c r="S6" s="83"/>
      <c r="T6" s="83"/>
      <c r="U6" s="83"/>
    </row>
    <row r="7" spans="1:21" ht="101.25" x14ac:dyDescent="0.25">
      <c r="A7" s="100" t="s">
        <v>169</v>
      </c>
      <c r="B7" s="42" t="s">
        <v>170</v>
      </c>
      <c r="C7" s="45" t="s">
        <v>171</v>
      </c>
      <c r="D7" s="38" t="s">
        <v>172</v>
      </c>
      <c r="E7" s="83"/>
      <c r="F7" s="83"/>
      <c r="G7" s="83"/>
      <c r="H7" s="83"/>
      <c r="I7" s="83"/>
      <c r="J7" s="83"/>
      <c r="K7" s="83"/>
      <c r="L7" s="83"/>
      <c r="M7" s="83"/>
      <c r="N7" s="83"/>
      <c r="O7" s="83"/>
      <c r="P7" s="83"/>
      <c r="Q7" s="83"/>
      <c r="R7" s="83"/>
      <c r="S7" s="83"/>
      <c r="T7" s="83"/>
      <c r="U7" s="83"/>
    </row>
    <row r="8" spans="1:21" ht="67.5" x14ac:dyDescent="0.25">
      <c r="A8" s="100" t="s">
        <v>173</v>
      </c>
      <c r="B8" s="43" t="s">
        <v>174</v>
      </c>
      <c r="C8" s="45" t="s">
        <v>175</v>
      </c>
      <c r="D8" s="38" t="s">
        <v>176</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177</v>
      </c>
      <c r="C11" s="100" t="s">
        <v>178</v>
      </c>
      <c r="D11" s="100" t="s">
        <v>179</v>
      </c>
      <c r="E11" s="83"/>
      <c r="F11" s="83"/>
      <c r="G11" s="83"/>
      <c r="H11" s="83"/>
      <c r="I11" s="83"/>
      <c r="J11" s="83"/>
      <c r="K11" s="83"/>
      <c r="L11" s="83"/>
      <c r="M11" s="83"/>
      <c r="N11" s="83"/>
      <c r="O11" s="83"/>
      <c r="P11" s="83"/>
      <c r="Q11" s="83"/>
      <c r="R11" s="83"/>
      <c r="S11" s="83"/>
      <c r="T11" s="83"/>
      <c r="U11" s="83"/>
    </row>
    <row r="12" spans="1:21" x14ac:dyDescent="0.25">
      <c r="A12" s="100"/>
      <c r="B12" s="100" t="s">
        <v>180</v>
      </c>
      <c r="C12" s="100" t="s">
        <v>181</v>
      </c>
      <c r="D12" s="100" t="s">
        <v>182</v>
      </c>
      <c r="E12" s="83"/>
      <c r="F12" s="83"/>
      <c r="G12" s="83"/>
      <c r="H12" s="83"/>
      <c r="I12" s="83"/>
      <c r="J12" s="83"/>
      <c r="K12" s="83"/>
      <c r="L12" s="83"/>
      <c r="M12" s="83"/>
      <c r="N12" s="83"/>
      <c r="O12" s="83"/>
      <c r="P12" s="83"/>
      <c r="Q12" s="83"/>
      <c r="R12" s="83"/>
      <c r="S12" s="83"/>
      <c r="T12" s="83"/>
      <c r="U12" s="83"/>
    </row>
    <row r="13" spans="1:21" x14ac:dyDescent="0.25">
      <c r="A13" s="100"/>
      <c r="B13" s="100"/>
      <c r="C13" s="100" t="s">
        <v>183</v>
      </c>
      <c r="D13" s="100" t="s">
        <v>184</v>
      </c>
      <c r="E13" s="83"/>
      <c r="F13" s="83"/>
      <c r="G13" s="83"/>
      <c r="H13" s="83"/>
      <c r="I13" s="83"/>
      <c r="J13" s="83"/>
      <c r="K13" s="83"/>
      <c r="L13" s="83"/>
      <c r="M13" s="83"/>
      <c r="N13" s="83"/>
      <c r="O13" s="83"/>
      <c r="P13" s="83"/>
      <c r="Q13" s="83"/>
      <c r="R13" s="83"/>
      <c r="S13" s="83"/>
      <c r="T13" s="83"/>
      <c r="U13" s="83"/>
    </row>
    <row r="14" spans="1:21" x14ac:dyDescent="0.25">
      <c r="A14" s="100"/>
      <c r="B14" s="100"/>
      <c r="C14" s="100" t="s">
        <v>185</v>
      </c>
      <c r="D14" s="100" t="s">
        <v>186</v>
      </c>
      <c r="E14" s="83"/>
      <c r="F14" s="83"/>
      <c r="G14" s="83"/>
      <c r="H14" s="83"/>
      <c r="I14" s="83"/>
      <c r="J14" s="83"/>
      <c r="K14" s="83"/>
      <c r="L14" s="83"/>
      <c r="M14" s="83"/>
      <c r="N14" s="83"/>
      <c r="O14" s="83"/>
      <c r="P14" s="83"/>
      <c r="Q14" s="83"/>
      <c r="R14" s="83"/>
      <c r="S14" s="83"/>
      <c r="T14" s="83"/>
      <c r="U14" s="83"/>
    </row>
    <row r="15" spans="1:21" x14ac:dyDescent="0.25">
      <c r="A15" s="100"/>
      <c r="B15" s="100"/>
      <c r="C15" s="100" t="s">
        <v>187</v>
      </c>
      <c r="D15" s="100" t="s">
        <v>188</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189</v>
      </c>
      <c r="C209" s="30" t="s">
        <v>190</v>
      </c>
      <c r="D209" s="33" t="s">
        <v>189</v>
      </c>
      <c r="E209" s="33" t="s">
        <v>190</v>
      </c>
    </row>
    <row r="210" spans="1:8" ht="21" x14ac:dyDescent="0.35">
      <c r="A210" s="83"/>
      <c r="B210" s="31" t="s">
        <v>191</v>
      </c>
      <c r="C210" s="31" t="s">
        <v>192</v>
      </c>
      <c r="D210" t="s">
        <v>191</v>
      </c>
      <c r="F210" t="str">
        <f>IF(NOT(ISBLANK(D210)),D210,IF(NOT(ISBLANK(E210)),"     "&amp;E210,FALSE))</f>
        <v>Afectación Económica o presupuestal</v>
      </c>
      <c r="G210" t="s">
        <v>191</v>
      </c>
      <c r="H210" t="str">
        <f>IF(NOT(ISERROR(MATCH(G210,_xlfn.ANCHORARRAY(B221),0))),F223&amp;"Por favor no seleccionar los criterios de impacto",G210)</f>
        <v>❌Por favor no seleccionar los criterios de impacto</v>
      </c>
    </row>
    <row r="211" spans="1:8" ht="21" x14ac:dyDescent="0.35">
      <c r="A211" s="83"/>
      <c r="B211" s="31" t="s">
        <v>191</v>
      </c>
      <c r="C211" s="31" t="s">
        <v>164</v>
      </c>
      <c r="E211" t="s">
        <v>192</v>
      </c>
      <c r="F211" t="str">
        <f t="shared" ref="F211:F221" si="0">IF(NOT(ISBLANK(D211)),D211,IF(NOT(ISBLANK(E211)),"     "&amp;E211,FALSE))</f>
        <v xml:space="preserve">     Afectación menor a 10 SMLMV .</v>
      </c>
    </row>
    <row r="212" spans="1:8" ht="21" x14ac:dyDescent="0.35">
      <c r="A212" s="83"/>
      <c r="B212" s="31" t="s">
        <v>191</v>
      </c>
      <c r="C212" s="31" t="s">
        <v>167</v>
      </c>
      <c r="E212" t="s">
        <v>164</v>
      </c>
      <c r="F212" t="str">
        <f t="shared" si="0"/>
        <v xml:space="preserve">     Entre 10 y 50 SMLMV </v>
      </c>
    </row>
    <row r="213" spans="1:8" ht="21" x14ac:dyDescent="0.35">
      <c r="A213" s="83"/>
      <c r="B213" s="31" t="s">
        <v>191</v>
      </c>
      <c r="C213" s="31" t="s">
        <v>171</v>
      </c>
      <c r="E213" t="s">
        <v>167</v>
      </c>
      <c r="F213" t="str">
        <f t="shared" si="0"/>
        <v xml:space="preserve">     Entre 50 y 100 SMLMV </v>
      </c>
    </row>
    <row r="214" spans="1:8" ht="21" x14ac:dyDescent="0.35">
      <c r="A214" s="83"/>
      <c r="B214" s="31" t="s">
        <v>191</v>
      </c>
      <c r="C214" s="31" t="s">
        <v>175</v>
      </c>
      <c r="E214" t="s">
        <v>171</v>
      </c>
      <c r="F214" t="str">
        <f t="shared" si="0"/>
        <v xml:space="preserve">     Entre 100 y 500 SMLMV </v>
      </c>
    </row>
    <row r="215" spans="1:8" ht="21" x14ac:dyDescent="0.35">
      <c r="A215" s="83"/>
      <c r="B215" s="31" t="s">
        <v>157</v>
      </c>
      <c r="C215" s="31" t="s">
        <v>161</v>
      </c>
      <c r="E215" t="s">
        <v>175</v>
      </c>
      <c r="F215" t="str">
        <f t="shared" si="0"/>
        <v xml:space="preserve">     Mayor a 500 SMLMV </v>
      </c>
    </row>
    <row r="216" spans="1:8" ht="21" x14ac:dyDescent="0.35">
      <c r="A216" s="83"/>
      <c r="B216" s="31" t="s">
        <v>157</v>
      </c>
      <c r="C216" s="31" t="s">
        <v>165</v>
      </c>
      <c r="D216" t="s">
        <v>157</v>
      </c>
      <c r="F216" t="str">
        <f t="shared" si="0"/>
        <v>Pérdida Reputacional</v>
      </c>
    </row>
    <row r="217" spans="1:8" ht="21" x14ac:dyDescent="0.35">
      <c r="A217" s="83"/>
      <c r="B217" s="31" t="s">
        <v>157</v>
      </c>
      <c r="C217" s="31" t="s">
        <v>168</v>
      </c>
      <c r="E217" t="s">
        <v>161</v>
      </c>
      <c r="F217" t="str">
        <f t="shared" si="0"/>
        <v xml:space="preserve">     El riesgo afecta la imagen de alguna área de la organización</v>
      </c>
    </row>
    <row r="218" spans="1:8" ht="21" x14ac:dyDescent="0.35">
      <c r="A218" s="83"/>
      <c r="B218" s="31" t="s">
        <v>157</v>
      </c>
      <c r="C218" s="31" t="s">
        <v>172</v>
      </c>
      <c r="E218" t="s">
        <v>165</v>
      </c>
      <c r="F218" t="str">
        <f t="shared" si="0"/>
        <v xml:space="preserve">     El riesgo afecta la imagen de la entidad internamente, de conocimiento general, nivel interno, de junta dircetiva y accionistas y/o de provedores</v>
      </c>
    </row>
    <row r="219" spans="1:8" ht="21" x14ac:dyDescent="0.35">
      <c r="A219" s="83"/>
      <c r="B219" s="31" t="s">
        <v>157</v>
      </c>
      <c r="C219" s="31" t="s">
        <v>176</v>
      </c>
      <c r="E219" t="s">
        <v>168</v>
      </c>
      <c r="F219" t="str">
        <f t="shared" si="0"/>
        <v xml:space="preserve">     El riesgo afecta la imagen de la entidad con algunos usuarios de relevancia frente al logro de los objetivos</v>
      </c>
    </row>
    <row r="220" spans="1:8" x14ac:dyDescent="0.25">
      <c r="A220" s="83"/>
      <c r="B220" s="32"/>
      <c r="C220" s="32"/>
      <c r="E220" t="s">
        <v>172</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176</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193</v>
      </c>
    </row>
    <row r="224" spans="1:8" x14ac:dyDescent="0.25">
      <c r="B224" s="22"/>
      <c r="C224" s="22"/>
      <c r="F224" s="35" t="s">
        <v>194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90" t="s">
        <v>195</v>
      </c>
      <c r="C1" s="591"/>
      <c r="D1" s="591"/>
      <c r="E1" s="591"/>
      <c r="F1" s="592"/>
    </row>
    <row r="2" spans="2:6" ht="16.5" thickBot="1" x14ac:dyDescent="0.3">
      <c r="B2" s="86"/>
      <c r="C2" s="86"/>
      <c r="D2" s="86"/>
      <c r="E2" s="86"/>
      <c r="F2" s="86"/>
    </row>
    <row r="3" spans="2:6" ht="16.5" thickBot="1" x14ac:dyDescent="0.25">
      <c r="B3" s="594" t="s">
        <v>196</v>
      </c>
      <c r="C3" s="595"/>
      <c r="D3" s="595"/>
      <c r="E3" s="98" t="s">
        <v>197</v>
      </c>
      <c r="F3" s="99" t="s">
        <v>198</v>
      </c>
    </row>
    <row r="4" spans="2:6" ht="31.5" x14ac:dyDescent="0.2">
      <c r="B4" s="596" t="s">
        <v>199</v>
      </c>
      <c r="C4" s="598" t="s">
        <v>118</v>
      </c>
      <c r="D4" s="87" t="s">
        <v>200</v>
      </c>
      <c r="E4" s="88" t="s">
        <v>201</v>
      </c>
      <c r="F4" s="89">
        <v>0.25</v>
      </c>
    </row>
    <row r="5" spans="2:6" ht="47.25" x14ac:dyDescent="0.2">
      <c r="B5" s="597"/>
      <c r="C5" s="599"/>
      <c r="D5" s="90" t="s">
        <v>202</v>
      </c>
      <c r="E5" s="91" t="s">
        <v>203</v>
      </c>
      <c r="F5" s="92">
        <v>0.15</v>
      </c>
    </row>
    <row r="6" spans="2:6" ht="47.25" x14ac:dyDescent="0.2">
      <c r="B6" s="597"/>
      <c r="C6" s="599"/>
      <c r="D6" s="90" t="s">
        <v>204</v>
      </c>
      <c r="E6" s="91" t="s">
        <v>205</v>
      </c>
      <c r="F6" s="92">
        <v>0.1</v>
      </c>
    </row>
    <row r="7" spans="2:6" ht="63" x14ac:dyDescent="0.2">
      <c r="B7" s="597"/>
      <c r="C7" s="599" t="s">
        <v>119</v>
      </c>
      <c r="D7" s="90" t="s">
        <v>206</v>
      </c>
      <c r="E7" s="91" t="s">
        <v>207</v>
      </c>
      <c r="F7" s="92">
        <v>0.25</v>
      </c>
    </row>
    <row r="8" spans="2:6" ht="31.5" x14ac:dyDescent="0.2">
      <c r="B8" s="597"/>
      <c r="C8" s="599"/>
      <c r="D8" s="90" t="s">
        <v>208</v>
      </c>
      <c r="E8" s="91" t="s">
        <v>209</v>
      </c>
      <c r="F8" s="92">
        <v>0.15</v>
      </c>
    </row>
    <row r="9" spans="2:6" ht="47.25" x14ac:dyDescent="0.2">
      <c r="B9" s="597" t="s">
        <v>210</v>
      </c>
      <c r="C9" s="599" t="s">
        <v>121</v>
      </c>
      <c r="D9" s="90" t="s">
        <v>211</v>
      </c>
      <c r="E9" s="91" t="s">
        <v>212</v>
      </c>
      <c r="F9" s="93" t="s">
        <v>213</v>
      </c>
    </row>
    <row r="10" spans="2:6" ht="63" x14ac:dyDescent="0.2">
      <c r="B10" s="597"/>
      <c r="C10" s="599"/>
      <c r="D10" s="90" t="s">
        <v>214</v>
      </c>
      <c r="E10" s="91" t="s">
        <v>215</v>
      </c>
      <c r="F10" s="93" t="s">
        <v>213</v>
      </c>
    </row>
    <row r="11" spans="2:6" ht="47.25" x14ac:dyDescent="0.2">
      <c r="B11" s="597"/>
      <c r="C11" s="599" t="s">
        <v>122</v>
      </c>
      <c r="D11" s="90" t="s">
        <v>216</v>
      </c>
      <c r="E11" s="91" t="s">
        <v>217</v>
      </c>
      <c r="F11" s="93" t="s">
        <v>213</v>
      </c>
    </row>
    <row r="12" spans="2:6" ht="47.25" x14ac:dyDescent="0.2">
      <c r="B12" s="597"/>
      <c r="C12" s="599"/>
      <c r="D12" s="90" t="s">
        <v>218</v>
      </c>
      <c r="E12" s="91" t="s">
        <v>219</v>
      </c>
      <c r="F12" s="93" t="s">
        <v>213</v>
      </c>
    </row>
    <row r="13" spans="2:6" ht="31.5" x14ac:dyDescent="0.2">
      <c r="B13" s="597"/>
      <c r="C13" s="599" t="s">
        <v>123</v>
      </c>
      <c r="D13" s="90" t="s">
        <v>220</v>
      </c>
      <c r="E13" s="91" t="s">
        <v>221</v>
      </c>
      <c r="F13" s="93" t="s">
        <v>213</v>
      </c>
    </row>
    <row r="14" spans="2:6" ht="32.25" thickBot="1" x14ac:dyDescent="0.25">
      <c r="B14" s="600"/>
      <c r="C14" s="601"/>
      <c r="D14" s="94" t="s">
        <v>222</v>
      </c>
      <c r="E14" s="95" t="s">
        <v>223</v>
      </c>
      <c r="F14" s="96" t="s">
        <v>213</v>
      </c>
    </row>
    <row r="15" spans="2:6" ht="49.5" customHeight="1" x14ac:dyDescent="0.2">
      <c r="B15" s="593" t="s">
        <v>224</v>
      </c>
      <c r="C15" s="593"/>
      <c r="D15" s="593"/>
      <c r="E15" s="593"/>
      <c r="F15" s="593"/>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225</v>
      </c>
      <c r="E2" t="s">
        <v>226</v>
      </c>
    </row>
    <row r="3" spans="2:5" x14ac:dyDescent="0.25">
      <c r="B3" t="s">
        <v>227</v>
      </c>
      <c r="E3" t="s">
        <v>228</v>
      </c>
    </row>
    <row r="4" spans="2:5" x14ac:dyDescent="0.25">
      <c r="B4" t="s">
        <v>229</v>
      </c>
      <c r="E4" t="s">
        <v>230</v>
      </c>
    </row>
    <row r="5" spans="2:5" x14ac:dyDescent="0.25">
      <c r="B5" t="s">
        <v>231</v>
      </c>
    </row>
    <row r="8" spans="2:5" x14ac:dyDescent="0.25">
      <c r="B8" t="s">
        <v>232</v>
      </c>
    </row>
    <row r="9" spans="2:5" x14ac:dyDescent="0.25">
      <c r="B9" t="s">
        <v>233</v>
      </c>
    </row>
    <row r="10" spans="2:5" x14ac:dyDescent="0.25">
      <c r="B10" t="s">
        <v>234</v>
      </c>
    </row>
    <row r="13" spans="2:5" x14ac:dyDescent="0.25">
      <c r="B13" t="s">
        <v>235</v>
      </c>
    </row>
    <row r="14" spans="2:5" x14ac:dyDescent="0.25">
      <c r="B14" t="s">
        <v>236</v>
      </c>
    </row>
    <row r="15" spans="2:5" x14ac:dyDescent="0.25">
      <c r="B15" t="s">
        <v>237</v>
      </c>
    </row>
    <row r="16" spans="2:5" x14ac:dyDescent="0.25">
      <c r="B16" t="s">
        <v>238</v>
      </c>
    </row>
    <row r="17" spans="2:2" x14ac:dyDescent="0.25">
      <c r="B17" t="s">
        <v>239</v>
      </c>
    </row>
    <row r="18" spans="2:2" x14ac:dyDescent="0.25">
      <c r="B18" t="s">
        <v>240</v>
      </c>
    </row>
    <row r="19" spans="2:2" x14ac:dyDescent="0.25">
      <c r="B19" t="s">
        <v>241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2023-10-09T15:08:14Z</dcterms:modified>
  <cp:category/>
  <cp:contentStatus/>
</cp:coreProperties>
</file>