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0836D7B6-A011-4C05-8CC6-F5B2E7399EAA}"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4" i="1" l="1"/>
  <c r="T39" i="1" l="1"/>
  <c r="T40" i="1"/>
  <c r="T41" i="1"/>
  <c r="T42" i="1"/>
  <c r="T43" i="1"/>
  <c r="T44" i="1"/>
  <c r="T45" i="1"/>
  <c r="T46" i="1"/>
  <c r="T47" i="1"/>
  <c r="Q39" i="1"/>
  <c r="Q40" i="1"/>
  <c r="Q41" i="1"/>
  <c r="Q42" i="1"/>
  <c r="Q43" i="1"/>
  <c r="Q45" i="1"/>
  <c r="Q46" i="1"/>
  <c r="Q47" i="1"/>
  <c r="Q48" i="1"/>
  <c r="Q49" i="1"/>
  <c r="T33" i="1"/>
  <c r="T34" i="1"/>
  <c r="T35" i="1"/>
  <c r="T36" i="1"/>
  <c r="T37" i="1"/>
  <c r="T38" i="1"/>
  <c r="Q33" i="1"/>
  <c r="Q34" i="1"/>
  <c r="Q35" i="1"/>
  <c r="Q36" i="1"/>
  <c r="Q37" i="1"/>
  <c r="Q38" i="1"/>
  <c r="H38" i="1"/>
  <c r="T27" i="1"/>
  <c r="T28" i="1"/>
  <c r="T29" i="1"/>
  <c r="T30" i="1"/>
  <c r="T31" i="1"/>
  <c r="T32" i="1"/>
  <c r="H62" i="1" l="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8" i="1"/>
  <c r="K34" i="1"/>
  <c r="K42" i="1"/>
  <c r="K31" i="1"/>
  <c r="K39" i="1"/>
  <c r="K60" i="1"/>
  <c r="K43" i="1"/>
  <c r="K28" i="1"/>
  <c r="K41" i="1"/>
  <c r="K45" i="1"/>
  <c r="K25" i="1"/>
  <c r="K23" i="1"/>
  <c r="K59" i="1"/>
  <c r="K22" i="1"/>
  <c r="K36" i="1"/>
  <c r="K30" i="1"/>
  <c r="K37" i="1"/>
  <c r="K46" i="1"/>
  <c r="K24" i="1"/>
  <c r="K40" i="1"/>
  <c r="K27" i="1"/>
  <c r="K57" i="1"/>
  <c r="K47" i="1"/>
  <c r="K29" i="1"/>
  <c r="K48" i="1"/>
  <c r="K49" i="1"/>
  <c r="F221" i="13" l="1"/>
  <c r="F211" i="13"/>
  <c r="F212" i="13"/>
  <c r="F213" i="13"/>
  <c r="F214" i="13"/>
  <c r="F215" i="13"/>
  <c r="F216" i="13"/>
  <c r="F217" i="13"/>
  <c r="F218" i="13"/>
  <c r="F219" i="13"/>
  <c r="F220" i="13"/>
  <c r="F210" i="13"/>
  <c r="K19" i="1"/>
  <c r="K18" i="1"/>
  <c r="K15" i="1"/>
  <c r="K16" i="1"/>
  <c r="B221" i="13" a="1"/>
  <c r="K17" i="1"/>
  <c r="B221" i="13" l="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49" i="1"/>
  <c r="T48" i="1"/>
  <c r="H44" i="1"/>
  <c r="I44" i="1" s="1"/>
  <c r="I38" i="1"/>
  <c r="Q32" i="1"/>
  <c r="H32" i="1"/>
  <c r="I32" i="1" s="1"/>
  <c r="Q31" i="1"/>
  <c r="Q30" i="1"/>
  <c r="Q29" i="1"/>
  <c r="Q28" i="1"/>
  <c r="Q27" i="1"/>
  <c r="Q26" i="1"/>
  <c r="H26" i="1"/>
  <c r="I26" i="1" s="1"/>
  <c r="H20" i="1"/>
  <c r="Q19" i="1"/>
  <c r="Q18" i="1"/>
  <c r="T25" i="1"/>
  <c r="Q25" i="1"/>
  <c r="T24" i="1"/>
  <c r="Q24" i="1"/>
  <c r="T23" i="1"/>
  <c r="Q23" i="1"/>
  <c r="T22" i="1"/>
  <c r="Q22" i="1"/>
  <c r="T21" i="1"/>
  <c r="Q21" i="1"/>
  <c r="T20" i="1"/>
  <c r="Q20" i="1"/>
  <c r="X56" i="1" l="1"/>
  <c r="X29" i="1"/>
  <c r="X40" i="1"/>
  <c r="X48" i="1"/>
  <c r="X60" i="1"/>
  <c r="X34" i="1"/>
  <c r="X31" i="1"/>
  <c r="X42" i="1"/>
  <c r="X37" i="1"/>
  <c r="X36" i="1"/>
  <c r="X35" i="1"/>
  <c r="AB57" i="1"/>
  <c r="X58" i="1"/>
  <c r="X57" i="1"/>
  <c r="X33" i="1"/>
  <c r="X32" i="1"/>
  <c r="X59" i="1"/>
  <c r="X61" i="1"/>
  <c r="X26" i="1"/>
  <c r="X28" i="1"/>
  <c r="X30" i="1"/>
  <c r="X39" i="1"/>
  <c r="X38" i="1"/>
  <c r="X41" i="1"/>
  <c r="X43" i="1"/>
  <c r="X47" i="1"/>
  <c r="X46" i="1"/>
  <c r="X49" i="1"/>
  <c r="X44" i="1"/>
  <c r="AB33" i="1"/>
  <c r="AB39" i="1"/>
  <c r="I20" i="1"/>
  <c r="X20" i="1" s="1"/>
  <c r="Y56" i="1" l="1"/>
  <c r="Z56" i="1"/>
  <c r="Z57" i="1" s="1"/>
  <c r="Y44" i="1"/>
  <c r="Z44" i="1"/>
  <c r="Y38" i="1"/>
  <c r="Z38" i="1"/>
  <c r="Y32" i="1"/>
  <c r="Z32" i="1"/>
  <c r="Z33" i="1" s="1"/>
  <c r="Y34" i="1" s="1"/>
  <c r="Y26" i="1"/>
  <c r="Z26" i="1"/>
  <c r="Y20" i="1"/>
  <c r="Z20" i="1"/>
  <c r="X21" i="1" s="1"/>
  <c r="X45" i="1" l="1"/>
  <c r="Z45" i="1" s="1"/>
  <c r="X27" i="1"/>
  <c r="Y27" i="1" s="1"/>
  <c r="Y57"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5" i="1"/>
  <c r="T18" i="1"/>
  <c r="T19" i="1"/>
  <c r="Y45" i="1" l="1"/>
  <c r="Z27" i="1"/>
  <c r="Y28" i="1" s="1"/>
  <c r="Y59" i="1"/>
  <c r="Z59" i="1"/>
  <c r="Z28" i="1"/>
  <c r="Z29" i="1" s="1"/>
  <c r="Y39" i="1"/>
  <c r="Z39" i="1"/>
  <c r="Y40" i="1" s="1"/>
  <c r="Y36" i="1"/>
  <c r="Y21" i="1"/>
  <c r="Z21" i="1"/>
  <c r="X22" i="1" s="1"/>
  <c r="Y22" i="1" s="1"/>
  <c r="Z40" i="1" l="1"/>
  <c r="Z41" i="1" s="1"/>
  <c r="Y60" i="1"/>
  <c r="Z60" i="1"/>
  <c r="Y29" i="1"/>
  <c r="Y47" i="1"/>
  <c r="Z47" i="1"/>
  <c r="Y48" i="1" s="1"/>
  <c r="Y41" i="1"/>
  <c r="Y35" i="1"/>
  <c r="Z35" i="1"/>
  <c r="Z36" i="1"/>
  <c r="Z22" i="1"/>
  <c r="X23" i="1" s="1"/>
  <c r="Y23" i="1" s="1"/>
  <c r="Y61" i="1" l="1"/>
  <c r="Z61" i="1"/>
  <c r="Z48" i="1"/>
  <c r="Y49" i="1" s="1"/>
  <c r="Z42" i="1"/>
  <c r="Y42" i="1"/>
  <c r="Y30" i="1"/>
  <c r="Z30" i="1"/>
  <c r="Y31" i="1" s="1"/>
  <c r="Y37" i="1"/>
  <c r="Z37" i="1"/>
  <c r="Z23" i="1"/>
  <c r="X24" i="1" s="1"/>
  <c r="Z24" i="1" s="1"/>
  <c r="X25" i="1" s="1"/>
  <c r="X12" i="1"/>
  <c r="Y12" i="1" l="1"/>
  <c r="Z12" i="1"/>
  <c r="Y43" i="1"/>
  <c r="Z43" i="1"/>
  <c r="Z49" i="1"/>
  <c r="Z31" i="1"/>
  <c r="Y24" i="1"/>
  <c r="Y25" i="1"/>
  <c r="Z25" i="1"/>
  <c r="Q15" i="1"/>
  <c r="X15" i="1" l="1"/>
  <c r="Y15" i="1" l="1"/>
  <c r="Z15" i="1" l="1"/>
  <c r="X18" i="1" l="1"/>
  <c r="Y18" i="1" l="1"/>
  <c r="Z18" i="1"/>
  <c r="X19" i="1" s="1"/>
  <c r="Y19" i="1" l="1"/>
  <c r="Z19" i="1"/>
  <c r="K44" i="1" l="1"/>
  <c r="L44" i="1" s="1"/>
  <c r="K32" i="1"/>
  <c r="L32" i="1" s="1"/>
  <c r="K26" i="1"/>
  <c r="L26" i="1" s="1"/>
  <c r="K56" i="1"/>
  <c r="L56" i="1" s="1"/>
  <c r="K38" i="1"/>
  <c r="L38" i="1" s="1"/>
  <c r="K12"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5"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2" i="1" l="1"/>
  <c r="AA32" i="1" s="1"/>
  <c r="AB44" i="1"/>
  <c r="AB56" i="1"/>
  <c r="AA56" i="1" s="1"/>
  <c r="AA12" i="1"/>
  <c r="AB20" i="1"/>
  <c r="AB26" i="1"/>
  <c r="AB38" i="1"/>
  <c r="AA38" i="1" s="1"/>
  <c r="AA44" i="1" l="1"/>
  <c r="AB45" i="1"/>
  <c r="AA45" i="1" s="1"/>
  <c r="V22" i="19"/>
  <c r="AA26" i="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5" i="1"/>
  <c r="AB40" i="1"/>
  <c r="AA39" i="1"/>
  <c r="AB46" i="1"/>
  <c r="AA46" i="1" s="1"/>
  <c r="AB47" i="1"/>
  <c r="AA57" i="1"/>
  <c r="AB58" i="1"/>
  <c r="AA33" i="1"/>
  <c r="AB34" i="1"/>
  <c r="AH17" i="19" l="1"/>
  <c r="P47" i="19"/>
  <c r="P7" i="19"/>
  <c r="V27" i="19"/>
  <c r="V37" i="19"/>
  <c r="J7" i="19"/>
  <c r="AB17" i="19"/>
  <c r="P17" i="19"/>
  <c r="AH32" i="19"/>
  <c r="AB52" i="19"/>
  <c r="J32" i="19"/>
  <c r="V12" i="19"/>
  <c r="J42" i="19"/>
  <c r="J12" i="19"/>
  <c r="J22" i="19"/>
  <c r="AB12" i="19"/>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5"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<sst xmlns="http://schemas.openxmlformats.org/spreadsheetml/2006/main" count="509" uniqueCount="326">
  <si>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</si>
  <si>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</si>
  <si>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</si>
  <si>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</si>
  <si>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</si>
  <si>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</si>
  <si>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</si>
  <si>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</si>
  <si>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</si>
  <si>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</si>
  <si>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</si>
  <si>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</si>
  <si>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</si>
  <si>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</si>
  <si>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</si>
  <si>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</si>
  <si>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</si>
  <si>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</si>
  <si>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</si>
  <si>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</si>
  <si>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</si>
  <si>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</si>
  <si>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</si>
  <si>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</si>
  <si>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</si>
  <si>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</si>
  <si>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</si>
  <si>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</si>
  <si>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</si>
  <si>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</si>
  <si>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</si>
  <si>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</si>
  <si>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</si>
  <si>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</si>
  <si>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</si>
  <si>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</si>
  <si>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</si>
  <si>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</si>
  <si>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</si>
  <si>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</si>
  <si>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</si>
  <si>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</si>
  <si>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</si>
  <si>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</si>
  <si>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</si>
  <si>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</si>
  <si>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</si>
  <si>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</si>
  <si>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</si>
  <si>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</si>
  <si>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</si>
  <si>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</si>
  <si>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</si>
  <si>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</si>
  <si>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</si>
  <si>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</si>
  <si>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</si>
  <si>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</si>
  <si>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</si>
  <si>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</si>
  <si>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</si>
  <si>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</si>
  <si>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</si>
  <si>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</si>
  <si>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</si>
  <si>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</si>
  <si>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</si>
  <si>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</si>
  <si>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</si>
  <si>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</si>
  <si>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</si>
  <si>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</si>
  <si>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</si>
  <si>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</si>
  <si>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</si>
  <si>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</si>
  <si>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</si>
  <si>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</si>
  <si>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TIC</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</si>
  <si>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</si>
  <si>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</si>
  <si>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</si>
  <si>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</si>
  <si>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</si>
  <si>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</si>
  <si>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</si>
  <si>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</si>
  <si>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 0340: Política de tratamiento de datos personales
Plan copias de seguridad del centro de datos
Plan de recuperación de desastres - DRP</t>
  </si>
  <si>
    <t>Formulación, ejecución y seguimiento de las políticas, planes, procesos y procedimientos definidos en el proceso de gestión de las TIC</t>
  </si>
  <si>
    <t>MATRIZ DOFA</t>
  </si>
  <si>
    <t>DEBILIDADES</t>
  </si>
  <si>
    <t>AMENAZAS</t>
  </si>
  <si>
    <t>Perdida de la curva de aprendizaje por la no continuidad del personal contratista</t>
  </si>
  <si>
    <t>Inestabilidad cambiaria</t>
  </si>
  <si>
    <t>Insuficiencia de recurso humano y financiero para atender toda la problemática del Municipio</t>
  </si>
  <si>
    <t>Crisis económica</t>
  </si>
  <si>
    <t>Deficiencia en la claridad por parte de cada área de sus competencias</t>
  </si>
  <si>
    <t>Alta tasa de informalidad</t>
  </si>
  <si>
    <t>Pérdida de confianza por parte de la comunidad hacia la institución</t>
  </si>
  <si>
    <t>Crisis política y humanitaria en Venezuela</t>
  </si>
  <si>
    <t>Limitados recursos tecnológicos para atender las necesidades de la entidad y de la ciudadanía</t>
  </si>
  <si>
    <t>Crisis política y Social en el país</t>
  </si>
  <si>
    <t>Recortes presupuestales del orden Nacional y Departamental</t>
  </si>
  <si>
    <t>Cambios Normativos frecuentes en temas de contratación</t>
  </si>
  <si>
    <t>Desconocimiento de contratación estatal en relación a las TIC</t>
  </si>
  <si>
    <t xml:space="preserve">Complejidad logistica para la importacion de equipos e infraestrucutura tecnologica </t>
  </si>
  <si>
    <t>FORTALEZAS</t>
  </si>
  <si>
    <t>OPORTUNIDADES</t>
  </si>
  <si>
    <t>Experiencia y compromiso de los servidores públicos vinculados al proceso</t>
  </si>
  <si>
    <t>La participación de la comunidad en los procesos de planificación</t>
  </si>
  <si>
    <t>Adecuada planeación del desarrollo territorial</t>
  </si>
  <si>
    <t>La gestión preventiva que realiza la Oficina de Control Interno de Gestión</t>
  </si>
  <si>
    <t>Cumplimiento en el seguimiento al Plan de Desarrollo en sus líneas de acción</t>
  </si>
  <si>
    <t>Vías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</si>
  <si>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</si>
  <si>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</si>
  <si>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</si>
  <si>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</si>
  <si>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</si>
  <si>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</si>
  <si>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</si>
  <si>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</si>
  <si>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</si>
  <si>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implementación de plataformas tecnológicas que facilitan las actividades laborales</t>
  </si>
  <si>
    <t>Trabajo en equipo y excelentes relaciones interpersonales</t>
  </si>
  <si>
    <t>Buenas prácticas bajo lineamientos del Departamento Nacional de Planeación y Departamento Administrativo de la Función Pública.</t>
  </si>
  <si>
    <t>Matriz Mapa Riesgos de Gestión</t>
  </si>
  <si>
    <t>Código: F-DPM-1210-238,37-013</t>
  </si>
  <si>
    <t>Versión: 3.0</t>
  </si>
  <si>
    <t>Fecha Aprobación: Octubre-19-2021</t>
  </si>
  <si>
    <t xml:space="preserve">Página: 1 de 1 </t>
  </si>
  <si>
    <t>Proceso:</t>
  </si>
  <si>
    <t>Objetivo:</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</si>
  <si>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</si>
  <si>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</si>
  <si>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</si>
  <si>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</si>
  <si>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</si>
  <si>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</si>
  <si>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</si>
  <si>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</si>
  <si>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</si>
  <si>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</si>
  <si>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</si>
  <si>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</si>
  <si>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</si>
  <si>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</si>
  <si>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</si>
  <si>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</si>
  <si>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</si>
  <si>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</si>
  <si>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</si>
  <si>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</si>
  <si>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</si>
  <si>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</si>
  <si>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</si>
  <si>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</si>
  <si>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</si>
  <si>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</si>
  <si>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</si>
  <si>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</si>
  <si>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</si>
  <si>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</si>
  <si>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</si>
  <si>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</si>
  <si>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Sanciones por parte de la Superintendencia de Industria y Comercio y entes de control</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</si>
  <si>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</si>
  <si>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</si>
  <si>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Ejecucion y Administracion de procesos</t>
  </si>
  <si>
    <t xml:space="preserve">     El riesgo afecta la imagen de la entidad con algunos usuarios de relevancia frente al logro de los objetivos</t>
  </si>
  <si>
    <t>El profesional encargado revisa o verifica el registro y/o actualización de las bases de datos reportadas ante la SIC solicitadas a las dependencias involucradas por medio de una lista de chequeo.</t>
  </si>
  <si>
    <t>Preventivo</t>
  </si>
  <si>
    <t>Manual</t>
  </si>
  <si>
    <t>Documentado</t>
  </si>
  <si>
    <t>Continua</t>
  </si>
  <si>
    <t>Con Registro</t>
  </si>
  <si>
    <t>Reducir (mitigar)</t>
  </si>
  <si>
    <t>Asignar y socializar en una (1) reunión junto con el profesional que sea designado como responsable, el proceso de publicación de las bases de datos correspondientes a datos personales de la entidad, de acuerdo con la guía de responsabilidad demostrada establecida por la SIC, evidenciado en el acta de reunión</t>
  </si>
  <si>
    <t>Asesor TIC</t>
  </si>
  <si>
    <t>Remitir una (1) circular que contenga los lineamientos y términos de publicación a las áreas involucradas en el registro y/o actualización de bases de datos que deban ser reportadas a la SIC.</t>
  </si>
  <si>
    <t>Profesional Encargado</t>
  </si>
  <si>
    <t>Realizar un (1) seguimiento semestral al registro y/o actualización de las bases de datos reportadas ante la SIC.</t>
  </si>
  <si>
    <t>Económico y Reputacional</t>
  </si>
  <si>
    <t xml:space="preserve">Sanciones por parte de las entidades de control </t>
  </si>
  <si>
    <t>Tratamiento no adecuado de la  información que gestiona la entidad por falta de la implementación de estandares y buenas practicas de seguridad de la información en el desarrollo de software al interior de la entidad.</t>
  </si>
  <si>
    <t>Posibilidad de afectación económica y reputacional a causa de sanciones por parte de las entidades de control debido al tratamiento no adecuado de la información que gestiona la entidad por falta de la implementación de estándares y buenas prácticas de seguridad de la información en el desarrollo de software al interior de la entidad.</t>
  </si>
  <si>
    <t>Usuarios, productos y practicas , organizacionales</t>
  </si>
  <si>
    <t xml:space="preserve">     El riesgo afecta la imagen de de la entidad con efecto publicitario sostenido a nivel de sector administrativo, nivel departamental o municipal</t>
  </si>
  <si>
    <t>El profesional encargado de Seguridad de la información verifica el  aseguramiento de aplicaciones usando  conceptos de OWASP Projects aplicados por el  equipo de desarrollo de software.</t>
  </si>
  <si>
    <t>Detectivo</t>
  </si>
  <si>
    <t>Realizar un (1) informe semestral que permita verificar el uso de las buenas prácticas relacionadas con OWASP Projects para el aseguramiento en los sistemas implementados por el equipo de desarrollo de software</t>
  </si>
  <si>
    <t xml:space="preserve">El profesional encargado de Seguridad de la información valida que las políticas de acceso a la información se encuentren actualizadas a las necesidades de la entidad y acorde a la normatividad legal vigente. </t>
  </si>
  <si>
    <t>Realizar un (1) informe de la revisión de las políticas de acceso a la información que se encuentren vigentes y actualizarlas de ser necesario.</t>
  </si>
  <si>
    <t>El profesional encargado facilita que los servidores públicos y contratistas de la entidad conozcan y apliquen los aspectos referentes a la seguridad de los datos incluidos en la política de tratamiento de datos personales de la entidad.</t>
  </si>
  <si>
    <t>Realizar dos (2)  capacitaciones,  una a nivel directivo y otra a nivel de usuarios con respecto a las políticas de tratamiento de datos personales y seguridad de la información.</t>
  </si>
  <si>
    <t>Investigaciones y sanciones por entes de control.</t>
  </si>
  <si>
    <t>Toma de decisiones no adecuadas por la mala implementación del proceso de extracción, transformación, carga y visualización realizados con las herramientas tecnologícas que se utilizan como apoyo al proceso de analítica de datos que realiza la entidad.</t>
  </si>
  <si>
    <t>Posibilidad de afectación económica y reputacional por investigaciones y sanciones por entes de control debido a la toma de decisiones no adecuadas por la mala implementación del proceso de extracción, transformación, carga y visualización realizados con las herramientas tecnológicas que se utilizan como apoyo al proceso de analítica de datos que realiza la entidad.</t>
  </si>
  <si>
    <t xml:space="preserve">El profesional encargado verifica, para cada requerimiento con el area solicitante, que el proceso de analitica de datos se ejecutó de acuerdo con el procedimiento establecido </t>
  </si>
  <si>
    <t>Realizar la validación del 100% de las solicitudes relacionadas a procesos de analitica de datos con las areas solicitantes, antes de la publicación</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</si>
  <si>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</si>
  <si>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</si>
  <si>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El profesional encargado de seguridad de la información  valida el avance al cumplimiento de los controles aplicables a nivel de seguridad de la información contemplados en el anexo A de la norma ISO 27001:2022 por parte de la entidad.</t>
  </si>
  <si>
    <t>Realizar un (1) análisis GAP a los sistemas de información de la entidad usando los controles del Anexo A de la norma ISO27001:2022</t>
  </si>
  <si>
    <t>Disminucion en los niveles de servicio y satisfaccion de los usuarios internos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</si>
  <si>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</si>
  <si>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</si>
  <si>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 xml:space="preserve">     El riesgo afecta la imagen de la entidad internamente, de conocimiento general, nivel interno, de junta dircetiva y accionistas y/o de provedores</t>
  </si>
  <si>
    <t>El profesional encargado de la mesa de ayuda verifica que los requerimientos de soporte técnico y de sistemas de información se realicen de manera oportuna y en los tiempos establecidos a través de la generación de  indicadores de atención.</t>
  </si>
  <si>
    <t>Realizar un (1) informe trimestral del nivel de cumplimiento de las solicitudes de soporte técnico y  requerimientos de sistemas de información.</t>
  </si>
  <si>
    <t>Investigaciones disciplinarias y sanciones por entes de control.</t>
  </si>
  <si>
    <t>Incumplimiento de la normatividad archivística en los documentos emanados de la OATIC</t>
  </si>
  <si>
    <t>Posibilidad de afectación reputacional por posibles investigaciones y sanciones disciplinarias por entes de control, debido al incumplimiento de la Ley 594 del 2000 en los documentos emanados por la OATIC</t>
  </si>
  <si>
    <t>El auxiliar administrativo asignado al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</si>
  <si>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OATIC en los tiempos establecidos en el cronograma del  Archivo Central</t>
  </si>
  <si>
    <t>Auxiliar administrativo</t>
  </si>
  <si>
    <t>El auxiliar administrativo asignado al archivo realiza la revisión, clasificación, organización, indización e inventario de los archivos de gestión documental periódicamente, así como la correcta producción de los documentos de la OATIC según las TRD (Tablas de Retención Documental)</t>
  </si>
  <si>
    <t xml:space="preserve">Ejecutar el 100% del cronograma establecido para la realización del inventario de la gestión documental que ha producido la OATIC en las vigencias 2020 a 2023 </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</si>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</sst>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3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6" fillId="3" borderId="2" xfId="0" applyFont="1" applyFill="1" applyBorder="1" applyAlignment="1">
      <alignment horizontal="center" vertical="center" wrapText="1"/>
    </xf>
    <xf numFmtId="0" fontId="50" fillId="0" borderId="2" xfId="0" applyFont="1" applyBorder="1" applyAlignment="1" applyProtection="1">
      <alignment horizontal="justify"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6" fillId="3" borderId="0" xfId="0" applyFont="1" applyFill="1"/>
    <xf numFmtId="14" fontId="6" fillId="3" borderId="2" xfId="0" applyNumberFormat="1" applyFont="1" applyFill="1" applyBorder="1" applyAlignment="1">
      <alignment horizontal="center" vertical="center" wrapText="1"/>
    </xf>
    <xf numFmtId="0" fontId="6" fillId="0" borderId="2" xfId="0" applyFont="1" applyBorder="1" applyAlignment="1" applyProtection="1">
      <alignment horizontal="center" vertical="top"/>
      <protection locked="0"/>
    </xf>
    <xf numFmtId="14" fontId="6" fillId="0" borderId="2" xfId="0" applyNumberFormat="1" applyFont="1" applyBorder="1" applyAlignment="1" applyProtection="1">
      <alignment horizontal="center" vertical="top"/>
      <protection locked="0"/>
    </xf>
    <xf numFmtId="14" fontId="6" fillId="3" borderId="2" xfId="0" applyNumberFormat="1" applyFont="1" applyFill="1" applyBorder="1" applyAlignment="1" applyProtection="1">
      <alignment horizontal="center" vertical="center"/>
      <protection locked="0"/>
    </xf>
    <xf numFmtId="0" fontId="6" fillId="0" borderId="0" xfId="0" applyFont="1"/>
    <xf numFmtId="0" fontId="6" fillId="3" borderId="0" xfId="0" applyFont="1" applyFill="1" applyAlignment="1">
      <alignment horizontal="justify" vertical="center"/>
    </xf>
    <xf numFmtId="0" fontId="6" fillId="3" borderId="2" xfId="0" applyFont="1" applyFill="1" applyBorder="1" applyAlignment="1">
      <alignment horizontal="justify" vertical="center" wrapText="1"/>
    </xf>
    <xf numFmtId="0" fontId="6" fillId="0" borderId="0" xfId="0" applyFont="1" applyAlignment="1">
      <alignment horizontal="justify" vertical="center"/>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59" fillId="0" borderId="94" xfId="0" applyFont="1" applyBorder="1" applyAlignment="1">
      <alignment horizontal="center" vertical="center" wrapText="1"/>
    </xf>
    <xf numFmtId="0" fontId="59" fillId="0" borderId="97" xfId="0" applyFont="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9" fillId="0" borderId="13" xfId="0" applyFont="1" applyBorder="1" applyAlignment="1">
      <alignment horizontal="center" vertical="center" wrapText="1"/>
    </xf>
    <xf numFmtId="0" fontId="59" fillId="0" borderId="17" xfId="0" applyFont="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68" fillId="2" borderId="4"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textRotation="90" wrapText="1"/>
      <protection hidden="1"/>
    </xf>
    <xf numFmtId="0" fontId="58" fillId="0" borderId="8"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8"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34" t="s">
        <v>0</v>
      </c>
      <c r="C2" s="235"/>
      <c r="D2" s="235"/>
      <c r="E2" s="235"/>
      <c r="F2" s="235"/>
      <c r="G2" s="235"/>
      <c r="H2" s="236"/>
    </row>
    <row r="3" spans="1:8" x14ac:dyDescent="0.25">
      <c r="B3" s="119"/>
      <c r="C3" s="120"/>
      <c r="D3" s="120"/>
      <c r="E3" s="120"/>
      <c r="F3" s="120"/>
      <c r="G3" s="120"/>
      <c r="H3" s="121"/>
    </row>
    <row r="4" spans="1:8" ht="63" customHeight="1" x14ac:dyDescent="0.25">
      <c r="B4" s="237" t="s">
        <v>1</v>
      </c>
      <c r="C4" s="238"/>
      <c r="D4" s="238"/>
      <c r="E4" s="238"/>
      <c r="F4" s="238"/>
      <c r="G4" s="238"/>
      <c r="H4" s="239"/>
    </row>
    <row r="5" spans="1:8" ht="63" customHeight="1" x14ac:dyDescent="0.25">
      <c r="B5" s="240"/>
      <c r="C5" s="241"/>
      <c r="D5" s="241"/>
      <c r="E5" s="241"/>
      <c r="F5" s="241"/>
      <c r="G5" s="241"/>
      <c r="H5" s="242"/>
    </row>
    <row r="6" spans="1:8" ht="16.5" x14ac:dyDescent="0.25">
      <c r="A6" s="122"/>
      <c r="B6" s="243" t="s">
        <v>2</v>
      </c>
      <c r="C6" s="244"/>
      <c r="D6" s="244"/>
      <c r="E6" s="244"/>
      <c r="F6" s="244"/>
      <c r="G6" s="244"/>
      <c r="H6" s="245"/>
    </row>
    <row r="7" spans="1:8" ht="95.25" customHeight="1" x14ac:dyDescent="0.25">
      <c r="A7" s="122"/>
      <c r="B7" s="246" t="s">
        <v>3</v>
      </c>
      <c r="C7" s="246"/>
      <c r="D7" s="246"/>
      <c r="E7" s="246"/>
      <c r="F7" s="246"/>
      <c r="G7" s="246"/>
      <c r="H7" s="247"/>
    </row>
    <row r="8" spans="1:8" ht="16.5" x14ac:dyDescent="0.25">
      <c r="A8" s="122"/>
      <c r="B8" s="123"/>
      <c r="C8" s="124"/>
      <c r="D8" s="124"/>
      <c r="E8" s="124"/>
      <c r="F8" s="124"/>
      <c r="G8" s="124"/>
      <c r="H8" s="125"/>
    </row>
    <row r="9" spans="1:8" ht="16.5" customHeight="1" x14ac:dyDescent="0.25">
      <c r="A9" s="122"/>
      <c r="B9" s="248" t="s">
        <v>4</v>
      </c>
      <c r="C9" s="248"/>
      <c r="D9" s="248"/>
      <c r="E9" s="248"/>
      <c r="F9" s="248"/>
      <c r="G9" s="248"/>
      <c r="H9" s="249"/>
    </row>
    <row r="10" spans="1:8" ht="16.5" customHeight="1" x14ac:dyDescent="0.25">
      <c r="A10" s="122"/>
      <c r="B10" s="248"/>
      <c r="C10" s="248"/>
      <c r="D10" s="248"/>
      <c r="E10" s="248"/>
      <c r="F10" s="248"/>
      <c r="G10" s="248"/>
      <c r="H10" s="249"/>
    </row>
    <row r="11" spans="1:8" ht="11.65" customHeight="1" x14ac:dyDescent="0.25">
      <c r="A11" s="122"/>
      <c r="B11" s="248"/>
      <c r="C11" s="248"/>
      <c r="D11" s="248"/>
      <c r="E11" s="248"/>
      <c r="F11" s="248"/>
      <c r="G11" s="248"/>
      <c r="H11" s="249"/>
    </row>
    <row r="12" spans="1:8" ht="11.65" customHeight="1" thickBot="1" x14ac:dyDescent="0.3">
      <c r="A12" s="122"/>
      <c r="B12" s="126"/>
      <c r="C12" s="126"/>
      <c r="D12" s="126"/>
      <c r="E12" s="126"/>
      <c r="F12" s="126"/>
      <c r="G12" s="126"/>
      <c r="H12" s="127"/>
    </row>
    <row r="13" spans="1:8" ht="15.4" customHeight="1" thickTop="1" x14ac:dyDescent="0.25">
      <c r="A13" s="122"/>
      <c r="B13" s="126"/>
      <c r="C13" s="233" t="s">
        <v>5</v>
      </c>
      <c r="D13" s="226"/>
      <c r="E13" s="227" t="s">
        <v>6</v>
      </c>
      <c r="F13" s="228"/>
      <c r="G13" s="126"/>
      <c r="H13" s="127"/>
    </row>
    <row r="14" spans="1:8" ht="11.65" customHeight="1" x14ac:dyDescent="0.25">
      <c r="A14" s="122"/>
      <c r="B14" s="126"/>
      <c r="C14" s="214" t="s">
        <v>7</v>
      </c>
      <c r="D14" s="215"/>
      <c r="E14" s="216" t="s">
        <v>8</v>
      </c>
      <c r="F14" s="211"/>
      <c r="G14" s="126"/>
      <c r="H14" s="127"/>
    </row>
    <row r="15" spans="1:8" ht="11.65" customHeight="1" x14ac:dyDescent="0.25">
      <c r="A15" s="122"/>
      <c r="B15" s="126"/>
      <c r="C15" s="214" t="s">
        <v>9</v>
      </c>
      <c r="D15" s="215"/>
      <c r="E15" s="216" t="s">
        <v>10</v>
      </c>
      <c r="F15" s="211"/>
      <c r="G15" s="126"/>
      <c r="H15" s="127"/>
    </row>
    <row r="16" spans="1:8" ht="11.65" customHeight="1" x14ac:dyDescent="0.25">
      <c r="A16" s="122"/>
      <c r="B16" s="126"/>
      <c r="C16" s="214" t="s">
        <v>11</v>
      </c>
      <c r="D16" s="215"/>
      <c r="E16" s="216" t="s">
        <v>12</v>
      </c>
      <c r="F16" s="211"/>
      <c r="G16" s="126"/>
      <c r="H16" s="127"/>
    </row>
    <row r="17" spans="1:8" ht="13.5" customHeight="1" x14ac:dyDescent="0.25">
      <c r="A17" s="122"/>
      <c r="B17" s="126"/>
      <c r="C17" s="214" t="s">
        <v>13</v>
      </c>
      <c r="D17" s="215"/>
      <c r="E17" s="216" t="s">
        <v>14</v>
      </c>
      <c r="F17" s="211"/>
      <c r="G17" s="126"/>
      <c r="H17" s="128"/>
    </row>
    <row r="18" spans="1:8" ht="12.4" customHeight="1" x14ac:dyDescent="0.25">
      <c r="A18" s="122"/>
      <c r="B18" s="126"/>
      <c r="C18" s="214" t="s">
        <v>15</v>
      </c>
      <c r="D18" s="215"/>
      <c r="E18" s="217" t="s">
        <v>16</v>
      </c>
      <c r="F18" s="211"/>
      <c r="G18" s="126"/>
      <c r="H18" s="127"/>
    </row>
    <row r="19" spans="1:8" ht="24" customHeight="1" thickBot="1" x14ac:dyDescent="0.3">
      <c r="A19" s="122"/>
      <c r="B19" s="126"/>
      <c r="C19" s="218" t="s">
        <v>17</v>
      </c>
      <c r="D19" s="219"/>
      <c r="E19" s="220" t="s">
        <v>18</v>
      </c>
      <c r="F19" s="221"/>
      <c r="G19" s="126"/>
      <c r="H19" s="127"/>
    </row>
    <row r="20" spans="1:8" ht="11.65" customHeight="1" thickTop="1" x14ac:dyDescent="0.25">
      <c r="A20" s="122"/>
      <c r="B20" s="126"/>
      <c r="C20" s="129"/>
      <c r="D20" s="129"/>
      <c r="E20" s="129"/>
      <c r="F20" s="129"/>
      <c r="G20" s="126"/>
      <c r="H20" s="127"/>
    </row>
    <row r="21" spans="1:8" ht="27.4" customHeight="1" thickBot="1" x14ac:dyDescent="0.3">
      <c r="A21" s="122"/>
      <c r="B21" s="222" t="s">
        <v>19</v>
      </c>
      <c r="C21" s="223"/>
      <c r="D21" s="223"/>
      <c r="E21" s="223"/>
      <c r="F21" s="223"/>
      <c r="G21" s="223"/>
      <c r="H21" s="224"/>
    </row>
    <row r="22" spans="1:8" ht="15.75" thickTop="1" x14ac:dyDescent="0.25">
      <c r="A22" s="122"/>
      <c r="B22" s="130"/>
      <c r="C22" s="225" t="s">
        <v>5</v>
      </c>
      <c r="D22" s="226"/>
      <c r="E22" s="227" t="s">
        <v>6</v>
      </c>
      <c r="F22" s="228"/>
      <c r="G22" s="129"/>
      <c r="H22" s="131"/>
    </row>
    <row r="23" spans="1:8" ht="13.5" customHeight="1" x14ac:dyDescent="0.25">
      <c r="A23" s="122"/>
      <c r="B23" s="132"/>
      <c r="C23" s="229" t="s">
        <v>7</v>
      </c>
      <c r="D23" s="230"/>
      <c r="E23" s="231" t="s">
        <v>8</v>
      </c>
      <c r="F23" s="232"/>
      <c r="G23" s="133"/>
      <c r="H23" s="134"/>
    </row>
    <row r="24" spans="1:8" ht="13.5" customHeight="1" x14ac:dyDescent="0.25">
      <c r="A24" s="122"/>
      <c r="B24" s="132"/>
      <c r="C24" s="208" t="s">
        <v>20</v>
      </c>
      <c r="D24" s="209"/>
      <c r="E24" s="210" t="s">
        <v>14</v>
      </c>
      <c r="F24" s="211"/>
      <c r="G24" s="133"/>
      <c r="H24" s="134"/>
    </row>
    <row r="25" spans="1:8" ht="13.5" customHeight="1" x14ac:dyDescent="0.25">
      <c r="A25" s="122"/>
      <c r="B25" s="132"/>
      <c r="C25" s="208" t="s">
        <v>9</v>
      </c>
      <c r="D25" s="209"/>
      <c r="E25" s="210" t="s">
        <v>10</v>
      </c>
      <c r="F25" s="211"/>
      <c r="G25" s="133"/>
      <c r="H25" s="134"/>
    </row>
    <row r="26" spans="1:8" ht="22.9" customHeight="1" x14ac:dyDescent="0.25">
      <c r="A26" s="122"/>
      <c r="B26" s="132"/>
      <c r="C26" s="208" t="s">
        <v>21</v>
      </c>
      <c r="D26" s="209"/>
      <c r="E26" s="212" t="s">
        <v>22</v>
      </c>
      <c r="F26" s="213"/>
      <c r="G26" s="133"/>
      <c r="H26" s="134"/>
    </row>
    <row r="27" spans="1:8" ht="69.75" customHeight="1" x14ac:dyDescent="0.25">
      <c r="A27" s="122"/>
      <c r="B27" s="132"/>
      <c r="C27" s="199" t="s">
        <v>23</v>
      </c>
      <c r="D27" s="207"/>
      <c r="E27" s="200" t="s">
        <v>24</v>
      </c>
      <c r="F27" s="201"/>
      <c r="G27" s="133"/>
      <c r="H27" s="135"/>
    </row>
    <row r="28" spans="1:8" ht="34.5" customHeight="1" x14ac:dyDescent="0.25">
      <c r="B28" s="136"/>
      <c r="C28" s="206" t="s">
        <v>25</v>
      </c>
      <c r="D28" s="207"/>
      <c r="E28" s="200" t="s">
        <v>26</v>
      </c>
      <c r="F28" s="201"/>
      <c r="G28" s="133"/>
      <c r="H28" s="135"/>
    </row>
    <row r="29" spans="1:8" ht="27.75" customHeight="1" x14ac:dyDescent="0.25">
      <c r="B29" s="136"/>
      <c r="C29" s="206" t="s">
        <v>27</v>
      </c>
      <c r="D29" s="207"/>
      <c r="E29" s="200" t="s">
        <v>28</v>
      </c>
      <c r="F29" s="201"/>
      <c r="G29" s="133"/>
      <c r="H29" s="135"/>
    </row>
    <row r="30" spans="1:8" ht="28.5" customHeight="1" x14ac:dyDescent="0.25">
      <c r="B30" s="136"/>
      <c r="C30" s="206" t="s">
        <v>29</v>
      </c>
      <c r="D30" s="207"/>
      <c r="E30" s="200" t="s">
        <v>30</v>
      </c>
      <c r="F30" s="201"/>
      <c r="G30" s="133"/>
      <c r="H30" s="135"/>
    </row>
    <row r="31" spans="1:8" ht="72.75" customHeight="1" x14ac:dyDescent="0.25">
      <c r="B31" s="136"/>
      <c r="C31" s="206" t="s">
        <v>31</v>
      </c>
      <c r="D31" s="207"/>
      <c r="E31" s="200" t="s">
        <v>32</v>
      </c>
      <c r="F31" s="201"/>
      <c r="G31" s="133"/>
      <c r="H31" s="135"/>
    </row>
    <row r="32" spans="1:8" ht="64.5" customHeight="1" x14ac:dyDescent="0.25">
      <c r="B32" s="136"/>
      <c r="C32" s="206" t="s">
        <v>33</v>
      </c>
      <c r="D32" s="207"/>
      <c r="E32" s="200" t="s">
        <v>34</v>
      </c>
      <c r="F32" s="201"/>
      <c r="G32" s="133"/>
      <c r="H32" s="135"/>
    </row>
    <row r="33" spans="2:8" ht="71.25" customHeight="1" x14ac:dyDescent="0.25">
      <c r="B33" s="136"/>
      <c r="C33" s="198" t="s">
        <v>35</v>
      </c>
      <c r="D33" s="199"/>
      <c r="E33" s="200" t="s">
        <v>36</v>
      </c>
      <c r="F33" s="201"/>
      <c r="G33" s="133"/>
      <c r="H33" s="135"/>
    </row>
    <row r="34" spans="2:8" ht="55.5" customHeight="1" x14ac:dyDescent="0.25">
      <c r="B34" s="136"/>
      <c r="C34" s="198" t="s">
        <v>37</v>
      </c>
      <c r="D34" s="199"/>
      <c r="E34" s="200" t="s">
        <v>38</v>
      </c>
      <c r="F34" s="201"/>
      <c r="G34" s="133"/>
      <c r="H34" s="135"/>
    </row>
    <row r="35" spans="2:8" ht="42" customHeight="1" x14ac:dyDescent="0.25">
      <c r="B35" s="136"/>
      <c r="C35" s="198" t="s">
        <v>39</v>
      </c>
      <c r="D35" s="199"/>
      <c r="E35" s="200" t="s">
        <v>40</v>
      </c>
      <c r="F35" s="201"/>
      <c r="G35" s="133"/>
      <c r="H35" s="135"/>
    </row>
    <row r="36" spans="2:8" ht="59.25" customHeight="1" x14ac:dyDescent="0.25">
      <c r="B36" s="136"/>
      <c r="C36" s="198" t="s">
        <v>41</v>
      </c>
      <c r="D36" s="199"/>
      <c r="E36" s="200" t="s">
        <v>42</v>
      </c>
      <c r="F36" s="201"/>
      <c r="G36" s="133"/>
      <c r="H36" s="135"/>
    </row>
    <row r="37" spans="2:8" ht="23.25" customHeight="1" x14ac:dyDescent="0.25">
      <c r="B37" s="136"/>
      <c r="C37" s="198" t="s">
        <v>43</v>
      </c>
      <c r="D37" s="199"/>
      <c r="E37" s="200" t="s">
        <v>44</v>
      </c>
      <c r="F37" s="201"/>
      <c r="G37" s="133"/>
      <c r="H37" s="135"/>
    </row>
    <row r="38" spans="2:8" ht="30.75" customHeight="1" x14ac:dyDescent="0.25">
      <c r="B38" s="136"/>
      <c r="C38" s="198" t="s">
        <v>45</v>
      </c>
      <c r="D38" s="199"/>
      <c r="E38" s="200" t="s">
        <v>46</v>
      </c>
      <c r="F38" s="201"/>
      <c r="G38" s="133"/>
      <c r="H38" s="135"/>
    </row>
    <row r="39" spans="2:8" ht="35.25" customHeight="1" x14ac:dyDescent="0.25">
      <c r="B39" s="136"/>
      <c r="C39" s="198" t="s">
        <v>45</v>
      </c>
      <c r="D39" s="199"/>
      <c r="E39" s="200" t="s">
        <v>46</v>
      </c>
      <c r="F39" s="201"/>
      <c r="G39" s="133"/>
      <c r="H39" s="135"/>
    </row>
    <row r="40" spans="2:8" ht="33" customHeight="1" x14ac:dyDescent="0.25">
      <c r="B40" s="136"/>
      <c r="C40" s="198" t="s">
        <v>47</v>
      </c>
      <c r="D40" s="199"/>
      <c r="E40" s="200" t="s">
        <v>48</v>
      </c>
      <c r="F40" s="201"/>
      <c r="G40" s="133"/>
      <c r="H40" s="135"/>
    </row>
    <row r="41" spans="2:8" ht="30" customHeight="1" x14ac:dyDescent="0.25">
      <c r="B41" s="136"/>
      <c r="C41" s="198" t="s">
        <v>49</v>
      </c>
      <c r="D41" s="199"/>
      <c r="E41" s="200" t="s">
        <v>50</v>
      </c>
      <c r="F41" s="201"/>
      <c r="G41" s="133"/>
      <c r="H41" s="135"/>
    </row>
    <row r="42" spans="2:8" ht="35.25" customHeight="1" x14ac:dyDescent="0.25">
      <c r="B42" s="136"/>
      <c r="C42" s="198" t="s">
        <v>51</v>
      </c>
      <c r="D42" s="199"/>
      <c r="E42" s="200" t="s">
        <v>52</v>
      </c>
      <c r="F42" s="201"/>
      <c r="G42" s="133"/>
      <c r="H42" s="135"/>
    </row>
    <row r="43" spans="2:8" ht="31.5" customHeight="1" x14ac:dyDescent="0.25">
      <c r="B43" s="136"/>
      <c r="C43" s="198" t="s">
        <v>53</v>
      </c>
      <c r="D43" s="199"/>
      <c r="E43" s="200" t="s">
        <v>54</v>
      </c>
      <c r="F43" s="201"/>
      <c r="G43" s="133"/>
      <c r="H43" s="135"/>
    </row>
    <row r="44" spans="2:8" ht="54" customHeight="1" x14ac:dyDescent="0.25">
      <c r="B44" s="136"/>
      <c r="C44" s="198" t="s">
        <v>55</v>
      </c>
      <c r="D44" s="199"/>
      <c r="E44" s="200" t="s">
        <v>56</v>
      </c>
      <c r="F44" s="201"/>
      <c r="G44" s="133"/>
      <c r="H44" s="135"/>
    </row>
    <row r="45" spans="2:8" ht="59.25" customHeight="1" x14ac:dyDescent="0.25">
      <c r="B45" s="136"/>
      <c r="C45" s="198" t="s">
        <v>57</v>
      </c>
      <c r="D45" s="199"/>
      <c r="E45" s="200" t="s">
        <v>58</v>
      </c>
      <c r="F45" s="201"/>
      <c r="G45" s="133"/>
      <c r="H45" s="135"/>
    </row>
    <row r="46" spans="2:8" ht="84" customHeight="1" x14ac:dyDescent="0.25">
      <c r="B46" s="136"/>
      <c r="C46" s="198" t="s">
        <v>59</v>
      </c>
      <c r="D46" s="199"/>
      <c r="E46" s="200" t="s">
        <v>60</v>
      </c>
      <c r="F46" s="201"/>
      <c r="G46" s="133"/>
      <c r="H46" s="135"/>
    </row>
    <row r="47" spans="2:8" ht="82.5" customHeight="1" x14ac:dyDescent="0.25">
      <c r="B47" s="136"/>
      <c r="C47" s="198" t="s">
        <v>61</v>
      </c>
      <c r="D47" s="199"/>
      <c r="E47" s="200" t="s">
        <v>62</v>
      </c>
      <c r="F47" s="201"/>
      <c r="G47" s="133"/>
      <c r="H47" s="135"/>
    </row>
    <row r="48" spans="2:8" ht="46.5" customHeight="1" thickBot="1" x14ac:dyDescent="0.3">
      <c r="B48" s="136"/>
      <c r="C48" s="202"/>
      <c r="D48" s="203"/>
      <c r="E48" s="204"/>
      <c r="F48" s="205"/>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171</v>
      </c>
    </row>
    <row r="4" spans="1:1" x14ac:dyDescent="0.2">
      <c r="A4" s="10" t="s">
        <v>189</v>
      </c>
    </row>
    <row r="5" spans="1:1" x14ac:dyDescent="0.2">
      <c r="A5" s="10" t="s">
        <v>293</v>
      </c>
    </row>
    <row r="6" spans="1:1" x14ac:dyDescent="0.2">
      <c r="A6" s="10" t="s">
        <v>295</v>
      </c>
    </row>
    <row r="7" spans="1:1" x14ac:dyDescent="0.2">
      <c r="A7" s="10" t="s">
        <v>172</v>
      </c>
    </row>
    <row r="8" spans="1:1" x14ac:dyDescent="0.2">
      <c r="A8" s="10" t="s">
        <v>173</v>
      </c>
    </row>
    <row r="9" spans="1:1" x14ac:dyDescent="0.2">
      <c r="A9" s="10" t="s">
        <v>301</v>
      </c>
    </row>
    <row r="10" spans="1:1" x14ac:dyDescent="0.2">
      <c r="A10" s="10" t="s">
        <v>174</v>
      </c>
    </row>
    <row r="11" spans="1:1" x14ac:dyDescent="0.2">
      <c r="A11" s="10" t="s">
        <v>304</v>
      </c>
    </row>
    <row r="12" spans="1:1" x14ac:dyDescent="0.2">
      <c r="A12" s="10" t="s">
        <v>322</v>
      </c>
    </row>
    <row r="13" spans="1:1" x14ac:dyDescent="0.2">
      <c r="A13" s="10" t="s">
        <v>323</v>
      </c>
    </row>
    <row r="14" spans="1:1" x14ac:dyDescent="0.2">
      <c r="A14" s="10" t="s">
        <v>324</v>
      </c>
    </row>
    <row r="16" spans="1:1" x14ac:dyDescent="0.2">
      <c r="A16" s="10" t="s">
        <v>325</v>
      </c>
    </row>
    <row r="17" spans="1:1" x14ac:dyDescent="0.2">
      <c r="A17" s="10" t="s">
        <v>310</v>
      </c>
    </row>
    <row r="18" spans="1:1" x14ac:dyDescent="0.2">
      <c r="A18" s="10" t="s">
        <v>312</v>
      </c>
    </row>
    <row r="20" spans="1:1" x14ac:dyDescent="0.2">
      <c r="A20" s="10" t="s">
        <v>315</v>
      </c>
    </row>
    <row r="21" spans="1:1" x14ac:dyDescent="0.2">
      <c r="A21" s="10"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1" zoomScale="110" zoomScaleNormal="110" workbookViewId="0">
      <selection activeCell="B27" sqref="A27:XFD27"/>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38" customWidth="1" collapsed="1"/>
    <col min="5" max="5" width="42.42578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68</v>
      </c>
    </row>
    <row r="2" spans="2:52" ht="18" customHeight="1" thickBot="1" x14ac:dyDescent="0.3">
      <c r="B2" s="312"/>
      <c r="C2" s="315" t="s">
        <v>69</v>
      </c>
      <c r="D2" s="316"/>
      <c r="E2" s="316"/>
      <c r="F2" s="146" t="s">
        <v>70</v>
      </c>
      <c r="AZ2" s="145" t="s">
        <v>71</v>
      </c>
    </row>
    <row r="3" spans="2:52" ht="18" customHeight="1" thickBot="1" x14ac:dyDescent="0.3">
      <c r="B3" s="313"/>
      <c r="C3" s="317"/>
      <c r="D3" s="318"/>
      <c r="E3" s="318"/>
      <c r="F3" s="147" t="s">
        <v>72</v>
      </c>
      <c r="AZ3" s="145" t="s">
        <v>73</v>
      </c>
    </row>
    <row r="4" spans="2:52" ht="18" customHeight="1" thickBot="1" x14ac:dyDescent="0.3">
      <c r="B4" s="313"/>
      <c r="C4" s="317"/>
      <c r="D4" s="318"/>
      <c r="E4" s="318"/>
      <c r="F4" s="147" t="s">
        <v>74</v>
      </c>
      <c r="AZ4" s="145" t="s">
        <v>75</v>
      </c>
    </row>
    <row r="5" spans="2:52" ht="18" customHeight="1" thickBot="1" x14ac:dyDescent="0.3">
      <c r="B5" s="314"/>
      <c r="C5" s="319"/>
      <c r="D5" s="320"/>
      <c r="E5" s="320"/>
      <c r="F5" s="147" t="s">
        <v>76</v>
      </c>
      <c r="AZ5" s="148"/>
    </row>
    <row r="6" spans="2:52" ht="18" customHeight="1" thickBot="1" x14ac:dyDescent="0.3">
      <c r="B6" s="149"/>
      <c r="C6" s="150"/>
      <c r="D6" s="150"/>
      <c r="E6" s="150"/>
      <c r="F6" s="151"/>
      <c r="AZ6" s="148"/>
    </row>
    <row r="7" spans="2:52" ht="33.4" customHeight="1" x14ac:dyDescent="0.25">
      <c r="B7" s="152" t="s">
        <v>77</v>
      </c>
      <c r="C7" s="321" t="s">
        <v>78</v>
      </c>
      <c r="D7" s="322"/>
      <c r="E7" s="322"/>
      <c r="F7" s="323"/>
      <c r="AZ7" s="148"/>
    </row>
    <row r="8" spans="2:52" ht="66.75" customHeight="1" thickBot="1" x14ac:dyDescent="0.3">
      <c r="B8" s="153" t="s">
        <v>79</v>
      </c>
      <c r="C8" s="324" t="s">
        <v>80</v>
      </c>
      <c r="D8" s="325"/>
      <c r="E8" s="325"/>
      <c r="F8" s="326"/>
      <c r="AZ8" s="148"/>
    </row>
    <row r="9" spans="2:52" ht="16.5" thickBot="1" x14ac:dyDescent="0.3">
      <c r="B9" s="327"/>
      <c r="C9" s="327"/>
      <c r="D9" s="327"/>
      <c r="E9" s="327"/>
      <c r="F9" s="327"/>
    </row>
    <row r="10" spans="2:52" ht="15.6" customHeight="1" thickBot="1" x14ac:dyDescent="0.3">
      <c r="B10" s="328" t="s">
        <v>69</v>
      </c>
      <c r="C10" s="329"/>
      <c r="D10" s="329"/>
      <c r="E10" s="329"/>
      <c r="F10" s="330"/>
    </row>
    <row r="11" spans="2:52" ht="32.25" thickBot="1" x14ac:dyDescent="0.3">
      <c r="B11" s="331" t="s">
        <v>81</v>
      </c>
      <c r="C11" s="332"/>
      <c r="D11" s="154" t="s">
        <v>82</v>
      </c>
      <c r="E11" s="154" t="s">
        <v>83</v>
      </c>
      <c r="F11" s="155" t="s">
        <v>84</v>
      </c>
    </row>
    <row r="12" spans="2:52" ht="188.25" customHeight="1" thickBot="1" x14ac:dyDescent="0.3">
      <c r="B12" s="333" t="s">
        <v>85</v>
      </c>
      <c r="C12" s="334"/>
      <c r="D12" s="305" t="s">
        <v>86</v>
      </c>
      <c r="E12" s="339" t="s">
        <v>87</v>
      </c>
      <c r="F12" s="305" t="s">
        <v>88</v>
      </c>
    </row>
    <row r="13" spans="2:52" ht="123.75" customHeight="1" thickBot="1" x14ac:dyDescent="0.3">
      <c r="B13" s="333" t="s">
        <v>71</v>
      </c>
      <c r="C13" s="334"/>
      <c r="D13" s="306"/>
      <c r="E13" s="340"/>
      <c r="F13" s="306"/>
    </row>
    <row r="15" spans="2:52" ht="18" x14ac:dyDescent="0.25">
      <c r="B15" s="335" t="s">
        <v>89</v>
      </c>
      <c r="C15" s="335"/>
      <c r="D15" s="335"/>
      <c r="E15" s="335"/>
      <c r="F15" s="335"/>
    </row>
    <row r="16" spans="2:52" ht="15.75" x14ac:dyDescent="0.25">
      <c r="B16" s="156"/>
    </row>
    <row r="17" spans="2:6" ht="15.75" thickBot="1" x14ac:dyDescent="0.3">
      <c r="B17" s="157"/>
    </row>
    <row r="18" spans="2:6" ht="16.5" thickBot="1" x14ac:dyDescent="0.3">
      <c r="B18" s="336" t="s">
        <v>90</v>
      </c>
      <c r="C18" s="337"/>
      <c r="D18" s="338"/>
      <c r="E18" s="336" t="s">
        <v>91</v>
      </c>
      <c r="F18" s="338"/>
    </row>
    <row r="19" spans="2:6" ht="15" customHeight="1" x14ac:dyDescent="0.25">
      <c r="B19" s="307" t="s">
        <v>92</v>
      </c>
      <c r="C19" s="308"/>
      <c r="D19" s="309"/>
      <c r="E19" s="310" t="s">
        <v>93</v>
      </c>
      <c r="F19" s="311"/>
    </row>
    <row r="20" spans="2:6" ht="15" customHeight="1" x14ac:dyDescent="0.25">
      <c r="B20" s="302" t="s">
        <v>94</v>
      </c>
      <c r="C20" s="303"/>
      <c r="D20" s="304"/>
      <c r="E20" s="295" t="s">
        <v>95</v>
      </c>
      <c r="F20" s="252"/>
    </row>
    <row r="21" spans="2:6" ht="15" customHeight="1" x14ac:dyDescent="0.25">
      <c r="B21" s="290" t="s">
        <v>96</v>
      </c>
      <c r="C21" s="291"/>
      <c r="D21" s="292"/>
      <c r="E21" s="295" t="s">
        <v>97</v>
      </c>
      <c r="F21" s="252"/>
    </row>
    <row r="22" spans="2:6" ht="15" customHeight="1" x14ac:dyDescent="0.25">
      <c r="B22" s="290" t="s">
        <v>98</v>
      </c>
      <c r="C22" s="291"/>
      <c r="D22" s="292"/>
      <c r="E22" s="297" t="s">
        <v>99</v>
      </c>
      <c r="F22" s="298"/>
    </row>
    <row r="23" spans="2:6" ht="15" customHeight="1" x14ac:dyDescent="0.3">
      <c r="B23" s="299" t="s">
        <v>100</v>
      </c>
      <c r="C23" s="300"/>
      <c r="D23" s="301"/>
      <c r="E23" s="296" t="s">
        <v>101</v>
      </c>
      <c r="F23" s="254"/>
    </row>
    <row r="24" spans="2:6" ht="15" customHeight="1" x14ac:dyDescent="0.3">
      <c r="B24" s="299"/>
      <c r="C24" s="300"/>
      <c r="D24" s="301"/>
      <c r="E24" s="296" t="s">
        <v>102</v>
      </c>
      <c r="F24" s="254"/>
    </row>
    <row r="25" spans="2:6" ht="15" customHeight="1" x14ac:dyDescent="0.25">
      <c r="B25" s="276"/>
      <c r="C25" s="277"/>
      <c r="D25" s="278"/>
      <c r="E25" s="295" t="s">
        <v>103</v>
      </c>
      <c r="F25" s="252"/>
    </row>
    <row r="26" spans="2:6" ht="15.75" customHeight="1" x14ac:dyDescent="0.25">
      <c r="B26" s="253"/>
      <c r="C26" s="260"/>
      <c r="D26" s="254"/>
      <c r="E26" s="296" t="s">
        <v>104</v>
      </c>
      <c r="F26" s="254"/>
    </row>
    <row r="27" spans="2:6" ht="15" customHeight="1" x14ac:dyDescent="0.25">
      <c r="B27" s="290"/>
      <c r="C27" s="291"/>
      <c r="D27" s="292"/>
      <c r="E27" s="293" t="s">
        <v>105</v>
      </c>
      <c r="F27" s="294"/>
    </row>
    <row r="28" spans="2:6" ht="15" customHeight="1" x14ac:dyDescent="0.25">
      <c r="B28" s="276"/>
      <c r="C28" s="277"/>
      <c r="D28" s="278"/>
      <c r="E28" s="293"/>
      <c r="F28" s="294"/>
    </row>
    <row r="29" spans="2:6" ht="15" customHeight="1" x14ac:dyDescent="0.25">
      <c r="B29" s="276"/>
      <c r="C29" s="277"/>
      <c r="D29" s="278"/>
      <c r="E29" s="293"/>
      <c r="F29" s="294"/>
    </row>
    <row r="30" spans="2:6" ht="15" customHeight="1" x14ac:dyDescent="0.25">
      <c r="B30" s="276"/>
      <c r="C30" s="277"/>
      <c r="D30" s="278"/>
      <c r="E30" s="279"/>
      <c r="F30" s="280"/>
    </row>
    <row r="31" spans="2:6" ht="15" customHeight="1" thickBot="1" x14ac:dyDescent="0.35">
      <c r="B31" s="281"/>
      <c r="C31" s="282"/>
      <c r="D31" s="283"/>
      <c r="E31" s="284"/>
      <c r="F31" s="285"/>
    </row>
    <row r="32" spans="2:6" ht="15" customHeight="1" thickBot="1" x14ac:dyDescent="0.3">
      <c r="B32" s="286" t="s">
        <v>106</v>
      </c>
      <c r="C32" s="287"/>
      <c r="D32" s="287"/>
      <c r="E32" s="288" t="s">
        <v>107</v>
      </c>
      <c r="F32" s="289"/>
    </row>
    <row r="33" spans="2:6" ht="15.75" customHeight="1" x14ac:dyDescent="0.3">
      <c r="B33" s="270" t="s">
        <v>108</v>
      </c>
      <c r="C33" s="271"/>
      <c r="D33" s="272"/>
      <c r="E33" s="273" t="s">
        <v>109</v>
      </c>
      <c r="F33" s="274"/>
    </row>
    <row r="34" spans="2:6" ht="16.5" x14ac:dyDescent="0.3">
      <c r="B34" s="268" t="s">
        <v>110</v>
      </c>
      <c r="C34" s="275"/>
      <c r="D34" s="269"/>
      <c r="E34" s="253" t="s">
        <v>111</v>
      </c>
      <c r="F34" s="254"/>
    </row>
    <row r="35" spans="2:6" ht="16.5" x14ac:dyDescent="0.25">
      <c r="B35" s="253" t="s">
        <v>112</v>
      </c>
      <c r="C35" s="260"/>
      <c r="D35" s="254"/>
      <c r="E35" s="250" t="s">
        <v>113</v>
      </c>
      <c r="F35" s="252"/>
    </row>
    <row r="36" spans="2:6" ht="16.5" x14ac:dyDescent="0.3">
      <c r="B36" s="250" t="s">
        <v>114</v>
      </c>
      <c r="C36" s="251"/>
      <c r="D36" s="252"/>
      <c r="E36" s="266" t="s">
        <v>115</v>
      </c>
      <c r="F36" s="267"/>
    </row>
    <row r="37" spans="2:6" ht="16.5" x14ac:dyDescent="0.3">
      <c r="B37" s="250" t="s">
        <v>116</v>
      </c>
      <c r="C37" s="251"/>
      <c r="D37" s="252"/>
      <c r="E37" s="268" t="s">
        <v>117</v>
      </c>
      <c r="F37" s="269"/>
    </row>
    <row r="38" spans="2:6" ht="16.5" x14ac:dyDescent="0.25">
      <c r="B38" s="250" t="s">
        <v>118</v>
      </c>
      <c r="C38" s="251"/>
      <c r="D38" s="252"/>
      <c r="E38" s="250" t="s">
        <v>119</v>
      </c>
      <c r="F38" s="252"/>
    </row>
    <row r="39" spans="2:6" ht="16.5" x14ac:dyDescent="0.25">
      <c r="B39" s="250" t="s">
        <v>120</v>
      </c>
      <c r="C39" s="251"/>
      <c r="D39" s="252"/>
      <c r="E39" s="253" t="s">
        <v>121</v>
      </c>
      <c r="F39" s="254"/>
    </row>
    <row r="40" spans="2:6" ht="16.5" x14ac:dyDescent="0.25">
      <c r="B40" s="250" t="s">
        <v>122</v>
      </c>
      <c r="C40" s="251"/>
      <c r="D40" s="252"/>
      <c r="E40" s="253" t="s">
        <v>123</v>
      </c>
      <c r="F40" s="254"/>
    </row>
    <row r="41" spans="2:6" ht="31.5" customHeight="1" x14ac:dyDescent="0.25">
      <c r="B41" s="253" t="s">
        <v>124</v>
      </c>
      <c r="C41" s="260"/>
      <c r="D41" s="254"/>
      <c r="E41" s="261" t="s">
        <v>125</v>
      </c>
      <c r="F41" s="262"/>
    </row>
    <row r="42" spans="2:6" ht="16.5" x14ac:dyDescent="0.3">
      <c r="B42" s="263"/>
      <c r="C42" s="264"/>
      <c r="D42" s="265"/>
      <c r="E42" s="263"/>
      <c r="F42" s="265"/>
    </row>
    <row r="43" spans="2:6" ht="17.25" thickBot="1" x14ac:dyDescent="0.35">
      <c r="B43" s="255"/>
      <c r="C43" s="256"/>
      <c r="D43" s="257"/>
      <c r="E43" s="258"/>
      <c r="F43" s="259"/>
    </row>
  </sheetData>
  <mergeCells count="65">
    <mergeCell ref="B10:F10"/>
    <mergeCell ref="B11:C11"/>
    <mergeCell ref="B12:C12"/>
    <mergeCell ref="B15:F15"/>
    <mergeCell ref="B18:D18"/>
    <mergeCell ref="E18:F18"/>
    <mergeCell ref="B13:C13"/>
    <mergeCell ref="D12:D13"/>
    <mergeCell ref="E12:E13"/>
    <mergeCell ref="B2:B5"/>
    <mergeCell ref="C2:E5"/>
    <mergeCell ref="C7:F7"/>
    <mergeCell ref="C8:F8"/>
    <mergeCell ref="B9:F9"/>
    <mergeCell ref="B20:D20"/>
    <mergeCell ref="E20:F20"/>
    <mergeCell ref="B21:D21"/>
    <mergeCell ref="E21:F21"/>
    <mergeCell ref="F12:F13"/>
    <mergeCell ref="B19:D19"/>
    <mergeCell ref="E19:F19"/>
    <mergeCell ref="B25:D25"/>
    <mergeCell ref="E25:F25"/>
    <mergeCell ref="B26:D26"/>
    <mergeCell ref="E26:F26"/>
    <mergeCell ref="B22:D22"/>
    <mergeCell ref="E22:F22"/>
    <mergeCell ref="B23:D23"/>
    <mergeCell ref="E23:F23"/>
    <mergeCell ref="B24:D24"/>
    <mergeCell ref="E24:F24"/>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B13 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zoomScale="80" zoomScaleNormal="80" workbookViewId="0">
      <selection activeCell="M78" sqref="M78"/>
    </sheetView>
  </sheetViews>
  <sheetFormatPr baseColWidth="10" defaultColWidth="11.42578125" defaultRowHeight="16.5" x14ac:dyDescent="0.3"/>
  <cols>
    <col min="1" max="1" width="4" style="2" bestFit="1" customWidth="1"/>
    <col min="2" max="2" width="14.140625" style="2" customWidth="1"/>
    <col min="3" max="3" width="17.28515625" style="2" customWidth="1"/>
    <col min="4" max="4" width="29.140625" style="2" customWidth="1"/>
    <col min="5" max="5" width="39.140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7.710937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7109375" style="197" customWidth="1"/>
    <col min="32" max="32" width="18.85546875" style="194" customWidth="1"/>
    <col min="33" max="34" width="14.5703125" style="194"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7"/>
      <c r="B1" s="398"/>
      <c r="C1" s="398"/>
      <c r="D1" s="399"/>
      <c r="E1" s="364" t="s">
        <v>126</v>
      </c>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6"/>
      <c r="AJ1" s="359" t="s">
        <v>127</v>
      </c>
      <c r="AK1" s="360"/>
    </row>
    <row r="2" spans="1:69" ht="15" customHeight="1" x14ac:dyDescent="0.3">
      <c r="A2" s="400"/>
      <c r="B2" s="401"/>
      <c r="C2" s="401"/>
      <c r="D2" s="402"/>
      <c r="E2" s="367"/>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9"/>
      <c r="AJ2" s="361" t="s">
        <v>128</v>
      </c>
      <c r="AK2" s="362"/>
    </row>
    <row r="3" spans="1:69" ht="15" customHeight="1" x14ac:dyDescent="0.3">
      <c r="A3" s="400"/>
      <c r="B3" s="401"/>
      <c r="C3" s="401"/>
      <c r="D3" s="402"/>
      <c r="E3" s="367"/>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9"/>
      <c r="AJ3" s="361" t="s">
        <v>129</v>
      </c>
      <c r="AK3" s="36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3"/>
      <c r="B4" s="404"/>
      <c r="C4" s="404"/>
      <c r="D4" s="405"/>
      <c r="E4" s="370"/>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2"/>
      <c r="AJ4" s="359" t="s">
        <v>130</v>
      </c>
      <c r="AK4" s="360"/>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3"/>
      <c r="Q5" s="8"/>
      <c r="R5" s="8"/>
      <c r="S5" s="8"/>
      <c r="T5" s="8"/>
      <c r="U5" s="8"/>
      <c r="V5" s="8"/>
      <c r="W5" s="8"/>
      <c r="X5" s="8"/>
      <c r="Y5" s="8"/>
      <c r="Z5" s="8"/>
      <c r="AA5" s="8"/>
      <c r="AB5" s="8"/>
      <c r="AC5" s="8"/>
      <c r="AD5" s="8"/>
      <c r="AE5" s="195"/>
      <c r="AF5" s="189"/>
      <c r="AG5" s="189"/>
      <c r="AH5" s="189"/>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29" t="s">
        <v>131</v>
      </c>
      <c r="B6" s="430"/>
      <c r="C6" s="406" t="s">
        <v>78</v>
      </c>
      <c r="D6" s="407"/>
      <c r="E6" s="407"/>
      <c r="F6" s="407"/>
      <c r="G6" s="407"/>
      <c r="H6" s="407"/>
      <c r="I6" s="407"/>
      <c r="J6" s="407"/>
      <c r="K6" s="407"/>
      <c r="L6" s="407"/>
      <c r="M6" s="407"/>
      <c r="N6" s="408"/>
      <c r="O6" s="381"/>
      <c r="P6" s="381"/>
      <c r="Q6" s="381"/>
      <c r="R6" s="8"/>
      <c r="S6" s="8"/>
      <c r="T6" s="8"/>
      <c r="U6" s="8"/>
      <c r="V6" s="8"/>
      <c r="W6" s="8"/>
      <c r="X6" s="8"/>
      <c r="Y6" s="8"/>
      <c r="Z6" s="8"/>
      <c r="AA6" s="8"/>
      <c r="AB6" s="8"/>
      <c r="AC6" s="8"/>
      <c r="AD6" s="8"/>
      <c r="AE6" s="195"/>
      <c r="AF6" s="189"/>
      <c r="AG6" s="189"/>
      <c r="AH6" s="189"/>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8" customHeight="1" x14ac:dyDescent="0.3">
      <c r="A7" s="429" t="s">
        <v>132</v>
      </c>
      <c r="B7" s="430"/>
      <c r="C7" s="439" t="s">
        <v>86</v>
      </c>
      <c r="D7" s="440"/>
      <c r="E7" s="440"/>
      <c r="F7" s="440"/>
      <c r="G7" s="440"/>
      <c r="H7" s="440"/>
      <c r="I7" s="440"/>
      <c r="J7" s="440"/>
      <c r="K7" s="440"/>
      <c r="L7" s="440"/>
      <c r="M7" s="440"/>
      <c r="N7" s="441"/>
      <c r="O7" s="26"/>
      <c r="P7" s="183"/>
      <c r="Q7" s="8"/>
      <c r="R7" s="8"/>
      <c r="S7" s="8"/>
      <c r="T7" s="8"/>
      <c r="U7" s="8"/>
      <c r="V7" s="8"/>
      <c r="W7" s="8"/>
      <c r="X7" s="8"/>
      <c r="Y7" s="8"/>
      <c r="Z7" s="8"/>
      <c r="AA7" s="8"/>
      <c r="AB7" s="8"/>
      <c r="AC7" s="8"/>
      <c r="AD7" s="8"/>
      <c r="AE7" s="195"/>
      <c r="AF7" s="189"/>
      <c r="AG7" s="189"/>
      <c r="AH7" s="189"/>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74.25" customHeight="1" x14ac:dyDescent="0.3">
      <c r="A8" s="429" t="s">
        <v>133</v>
      </c>
      <c r="B8" s="430"/>
      <c r="C8" s="442" t="s">
        <v>134</v>
      </c>
      <c r="D8" s="443"/>
      <c r="E8" s="443"/>
      <c r="F8" s="443"/>
      <c r="G8" s="443"/>
      <c r="H8" s="443"/>
      <c r="I8" s="443"/>
      <c r="J8" s="443"/>
      <c r="K8" s="443"/>
      <c r="L8" s="443"/>
      <c r="M8" s="443"/>
      <c r="N8" s="444"/>
      <c r="O8" s="26"/>
      <c r="P8" s="183"/>
      <c r="Q8" s="8"/>
      <c r="R8" s="8"/>
      <c r="S8" s="8"/>
      <c r="T8" s="8"/>
      <c r="U8" s="8"/>
      <c r="V8" s="8"/>
      <c r="W8" s="8"/>
      <c r="X8" s="8"/>
      <c r="Y8" s="8"/>
      <c r="Z8" s="8"/>
      <c r="AA8" s="8"/>
      <c r="AB8" s="8"/>
      <c r="AC8" s="8"/>
      <c r="AD8" s="8"/>
      <c r="AE8" s="195"/>
      <c r="AF8" s="189"/>
      <c r="AG8" s="189"/>
      <c r="AH8" s="189"/>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82" t="s">
        <v>135</v>
      </c>
      <c r="B9" s="383"/>
      <c r="C9" s="383"/>
      <c r="D9" s="383"/>
      <c r="E9" s="383"/>
      <c r="F9" s="383"/>
      <c r="G9" s="384"/>
      <c r="H9" s="382" t="s">
        <v>136</v>
      </c>
      <c r="I9" s="383"/>
      <c r="J9" s="383"/>
      <c r="K9" s="383"/>
      <c r="L9" s="383"/>
      <c r="M9" s="383"/>
      <c r="N9" s="384"/>
      <c r="O9" s="382" t="s">
        <v>137</v>
      </c>
      <c r="P9" s="383"/>
      <c r="Q9" s="383"/>
      <c r="R9" s="383"/>
      <c r="S9" s="383"/>
      <c r="T9" s="383"/>
      <c r="U9" s="383"/>
      <c r="V9" s="383"/>
      <c r="W9" s="384"/>
      <c r="X9" s="382" t="s">
        <v>138</v>
      </c>
      <c r="Y9" s="383"/>
      <c r="Z9" s="383"/>
      <c r="AA9" s="383"/>
      <c r="AB9" s="383"/>
      <c r="AC9" s="383"/>
      <c r="AD9" s="384"/>
      <c r="AE9" s="382" t="s">
        <v>139</v>
      </c>
      <c r="AF9" s="383"/>
      <c r="AG9" s="383"/>
      <c r="AH9" s="383"/>
      <c r="AI9" s="383"/>
      <c r="AJ9" s="383"/>
      <c r="AK9" s="38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31" t="s">
        <v>140</v>
      </c>
      <c r="B10" s="436" t="s">
        <v>23</v>
      </c>
      <c r="C10" s="434" t="s">
        <v>25</v>
      </c>
      <c r="D10" s="434" t="s">
        <v>27</v>
      </c>
      <c r="E10" s="435" t="s">
        <v>29</v>
      </c>
      <c r="F10" s="433" t="s">
        <v>31</v>
      </c>
      <c r="G10" s="434" t="s">
        <v>141</v>
      </c>
      <c r="H10" s="446" t="s">
        <v>142</v>
      </c>
      <c r="I10" s="447" t="s">
        <v>143</v>
      </c>
      <c r="J10" s="433" t="s">
        <v>144</v>
      </c>
      <c r="K10" s="433" t="s">
        <v>145</v>
      </c>
      <c r="L10" s="449" t="s">
        <v>146</v>
      </c>
      <c r="M10" s="447" t="s">
        <v>143</v>
      </c>
      <c r="N10" s="434" t="s">
        <v>37</v>
      </c>
      <c r="O10" s="437" t="s">
        <v>147</v>
      </c>
      <c r="P10" s="428" t="s">
        <v>39</v>
      </c>
      <c r="Q10" s="433" t="s">
        <v>41</v>
      </c>
      <c r="R10" s="428" t="s">
        <v>148</v>
      </c>
      <c r="S10" s="428"/>
      <c r="T10" s="428"/>
      <c r="U10" s="428"/>
      <c r="V10" s="428"/>
      <c r="W10" s="428"/>
      <c r="X10" s="445" t="s">
        <v>149</v>
      </c>
      <c r="Y10" s="445" t="s">
        <v>150</v>
      </c>
      <c r="Z10" s="445" t="s">
        <v>143</v>
      </c>
      <c r="AA10" s="445" t="s">
        <v>151</v>
      </c>
      <c r="AB10" s="445" t="s">
        <v>143</v>
      </c>
      <c r="AC10" s="445" t="s">
        <v>152</v>
      </c>
      <c r="AD10" s="437" t="s">
        <v>57</v>
      </c>
      <c r="AE10" s="427" t="s">
        <v>139</v>
      </c>
      <c r="AF10" s="427" t="s">
        <v>153</v>
      </c>
      <c r="AG10" s="427" t="s">
        <v>154</v>
      </c>
      <c r="AH10" s="379" t="s">
        <v>155</v>
      </c>
      <c r="AI10" s="428" t="s">
        <v>156</v>
      </c>
      <c r="AJ10" s="428" t="s">
        <v>157</v>
      </c>
      <c r="AK10" s="42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32"/>
      <c r="B11" s="436"/>
      <c r="C11" s="428"/>
      <c r="D11" s="428"/>
      <c r="E11" s="436"/>
      <c r="F11" s="434"/>
      <c r="G11" s="428"/>
      <c r="H11" s="434"/>
      <c r="I11" s="448"/>
      <c r="J11" s="434"/>
      <c r="K11" s="434"/>
      <c r="L11" s="448"/>
      <c r="M11" s="448"/>
      <c r="N11" s="428"/>
      <c r="O11" s="438"/>
      <c r="P11" s="428"/>
      <c r="Q11" s="434"/>
      <c r="R11" s="7" t="s">
        <v>158</v>
      </c>
      <c r="S11" s="7" t="s">
        <v>159</v>
      </c>
      <c r="T11" s="7" t="s">
        <v>160</v>
      </c>
      <c r="U11" s="7" t="s">
        <v>161</v>
      </c>
      <c r="V11" s="7" t="s">
        <v>162</v>
      </c>
      <c r="W11" s="7" t="s">
        <v>163</v>
      </c>
      <c r="X11" s="445"/>
      <c r="Y11" s="445"/>
      <c r="Z11" s="445"/>
      <c r="AA11" s="445"/>
      <c r="AB11" s="445"/>
      <c r="AC11" s="445"/>
      <c r="AD11" s="438"/>
      <c r="AE11" s="427"/>
      <c r="AF11" s="427"/>
      <c r="AG11" s="427"/>
      <c r="AH11" s="380"/>
      <c r="AI11" s="428"/>
      <c r="AJ11" s="428"/>
      <c r="AK11" s="42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9" customHeight="1" x14ac:dyDescent="0.25">
      <c r="A12" s="341">
        <v>1</v>
      </c>
      <c r="B12" s="424" t="s">
        <v>164</v>
      </c>
      <c r="C12" s="424" t="s">
        <v>165</v>
      </c>
      <c r="D12" s="424" t="s">
        <v>166</v>
      </c>
      <c r="E12" s="424" t="s">
        <v>167</v>
      </c>
      <c r="F12" s="450" t="s">
        <v>168</v>
      </c>
      <c r="G12" s="453">
        <v>40</v>
      </c>
      <c r="H12" s="456" t="str">
        <f>IF(G12&lt;=0,"",IF(G12&lt;=2,"Muy Baja",IF(G12&lt;=24,"Baja",IF(G12&lt;=500,"Media",IF(G12&lt;=5000,"Alta","Muy Alta")))))</f>
        <v>Media</v>
      </c>
      <c r="I12" s="462">
        <f>IF(H12="","",IF(H12="Muy Baja",0.2,IF(H12="Baja",0.4,IF(H12="Media",0.6,IF(H12="Alta",0.8,IF(H12="Muy Alta",1,))))))</f>
        <v>0.6</v>
      </c>
      <c r="J12" s="465" t="s">
        <v>169</v>
      </c>
      <c r="K12" s="462"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56" t="str">
        <f>IF(OR(K12='Tabla Impacto'!$C$11,K12='Tabla Impacto'!$D$11),"Leve",IF(OR(K12='Tabla Impacto'!$C$12,K12='Tabla Impacto'!$D$12),"Menor",IF(OR(K12='Tabla Impacto'!$C$13,K12='Tabla Impacto'!$D$13),"Moderado",IF(OR(K12='Tabla Impacto'!$C$14,K12='Tabla Impacto'!$D$14),"Mayor",IF(OR(K12='Tabla Impacto'!$C$15,K12='Tabla Impacto'!$D$15),"Catastrófico","")))))</f>
        <v>Moderado</v>
      </c>
      <c r="M12" s="462">
        <f>IF(L12="","",IF(L12="Leve",0.2,IF(L12="Menor",0.4,IF(L12="Moderado",0.6,IF(L12="Mayor",0.8,IF(L12="Catastrófico",1,))))))</f>
        <v>0.6</v>
      </c>
      <c r="N12" s="45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41">
        <v>1</v>
      </c>
      <c r="P12" s="483" t="s">
        <v>170</v>
      </c>
      <c r="Q12" s="486" t="str">
        <f>IF(OR(R12="Preventivo",R12="Detectivo"),"Probabilidad",IF(R12="Correctivo","Impacto",""))</f>
        <v>Probabilidad</v>
      </c>
      <c r="R12" s="480" t="s">
        <v>171</v>
      </c>
      <c r="S12" s="480" t="s">
        <v>172</v>
      </c>
      <c r="T12" s="471" t="str">
        <f>IF(AND(R12="Preventivo",S12="Automático"),"50%",IF(AND(R12="Preventivo",S12="Manual"),"40%",IF(AND(R12="Detectivo",S12="Automático"),"40%",IF(AND(R12="Detectivo",S12="Manual"),"30%",IF(AND(R12="Correctivo",S12="Automático"),"35%",IF(AND(R12="Correctivo",S12="Manual"),"25%",""))))))</f>
        <v>40%</v>
      </c>
      <c r="U12" s="480" t="s">
        <v>173</v>
      </c>
      <c r="V12" s="480" t="s">
        <v>174</v>
      </c>
      <c r="W12" s="480" t="s">
        <v>175</v>
      </c>
      <c r="X12" s="474">
        <f>IFERROR(IF(Q12="Probabilidad",(I12-(+I12*T12)),IF(Q12="Impacto",I12,"")),"")</f>
        <v>0.36</v>
      </c>
      <c r="Y12" s="468" t="str">
        <f>IFERROR(IF(X12="","",IF(X12&lt;=0.2,"Muy Baja",IF(X12&lt;=0.4,"Baja",IF(X12&lt;=0.6,"Media",IF(X12&lt;=0.8,"Alta","Muy Alta"))))),"")</f>
        <v>Baja</v>
      </c>
      <c r="Z12" s="471">
        <f>+X12</f>
        <v>0.36</v>
      </c>
      <c r="AA12" s="468" t="str">
        <f>IFERROR(IF(AB12="","",IF(AB12&lt;=0.2,"Leve",IF(AB12&lt;=0.4,"Menor",IF(AB12&lt;=0.6,"Moderado",IF(AB12&lt;=0.8,"Mayor","Catastrófico"))))),"")</f>
        <v>Moderado</v>
      </c>
      <c r="AB12" s="471">
        <f>IFERROR(IF(Q12="Impacto",(M12-(+M12*T12)),IF(Q12="Probabilidad",M12,"")),"")</f>
        <v>0.6</v>
      </c>
      <c r="AC12" s="47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80" t="s">
        <v>176</v>
      </c>
      <c r="AE12" s="196" t="s">
        <v>177</v>
      </c>
      <c r="AF12" s="185" t="s">
        <v>178</v>
      </c>
      <c r="AG12" s="190">
        <v>45001</v>
      </c>
      <c r="AH12" s="190">
        <v>45046</v>
      </c>
      <c r="AI12" s="166"/>
      <c r="AJ12" s="118"/>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s="3" customFormat="1" ht="75" customHeight="1" x14ac:dyDescent="0.25">
      <c r="A13" s="342"/>
      <c r="B13" s="425"/>
      <c r="C13" s="425"/>
      <c r="D13" s="425"/>
      <c r="E13" s="425"/>
      <c r="F13" s="451"/>
      <c r="G13" s="454"/>
      <c r="H13" s="457"/>
      <c r="I13" s="463"/>
      <c r="J13" s="466"/>
      <c r="K13" s="463"/>
      <c r="L13" s="457"/>
      <c r="M13" s="463"/>
      <c r="N13" s="460"/>
      <c r="O13" s="342"/>
      <c r="P13" s="484"/>
      <c r="Q13" s="487"/>
      <c r="R13" s="481"/>
      <c r="S13" s="481"/>
      <c r="T13" s="472"/>
      <c r="U13" s="481"/>
      <c r="V13" s="481"/>
      <c r="W13" s="481"/>
      <c r="X13" s="475"/>
      <c r="Y13" s="469"/>
      <c r="Z13" s="472"/>
      <c r="AA13" s="469"/>
      <c r="AB13" s="472"/>
      <c r="AC13" s="478"/>
      <c r="AD13" s="481"/>
      <c r="AE13" s="196" t="s">
        <v>179</v>
      </c>
      <c r="AF13" s="185" t="s">
        <v>180</v>
      </c>
      <c r="AG13" s="190">
        <v>45001</v>
      </c>
      <c r="AH13" s="190">
        <v>45046</v>
      </c>
      <c r="AI13" s="166"/>
      <c r="AJ13" s="118"/>
      <c r="AK13" s="165"/>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s="3" customFormat="1" ht="48.75" customHeight="1" x14ac:dyDescent="0.25">
      <c r="A14" s="342"/>
      <c r="B14" s="425"/>
      <c r="C14" s="425"/>
      <c r="D14" s="425"/>
      <c r="E14" s="425"/>
      <c r="F14" s="451"/>
      <c r="G14" s="454"/>
      <c r="H14" s="457"/>
      <c r="I14" s="463"/>
      <c r="J14" s="466"/>
      <c r="K14" s="463"/>
      <c r="L14" s="457"/>
      <c r="M14" s="463"/>
      <c r="N14" s="460"/>
      <c r="O14" s="343"/>
      <c r="P14" s="485"/>
      <c r="Q14" s="488"/>
      <c r="R14" s="482"/>
      <c r="S14" s="482"/>
      <c r="T14" s="473"/>
      <c r="U14" s="482"/>
      <c r="V14" s="482"/>
      <c r="W14" s="482"/>
      <c r="X14" s="476"/>
      <c r="Y14" s="470"/>
      <c r="Z14" s="473"/>
      <c r="AA14" s="470"/>
      <c r="AB14" s="473"/>
      <c r="AC14" s="479"/>
      <c r="AD14" s="482"/>
      <c r="AE14" s="180" t="s">
        <v>181</v>
      </c>
      <c r="AF14" s="179" t="s">
        <v>180</v>
      </c>
      <c r="AG14" s="190">
        <v>45001</v>
      </c>
      <c r="AH14" s="190">
        <v>45275</v>
      </c>
      <c r="AI14" s="166"/>
      <c r="AJ14" s="118"/>
      <c r="AK14" s="165"/>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ht="12" customHeight="1" x14ac:dyDescent="0.3">
      <c r="A15" s="342"/>
      <c r="B15" s="425"/>
      <c r="C15" s="425"/>
      <c r="D15" s="425"/>
      <c r="E15" s="425"/>
      <c r="F15" s="451"/>
      <c r="G15" s="454"/>
      <c r="H15" s="457"/>
      <c r="I15" s="463"/>
      <c r="J15" s="466"/>
      <c r="K15" s="463">
        <f>IF(NOT(ISERROR(MATCH(J15,_xlfn.ANCHORARRAY(E26),0))),I28&amp;"Por favor no seleccionar los criterios de impacto",J15)</f>
        <v>0</v>
      </c>
      <c r="L15" s="457"/>
      <c r="M15" s="463"/>
      <c r="N15" s="460"/>
      <c r="O15" s="6">
        <v>2</v>
      </c>
      <c r="P15" s="180"/>
      <c r="Q15" s="163" t="str">
        <f>IF(OR(R15="Preventivo",R15="Detectivo"),"Probabilidad",IF(R15="Correctivo","Impacto",""))</f>
        <v/>
      </c>
      <c r="R15" s="158"/>
      <c r="S15" s="158"/>
      <c r="T15" s="159" t="str">
        <f t="shared" ref="T15:T19" si="0">IF(AND(R15="Preventivo",S15="Automático"),"50%",IF(AND(R15="Preventivo",S15="Manual"),"40%",IF(AND(R15="Detectivo",S15="Automático"),"40%",IF(AND(R15="Detectivo",S15="Manual"),"30%",IF(AND(R15="Correctivo",S15="Automático"),"35%",IF(AND(R15="Correctivo",S15="Manual"),"25%",""))))))</f>
        <v/>
      </c>
      <c r="U15" s="158"/>
      <c r="V15" s="158"/>
      <c r="W15" s="158"/>
      <c r="X15" s="160" t="str">
        <f>IFERROR(IF(AND(Q12="Probabilidad",Q15="Probabilidad"),(Z12-(+Z12*T15)),IF(Q15="Probabilidad",(I12-(+I12*T15)),IF(Q15="Impacto",Z12,""))),"")</f>
        <v/>
      </c>
      <c r="Y15" s="161" t="str">
        <f t="shared" ref="Y15:Y73" si="1">IFERROR(IF(X15="","",IF(X15&lt;=0.2,"Muy Baja",IF(X15&lt;=0.4,"Baja",IF(X15&lt;=0.6,"Media",IF(X15&lt;=0.8,"Alta","Muy Alta"))))),"")</f>
        <v/>
      </c>
      <c r="Z15" s="162" t="str">
        <f t="shared" ref="Z15:Z19" si="2">+X15</f>
        <v/>
      </c>
      <c r="AA15" s="161" t="str">
        <f t="shared" ref="AA15:AA73" si="3">IFERROR(IF(AB15="","",IF(AB15&lt;=0.2,"Leve",IF(AB15&lt;=0.4,"Menor",IF(AB15&lt;=0.6,"Moderado",IF(AB15&lt;=0.8,"Mayor","Catastrófico"))))),"")</f>
        <v/>
      </c>
      <c r="AB15" s="162" t="str">
        <f>IFERROR(IF(AND(Q12="Impacto",Q15="Impacto"),(AB12-(+AB12*T15)),IF(Q15="Impacto",(M12-(+M12*T15)),IF(Q15="Probabilidad",AB12,""))),"")</f>
        <v/>
      </c>
      <c r="AC15" s="167"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64"/>
      <c r="AE15" s="180"/>
      <c r="AF15" s="177"/>
      <c r="AG15" s="178"/>
      <c r="AH15" s="178"/>
      <c r="AI15" s="169"/>
      <c r="AJ15" s="114"/>
      <c r="AK15" s="16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2" customHeight="1" x14ac:dyDescent="0.3">
      <c r="A16" s="342"/>
      <c r="B16" s="425"/>
      <c r="C16" s="425"/>
      <c r="D16" s="425"/>
      <c r="E16" s="425"/>
      <c r="F16" s="451"/>
      <c r="G16" s="454"/>
      <c r="H16" s="457"/>
      <c r="I16" s="463"/>
      <c r="J16" s="466"/>
      <c r="K16" s="463">
        <f>IF(NOT(ISERROR(MATCH(J16,_xlfn.ANCHORARRAY(E27),0))),I29&amp;"Por favor no seleccionar los criterios de impacto",J16)</f>
        <v>0</v>
      </c>
      <c r="L16" s="457"/>
      <c r="M16" s="463"/>
      <c r="N16" s="460"/>
      <c r="O16" s="6">
        <v>3</v>
      </c>
      <c r="P16" s="181"/>
      <c r="Q16" s="106"/>
      <c r="R16" s="107"/>
      <c r="S16" s="107"/>
      <c r="T16" s="108"/>
      <c r="U16" s="117"/>
      <c r="V16" s="117"/>
      <c r="W16" s="117"/>
      <c r="X16" s="109"/>
      <c r="Y16" s="110"/>
      <c r="Z16" s="111"/>
      <c r="AA16" s="110"/>
      <c r="AB16" s="111"/>
      <c r="AC16" s="112"/>
      <c r="AD16" s="113"/>
      <c r="AE16" s="180"/>
      <c r="AF16" s="191"/>
      <c r="AG16" s="192"/>
      <c r="AH16" s="192"/>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 customHeight="1" x14ac:dyDescent="0.3">
      <c r="A17" s="342"/>
      <c r="B17" s="425"/>
      <c r="C17" s="425"/>
      <c r="D17" s="425"/>
      <c r="E17" s="425"/>
      <c r="F17" s="451"/>
      <c r="G17" s="454"/>
      <c r="H17" s="457"/>
      <c r="I17" s="463"/>
      <c r="J17" s="466"/>
      <c r="K17" s="463">
        <f>IF(NOT(ISERROR(MATCH(J17,_xlfn.ANCHORARRAY(E28),0))),I30&amp;"Por favor no seleccionar los criterios de impacto",J17)</f>
        <v>0</v>
      </c>
      <c r="L17" s="457"/>
      <c r="M17" s="463"/>
      <c r="N17" s="460"/>
      <c r="O17" s="6">
        <v>4</v>
      </c>
      <c r="P17" s="180"/>
      <c r="Q17" s="106"/>
      <c r="R17" s="107"/>
      <c r="S17" s="107"/>
      <c r="T17" s="108"/>
      <c r="U17" s="107"/>
      <c r="V17" s="107"/>
      <c r="W17" s="107"/>
      <c r="X17" s="109"/>
      <c r="Y17" s="110"/>
      <c r="Z17" s="111"/>
      <c r="AA17" s="110"/>
      <c r="AB17" s="111"/>
      <c r="AC17" s="112"/>
      <c r="AD17" s="113"/>
      <c r="AE17" s="180"/>
      <c r="AF17" s="191"/>
      <c r="AG17" s="192"/>
      <c r="AH17" s="192"/>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2" customHeight="1" x14ac:dyDescent="0.3">
      <c r="A18" s="342"/>
      <c r="B18" s="425"/>
      <c r="C18" s="425"/>
      <c r="D18" s="425"/>
      <c r="E18" s="425"/>
      <c r="F18" s="451"/>
      <c r="G18" s="454"/>
      <c r="H18" s="457"/>
      <c r="I18" s="463"/>
      <c r="J18" s="466"/>
      <c r="K18" s="463">
        <f>IF(NOT(ISERROR(MATCH(J18,_xlfn.ANCHORARRAY(E29),0))),I31&amp;"Por favor no seleccionar los criterios de impacto",J18)</f>
        <v>0</v>
      </c>
      <c r="L18" s="457"/>
      <c r="M18" s="463"/>
      <c r="N18" s="460"/>
      <c r="O18" s="6">
        <v>5</v>
      </c>
      <c r="P18" s="180"/>
      <c r="Q18" s="106" t="str">
        <f t="shared" ref="Q18:Q19" si="5">IF(OR(R18="Preventivo",R18="Detectivo"),"Probabilidad",IF(R18="Correctivo","Impacto",""))</f>
        <v/>
      </c>
      <c r="R18" s="107"/>
      <c r="S18" s="107"/>
      <c r="T18" s="108" t="str">
        <f t="shared" si="0"/>
        <v/>
      </c>
      <c r="U18" s="107"/>
      <c r="V18" s="107"/>
      <c r="W18" s="107"/>
      <c r="X18" s="109" t="str">
        <f t="shared" ref="X18:X19" si="6">IFERROR(IF(AND(Q17="Probabilidad",Q18="Probabilidad"),(Z17-(+Z17*T18)),IF(AND(Q17="Impacto",Q18="Probabilidad"),(Z16-(+Z16*T18)),IF(Q18="Impacto",Z17,""))),"")</f>
        <v/>
      </c>
      <c r="Y18" s="110" t="str">
        <f t="shared" si="1"/>
        <v/>
      </c>
      <c r="Z18" s="111" t="str">
        <f t="shared" si="2"/>
        <v/>
      </c>
      <c r="AA18" s="110" t="str">
        <f t="shared" si="3"/>
        <v/>
      </c>
      <c r="AB18" s="111" t="str">
        <f t="shared" ref="AB18:AB19" si="7">IFERROR(IF(AND(Q17="Impacto",Q18="Impacto"),(AB17-(+AB17*T18)),IF(AND(Q17="Probabilidad",Q18="Impacto"),(AB16-(+AB16*T18)),IF(Q18="Probabilidad",AB17,""))),"")</f>
        <v/>
      </c>
      <c r="AC18" s="112" t="str">
        <f t="shared" si="4"/>
        <v/>
      </c>
      <c r="AD18" s="113"/>
      <c r="AE18" s="180"/>
      <c r="AF18" s="191"/>
      <c r="AG18" s="192"/>
      <c r="AH18" s="192"/>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2" customHeight="1" x14ac:dyDescent="0.3">
      <c r="A19" s="343"/>
      <c r="B19" s="426"/>
      <c r="C19" s="426"/>
      <c r="D19" s="426"/>
      <c r="E19" s="426"/>
      <c r="F19" s="452"/>
      <c r="G19" s="455"/>
      <c r="H19" s="458"/>
      <c r="I19" s="464"/>
      <c r="J19" s="467"/>
      <c r="K19" s="464">
        <f>IF(NOT(ISERROR(MATCH(J19,_xlfn.ANCHORARRAY(E30),0))),I32&amp;"Por favor no seleccionar los criterios de impacto",J19)</f>
        <v>0</v>
      </c>
      <c r="L19" s="458"/>
      <c r="M19" s="464"/>
      <c r="N19" s="461"/>
      <c r="O19" s="6">
        <v>6</v>
      </c>
      <c r="P19" s="180"/>
      <c r="Q19" s="106" t="str">
        <f t="shared" si="5"/>
        <v/>
      </c>
      <c r="R19" s="107"/>
      <c r="S19" s="107"/>
      <c r="T19" s="108" t="str">
        <f t="shared" si="0"/>
        <v/>
      </c>
      <c r="U19" s="107"/>
      <c r="V19" s="107"/>
      <c r="W19" s="107"/>
      <c r="X19" s="109" t="str">
        <f t="shared" si="6"/>
        <v/>
      </c>
      <c r="Y19" s="110" t="str">
        <f t="shared" si="1"/>
        <v/>
      </c>
      <c r="Z19" s="111" t="str">
        <f t="shared" si="2"/>
        <v/>
      </c>
      <c r="AA19" s="110" t="str">
        <f t="shared" si="3"/>
        <v/>
      </c>
      <c r="AB19" s="111" t="str">
        <f t="shared" si="7"/>
        <v/>
      </c>
      <c r="AC19" s="112" t="str">
        <f t="shared" si="4"/>
        <v/>
      </c>
      <c r="AD19" s="113"/>
      <c r="AE19" s="180"/>
      <c r="AF19" s="191"/>
      <c r="AG19" s="192"/>
      <c r="AH19" s="192"/>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4" customHeight="1" x14ac:dyDescent="0.3">
      <c r="A20" s="341">
        <v>2</v>
      </c>
      <c r="B20" s="412" t="s">
        <v>182</v>
      </c>
      <c r="C20" s="412" t="s">
        <v>183</v>
      </c>
      <c r="D20" s="412" t="s">
        <v>184</v>
      </c>
      <c r="E20" s="424" t="s">
        <v>185</v>
      </c>
      <c r="F20" s="412" t="s">
        <v>186</v>
      </c>
      <c r="G20" s="409">
        <v>20</v>
      </c>
      <c r="H20" s="394" t="str">
        <f>IF(G20&lt;=0,"",IF(G20&lt;=2,"Muy Baja",IF(G20&lt;=24,"Baja",IF(G20&lt;=500,"Media",IF(G20&lt;=5000,"Alta","Muy Alta")))))</f>
        <v>Baja</v>
      </c>
      <c r="I20" s="385">
        <f>IF(H20="","",IF(H20="Muy Baja",0.2,IF(H20="Baja",0.4,IF(H20="Media",0.6,IF(H20="Alta",0.8,IF(H20="Muy Alta",1,))))))</f>
        <v>0.4</v>
      </c>
      <c r="J20" s="391" t="s">
        <v>187</v>
      </c>
      <c r="K20" s="385"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394" t="str">
        <f>IF(OR(K20='Tabla Impacto'!$C$11,K20='Tabla Impacto'!$D$11),"Leve",IF(OR(K20='Tabla Impacto'!$C$12,K20='Tabla Impacto'!$D$12),"Menor",IF(OR(K20='Tabla Impacto'!$C$13,K20='Tabla Impacto'!$D$13),"Moderado",IF(OR(K20='Tabla Impacto'!$C$14,K20='Tabla Impacto'!$D$14),"Mayor",IF(OR(K20='Tabla Impacto'!$C$15,K20='Tabla Impacto'!$D$15),"Catastrófico","")))))</f>
        <v>Mayor</v>
      </c>
      <c r="M20" s="385">
        <f>IF(L20="","",IF(L20="Leve",0.2,IF(L20="Menor",0.4,IF(L20="Moderado",0.6,IF(L20="Mayor",0.8,IF(L20="Catastrófico",1,))))))</f>
        <v>0.8</v>
      </c>
      <c r="N20" s="388"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6">
        <v>1</v>
      </c>
      <c r="P20" s="182" t="s">
        <v>188</v>
      </c>
      <c r="Q20" s="163" t="str">
        <f>IF(OR(R20="Preventivo",R20="Detectivo"),"Probabilidad",IF(R20="Correctivo","Impacto",""))</f>
        <v>Probabilidad</v>
      </c>
      <c r="R20" s="170" t="s">
        <v>189</v>
      </c>
      <c r="S20" s="170" t="s">
        <v>172</v>
      </c>
      <c r="T20" s="171" t="str">
        <f>IF(AND(R20="Preventivo",S20="Automático"),"50%",IF(AND(R20="Preventivo",S20="Manual"),"40%",IF(AND(R20="Detectivo",S20="Automático"),"40%",IF(AND(R20="Detectivo",S20="Manual"),"30%",IF(AND(R20="Correctivo",S20="Automático"),"35%",IF(AND(R20="Correctivo",S20="Manual"),"25%",""))))))</f>
        <v>30%</v>
      </c>
      <c r="U20" s="170" t="s">
        <v>173</v>
      </c>
      <c r="V20" s="170" t="s">
        <v>174</v>
      </c>
      <c r="W20" s="170" t="s">
        <v>175</v>
      </c>
      <c r="X20" s="160">
        <f>IFERROR(IF(Q20="Probabilidad",(I20-(+I20*T20)),IF(Q20="Impacto",I20,"")),"")</f>
        <v>0.28000000000000003</v>
      </c>
      <c r="Y20" s="172" t="str">
        <f>IFERROR(IF(X20="","",IF(X20&lt;=0.2,"Muy Baja",IF(X20&lt;=0.4,"Baja",IF(X20&lt;=0.6,"Media",IF(X20&lt;=0.8,"Alta","Muy Alta"))))),"")</f>
        <v>Baja</v>
      </c>
      <c r="Z20" s="173">
        <f>+X20</f>
        <v>0.28000000000000003</v>
      </c>
      <c r="AA20" s="172" t="str">
        <f>IFERROR(IF(AB20="","",IF(AB20&lt;=0.2,"Leve",IF(AB20&lt;=0.4,"Menor",IF(AB20&lt;=0.6,"Moderado",IF(AB20&lt;=0.8,"Mayor","Catastrófico"))))),"")</f>
        <v>Mayor</v>
      </c>
      <c r="AB20" s="173">
        <f>IFERROR(IF(Q20="Impacto",(M20-(+M20*T20)),IF(Q20="Probabilidad",M20,"")),"")</f>
        <v>0.8</v>
      </c>
      <c r="AC20" s="174"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75" t="s">
        <v>176</v>
      </c>
      <c r="AE20" s="180" t="s">
        <v>190</v>
      </c>
      <c r="AF20" s="179" t="s">
        <v>180</v>
      </c>
      <c r="AG20" s="190">
        <v>45001</v>
      </c>
      <c r="AH20" s="190">
        <v>45275</v>
      </c>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67.5" customHeight="1" x14ac:dyDescent="0.3">
      <c r="A21" s="342"/>
      <c r="B21" s="413"/>
      <c r="C21" s="413"/>
      <c r="D21" s="413"/>
      <c r="E21" s="425"/>
      <c r="F21" s="413"/>
      <c r="G21" s="410"/>
      <c r="H21" s="395"/>
      <c r="I21" s="386"/>
      <c r="J21" s="392"/>
      <c r="K21" s="386">
        <f>IF(NOT(ISERROR(MATCH(J21,_xlfn.ANCHORARRAY(E32),0))),I34&amp;"Por favor no seleccionar los criterios de impacto",J21)</f>
        <v>0</v>
      </c>
      <c r="L21" s="395"/>
      <c r="M21" s="386"/>
      <c r="N21" s="389"/>
      <c r="O21" s="6">
        <v>2</v>
      </c>
      <c r="P21" s="180" t="s">
        <v>191</v>
      </c>
      <c r="Q21" s="163" t="str">
        <f>IF(OR(R21="Preventivo",R21="Detectivo"),"Probabilidad",IF(R21="Correctivo","Impacto",""))</f>
        <v>Probabilidad</v>
      </c>
      <c r="R21" s="170" t="s">
        <v>171</v>
      </c>
      <c r="S21" s="170" t="s">
        <v>172</v>
      </c>
      <c r="T21" s="171" t="str">
        <f t="shared" ref="T21:T25" si="8">IF(AND(R21="Preventivo",S21="Automático"),"50%",IF(AND(R21="Preventivo",S21="Manual"),"40%",IF(AND(R21="Detectivo",S21="Automático"),"40%",IF(AND(R21="Detectivo",S21="Manual"),"30%",IF(AND(R21="Correctivo",S21="Automático"),"35%",IF(AND(R21="Correctivo",S21="Manual"),"25%",""))))))</f>
        <v>40%</v>
      </c>
      <c r="U21" s="170" t="s">
        <v>173</v>
      </c>
      <c r="V21" s="170" t="s">
        <v>174</v>
      </c>
      <c r="W21" s="170" t="s">
        <v>175</v>
      </c>
      <c r="X21" s="160">
        <f>IFERROR(IF(AND(Q20="Probabilidad",Q21="Probabilidad"),(Z20-(+Z20*T21)),IF(Q21="Probabilidad",(I20-(+I20*T21)),IF(Q21="Impacto",Z20,""))),"")</f>
        <v>0.16800000000000001</v>
      </c>
      <c r="Y21" s="172" t="str">
        <f t="shared" si="1"/>
        <v>Muy Baja</v>
      </c>
      <c r="Z21" s="173">
        <f t="shared" ref="Z21:Z25" si="9">+X21</f>
        <v>0.16800000000000001</v>
      </c>
      <c r="AA21" s="172" t="str">
        <f t="shared" si="3"/>
        <v>Mayor</v>
      </c>
      <c r="AB21" s="173">
        <f>IFERROR(IF(AND(Q20="Impacto",Q21="Impacto"),(AB20-(+AB20*T21)),IF(Q21="Impacto",(M20-(+M20*T21)),IF(Q21="Probabilidad",AB20,""))),"")</f>
        <v>0.8</v>
      </c>
      <c r="AC21" s="174"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75" t="s">
        <v>176</v>
      </c>
      <c r="AE21" s="180" t="s">
        <v>192</v>
      </c>
      <c r="AF21" s="179" t="s">
        <v>180</v>
      </c>
      <c r="AG21" s="190">
        <v>45001</v>
      </c>
      <c r="AH21" s="190">
        <v>45275</v>
      </c>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78" customHeight="1" x14ac:dyDescent="0.3">
      <c r="A22" s="342"/>
      <c r="B22" s="413"/>
      <c r="C22" s="413"/>
      <c r="D22" s="413"/>
      <c r="E22" s="425"/>
      <c r="F22" s="413"/>
      <c r="G22" s="410"/>
      <c r="H22" s="395"/>
      <c r="I22" s="386"/>
      <c r="J22" s="392"/>
      <c r="K22" s="386">
        <f>IF(NOT(ISERROR(MATCH(J22,_xlfn.ANCHORARRAY(E33),0))),I35&amp;"Por favor no seleccionar los criterios de impacto",J22)</f>
        <v>0</v>
      </c>
      <c r="L22" s="395"/>
      <c r="M22" s="386"/>
      <c r="N22" s="389"/>
      <c r="O22" s="6">
        <v>3</v>
      </c>
      <c r="P22" s="180" t="s">
        <v>193</v>
      </c>
      <c r="Q22" s="163" t="str">
        <f>IF(OR(R22="Preventivo",R22="Detectivo"),"Probabilidad",IF(R22="Correctivo","Impacto",""))</f>
        <v>Probabilidad</v>
      </c>
      <c r="R22" s="170" t="s">
        <v>171</v>
      </c>
      <c r="S22" s="170" t="s">
        <v>172</v>
      </c>
      <c r="T22" s="171" t="str">
        <f t="shared" si="8"/>
        <v>40%</v>
      </c>
      <c r="U22" s="170" t="s">
        <v>173</v>
      </c>
      <c r="V22" s="170" t="s">
        <v>174</v>
      </c>
      <c r="W22" s="170" t="s">
        <v>175</v>
      </c>
      <c r="X22" s="160">
        <f>IFERROR(IF(AND(Q21="Probabilidad",Q22="Probabilidad"),(Z21-(+Z21*T22)),IF(AND(Q21="Impacto",Q22="Probabilidad"),(Z20-(+Z20*T22)),IF(Q22="Impacto",Z21,""))),"")</f>
        <v>0.1008</v>
      </c>
      <c r="Y22" s="172" t="str">
        <f t="shared" si="1"/>
        <v>Muy Baja</v>
      </c>
      <c r="Z22" s="173">
        <f t="shared" si="9"/>
        <v>0.1008</v>
      </c>
      <c r="AA22" s="172" t="str">
        <f t="shared" si="3"/>
        <v>Mayor</v>
      </c>
      <c r="AB22" s="173">
        <f>IFERROR(IF(AND(Q21="Impacto",Q22="Impacto"),(AB21-(+AB21*T22)),IF(AND(Q21="Probabilidad",Q22="Impacto"),(AB20-(+AB20*T22)),IF(Q22="Probabilidad",AB21,""))),"")</f>
        <v>0.8</v>
      </c>
      <c r="AC22" s="174" t="str">
        <f t="shared" si="10"/>
        <v>Alto</v>
      </c>
      <c r="AD22" s="175" t="s">
        <v>176</v>
      </c>
      <c r="AE22" s="180" t="s">
        <v>194</v>
      </c>
      <c r="AF22" s="179" t="s">
        <v>180</v>
      </c>
      <c r="AG22" s="190">
        <v>45001</v>
      </c>
      <c r="AH22" s="190">
        <v>45275</v>
      </c>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2" customHeight="1" x14ac:dyDescent="0.3">
      <c r="A23" s="342"/>
      <c r="B23" s="413"/>
      <c r="C23" s="413"/>
      <c r="D23" s="413"/>
      <c r="E23" s="425"/>
      <c r="F23" s="413"/>
      <c r="G23" s="410"/>
      <c r="H23" s="395"/>
      <c r="I23" s="386"/>
      <c r="J23" s="392"/>
      <c r="K23" s="386">
        <f>IF(NOT(ISERROR(MATCH(J23,_xlfn.ANCHORARRAY(E34),0))),I36&amp;"Por favor no seleccionar los criterios de impacto",J23)</f>
        <v>0</v>
      </c>
      <c r="L23" s="395"/>
      <c r="M23" s="386"/>
      <c r="N23" s="389"/>
      <c r="O23" s="6">
        <v>4</v>
      </c>
      <c r="P23" s="180"/>
      <c r="Q23" s="106" t="str">
        <f t="shared" ref="Q23:Q25" si="11">IF(OR(R23="Preventivo",R23="Detectivo"),"Probabilidad",IF(R23="Correctivo","Impacto",""))</f>
        <v/>
      </c>
      <c r="R23" s="107"/>
      <c r="S23" s="107"/>
      <c r="T23" s="108" t="str">
        <f t="shared" si="8"/>
        <v/>
      </c>
      <c r="U23" s="107"/>
      <c r="V23" s="107"/>
      <c r="W23" s="107"/>
      <c r="X23" s="109" t="str">
        <f t="shared" ref="X23:X25" si="12">IFERROR(IF(AND(Q22="Probabilidad",Q23="Probabilidad"),(Z22-(+Z22*T23)),IF(AND(Q22="Impacto",Q23="Probabilidad"),(Z21-(+Z21*T23)),IF(Q23="Impacto",Z22,""))),"")</f>
        <v/>
      </c>
      <c r="Y23" s="110" t="str">
        <f t="shared" si="1"/>
        <v/>
      </c>
      <c r="Z23" s="111" t="str">
        <f t="shared" si="9"/>
        <v/>
      </c>
      <c r="AA23" s="110" t="str">
        <f t="shared" si="3"/>
        <v/>
      </c>
      <c r="AB23" s="111" t="str">
        <f t="shared" ref="AB23:AB25" si="13">IFERROR(IF(AND(Q22="Impacto",Q23="Impacto"),(AB22-(+AB22*T23)),IF(AND(Q22="Probabilidad",Q23="Impacto"),(AB21-(+AB21*T23)),IF(Q23="Probabilidad",AB22,""))),"")</f>
        <v/>
      </c>
      <c r="AC23" s="112"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3"/>
      <c r="AE23" s="180"/>
      <c r="AF23" s="191"/>
      <c r="AG23" s="192"/>
      <c r="AH23" s="192"/>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2" customHeight="1" x14ac:dyDescent="0.3">
      <c r="A24" s="342"/>
      <c r="B24" s="413"/>
      <c r="C24" s="413"/>
      <c r="D24" s="413"/>
      <c r="E24" s="425"/>
      <c r="F24" s="413"/>
      <c r="G24" s="410"/>
      <c r="H24" s="395"/>
      <c r="I24" s="386"/>
      <c r="J24" s="392"/>
      <c r="K24" s="386">
        <f>IF(NOT(ISERROR(MATCH(J24,_xlfn.ANCHORARRAY(E35),0))),I37&amp;"Por favor no seleccionar los criterios de impacto",J24)</f>
        <v>0</v>
      </c>
      <c r="L24" s="395"/>
      <c r="M24" s="386"/>
      <c r="N24" s="389"/>
      <c r="O24" s="6">
        <v>5</v>
      </c>
      <c r="P24" s="180"/>
      <c r="Q24" s="106" t="str">
        <f t="shared" si="11"/>
        <v/>
      </c>
      <c r="R24" s="107"/>
      <c r="S24" s="107"/>
      <c r="T24" s="108" t="str">
        <f t="shared" si="8"/>
        <v/>
      </c>
      <c r="U24" s="107"/>
      <c r="V24" s="107"/>
      <c r="W24" s="107"/>
      <c r="X24" s="109" t="str">
        <f t="shared" si="12"/>
        <v/>
      </c>
      <c r="Y24" s="110" t="str">
        <f t="shared" si="1"/>
        <v/>
      </c>
      <c r="Z24" s="111" t="str">
        <f t="shared" si="9"/>
        <v/>
      </c>
      <c r="AA24" s="110" t="str">
        <f t="shared" si="3"/>
        <v/>
      </c>
      <c r="AB24" s="111" t="str">
        <f t="shared" si="13"/>
        <v/>
      </c>
      <c r="AC24" s="112"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3"/>
      <c r="AE24" s="180"/>
      <c r="AF24" s="191"/>
      <c r="AG24" s="192"/>
      <c r="AH24" s="192"/>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2" customHeight="1" x14ac:dyDescent="0.3">
      <c r="A25" s="343"/>
      <c r="B25" s="414"/>
      <c r="C25" s="414"/>
      <c r="D25" s="414"/>
      <c r="E25" s="426"/>
      <c r="F25" s="414"/>
      <c r="G25" s="411"/>
      <c r="H25" s="396"/>
      <c r="I25" s="387"/>
      <c r="J25" s="393"/>
      <c r="K25" s="387">
        <f>IF(NOT(ISERROR(MATCH(J25,_xlfn.ANCHORARRAY(E36),0))),I38&amp;"Por favor no seleccionar los criterios de impacto",J25)</f>
        <v>0</v>
      </c>
      <c r="L25" s="396"/>
      <c r="M25" s="387"/>
      <c r="N25" s="390"/>
      <c r="O25" s="6">
        <v>6</v>
      </c>
      <c r="P25" s="180"/>
      <c r="Q25" s="106" t="str">
        <f t="shared" si="11"/>
        <v/>
      </c>
      <c r="R25" s="107"/>
      <c r="S25" s="107"/>
      <c r="T25" s="108" t="str">
        <f t="shared" si="8"/>
        <v/>
      </c>
      <c r="U25" s="107"/>
      <c r="V25" s="107"/>
      <c r="W25" s="107"/>
      <c r="X25" s="109" t="str">
        <f t="shared" si="12"/>
        <v/>
      </c>
      <c r="Y25" s="110" t="str">
        <f t="shared" si="1"/>
        <v/>
      </c>
      <c r="Z25" s="111" t="str">
        <f t="shared" si="9"/>
        <v/>
      </c>
      <c r="AA25" s="110" t="str">
        <f t="shared" si="3"/>
        <v/>
      </c>
      <c r="AB25" s="111" t="str">
        <f t="shared" si="13"/>
        <v/>
      </c>
      <c r="AC25" s="112" t="str">
        <f t="shared" si="14"/>
        <v/>
      </c>
      <c r="AD25" s="113"/>
      <c r="AE25" s="180"/>
      <c r="AF25" s="191"/>
      <c r="AG25" s="192"/>
      <c r="AH25" s="192"/>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79.5" customHeight="1" x14ac:dyDescent="0.3">
      <c r="A26" s="341">
        <v>3</v>
      </c>
      <c r="B26" s="412" t="s">
        <v>182</v>
      </c>
      <c r="C26" s="412" t="s">
        <v>195</v>
      </c>
      <c r="D26" s="412" t="s">
        <v>196</v>
      </c>
      <c r="E26" s="424" t="s">
        <v>197</v>
      </c>
      <c r="F26" s="412" t="s">
        <v>168</v>
      </c>
      <c r="G26" s="409">
        <v>15</v>
      </c>
      <c r="H26" s="394" t="str">
        <f>IF(G26&lt;=0,"",IF(G26&lt;=2,"Muy Baja",IF(G26&lt;=24,"Baja",IF(G26&lt;=500,"Media",IF(G26&lt;=5000,"Alta","Muy Alta")))))</f>
        <v>Baja</v>
      </c>
      <c r="I26" s="385">
        <f>IF(H26="","",IF(H26="Muy Baja",0.2,IF(H26="Baja",0.4,IF(H26="Media",0.6,IF(H26="Alta",0.8,IF(H26="Muy Alta",1,))))))</f>
        <v>0.4</v>
      </c>
      <c r="J26" s="391" t="s">
        <v>187</v>
      </c>
      <c r="K26" s="385" t="str">
        <f>IF(NOT(ISERROR(MATCH(J26,'Tabla Impacto'!$B$221:$B$223,0))),'Tabla Impacto'!$F$223&amp;"Por favor no seleccionar los criterios de impacto(Afectación Económica o presupuestal y Pérdida Reputacional)",J26)</f>
        <v xml:space="preserve">     El riesgo afecta la imagen de de la entidad con efecto publicitario sostenido a nivel de sector administrativo, nivel departamental o municipal</v>
      </c>
      <c r="L26" s="394" t="str">
        <f>IF(OR(K26='Tabla Impacto'!$C$11,K26='Tabla Impacto'!$D$11),"Leve",IF(OR(K26='Tabla Impacto'!$C$12,K26='Tabla Impacto'!$D$12),"Menor",IF(OR(K26='Tabla Impacto'!$C$13,K26='Tabla Impacto'!$D$13),"Moderado",IF(OR(K26='Tabla Impacto'!$C$14,K26='Tabla Impacto'!$D$14),"Mayor",IF(OR(K26='Tabla Impacto'!$C$15,K26='Tabla Impacto'!$D$15),"Catastrófico","")))))</f>
        <v>Mayor</v>
      </c>
      <c r="M26" s="385">
        <f>IF(L26="","",IF(L26="Leve",0.2,IF(L26="Menor",0.4,IF(L26="Moderado",0.6,IF(L26="Mayor",0.8,IF(L26="Catastrófico",1,))))))</f>
        <v>0.8</v>
      </c>
      <c r="N26" s="38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6">
        <v>1</v>
      </c>
      <c r="P26" s="186" t="s">
        <v>198</v>
      </c>
      <c r="Q26" s="163" t="str">
        <f>IF(OR(R26="Preventivo",R26="Detectivo"),"Probabilidad",IF(R26="Correctivo","Impacto",""))</f>
        <v>Probabilidad</v>
      </c>
      <c r="R26" s="170" t="s">
        <v>171</v>
      </c>
      <c r="S26" s="170" t="s">
        <v>172</v>
      </c>
      <c r="T26" s="171" t="str">
        <f>IF(AND(R26="Preventivo",S26="Automático"),"50%",IF(AND(R26="Preventivo",S26="Manual"),"40%",IF(AND(R26="Detectivo",S26="Automático"),"40%",IF(AND(R26="Detectivo",S26="Manual"),"30%",IF(AND(R26="Correctivo",S26="Automático"),"35%",IF(AND(R26="Correctivo",S26="Manual"),"25%",""))))))</f>
        <v>40%</v>
      </c>
      <c r="U26" s="170" t="s">
        <v>173</v>
      </c>
      <c r="V26" s="170" t="s">
        <v>174</v>
      </c>
      <c r="W26" s="170" t="s">
        <v>175</v>
      </c>
      <c r="X26" s="160">
        <f>IFERROR(IF(Q26="Probabilidad",(I26-(+I26*T26)),IF(Q26="Impacto",I26,"")),"")</f>
        <v>0.24</v>
      </c>
      <c r="Y26" s="172" t="str">
        <f>IFERROR(IF(X26="","",IF(X26&lt;=0.2,"Muy Baja",IF(X26&lt;=0.4,"Baja",IF(X26&lt;=0.6,"Media",IF(X26&lt;=0.8,"Alta","Muy Alta"))))),"")</f>
        <v>Baja</v>
      </c>
      <c r="Z26" s="173">
        <f>+X26</f>
        <v>0.24</v>
      </c>
      <c r="AA26" s="172" t="str">
        <f>IFERROR(IF(AB26="","",IF(AB26&lt;=0.2,"Leve",IF(AB26&lt;=0.4,"Menor",IF(AB26&lt;=0.6,"Moderado",IF(AB26&lt;=0.8,"Mayor","Catastrófico"))))),"")</f>
        <v>Mayor</v>
      </c>
      <c r="AB26" s="173">
        <f>IFERROR(IF(Q26="Impacto",(M26-(+M26*T26)),IF(Q26="Probabilidad",M26,"")),"")</f>
        <v>0.8</v>
      </c>
      <c r="AC26" s="174"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75" t="s">
        <v>176</v>
      </c>
      <c r="AE26" s="180" t="s">
        <v>199</v>
      </c>
      <c r="AF26" s="177" t="s">
        <v>180</v>
      </c>
      <c r="AG26" s="190">
        <v>45001</v>
      </c>
      <c r="AH26" s="190">
        <v>45275</v>
      </c>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2" customHeight="1" x14ac:dyDescent="0.3">
      <c r="A27" s="342"/>
      <c r="B27" s="413"/>
      <c r="C27" s="413"/>
      <c r="D27" s="413"/>
      <c r="E27" s="425"/>
      <c r="F27" s="413"/>
      <c r="G27" s="410"/>
      <c r="H27" s="395"/>
      <c r="I27" s="386"/>
      <c r="J27" s="392"/>
      <c r="K27" s="386">
        <f>IF(NOT(ISERROR(MATCH(J27,_xlfn.ANCHORARRAY(E38),0))),I40&amp;"Por favor no seleccionar los criterios de impacto",J27)</f>
        <v>0</v>
      </c>
      <c r="L27" s="395"/>
      <c r="M27" s="386"/>
      <c r="N27" s="389"/>
      <c r="O27" s="6">
        <v>2</v>
      </c>
      <c r="P27" s="180"/>
      <c r="Q27" s="106" t="str">
        <f>IF(OR(R27="Preventivo",R27="Detectivo"),"Probabilidad",IF(R27="Correctivo","Impacto",""))</f>
        <v/>
      </c>
      <c r="R27" s="170"/>
      <c r="S27" s="170"/>
      <c r="T27" s="171" t="str">
        <f t="shared" ref="T27:T47" si="15">IF(AND(R27="Preventivo",S27="Automático"),"50%",IF(AND(R27="Preventivo",S27="Manual"),"40%",IF(AND(R27="Detectivo",S27="Automático"),"40%",IF(AND(R27="Detectivo",S27="Manual"),"30%",IF(AND(R27="Correctivo",S27="Automático"),"35%",IF(AND(R27="Correctivo",S27="Manual"),"25%",""))))))</f>
        <v/>
      </c>
      <c r="U27" s="170"/>
      <c r="V27" s="170"/>
      <c r="W27" s="170"/>
      <c r="X27" s="160" t="str">
        <f>IFERROR(IF(AND(Q26="Probabilidad",Q27="Probabilidad"),(Z26-(+Z26*T27)),IF(Q27="Probabilidad",(I26-(+I26*T27)),IF(Q27="Impacto",Z26,""))),"")</f>
        <v/>
      </c>
      <c r="Y27" s="172" t="str">
        <f t="shared" si="1"/>
        <v/>
      </c>
      <c r="Z27" s="173" t="str">
        <f t="shared" ref="Z27:Z31" si="16">+X27</f>
        <v/>
      </c>
      <c r="AA27" s="172" t="str">
        <f t="shared" si="3"/>
        <v/>
      </c>
      <c r="AB27" s="173" t="str">
        <f>IFERROR(IF(AND(Q26="Impacto",Q27="Impacto"),(AB26-(+AB26*T27)),IF(Q27="Impacto",(M26-(+M26*T27)),IF(Q27="Probabilidad",AB26,""))),"")</f>
        <v/>
      </c>
      <c r="AC27" s="174"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5"/>
      <c r="AE27" s="180"/>
      <c r="AF27" s="176"/>
      <c r="AG27" s="192"/>
      <c r="AH27" s="192"/>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2" customHeight="1" x14ac:dyDescent="0.3">
      <c r="A28" s="342"/>
      <c r="B28" s="413"/>
      <c r="C28" s="413"/>
      <c r="D28" s="413"/>
      <c r="E28" s="425"/>
      <c r="F28" s="413"/>
      <c r="G28" s="410"/>
      <c r="H28" s="395"/>
      <c r="I28" s="386"/>
      <c r="J28" s="392"/>
      <c r="K28" s="386">
        <f>IF(NOT(ISERROR(MATCH(J28,_xlfn.ANCHORARRAY(E39),0))),I41&amp;"Por favor no seleccionar los criterios de impacto",J28)</f>
        <v>0</v>
      </c>
      <c r="L28" s="395"/>
      <c r="M28" s="386"/>
      <c r="N28" s="389"/>
      <c r="O28" s="6">
        <v>3</v>
      </c>
      <c r="P28" s="181"/>
      <c r="Q28" s="106" t="str">
        <f>IF(OR(R28="Preventivo",R28="Detectivo"),"Probabilidad",IF(R28="Correctivo","Impacto",""))</f>
        <v/>
      </c>
      <c r="R28" s="107"/>
      <c r="S28" s="107"/>
      <c r="T28" s="171" t="str">
        <f t="shared" si="15"/>
        <v/>
      </c>
      <c r="U28" s="107"/>
      <c r="V28" s="107"/>
      <c r="W28" s="107"/>
      <c r="X28" s="109" t="str">
        <f>IFERROR(IF(AND(Q27="Probabilidad",Q28="Probabilidad"),(Z27-(+Z27*T28)),IF(AND(Q27="Impacto",Q28="Probabilidad"),(Z26-(+Z26*T28)),IF(Q28="Impacto",Z27,""))),"")</f>
        <v/>
      </c>
      <c r="Y28" s="110" t="str">
        <f t="shared" si="1"/>
        <v/>
      </c>
      <c r="Z28" s="111" t="str">
        <f t="shared" si="16"/>
        <v/>
      </c>
      <c r="AA28" s="110" t="str">
        <f t="shared" si="3"/>
        <v/>
      </c>
      <c r="AB28" s="111" t="str">
        <f>IFERROR(IF(AND(Q27="Impacto",Q28="Impacto"),(AB27-(+AB27*T28)),IF(AND(Q27="Probabilidad",Q28="Impacto"),(AB26-(+AB26*T28)),IF(Q28="Probabilidad",AB27,""))),"")</f>
        <v/>
      </c>
      <c r="AC28" s="112" t="str">
        <f t="shared" si="17"/>
        <v/>
      </c>
      <c r="AD28" s="113"/>
      <c r="AE28" s="180"/>
      <c r="AF28" s="191"/>
      <c r="AG28" s="192"/>
      <c r="AH28" s="192"/>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2" customHeight="1" x14ac:dyDescent="0.3">
      <c r="A29" s="342"/>
      <c r="B29" s="413"/>
      <c r="C29" s="413"/>
      <c r="D29" s="413"/>
      <c r="E29" s="425"/>
      <c r="F29" s="413"/>
      <c r="G29" s="410"/>
      <c r="H29" s="395"/>
      <c r="I29" s="386"/>
      <c r="J29" s="392"/>
      <c r="K29" s="386">
        <f>IF(NOT(ISERROR(MATCH(J29,_xlfn.ANCHORARRAY(E40),0))),I42&amp;"Por favor no seleccionar los criterios de impacto",J29)</f>
        <v>0</v>
      </c>
      <c r="L29" s="395"/>
      <c r="M29" s="386"/>
      <c r="N29" s="389"/>
      <c r="O29" s="6">
        <v>4</v>
      </c>
      <c r="P29" s="180"/>
      <c r="Q29" s="106" t="str">
        <f t="shared" ref="Q29:Q31" si="18">IF(OR(R29="Preventivo",R29="Detectivo"),"Probabilidad",IF(R29="Correctivo","Impacto",""))</f>
        <v/>
      </c>
      <c r="R29" s="107"/>
      <c r="S29" s="107"/>
      <c r="T29" s="171" t="str">
        <f t="shared" si="15"/>
        <v/>
      </c>
      <c r="U29" s="107"/>
      <c r="V29" s="107"/>
      <c r="W29" s="107"/>
      <c r="X29" s="109" t="str">
        <f t="shared" ref="X29:X31" si="19">IFERROR(IF(AND(Q28="Probabilidad",Q29="Probabilidad"),(Z28-(+Z28*T29)),IF(AND(Q28="Impacto",Q29="Probabilidad"),(Z27-(+Z27*T29)),IF(Q29="Impacto",Z28,""))),"")</f>
        <v/>
      </c>
      <c r="Y29" s="110" t="str">
        <f t="shared" si="1"/>
        <v/>
      </c>
      <c r="Z29" s="111" t="str">
        <f t="shared" si="16"/>
        <v/>
      </c>
      <c r="AA29" s="110" t="str">
        <f t="shared" si="3"/>
        <v/>
      </c>
      <c r="AB29" s="111" t="str">
        <f t="shared" ref="AB29:AB31" si="20">IFERROR(IF(AND(Q28="Impacto",Q29="Impacto"),(AB28-(+AB28*T29)),IF(AND(Q28="Probabilidad",Q29="Impacto"),(AB27-(+AB27*T29)),IF(Q29="Probabilidad",AB28,""))),"")</f>
        <v/>
      </c>
      <c r="AC29" s="112"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3"/>
      <c r="AE29" s="180"/>
      <c r="AF29" s="191"/>
      <c r="AG29" s="192"/>
      <c r="AH29" s="192"/>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 customHeight="1" x14ac:dyDescent="0.3">
      <c r="A30" s="342"/>
      <c r="B30" s="413"/>
      <c r="C30" s="413"/>
      <c r="D30" s="413"/>
      <c r="E30" s="425"/>
      <c r="F30" s="413"/>
      <c r="G30" s="410"/>
      <c r="H30" s="395"/>
      <c r="I30" s="386"/>
      <c r="J30" s="392"/>
      <c r="K30" s="386">
        <f>IF(NOT(ISERROR(MATCH(J30,_xlfn.ANCHORARRAY(E41),0))),I43&amp;"Por favor no seleccionar los criterios de impacto",J30)</f>
        <v>0</v>
      </c>
      <c r="L30" s="395"/>
      <c r="M30" s="386"/>
      <c r="N30" s="389"/>
      <c r="O30" s="6">
        <v>5</v>
      </c>
      <c r="P30" s="180"/>
      <c r="Q30" s="106" t="str">
        <f t="shared" si="18"/>
        <v/>
      </c>
      <c r="R30" s="107"/>
      <c r="S30" s="107"/>
      <c r="T30" s="171" t="str">
        <f t="shared" si="15"/>
        <v/>
      </c>
      <c r="U30" s="107"/>
      <c r="V30" s="107"/>
      <c r="W30" s="107"/>
      <c r="X30" s="109" t="str">
        <f t="shared" si="19"/>
        <v/>
      </c>
      <c r="Y30" s="110" t="str">
        <f t="shared" si="1"/>
        <v/>
      </c>
      <c r="Z30" s="111" t="str">
        <f t="shared" si="16"/>
        <v/>
      </c>
      <c r="AA30" s="110" t="str">
        <f t="shared" si="3"/>
        <v/>
      </c>
      <c r="AB30" s="111" t="str">
        <f t="shared" si="20"/>
        <v/>
      </c>
      <c r="AC30" s="112"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3"/>
      <c r="AE30" s="180"/>
      <c r="AF30" s="191"/>
      <c r="AG30" s="192"/>
      <c r="AH30" s="192"/>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2" customHeight="1" x14ac:dyDescent="0.3">
      <c r="A31" s="343"/>
      <c r="B31" s="414"/>
      <c r="C31" s="414"/>
      <c r="D31" s="414"/>
      <c r="E31" s="426"/>
      <c r="F31" s="414"/>
      <c r="G31" s="411"/>
      <c r="H31" s="396"/>
      <c r="I31" s="387"/>
      <c r="J31" s="393"/>
      <c r="K31" s="387">
        <f>IF(NOT(ISERROR(MATCH(J31,_xlfn.ANCHORARRAY(E42),0))),I44&amp;"Por favor no seleccionar los criterios de impacto",J31)</f>
        <v>0</v>
      </c>
      <c r="L31" s="396"/>
      <c r="M31" s="387"/>
      <c r="N31" s="390"/>
      <c r="O31" s="6">
        <v>6</v>
      </c>
      <c r="P31" s="180"/>
      <c r="Q31" s="106" t="str">
        <f t="shared" si="18"/>
        <v/>
      </c>
      <c r="R31" s="107"/>
      <c r="S31" s="107"/>
      <c r="T31" s="171" t="str">
        <f t="shared" si="15"/>
        <v/>
      </c>
      <c r="U31" s="107"/>
      <c r="V31" s="107"/>
      <c r="W31" s="107"/>
      <c r="X31" s="109" t="str">
        <f t="shared" si="19"/>
        <v/>
      </c>
      <c r="Y31" s="110" t="str">
        <f t="shared" si="1"/>
        <v/>
      </c>
      <c r="Z31" s="111" t="str">
        <f t="shared" si="16"/>
        <v/>
      </c>
      <c r="AA31" s="110" t="str">
        <f t="shared" si="3"/>
        <v/>
      </c>
      <c r="AB31" s="111" t="str">
        <f t="shared" si="20"/>
        <v/>
      </c>
      <c r="AC31" s="112" t="str">
        <f t="shared" si="21"/>
        <v/>
      </c>
      <c r="AD31" s="113"/>
      <c r="AE31" s="180"/>
      <c r="AF31" s="191"/>
      <c r="AG31" s="192"/>
      <c r="AH31" s="192"/>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84" customHeight="1" x14ac:dyDescent="0.3">
      <c r="A32" s="341">
        <v>4</v>
      </c>
      <c r="B32" s="412" t="s">
        <v>182</v>
      </c>
      <c r="C32" s="412" t="s">
        <v>195</v>
      </c>
      <c r="D32" s="412" t="s">
        <v>200</v>
      </c>
      <c r="E32" s="424" t="s">
        <v>201</v>
      </c>
      <c r="F32" s="412" t="s">
        <v>168</v>
      </c>
      <c r="G32" s="409">
        <v>25</v>
      </c>
      <c r="H32" s="394" t="str">
        <f>IF(G32&lt;=0,"",IF(G32&lt;=2,"Muy Baja",IF(G32&lt;=24,"Baja",IF(G32&lt;=500,"Media",IF(G32&lt;=5000,"Alta","Muy Alta")))))</f>
        <v>Media</v>
      </c>
      <c r="I32" s="385">
        <f>IF(H32="","",IF(H32="Muy Baja",0.2,IF(H32="Baja",0.4,IF(H32="Media",0.6,IF(H32="Alta",0.8,IF(H32="Muy Alta",1,))))))</f>
        <v>0.6</v>
      </c>
      <c r="J32" s="391" t="s">
        <v>187</v>
      </c>
      <c r="K32" s="385" t="str">
        <f>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2" s="394" t="str">
        <f>IF(OR(K32='Tabla Impacto'!$C$11,K32='Tabla Impacto'!$D$11),"Leve",IF(OR(K32='Tabla Impacto'!$C$12,K32='Tabla Impacto'!$D$12),"Menor",IF(OR(K32='Tabla Impacto'!$C$13,K32='Tabla Impacto'!$D$13),"Moderado",IF(OR(K32='Tabla Impacto'!$C$14,K32='Tabla Impacto'!$D$14),"Mayor",IF(OR(K32='Tabla Impacto'!$C$15,K32='Tabla Impacto'!$D$15),"Catastrófico","")))))</f>
        <v>Mayor</v>
      </c>
      <c r="M32" s="385">
        <f>IF(L32="","",IF(L32="Leve",0.2,IF(L32="Menor",0.4,IF(L32="Moderado",0.6,IF(L32="Mayor",0.8,IF(L32="Catastrófico",1,))))))</f>
        <v>0.8</v>
      </c>
      <c r="N32" s="388"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6">
        <v>1</v>
      </c>
      <c r="P32" s="180" t="s">
        <v>202</v>
      </c>
      <c r="Q32" s="163" t="str">
        <f>IF(OR(R32="Preventivo",R32="Detectivo"),"Probabilidad",IF(R32="Correctivo","Impacto",""))</f>
        <v>Probabilidad</v>
      </c>
      <c r="R32" s="170" t="s">
        <v>189</v>
      </c>
      <c r="S32" s="170" t="s">
        <v>172</v>
      </c>
      <c r="T32" s="171" t="str">
        <f t="shared" si="15"/>
        <v>30%</v>
      </c>
      <c r="U32" s="170" t="s">
        <v>173</v>
      </c>
      <c r="V32" s="170" t="s">
        <v>174</v>
      </c>
      <c r="W32" s="170" t="s">
        <v>175</v>
      </c>
      <c r="X32" s="160">
        <f>IFERROR(IF(Q32="Probabilidad",(I32-(+I32*T32)),IF(Q32="Impacto",I32,"")),"")</f>
        <v>0.42</v>
      </c>
      <c r="Y32" s="172" t="str">
        <f>IFERROR(IF(X32="","",IF(X32&lt;=0.2,"Muy Baja",IF(X32&lt;=0.4,"Baja",IF(X32&lt;=0.6,"Media",IF(X32&lt;=0.8,"Alta","Muy Alta"))))),"")</f>
        <v>Media</v>
      </c>
      <c r="Z32" s="173">
        <f>+X32</f>
        <v>0.42</v>
      </c>
      <c r="AA32" s="172" t="str">
        <f>IFERROR(IF(AB32="","",IF(AB32&lt;=0.2,"Leve",IF(AB32&lt;=0.4,"Menor",IF(AB32&lt;=0.6,"Moderado",IF(AB32&lt;=0.8,"Mayor","Catastrófico"))))),"")</f>
        <v>Mayor</v>
      </c>
      <c r="AB32" s="173">
        <f>IFERROR(IF(Q32="Impacto",(M32-(+M32*T32)),IF(Q32="Probabilidad",M32,"")),"")</f>
        <v>0.8</v>
      </c>
      <c r="AC32" s="174"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75" t="s">
        <v>176</v>
      </c>
      <c r="AE32" s="180" t="s">
        <v>203</v>
      </c>
      <c r="AF32" s="177" t="s">
        <v>180</v>
      </c>
      <c r="AG32" s="190">
        <v>45001</v>
      </c>
      <c r="AH32" s="190">
        <v>45275</v>
      </c>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2" customHeight="1" x14ac:dyDescent="0.3">
      <c r="A33" s="342"/>
      <c r="B33" s="413"/>
      <c r="C33" s="413"/>
      <c r="D33" s="413"/>
      <c r="E33" s="425"/>
      <c r="F33" s="413"/>
      <c r="G33" s="410"/>
      <c r="H33" s="395"/>
      <c r="I33" s="386"/>
      <c r="J33" s="392"/>
      <c r="K33" s="386">
        <f>IF(NOT(ISERROR(MATCH(J33,_xlfn.ANCHORARRAY(E44),0))),I46&amp;"Por favor no seleccionar los criterios de impacto",J33)</f>
        <v>0</v>
      </c>
      <c r="L33" s="395"/>
      <c r="M33" s="386"/>
      <c r="N33" s="389"/>
      <c r="O33" s="6">
        <v>2</v>
      </c>
      <c r="P33" s="180"/>
      <c r="Q33" s="163" t="str">
        <f t="shared" ref="Q33:Q49" si="22">IF(OR(R33="Preventivo",R33="Detectivo"),"Probabilidad",IF(R33="Correctivo","Impacto",""))</f>
        <v/>
      </c>
      <c r="R33" s="107"/>
      <c r="S33" s="107"/>
      <c r="T33" s="171" t="str">
        <f t="shared" si="15"/>
        <v/>
      </c>
      <c r="U33" s="107"/>
      <c r="V33" s="107"/>
      <c r="W33" s="107"/>
      <c r="X33" s="109" t="str">
        <f>IFERROR(IF(AND(Q32="Probabilidad",Q33="Probabilidad"),(Z32-(+Z32*T33)),IF(Q33="Probabilidad",(I32-(+I32*T33)),IF(Q33="Impacto",Z32,""))),"")</f>
        <v/>
      </c>
      <c r="Y33" s="110" t="str">
        <f t="shared" si="1"/>
        <v/>
      </c>
      <c r="Z33" s="111" t="str">
        <f t="shared" ref="Z33:Z37" si="23">+X33</f>
        <v/>
      </c>
      <c r="AA33" s="110" t="str">
        <f t="shared" si="3"/>
        <v/>
      </c>
      <c r="AB33" s="111" t="str">
        <f>IFERROR(IF(AND(Q32="Impacto",Q33="Impacto"),(AB32-(+AB32*T33)),IF(Q33="Impacto",(M32-(+M32*T33)),IF(Q33="Probabilidad",AB32,""))),"")</f>
        <v/>
      </c>
      <c r="AC33" s="112"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80"/>
      <c r="AF33" s="191"/>
      <c r="AG33" s="192"/>
      <c r="AH33" s="192"/>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2" customHeight="1" x14ac:dyDescent="0.3">
      <c r="A34" s="342"/>
      <c r="B34" s="413"/>
      <c r="C34" s="413"/>
      <c r="D34" s="413"/>
      <c r="E34" s="425"/>
      <c r="F34" s="413"/>
      <c r="G34" s="410"/>
      <c r="H34" s="395"/>
      <c r="I34" s="386"/>
      <c r="J34" s="392"/>
      <c r="K34" s="386">
        <f>IF(NOT(ISERROR(MATCH(J34,_xlfn.ANCHORARRAY(E45),0))),I47&amp;"Por favor no seleccionar los criterios de impacto",J34)</f>
        <v>0</v>
      </c>
      <c r="L34" s="395"/>
      <c r="M34" s="386"/>
      <c r="N34" s="389"/>
      <c r="O34" s="6">
        <v>3</v>
      </c>
      <c r="P34" s="181"/>
      <c r="Q34" s="163" t="str">
        <f t="shared" si="22"/>
        <v/>
      </c>
      <c r="R34" s="107"/>
      <c r="S34" s="107"/>
      <c r="T34" s="171" t="str">
        <f t="shared" si="15"/>
        <v/>
      </c>
      <c r="U34" s="107"/>
      <c r="V34" s="107"/>
      <c r="W34" s="107"/>
      <c r="X34" s="109" t="str">
        <f>IFERROR(IF(AND(Q33="Probabilidad",Q34="Probabilidad"),(Z33-(+Z33*T34)),IF(AND(Q33="Impacto",Q34="Probabilidad"),(Z32-(+Z32*T34)),IF(Q34="Impacto",Z33,""))),"")</f>
        <v/>
      </c>
      <c r="Y34" s="110" t="str">
        <f t="shared" si="1"/>
        <v/>
      </c>
      <c r="Z34" s="111" t="str">
        <f t="shared" si="23"/>
        <v/>
      </c>
      <c r="AA34" s="110" t="str">
        <f t="shared" si="3"/>
        <v/>
      </c>
      <c r="AB34" s="111" t="str">
        <f>IFERROR(IF(AND(Q33="Impacto",Q34="Impacto"),(AB33-(+AB33*T34)),IF(AND(Q33="Probabilidad",Q34="Impacto"),(AB32-(+AB32*T34)),IF(Q34="Probabilidad",AB33,""))),"")</f>
        <v/>
      </c>
      <c r="AC34" s="112" t="str">
        <f t="shared" si="24"/>
        <v/>
      </c>
      <c r="AD34" s="113"/>
      <c r="AE34" s="180"/>
      <c r="AF34" s="191"/>
      <c r="AG34" s="192"/>
      <c r="AH34" s="192"/>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2" customHeight="1" x14ac:dyDescent="0.3">
      <c r="A35" s="342"/>
      <c r="B35" s="413"/>
      <c r="C35" s="413"/>
      <c r="D35" s="413"/>
      <c r="E35" s="425"/>
      <c r="F35" s="413"/>
      <c r="G35" s="410"/>
      <c r="H35" s="395"/>
      <c r="I35" s="386"/>
      <c r="J35" s="392"/>
      <c r="K35" s="386">
        <f>IF(NOT(ISERROR(MATCH(J35,_xlfn.ANCHORARRAY(E46),0))),I48&amp;"Por favor no seleccionar los criterios de impacto",J35)</f>
        <v>0</v>
      </c>
      <c r="L35" s="395"/>
      <c r="M35" s="386"/>
      <c r="N35" s="389"/>
      <c r="O35" s="6">
        <v>4</v>
      </c>
      <c r="P35" s="180"/>
      <c r="Q35" s="163" t="str">
        <f t="shared" si="22"/>
        <v/>
      </c>
      <c r="R35" s="107"/>
      <c r="S35" s="107"/>
      <c r="T35" s="171" t="str">
        <f t="shared" si="15"/>
        <v/>
      </c>
      <c r="U35" s="107"/>
      <c r="V35" s="107"/>
      <c r="W35" s="107"/>
      <c r="X35" s="109" t="str">
        <f t="shared" ref="X35:X37" si="25">IFERROR(IF(AND(Q34="Probabilidad",Q35="Probabilidad"),(Z34-(+Z34*T35)),IF(AND(Q34="Impacto",Q35="Probabilidad"),(Z33-(+Z33*T35)),IF(Q35="Impacto",Z34,""))),"")</f>
        <v/>
      </c>
      <c r="Y35" s="110" t="str">
        <f t="shared" si="1"/>
        <v/>
      </c>
      <c r="Z35" s="111" t="str">
        <f t="shared" si="23"/>
        <v/>
      </c>
      <c r="AA35" s="110" t="str">
        <f t="shared" si="3"/>
        <v/>
      </c>
      <c r="AB35" s="111" t="str">
        <f t="shared" ref="AB35:AB37" si="26">IFERROR(IF(AND(Q34="Impacto",Q35="Impacto"),(AB34-(+AB34*T35)),IF(AND(Q34="Probabilidad",Q35="Impacto"),(AB33-(+AB33*T35)),IF(Q35="Probabilidad",AB34,""))),"")</f>
        <v/>
      </c>
      <c r="AC35" s="112"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3"/>
      <c r="AE35" s="180"/>
      <c r="AF35" s="191"/>
      <c r="AG35" s="192"/>
      <c r="AH35" s="192"/>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2" customHeight="1" x14ac:dyDescent="0.3">
      <c r="A36" s="342"/>
      <c r="B36" s="413"/>
      <c r="C36" s="413"/>
      <c r="D36" s="413"/>
      <c r="E36" s="425"/>
      <c r="F36" s="413"/>
      <c r="G36" s="410"/>
      <c r="H36" s="395"/>
      <c r="I36" s="386"/>
      <c r="J36" s="392"/>
      <c r="K36" s="386">
        <f>IF(NOT(ISERROR(MATCH(J36,_xlfn.ANCHORARRAY(E47),0))),I49&amp;"Por favor no seleccionar los criterios de impacto",J36)</f>
        <v>0</v>
      </c>
      <c r="L36" s="395"/>
      <c r="M36" s="386"/>
      <c r="N36" s="389"/>
      <c r="O36" s="6">
        <v>5</v>
      </c>
      <c r="P36" s="180"/>
      <c r="Q36" s="163" t="str">
        <f t="shared" si="22"/>
        <v/>
      </c>
      <c r="R36" s="107"/>
      <c r="S36" s="107"/>
      <c r="T36" s="171" t="str">
        <f t="shared" si="15"/>
        <v/>
      </c>
      <c r="U36" s="107"/>
      <c r="V36" s="107"/>
      <c r="W36" s="107"/>
      <c r="X36" s="109" t="str">
        <f t="shared" si="25"/>
        <v/>
      </c>
      <c r="Y36" s="110" t="str">
        <f>IFERROR(IF(X36="","",IF(X36&lt;=0.2,"Muy Baja",IF(X36&lt;=0.4,"Baja",IF(X36&lt;=0.6,"Media",IF(X36&lt;=0.8,"Alta","Muy Alta"))))),"")</f>
        <v/>
      </c>
      <c r="Z36" s="111" t="str">
        <f t="shared" si="23"/>
        <v/>
      </c>
      <c r="AA36" s="110" t="str">
        <f t="shared" si="3"/>
        <v/>
      </c>
      <c r="AB36" s="111" t="str">
        <f t="shared" si="26"/>
        <v/>
      </c>
      <c r="AC36" s="112" t="str">
        <f t="shared" ref="AC36:AC37" si="27">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3"/>
      <c r="AE36" s="180"/>
      <c r="AF36" s="191"/>
      <c r="AG36" s="192"/>
      <c r="AH36" s="192"/>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2" customHeight="1" x14ac:dyDescent="0.3">
      <c r="A37" s="343"/>
      <c r="B37" s="414"/>
      <c r="C37" s="414"/>
      <c r="D37" s="414"/>
      <c r="E37" s="426"/>
      <c r="F37" s="414"/>
      <c r="G37" s="411"/>
      <c r="H37" s="396"/>
      <c r="I37" s="387"/>
      <c r="J37" s="393"/>
      <c r="K37" s="387">
        <f>IF(NOT(ISERROR(MATCH(J37,_xlfn.ANCHORARRAY(E48),0))),I50&amp;"Por favor no seleccionar los criterios de impacto",J37)</f>
        <v>0</v>
      </c>
      <c r="L37" s="396"/>
      <c r="M37" s="387"/>
      <c r="N37" s="390"/>
      <c r="O37" s="6">
        <v>6</v>
      </c>
      <c r="P37" s="180"/>
      <c r="Q37" s="163" t="str">
        <f t="shared" si="22"/>
        <v/>
      </c>
      <c r="R37" s="107"/>
      <c r="S37" s="107"/>
      <c r="T37" s="171" t="str">
        <f t="shared" si="15"/>
        <v/>
      </c>
      <c r="U37" s="107"/>
      <c r="V37" s="107"/>
      <c r="W37" s="107"/>
      <c r="X37" s="109" t="str">
        <f t="shared" si="25"/>
        <v/>
      </c>
      <c r="Y37" s="110" t="str">
        <f t="shared" si="1"/>
        <v/>
      </c>
      <c r="Z37" s="111" t="str">
        <f t="shared" si="23"/>
        <v/>
      </c>
      <c r="AA37" s="110" t="str">
        <f t="shared" si="3"/>
        <v/>
      </c>
      <c r="AB37" s="111" t="str">
        <f t="shared" si="26"/>
        <v/>
      </c>
      <c r="AC37" s="112" t="str">
        <f t="shared" si="27"/>
        <v/>
      </c>
      <c r="AD37" s="113"/>
      <c r="AE37" s="180"/>
      <c r="AF37" s="191"/>
      <c r="AG37" s="192"/>
      <c r="AH37" s="192"/>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7.75" customHeight="1" x14ac:dyDescent="0.3">
      <c r="A38" s="341">
        <v>5</v>
      </c>
      <c r="B38" s="412" t="s">
        <v>164</v>
      </c>
      <c r="C38" s="412" t="s">
        <v>204</v>
      </c>
      <c r="D38" s="412" t="s">
        <v>205</v>
      </c>
      <c r="E38" s="424" t="s">
        <v>206</v>
      </c>
      <c r="F38" s="412" t="s">
        <v>168</v>
      </c>
      <c r="G38" s="409">
        <v>7152</v>
      </c>
      <c r="H38" s="394" t="str">
        <f>IF(G38&lt;=0,"",IF(G38&lt;=2,"Muy Baja",IF(G38&lt;=24,"Baja",IF(G38&lt;=500,"Media",IF(G38&lt;=5000,"Alta","Muy Alta")))))</f>
        <v>Muy Alta</v>
      </c>
      <c r="I38" s="385">
        <f>IF(H38="","",IF(H38="Muy Baja",0.2,IF(H38="Baja",0.4,IF(H38="Media",0.6,IF(H38="Alta",0.8,IF(H38="Muy Alta",1,))))))</f>
        <v>1</v>
      </c>
      <c r="J38" s="391" t="s">
        <v>207</v>
      </c>
      <c r="K38" s="385" t="str">
        <f>IF(NOT(ISERROR(MATCH(J38,'Tabla Impacto'!$B$221:$B$223,0))),'Tabla Impacto'!$F$223&amp;"Por favor no seleccionar los criterios de impacto(Afectación Económica o presupuestal y Pérdida Reputacional)",J38)</f>
        <v xml:space="preserve">     El riesgo afecta la imagen de la entidad internamente, de conocimiento general, nivel interno, de junta dircetiva y accionistas y/o de provedores</v>
      </c>
      <c r="L38" s="394" t="str">
        <f>IF(OR(K38='Tabla Impacto'!$C$11,K38='Tabla Impacto'!$D$11),"Leve",IF(OR(K38='Tabla Impacto'!$C$12,K38='Tabla Impacto'!$D$12),"Menor",IF(OR(K38='Tabla Impacto'!$C$13,K38='Tabla Impacto'!$D$13),"Moderado",IF(OR(K38='Tabla Impacto'!$C$14,K38='Tabla Impacto'!$D$14),"Mayor",IF(OR(K38='Tabla Impacto'!$C$15,K38='Tabla Impacto'!$D$15),"Catastrófico","")))))</f>
        <v>Menor</v>
      </c>
      <c r="M38" s="385">
        <f>IF(L38="","",IF(L38="Leve",0.2,IF(L38="Menor",0.4,IF(L38="Moderado",0.6,IF(L38="Mayor",0.8,IF(L38="Catastrófico",1,))))))</f>
        <v>0.4</v>
      </c>
      <c r="N38" s="388"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Alto</v>
      </c>
      <c r="O38" s="6">
        <v>1</v>
      </c>
      <c r="P38" s="180" t="s">
        <v>208</v>
      </c>
      <c r="Q38" s="163" t="str">
        <f t="shared" si="22"/>
        <v>Probabilidad</v>
      </c>
      <c r="R38" s="170" t="s">
        <v>171</v>
      </c>
      <c r="S38" s="170" t="s">
        <v>172</v>
      </c>
      <c r="T38" s="171" t="str">
        <f t="shared" si="15"/>
        <v>40%</v>
      </c>
      <c r="U38" s="170" t="s">
        <v>173</v>
      </c>
      <c r="V38" s="170" t="s">
        <v>174</v>
      </c>
      <c r="W38" s="170" t="s">
        <v>175</v>
      </c>
      <c r="X38" s="160">
        <f>IFERROR(IF(Q38="Probabilidad",(I38-(+I38*T38)),IF(Q38="Impacto",I38,"")),"")</f>
        <v>0.6</v>
      </c>
      <c r="Y38" s="172" t="str">
        <f>IFERROR(IF(X38="","",IF(X38&lt;=0.2,"Muy Baja",IF(X38&lt;=0.4,"Baja",IF(X38&lt;=0.6,"Media",IF(X38&lt;=0.8,"Alta","Muy Alta"))))),"")</f>
        <v>Media</v>
      </c>
      <c r="Z38" s="173">
        <f>+X38</f>
        <v>0.6</v>
      </c>
      <c r="AA38" s="172" t="str">
        <f>IFERROR(IF(AB38="","",IF(AB38&lt;=0.2,"Leve",IF(AB38&lt;=0.4,"Menor",IF(AB38&lt;=0.6,"Moderado",IF(AB38&lt;=0.8,"Mayor","Catastrófico"))))),"")</f>
        <v>Menor</v>
      </c>
      <c r="AB38" s="173">
        <f>IFERROR(IF(Q38="Impacto",(M38-(+M38*T38)),IF(Q38="Probabilidad",M38,"")),"")</f>
        <v>0.4</v>
      </c>
      <c r="AC38" s="174"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75" t="s">
        <v>176</v>
      </c>
      <c r="AE38" s="180" t="s">
        <v>209</v>
      </c>
      <c r="AF38" s="177" t="s">
        <v>180</v>
      </c>
      <c r="AG38" s="190">
        <v>45001</v>
      </c>
      <c r="AH38" s="190">
        <v>45275</v>
      </c>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2" customHeight="1" x14ac:dyDescent="0.3">
      <c r="A39" s="342"/>
      <c r="B39" s="413"/>
      <c r="C39" s="413"/>
      <c r="D39" s="413"/>
      <c r="E39" s="425"/>
      <c r="F39" s="413"/>
      <c r="G39" s="410"/>
      <c r="H39" s="395"/>
      <c r="I39" s="386"/>
      <c r="J39" s="392"/>
      <c r="K39" s="386">
        <f>IF(NOT(ISERROR(MATCH(J39,_xlfn.ANCHORARRAY(E50),0))),I52&amp;"Por favor no seleccionar los criterios de impacto",J39)</f>
        <v>0</v>
      </c>
      <c r="L39" s="395"/>
      <c r="M39" s="386"/>
      <c r="N39" s="389"/>
      <c r="O39" s="6">
        <v>2</v>
      </c>
      <c r="P39" s="180"/>
      <c r="Q39" s="163" t="str">
        <f t="shared" si="22"/>
        <v/>
      </c>
      <c r="R39" s="107"/>
      <c r="S39" s="107"/>
      <c r="T39" s="171" t="str">
        <f t="shared" si="15"/>
        <v/>
      </c>
      <c r="U39" s="107"/>
      <c r="V39" s="107"/>
      <c r="W39" s="107"/>
      <c r="X39" s="109" t="str">
        <f>IFERROR(IF(AND(Q38="Probabilidad",Q39="Probabilidad"),(Z38-(+Z38*T39)),IF(Q39="Probabilidad",(I38-(+I38*T39)),IF(Q39="Impacto",Z38,""))),"")</f>
        <v/>
      </c>
      <c r="Y39" s="110" t="str">
        <f t="shared" si="1"/>
        <v/>
      </c>
      <c r="Z39" s="111" t="str">
        <f t="shared" ref="Z39:Z43" si="28">+X39</f>
        <v/>
      </c>
      <c r="AA39" s="110" t="str">
        <f t="shared" si="3"/>
        <v/>
      </c>
      <c r="AB39" s="111" t="str">
        <f>IFERROR(IF(AND(Q38="Impacto",Q39="Impacto"),(AB38-(+AB38*T39)),IF(Q39="Impacto",(M38-(+M38*T39)),IF(Q39="Probabilidad",AB38,""))),"")</f>
        <v/>
      </c>
      <c r="AC39" s="112" t="str">
        <f t="shared" ref="AC39:AC40" si="29">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80"/>
      <c r="AF39" s="191"/>
      <c r="AG39" s="192"/>
      <c r="AH39" s="192"/>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2" customHeight="1" x14ac:dyDescent="0.3">
      <c r="A40" s="342"/>
      <c r="B40" s="413"/>
      <c r="C40" s="413"/>
      <c r="D40" s="413"/>
      <c r="E40" s="425"/>
      <c r="F40" s="413"/>
      <c r="G40" s="410"/>
      <c r="H40" s="395"/>
      <c r="I40" s="386"/>
      <c r="J40" s="392"/>
      <c r="K40" s="386">
        <f>IF(NOT(ISERROR(MATCH(J40,_xlfn.ANCHORARRAY(E51),0))),I53&amp;"Por favor no seleccionar los criterios de impacto",J40)</f>
        <v>0</v>
      </c>
      <c r="L40" s="395"/>
      <c r="M40" s="386"/>
      <c r="N40" s="389"/>
      <c r="O40" s="6">
        <v>3</v>
      </c>
      <c r="P40" s="181"/>
      <c r="Q40" s="163" t="str">
        <f t="shared" si="22"/>
        <v/>
      </c>
      <c r="R40" s="107"/>
      <c r="S40" s="107"/>
      <c r="T40" s="171" t="str">
        <f t="shared" si="15"/>
        <v/>
      </c>
      <c r="U40" s="107"/>
      <c r="V40" s="107"/>
      <c r="W40" s="107"/>
      <c r="X40" s="109" t="str">
        <f>IFERROR(IF(AND(Q39="Probabilidad",Q40="Probabilidad"),(Z39-(+Z39*T40)),IF(AND(Q39="Impacto",Q40="Probabilidad"),(Z38-(+Z38*T40)),IF(Q40="Impacto",Z39,""))),"")</f>
        <v/>
      </c>
      <c r="Y40" s="110" t="str">
        <f t="shared" si="1"/>
        <v/>
      </c>
      <c r="Z40" s="111" t="str">
        <f t="shared" si="28"/>
        <v/>
      </c>
      <c r="AA40" s="110" t="str">
        <f t="shared" si="3"/>
        <v/>
      </c>
      <c r="AB40" s="111" t="str">
        <f>IFERROR(IF(AND(Q39="Impacto",Q40="Impacto"),(AB39-(+AB39*T40)),IF(AND(Q39="Probabilidad",Q40="Impacto"),(AB38-(+AB38*T40)),IF(Q40="Probabilidad",AB39,""))),"")</f>
        <v/>
      </c>
      <c r="AC40" s="112" t="str">
        <f t="shared" si="29"/>
        <v/>
      </c>
      <c r="AD40" s="113"/>
      <c r="AE40" s="180"/>
      <c r="AF40" s="191"/>
      <c r="AG40" s="192"/>
      <c r="AH40" s="192"/>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2" customHeight="1" x14ac:dyDescent="0.3">
      <c r="A41" s="342"/>
      <c r="B41" s="413"/>
      <c r="C41" s="413"/>
      <c r="D41" s="413"/>
      <c r="E41" s="425"/>
      <c r="F41" s="413"/>
      <c r="G41" s="410"/>
      <c r="H41" s="395"/>
      <c r="I41" s="386"/>
      <c r="J41" s="392"/>
      <c r="K41" s="386">
        <f>IF(NOT(ISERROR(MATCH(J41,_xlfn.ANCHORARRAY(E52),0))),I54&amp;"Por favor no seleccionar los criterios de impacto",J41)</f>
        <v>0</v>
      </c>
      <c r="L41" s="395"/>
      <c r="M41" s="386"/>
      <c r="N41" s="389"/>
      <c r="O41" s="6">
        <v>4</v>
      </c>
      <c r="P41" s="180"/>
      <c r="Q41" s="163" t="str">
        <f t="shared" si="22"/>
        <v/>
      </c>
      <c r="R41" s="107"/>
      <c r="S41" s="107"/>
      <c r="T41" s="171" t="str">
        <f t="shared" si="15"/>
        <v/>
      </c>
      <c r="U41" s="107"/>
      <c r="V41" s="107"/>
      <c r="W41" s="107"/>
      <c r="X41" s="109" t="str">
        <f t="shared" ref="X41:X43" si="30">IFERROR(IF(AND(Q40="Probabilidad",Q41="Probabilidad"),(Z40-(+Z40*T41)),IF(AND(Q40="Impacto",Q41="Probabilidad"),(Z39-(+Z39*T41)),IF(Q41="Impacto",Z40,""))),"")</f>
        <v/>
      </c>
      <c r="Y41" s="110" t="str">
        <f t="shared" si="1"/>
        <v/>
      </c>
      <c r="Z41" s="111" t="str">
        <f t="shared" si="28"/>
        <v/>
      </c>
      <c r="AA41" s="110" t="str">
        <f t="shared" si="3"/>
        <v/>
      </c>
      <c r="AB41" s="111" t="str">
        <f t="shared" ref="AB41:AB43" si="31">IFERROR(IF(AND(Q40="Impacto",Q41="Impacto"),(AB40-(+AB40*T41)),IF(AND(Q40="Probabilidad",Q41="Impacto"),(AB39-(+AB39*T41)),IF(Q41="Probabilidad",AB40,""))),"")</f>
        <v/>
      </c>
      <c r="AC41" s="112"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3"/>
      <c r="AE41" s="180"/>
      <c r="AF41" s="191"/>
      <c r="AG41" s="192"/>
      <c r="AH41" s="192"/>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2" customHeight="1" x14ac:dyDescent="0.3">
      <c r="A42" s="342"/>
      <c r="B42" s="413"/>
      <c r="C42" s="413"/>
      <c r="D42" s="413"/>
      <c r="E42" s="425"/>
      <c r="F42" s="413"/>
      <c r="G42" s="410"/>
      <c r="H42" s="395"/>
      <c r="I42" s="386"/>
      <c r="J42" s="392"/>
      <c r="K42" s="386">
        <f>IF(NOT(ISERROR(MATCH(J42,_xlfn.ANCHORARRAY(E53),0))),I55&amp;"Por favor no seleccionar los criterios de impacto",J42)</f>
        <v>0</v>
      </c>
      <c r="L42" s="395"/>
      <c r="M42" s="386"/>
      <c r="N42" s="389"/>
      <c r="O42" s="6">
        <v>5</v>
      </c>
      <c r="P42" s="180"/>
      <c r="Q42" s="163" t="str">
        <f t="shared" si="22"/>
        <v/>
      </c>
      <c r="R42" s="107"/>
      <c r="S42" s="107"/>
      <c r="T42" s="171" t="str">
        <f t="shared" si="15"/>
        <v/>
      </c>
      <c r="U42" s="107"/>
      <c r="V42" s="107"/>
      <c r="W42" s="107"/>
      <c r="X42" s="109" t="str">
        <f t="shared" si="30"/>
        <v/>
      </c>
      <c r="Y42" s="110" t="str">
        <f t="shared" si="1"/>
        <v/>
      </c>
      <c r="Z42" s="111" t="str">
        <f t="shared" si="28"/>
        <v/>
      </c>
      <c r="AA42" s="110" t="str">
        <f t="shared" si="3"/>
        <v/>
      </c>
      <c r="AB42" s="111" t="str">
        <f t="shared" si="31"/>
        <v/>
      </c>
      <c r="AC42" s="112" t="str">
        <f t="shared" ref="AC42:AC43" si="32">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80"/>
      <c r="AF42" s="191"/>
      <c r="AG42" s="192"/>
      <c r="AH42" s="192"/>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2" customHeight="1" x14ac:dyDescent="0.3">
      <c r="A43" s="343"/>
      <c r="B43" s="414"/>
      <c r="C43" s="414"/>
      <c r="D43" s="414"/>
      <c r="E43" s="426"/>
      <c r="F43" s="414"/>
      <c r="G43" s="411"/>
      <c r="H43" s="396"/>
      <c r="I43" s="387"/>
      <c r="J43" s="393"/>
      <c r="K43" s="387">
        <f>IF(NOT(ISERROR(MATCH(J43,_xlfn.ANCHORARRAY(E54),0))),I56&amp;"Por favor no seleccionar los criterios de impacto",J43)</f>
        <v>0</v>
      </c>
      <c r="L43" s="396"/>
      <c r="M43" s="387"/>
      <c r="N43" s="390"/>
      <c r="O43" s="6">
        <v>6</v>
      </c>
      <c r="P43" s="180"/>
      <c r="Q43" s="163" t="str">
        <f t="shared" si="22"/>
        <v/>
      </c>
      <c r="R43" s="107"/>
      <c r="S43" s="107"/>
      <c r="T43" s="171" t="str">
        <f t="shared" si="15"/>
        <v/>
      </c>
      <c r="U43" s="107"/>
      <c r="V43" s="107"/>
      <c r="W43" s="107"/>
      <c r="X43" s="109" t="str">
        <f t="shared" si="30"/>
        <v/>
      </c>
      <c r="Y43" s="110" t="str">
        <f t="shared" si="1"/>
        <v/>
      </c>
      <c r="Z43" s="111" t="str">
        <f t="shared" si="28"/>
        <v/>
      </c>
      <c r="AA43" s="110" t="str">
        <f t="shared" si="3"/>
        <v/>
      </c>
      <c r="AB43" s="111" t="str">
        <f t="shared" si="31"/>
        <v/>
      </c>
      <c r="AC43" s="112" t="str">
        <f t="shared" si="32"/>
        <v/>
      </c>
      <c r="AD43" s="113"/>
      <c r="AE43" s="180"/>
      <c r="AF43" s="191"/>
      <c r="AG43" s="192"/>
      <c r="AH43" s="192"/>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21.5" customHeight="1" x14ac:dyDescent="0.3">
      <c r="A44" s="341">
        <v>6</v>
      </c>
      <c r="B44" s="412" t="s">
        <v>164</v>
      </c>
      <c r="C44" s="412" t="s">
        <v>210</v>
      </c>
      <c r="D44" s="412" t="s">
        <v>211</v>
      </c>
      <c r="E44" s="421" t="s">
        <v>212</v>
      </c>
      <c r="F44" s="412" t="s">
        <v>168</v>
      </c>
      <c r="G44" s="409">
        <v>360</v>
      </c>
      <c r="H44" s="394" t="str">
        <f>IF(G44&lt;=0,"",IF(G44&lt;=2,"Muy Baja",IF(G44&lt;=24,"Baja",IF(G44&lt;=500,"Media",IF(G44&lt;=5000,"Alta","Muy Alta")))))</f>
        <v>Media</v>
      </c>
      <c r="I44" s="385">
        <f>IF(H44="","",IF(H44="Muy Baja",0.2,IF(H44="Baja",0.4,IF(H44="Media",0.6,IF(H44="Alta",0.8,IF(H44="Muy Alta",1,))))))</f>
        <v>0.6</v>
      </c>
      <c r="J44" s="391" t="s">
        <v>169</v>
      </c>
      <c r="K44" s="385" t="str">
        <f>IF(NOT(ISERROR(MATCH(J44,'Tabla Impacto'!$B$221:$B$223,0))),'Tabla Impacto'!$F$223&amp;"Por favor no seleccionar los criterios de impacto(Afectación Económica o presupuestal y Pérdida Reputacional)",J44)</f>
        <v xml:space="preserve">     El riesgo afecta la imagen de la entidad con algunos usuarios de relevancia frente al logro de los objetivos</v>
      </c>
      <c r="L44" s="394" t="str">
        <f>IF(OR(K44='Tabla Impacto'!$C$11,K44='Tabla Impacto'!$D$11),"Leve",IF(OR(K44='Tabla Impacto'!$C$12,K44='Tabla Impacto'!$D$12),"Menor",IF(OR(K44='Tabla Impacto'!$C$13,K44='Tabla Impacto'!$D$13),"Moderado",IF(OR(K44='Tabla Impacto'!$C$14,K44='Tabla Impacto'!$D$14),"Mayor",IF(OR(K44='Tabla Impacto'!$C$15,K44='Tabla Impacto'!$D$15),"Catastrófico","")))))</f>
        <v>Moderado</v>
      </c>
      <c r="M44" s="385">
        <f>IF(L44="","",IF(L44="Leve",0.2,IF(L44="Menor",0.4,IF(L44="Moderado",0.6,IF(L44="Mayor",0.8,IF(L44="Catastrófico",1,))))))</f>
        <v>0.6</v>
      </c>
      <c r="N44" s="388"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Moderado</v>
      </c>
      <c r="O44" s="6">
        <v>1</v>
      </c>
      <c r="P44" s="180" t="s">
        <v>213</v>
      </c>
      <c r="Q44" s="163" t="str">
        <f t="shared" si="22"/>
        <v>Probabilidad</v>
      </c>
      <c r="R44" s="170" t="s">
        <v>171</v>
      </c>
      <c r="S44" s="170" t="s">
        <v>172</v>
      </c>
      <c r="T44" s="171" t="str">
        <f t="shared" si="15"/>
        <v>40%</v>
      </c>
      <c r="U44" s="170" t="s">
        <v>173</v>
      </c>
      <c r="V44" s="170" t="s">
        <v>174</v>
      </c>
      <c r="W44" s="170" t="s">
        <v>175</v>
      </c>
      <c r="X44" s="160">
        <f>IFERROR(IF(Q44="Probabilidad",(I44-(+I44*T44)),IF(Q44="Impacto",I44,"")),"")</f>
        <v>0.36</v>
      </c>
      <c r="Y44" s="172" t="str">
        <f>IFERROR(IF(X44="","",IF(X44&lt;=0.2,"Muy Baja",IF(X44&lt;=0.4,"Baja",IF(X44&lt;=0.6,"Media",IF(X44&lt;=0.8,"Alta","Muy Alta"))))),"")</f>
        <v>Baja</v>
      </c>
      <c r="Z44" s="173">
        <f>+X44</f>
        <v>0.36</v>
      </c>
      <c r="AA44" s="172" t="str">
        <f>IFERROR(IF(AB44="","",IF(AB44&lt;=0.2,"Leve",IF(AB44&lt;=0.4,"Menor",IF(AB44&lt;=0.6,"Moderado",IF(AB44&lt;=0.8,"Mayor","Catastrófico"))))),"")</f>
        <v>Moderado</v>
      </c>
      <c r="AB44" s="173">
        <f>IFERROR(IF(Q44="Impacto",(M44-(+M44*T44)),IF(Q44="Probabilidad",M44,"")),"")</f>
        <v>0.6</v>
      </c>
      <c r="AC44" s="174"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75" t="s">
        <v>176</v>
      </c>
      <c r="AE44" s="187" t="s">
        <v>214</v>
      </c>
      <c r="AF44" s="188" t="s">
        <v>215</v>
      </c>
      <c r="AG44" s="188">
        <v>45078</v>
      </c>
      <c r="AH44" s="193">
        <v>45107</v>
      </c>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81" customHeight="1" x14ac:dyDescent="0.3">
      <c r="A45" s="342"/>
      <c r="B45" s="413"/>
      <c r="C45" s="413"/>
      <c r="D45" s="413"/>
      <c r="E45" s="422"/>
      <c r="F45" s="413"/>
      <c r="G45" s="410"/>
      <c r="H45" s="395"/>
      <c r="I45" s="386"/>
      <c r="J45" s="392"/>
      <c r="K45" s="386">
        <f>IF(NOT(ISERROR(MATCH(J45,_xlfn.ANCHORARRAY(E56),0))),I58&amp;"Por favor no seleccionar los criterios de impacto",J45)</f>
        <v>0</v>
      </c>
      <c r="L45" s="395"/>
      <c r="M45" s="386"/>
      <c r="N45" s="389"/>
      <c r="O45" s="6">
        <v>2</v>
      </c>
      <c r="P45" s="180" t="s">
        <v>216</v>
      </c>
      <c r="Q45" s="163" t="str">
        <f t="shared" si="22"/>
        <v>Probabilidad</v>
      </c>
      <c r="R45" s="170" t="s">
        <v>171</v>
      </c>
      <c r="S45" s="170" t="s">
        <v>172</v>
      </c>
      <c r="T45" s="171" t="str">
        <f t="shared" si="15"/>
        <v>40%</v>
      </c>
      <c r="U45" s="170" t="s">
        <v>173</v>
      </c>
      <c r="V45" s="170" t="s">
        <v>174</v>
      </c>
      <c r="W45" s="170" t="s">
        <v>175</v>
      </c>
      <c r="X45" s="160">
        <f>IFERROR(IF(AND(Q44="Probabilidad",Q45="Probabilidad"),(Z44-(+Z44*T45)),IF(Q45="Probabilidad",(I44-(+I44*T45)),IF(Q45="Impacto",Z44,""))),"")</f>
        <v>0.216</v>
      </c>
      <c r="Y45" s="172" t="str">
        <f t="shared" si="1"/>
        <v>Baja</v>
      </c>
      <c r="Z45" s="173">
        <f t="shared" ref="Z45:Z49" si="33">+X45</f>
        <v>0.216</v>
      </c>
      <c r="AA45" s="172" t="str">
        <f t="shared" si="3"/>
        <v>Moderado</v>
      </c>
      <c r="AB45" s="173">
        <f>IFERROR(IF(AND(Q44="Impacto",Q45="Impacto"),(AB44-(+AB44*T45)),IF(Q45="Impacto",(M44-(+M44*T45)),IF(Q45="Probabilidad",AB44,""))),"")</f>
        <v>0.6</v>
      </c>
      <c r="AC45" s="174" t="str">
        <f t="shared" ref="AC45:AC46" si="34">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Moderado</v>
      </c>
      <c r="AD45" s="175" t="s">
        <v>176</v>
      </c>
      <c r="AE45" s="187" t="s">
        <v>217</v>
      </c>
      <c r="AF45" s="188" t="s">
        <v>215</v>
      </c>
      <c r="AG45" s="193">
        <v>45001</v>
      </c>
      <c r="AH45" s="193">
        <v>45275</v>
      </c>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2" customHeight="1" x14ac:dyDescent="0.3">
      <c r="A46" s="342"/>
      <c r="B46" s="413"/>
      <c r="C46" s="413"/>
      <c r="D46" s="413"/>
      <c r="E46" s="422"/>
      <c r="F46" s="413"/>
      <c r="G46" s="410"/>
      <c r="H46" s="395"/>
      <c r="I46" s="386"/>
      <c r="J46" s="392"/>
      <c r="K46" s="386">
        <f>IF(NOT(ISERROR(MATCH(J46,_xlfn.ANCHORARRAY(E57),0))),I59&amp;"Por favor no seleccionar los criterios de impacto",J46)</f>
        <v>0</v>
      </c>
      <c r="L46" s="395"/>
      <c r="M46" s="386"/>
      <c r="N46" s="389"/>
      <c r="O46" s="6">
        <v>3</v>
      </c>
      <c r="P46" s="181"/>
      <c r="Q46" s="163" t="str">
        <f t="shared" si="22"/>
        <v/>
      </c>
      <c r="R46" s="107"/>
      <c r="S46" s="107"/>
      <c r="T46" s="171" t="str">
        <f t="shared" si="15"/>
        <v/>
      </c>
      <c r="U46" s="107"/>
      <c r="V46" s="107"/>
      <c r="W46" s="107"/>
      <c r="X46" s="109" t="str">
        <f>IFERROR(IF(AND(Q45="Probabilidad",Q46="Probabilidad"),(Z45-(+Z45*T46)),IF(AND(Q45="Impacto",Q46="Probabilidad"),(Z44-(+Z44*T46)),IF(Q46="Impacto",Z45,""))),"")</f>
        <v/>
      </c>
      <c r="Y46" s="110" t="str">
        <f t="shared" si="1"/>
        <v/>
      </c>
      <c r="Z46" s="111" t="str">
        <f t="shared" si="33"/>
        <v/>
      </c>
      <c r="AA46" s="110" t="str">
        <f t="shared" si="3"/>
        <v/>
      </c>
      <c r="AB46" s="111" t="str">
        <f>IFERROR(IF(AND(Q45="Impacto",Q46="Impacto"),(AB45-(+AB45*T46)),IF(AND(Q45="Probabilidad",Q46="Impacto"),(AB44-(+AB44*T46)),IF(Q46="Probabilidad",AB45,""))),"")</f>
        <v/>
      </c>
      <c r="AC46" s="112" t="str">
        <f t="shared" si="34"/>
        <v/>
      </c>
      <c r="AD46" s="113"/>
      <c r="AE46" s="180"/>
      <c r="AF46" s="191"/>
      <c r="AG46" s="192"/>
      <c r="AH46" s="192"/>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2" customHeight="1" x14ac:dyDescent="0.3">
      <c r="A47" s="342"/>
      <c r="B47" s="413"/>
      <c r="C47" s="413"/>
      <c r="D47" s="413"/>
      <c r="E47" s="422"/>
      <c r="F47" s="413"/>
      <c r="G47" s="410"/>
      <c r="H47" s="395"/>
      <c r="I47" s="386"/>
      <c r="J47" s="392"/>
      <c r="K47" s="386">
        <f>IF(NOT(ISERROR(MATCH(J47,_xlfn.ANCHORARRAY(E58),0))),I60&amp;"Por favor no seleccionar los criterios de impacto",J47)</f>
        <v>0</v>
      </c>
      <c r="L47" s="395"/>
      <c r="M47" s="386"/>
      <c r="N47" s="389"/>
      <c r="O47" s="6">
        <v>4</v>
      </c>
      <c r="P47" s="180"/>
      <c r="Q47" s="163" t="str">
        <f t="shared" si="22"/>
        <v/>
      </c>
      <c r="R47" s="107"/>
      <c r="S47" s="107"/>
      <c r="T47" s="171" t="str">
        <f t="shared" si="15"/>
        <v/>
      </c>
      <c r="U47" s="107"/>
      <c r="V47" s="107"/>
      <c r="W47" s="107"/>
      <c r="X47" s="109" t="str">
        <f t="shared" ref="X47:X49" si="35">IFERROR(IF(AND(Q46="Probabilidad",Q47="Probabilidad"),(Z46-(+Z46*T47)),IF(AND(Q46="Impacto",Q47="Probabilidad"),(Z45-(+Z45*T47)),IF(Q47="Impacto",Z46,""))),"")</f>
        <v/>
      </c>
      <c r="Y47" s="110" t="str">
        <f t="shared" si="1"/>
        <v/>
      </c>
      <c r="Z47" s="111" t="str">
        <f t="shared" si="33"/>
        <v/>
      </c>
      <c r="AA47" s="110" t="str">
        <f t="shared" si="3"/>
        <v/>
      </c>
      <c r="AB47" s="111" t="str">
        <f t="shared" ref="AB47:AB49" si="36">IFERROR(IF(AND(Q46="Impacto",Q47="Impacto"),(AB46-(+AB46*T47)),IF(AND(Q46="Probabilidad",Q47="Impacto"),(AB45-(+AB45*T47)),IF(Q47="Probabilidad",AB46,""))),"")</f>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80"/>
      <c r="AF47" s="191"/>
      <c r="AG47" s="192"/>
      <c r="AH47" s="192"/>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 customHeight="1" x14ac:dyDescent="0.3">
      <c r="A48" s="342"/>
      <c r="B48" s="413"/>
      <c r="C48" s="413"/>
      <c r="D48" s="413"/>
      <c r="E48" s="422"/>
      <c r="F48" s="413"/>
      <c r="G48" s="410"/>
      <c r="H48" s="395"/>
      <c r="I48" s="386"/>
      <c r="J48" s="392"/>
      <c r="K48" s="386">
        <f>IF(NOT(ISERROR(MATCH(J48,_xlfn.ANCHORARRAY(E59),0))),I61&amp;"Por favor no seleccionar los criterios de impacto",J48)</f>
        <v>0</v>
      </c>
      <c r="L48" s="395"/>
      <c r="M48" s="386"/>
      <c r="N48" s="389"/>
      <c r="O48" s="6">
        <v>5</v>
      </c>
      <c r="P48" s="180"/>
      <c r="Q48" s="163" t="str">
        <f t="shared" si="22"/>
        <v/>
      </c>
      <c r="R48" s="107"/>
      <c r="S48" s="107"/>
      <c r="T48" s="108" t="str">
        <f t="shared" ref="T48:T49" si="37">IF(AND(R48="Preventivo",S48="Automático"),"50%",IF(AND(R48="Preventivo",S48="Manual"),"40%",IF(AND(R48="Detectivo",S48="Automático"),"40%",IF(AND(R48="Detectivo",S48="Manual"),"30%",IF(AND(R48="Correctivo",S48="Automático"),"35%",IF(AND(R48="Correctivo",S48="Manual"),"25%",""))))))</f>
        <v/>
      </c>
      <c r="U48" s="107"/>
      <c r="V48" s="107"/>
      <c r="W48" s="107"/>
      <c r="X48" s="109" t="str">
        <f t="shared" si="35"/>
        <v/>
      </c>
      <c r="Y48" s="110" t="str">
        <f t="shared" si="1"/>
        <v/>
      </c>
      <c r="Z48" s="111" t="str">
        <f t="shared" si="33"/>
        <v/>
      </c>
      <c r="AA48" s="110" t="str">
        <f t="shared" si="3"/>
        <v/>
      </c>
      <c r="AB48" s="111" t="str">
        <f t="shared" si="36"/>
        <v/>
      </c>
      <c r="AC48" s="112" t="str">
        <f t="shared" ref="AC48" si="38">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3"/>
      <c r="AE48" s="180"/>
      <c r="AF48" s="191"/>
      <c r="AG48" s="192"/>
      <c r="AH48" s="192"/>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2" customHeight="1" x14ac:dyDescent="0.3">
      <c r="A49" s="343"/>
      <c r="B49" s="414"/>
      <c r="C49" s="414"/>
      <c r="D49" s="414"/>
      <c r="E49" s="423"/>
      <c r="F49" s="414"/>
      <c r="G49" s="411"/>
      <c r="H49" s="396"/>
      <c r="I49" s="387"/>
      <c r="J49" s="393"/>
      <c r="K49" s="387">
        <f>IF(NOT(ISERROR(MATCH(J49,_xlfn.ANCHORARRAY(E60),0))),I62&amp;"Por favor no seleccionar los criterios de impacto",J49)</f>
        <v>0</v>
      </c>
      <c r="L49" s="396"/>
      <c r="M49" s="387"/>
      <c r="N49" s="390"/>
      <c r="O49" s="6">
        <v>6</v>
      </c>
      <c r="P49" s="180"/>
      <c r="Q49" s="163" t="str">
        <f t="shared" si="22"/>
        <v/>
      </c>
      <c r="R49" s="107"/>
      <c r="S49" s="107"/>
      <c r="T49" s="108" t="str">
        <f t="shared" si="37"/>
        <v/>
      </c>
      <c r="U49" s="107"/>
      <c r="V49" s="107"/>
      <c r="W49" s="107"/>
      <c r="X49" s="109" t="str">
        <f t="shared" si="35"/>
        <v/>
      </c>
      <c r="Y49" s="110" t="str">
        <f t="shared" si="1"/>
        <v/>
      </c>
      <c r="Z49" s="111" t="str">
        <f t="shared" si="33"/>
        <v/>
      </c>
      <c r="AA49" s="110" t="str">
        <f>IFERROR(IF(AB49="","",IF(AB49&lt;=0.2,"Leve",IF(AB49&lt;=0.4,"Menor",IF(AB49&lt;=0.6,"Moderado",IF(AB49&lt;=0.8,"Mayor","Catastrófico"))))),"")</f>
        <v/>
      </c>
      <c r="AB49" s="111" t="str">
        <f t="shared" si="36"/>
        <v/>
      </c>
      <c r="AC49" s="112"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3"/>
      <c r="AE49" s="180"/>
      <c r="AF49" s="191"/>
      <c r="AG49" s="192"/>
      <c r="AH49" s="192"/>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73.5" hidden="1" customHeight="1" x14ac:dyDescent="0.3">
      <c r="A50" s="341">
        <v>7</v>
      </c>
      <c r="B50" s="412"/>
      <c r="C50" s="412"/>
      <c r="D50" s="412"/>
      <c r="E50" s="421"/>
      <c r="F50" s="412"/>
      <c r="G50" s="418"/>
      <c r="H50" s="394"/>
      <c r="I50" s="385"/>
      <c r="J50" s="391"/>
      <c r="K50" s="356"/>
      <c r="L50" s="394"/>
      <c r="M50" s="385"/>
      <c r="N50" s="388"/>
      <c r="O50" s="6"/>
      <c r="P50" s="187"/>
      <c r="Q50" s="163"/>
      <c r="R50" s="170"/>
      <c r="S50" s="170"/>
      <c r="T50" s="171"/>
      <c r="U50" s="170"/>
      <c r="V50" s="170"/>
      <c r="W50" s="170"/>
      <c r="X50" s="160"/>
      <c r="Y50" s="172"/>
      <c r="Z50" s="173"/>
      <c r="AA50" s="172"/>
      <c r="AB50" s="173"/>
      <c r="AC50" s="174"/>
      <c r="AD50" s="175"/>
      <c r="AE50" s="180"/>
      <c r="AF50" s="177"/>
      <c r="AG50" s="193"/>
      <c r="AH50" s="193"/>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2" hidden="1" customHeight="1" x14ac:dyDescent="0.3">
      <c r="A51" s="342"/>
      <c r="B51" s="413"/>
      <c r="C51" s="413"/>
      <c r="D51" s="413"/>
      <c r="E51" s="422"/>
      <c r="F51" s="413"/>
      <c r="G51" s="419"/>
      <c r="H51" s="395"/>
      <c r="I51" s="386"/>
      <c r="J51" s="392"/>
      <c r="K51" s="357"/>
      <c r="L51" s="395"/>
      <c r="M51" s="386"/>
      <c r="N51" s="389"/>
      <c r="O51" s="6"/>
      <c r="P51" s="187"/>
      <c r="Q51" s="163"/>
      <c r="R51" s="170"/>
      <c r="S51" s="170"/>
      <c r="T51" s="171"/>
      <c r="U51" s="170"/>
      <c r="V51" s="170"/>
      <c r="W51" s="170"/>
      <c r="X51" s="160"/>
      <c r="Y51" s="172"/>
      <c r="Z51" s="173"/>
      <c r="AA51" s="172"/>
      <c r="AB51" s="173"/>
      <c r="AC51" s="174"/>
      <c r="AD51" s="175"/>
      <c r="AE51" s="187"/>
      <c r="AF51" s="188"/>
      <c r="AG51" s="193"/>
      <c r="AH51" s="193"/>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2" hidden="1" customHeight="1" x14ac:dyDescent="0.3">
      <c r="A52" s="342"/>
      <c r="B52" s="413"/>
      <c r="C52" s="413"/>
      <c r="D52" s="413"/>
      <c r="E52" s="422"/>
      <c r="F52" s="413"/>
      <c r="G52" s="419"/>
      <c r="H52" s="395"/>
      <c r="I52" s="386"/>
      <c r="J52" s="392"/>
      <c r="K52" s="357"/>
      <c r="L52" s="395"/>
      <c r="M52" s="386"/>
      <c r="N52" s="389"/>
      <c r="O52" s="6"/>
      <c r="P52" s="181"/>
      <c r="Q52" s="106"/>
      <c r="R52" s="107"/>
      <c r="S52" s="107"/>
      <c r="T52" s="108"/>
      <c r="U52" s="107"/>
      <c r="V52" s="107"/>
      <c r="W52" s="107"/>
      <c r="X52" s="109"/>
      <c r="Y52" s="110"/>
      <c r="Z52" s="111"/>
      <c r="AA52" s="110"/>
      <c r="AB52" s="111"/>
      <c r="AC52" s="112"/>
      <c r="AD52" s="113"/>
      <c r="AE52" s="180"/>
      <c r="AF52" s="191"/>
      <c r="AG52" s="192"/>
      <c r="AH52" s="192"/>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2" hidden="1" customHeight="1" x14ac:dyDescent="0.3">
      <c r="A53" s="342"/>
      <c r="B53" s="413"/>
      <c r="C53" s="413"/>
      <c r="D53" s="413"/>
      <c r="E53" s="422"/>
      <c r="F53" s="413"/>
      <c r="G53" s="419"/>
      <c r="H53" s="395"/>
      <c r="I53" s="386"/>
      <c r="J53" s="392"/>
      <c r="K53" s="357"/>
      <c r="L53" s="395"/>
      <c r="M53" s="386"/>
      <c r="N53" s="389"/>
      <c r="O53" s="6"/>
      <c r="P53" s="180"/>
      <c r="Q53" s="106"/>
      <c r="R53" s="107"/>
      <c r="S53" s="107"/>
      <c r="T53" s="108"/>
      <c r="U53" s="107"/>
      <c r="V53" s="107"/>
      <c r="W53" s="107"/>
      <c r="X53" s="109"/>
      <c r="Y53" s="110"/>
      <c r="Z53" s="111"/>
      <c r="AA53" s="110"/>
      <c r="AB53" s="111"/>
      <c r="AC53" s="112"/>
      <c r="AD53" s="113"/>
      <c r="AE53" s="180"/>
      <c r="AF53" s="191"/>
      <c r="AG53" s="192"/>
      <c r="AH53" s="192"/>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2" hidden="1" customHeight="1" x14ac:dyDescent="0.3">
      <c r="A54" s="342"/>
      <c r="B54" s="413"/>
      <c r="C54" s="413"/>
      <c r="D54" s="413"/>
      <c r="E54" s="422"/>
      <c r="F54" s="413"/>
      <c r="G54" s="419"/>
      <c r="H54" s="395"/>
      <c r="I54" s="386"/>
      <c r="J54" s="392"/>
      <c r="K54" s="357"/>
      <c r="L54" s="395"/>
      <c r="M54" s="386"/>
      <c r="N54" s="389"/>
      <c r="O54" s="6"/>
      <c r="P54" s="180"/>
      <c r="Q54" s="106"/>
      <c r="R54" s="107"/>
      <c r="S54" s="107"/>
      <c r="T54" s="108"/>
      <c r="U54" s="107"/>
      <c r="V54" s="107"/>
      <c r="W54" s="107"/>
      <c r="X54" s="109"/>
      <c r="Y54" s="110"/>
      <c r="Z54" s="111"/>
      <c r="AA54" s="110"/>
      <c r="AB54" s="111"/>
      <c r="AC54" s="112"/>
      <c r="AD54" s="113"/>
      <c r="AE54" s="180"/>
      <c r="AF54" s="191"/>
      <c r="AG54" s="192"/>
      <c r="AH54" s="192"/>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2" hidden="1" customHeight="1" x14ac:dyDescent="0.3">
      <c r="A55" s="343"/>
      <c r="B55" s="414"/>
      <c r="C55" s="414"/>
      <c r="D55" s="414"/>
      <c r="E55" s="423"/>
      <c r="F55" s="414"/>
      <c r="G55" s="420"/>
      <c r="H55" s="396"/>
      <c r="I55" s="387"/>
      <c r="J55" s="393"/>
      <c r="K55" s="358"/>
      <c r="L55" s="396"/>
      <c r="M55" s="387"/>
      <c r="N55" s="390"/>
      <c r="O55" s="6"/>
      <c r="P55" s="180"/>
      <c r="Q55" s="106"/>
      <c r="R55" s="107"/>
      <c r="S55" s="107"/>
      <c r="T55" s="108"/>
      <c r="U55" s="107"/>
      <c r="V55" s="107"/>
      <c r="W55" s="107"/>
      <c r="X55" s="109"/>
      <c r="Y55" s="110"/>
      <c r="Z55" s="111"/>
      <c r="AA55" s="110"/>
      <c r="AB55" s="111"/>
      <c r="AC55" s="112"/>
      <c r="AD55" s="113"/>
      <c r="AE55" s="180"/>
      <c r="AF55" s="191"/>
      <c r="AG55" s="192"/>
      <c r="AH55" s="192"/>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41">
        <v>8</v>
      </c>
      <c r="B56" s="344"/>
      <c r="C56" s="344"/>
      <c r="D56" s="344"/>
      <c r="E56" s="347"/>
      <c r="F56" s="344"/>
      <c r="G56" s="350"/>
      <c r="H56" s="353" t="str">
        <f>IF(G56&lt;=0,"",IF(G56&lt;=2,"Muy Baja",IF(G56&lt;=24,"Baja",IF(G56&lt;=500,"Media",IF(G56&lt;=5000,"Alta","Muy Alta")))))</f>
        <v/>
      </c>
      <c r="I56" s="356" t="str">
        <f>IF(H56="","",IF(H56="Muy Baja",0.2,IF(H56="Baja",0.4,IF(H56="Media",0.6,IF(H56="Alta",0.8,IF(H56="Muy Alta",1,))))))</f>
        <v/>
      </c>
      <c r="J56" s="373"/>
      <c r="K56" s="356">
        <f>IF(NOT(ISERROR(MATCH(J56,'Tabla Impacto'!$B$221:$B$223,0))),'Tabla Impacto'!$F$223&amp;"Por favor no seleccionar los criterios de impacto(Afectación Económica o presupuestal y Pérdida Reputacional)",J56)</f>
        <v>0</v>
      </c>
      <c r="L56" s="353" t="str">
        <f>IF(OR(K56='Tabla Impacto'!$C$11,K56='Tabla Impacto'!$D$11),"Leve",IF(OR(K56='Tabla Impacto'!$C$12,K56='Tabla Impacto'!$D$12),"Menor",IF(OR(K56='Tabla Impacto'!$C$13,K56='Tabla Impacto'!$D$13),"Moderado",IF(OR(K56='Tabla Impacto'!$C$14,K56='Tabla Impacto'!$D$14),"Mayor",IF(OR(K56='Tabla Impacto'!$C$15,K56='Tabla Impacto'!$D$15),"Catastrófico","")))))</f>
        <v/>
      </c>
      <c r="M56" s="356" t="str">
        <f>IF(L56="","",IF(L56="Leve",0.2,IF(L56="Menor",0.4,IF(L56="Moderado",0.6,IF(L56="Mayor",0.8,IF(L56="Catastrófico",1,))))))</f>
        <v/>
      </c>
      <c r="N56" s="376"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6">
        <v>1</v>
      </c>
      <c r="P56" s="180"/>
      <c r="Q56" s="163"/>
      <c r="R56" s="170"/>
      <c r="S56" s="170"/>
      <c r="T56" s="171" t="str">
        <f>IF(AND(R56="Preventivo",S56="Automático"),"50%",IF(AND(R56="Preventivo",S56="Manual"),"40%",IF(AND(R56="Detectivo",S56="Automático"),"40%",IF(AND(R56="Detectivo",S56="Manual"),"30%",IF(AND(R56="Correctivo",S56="Automático"),"35%",IF(AND(R56="Correctivo",S56="Manual"),"25%",""))))))</f>
        <v/>
      </c>
      <c r="U56" s="170"/>
      <c r="V56" s="170"/>
      <c r="W56" s="170"/>
      <c r="X56" s="160" t="str">
        <f>IFERROR(IF(Q56="Probabilidad",(I56-(+I56*T56)),IF(Q56="Impacto",I56,"")),"")</f>
        <v/>
      </c>
      <c r="Y56" s="172" t="str">
        <f>IFERROR(IF(X56="","",IF(X56&lt;=0.2,"Muy Baja",IF(X56&lt;=0.4,"Baja",IF(X56&lt;=0.6,"Media",IF(X56&lt;=0.8,"Alta","Muy Alta"))))),"")</f>
        <v/>
      </c>
      <c r="Z56" s="173" t="str">
        <f>+X56</f>
        <v/>
      </c>
      <c r="AA56" s="172" t="str">
        <f>IFERROR(IF(AB56="","",IF(AB56&lt;=0.2,"Leve",IF(AB56&lt;=0.4,"Menor",IF(AB56&lt;=0.6,"Moderado",IF(AB56&lt;=0.8,"Mayor","Catastrófico"))))),"")</f>
        <v/>
      </c>
      <c r="AB56" s="173" t="str">
        <f>IFERROR(IF(Q56="Impacto",(M56-(+M56*T56)),IF(Q56="Probabilidad",M56,"")),"")</f>
        <v/>
      </c>
      <c r="AC56" s="174"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75"/>
      <c r="AE56" s="180"/>
      <c r="AF56" s="176"/>
      <c r="AG56" s="192"/>
      <c r="AH56" s="192"/>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42"/>
      <c r="B57" s="345"/>
      <c r="C57" s="345"/>
      <c r="D57" s="345"/>
      <c r="E57" s="348"/>
      <c r="F57" s="345"/>
      <c r="G57" s="351"/>
      <c r="H57" s="354"/>
      <c r="I57" s="357"/>
      <c r="J57" s="374"/>
      <c r="K57" s="357">
        <f>IF(NOT(ISERROR(MATCH(J57,_xlfn.ANCHORARRAY(E68),0))),I70&amp;"Por favor no seleccionar los criterios de impacto",J57)</f>
        <v>0</v>
      </c>
      <c r="L57" s="354"/>
      <c r="M57" s="357"/>
      <c r="N57" s="377"/>
      <c r="O57" s="6">
        <v>2</v>
      </c>
      <c r="P57" s="180"/>
      <c r="Q57" s="106" t="str">
        <f>IF(OR(R57="Preventivo",R57="Detectivo"),"Probabilidad",IF(R57="Correctivo","Impacto",""))</f>
        <v/>
      </c>
      <c r="R57" s="107"/>
      <c r="S57" s="107"/>
      <c r="T57" s="108" t="str">
        <f t="shared" ref="T57:T61" si="39">IF(AND(R57="Preventivo",S57="Automático"),"50%",IF(AND(R57="Preventivo",S57="Manual"),"40%",IF(AND(R57="Detectivo",S57="Automático"),"40%",IF(AND(R57="Detectivo",S57="Manual"),"30%",IF(AND(R57="Correctivo",S57="Automático"),"35%",IF(AND(R57="Correctivo",S57="Manual"),"25%",""))))))</f>
        <v/>
      </c>
      <c r="U57" s="107"/>
      <c r="V57" s="107"/>
      <c r="W57" s="107"/>
      <c r="X57" s="109" t="str">
        <f>IFERROR(IF(AND(Q56="Probabilidad",Q57="Probabilidad"),(Z56-(+Z56*T57)),IF(Q57="Probabilidad",(I56-(+I56*T57)),IF(Q57="Impacto",Z56,""))),"")</f>
        <v/>
      </c>
      <c r="Y57" s="110" t="str">
        <f t="shared" si="1"/>
        <v/>
      </c>
      <c r="Z57" s="111" t="str">
        <f t="shared" ref="Z57:Z61" si="40">+X57</f>
        <v/>
      </c>
      <c r="AA57" s="110" t="str">
        <f t="shared" si="3"/>
        <v/>
      </c>
      <c r="AB57" s="111" t="str">
        <f>IFERROR(IF(AND(Q56="Impacto",Q57="Impacto"),(AB56-(+AB56*T57)),IF(Q57="Impacto",(M56-(+M56*T57)),IF(Q57="Probabilidad",AB56,""))),"")</f>
        <v/>
      </c>
      <c r="AC57" s="112" t="str">
        <f t="shared" ref="AC57:AC58" si="41">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80"/>
      <c r="AF57" s="191"/>
      <c r="AG57" s="192"/>
      <c r="AH57" s="192"/>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42"/>
      <c r="B58" s="345"/>
      <c r="C58" s="345"/>
      <c r="D58" s="345"/>
      <c r="E58" s="348"/>
      <c r="F58" s="345"/>
      <c r="G58" s="351"/>
      <c r="H58" s="354"/>
      <c r="I58" s="357"/>
      <c r="J58" s="374"/>
      <c r="K58" s="357">
        <f>IF(NOT(ISERROR(MATCH(J58,_xlfn.ANCHORARRAY(E69),0))),I71&amp;"Por favor no seleccionar los criterios de impacto",J58)</f>
        <v>0</v>
      </c>
      <c r="L58" s="354"/>
      <c r="M58" s="357"/>
      <c r="N58" s="377"/>
      <c r="O58" s="6">
        <v>3</v>
      </c>
      <c r="P58" s="181"/>
      <c r="Q58" s="106" t="str">
        <f>IF(OR(R58="Preventivo",R58="Detectivo"),"Probabilidad",IF(R58="Correctivo","Impacto",""))</f>
        <v/>
      </c>
      <c r="R58" s="107"/>
      <c r="S58" s="107"/>
      <c r="T58" s="108" t="str">
        <f t="shared" si="39"/>
        <v/>
      </c>
      <c r="U58" s="107"/>
      <c r="V58" s="107"/>
      <c r="W58" s="107"/>
      <c r="X58" s="109" t="str">
        <f>IFERROR(IF(AND(Q57="Probabilidad",Q58="Probabilidad"),(Z57-(+Z57*T58)),IF(AND(Q57="Impacto",Q58="Probabilidad"),(Z56-(+Z56*T58)),IF(Q58="Impacto",Z57,""))),"")</f>
        <v/>
      </c>
      <c r="Y58" s="110" t="str">
        <f t="shared" si="1"/>
        <v/>
      </c>
      <c r="Z58" s="111" t="str">
        <f t="shared" si="40"/>
        <v/>
      </c>
      <c r="AA58" s="110" t="str">
        <f t="shared" si="3"/>
        <v/>
      </c>
      <c r="AB58" s="111" t="str">
        <f>IFERROR(IF(AND(Q57="Impacto",Q58="Impacto"),(AB57-(+AB57*T58)),IF(AND(Q57="Probabilidad",Q58="Impacto"),(AB56-(+AB56*T58)),IF(Q58="Probabilidad",AB57,""))),"")</f>
        <v/>
      </c>
      <c r="AC58" s="112" t="str">
        <f t="shared" si="41"/>
        <v/>
      </c>
      <c r="AD58" s="113"/>
      <c r="AE58" s="180"/>
      <c r="AF58" s="191"/>
      <c r="AG58" s="192"/>
      <c r="AH58" s="192"/>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42"/>
      <c r="B59" s="345"/>
      <c r="C59" s="345"/>
      <c r="D59" s="345"/>
      <c r="E59" s="348"/>
      <c r="F59" s="345"/>
      <c r="G59" s="351"/>
      <c r="H59" s="354"/>
      <c r="I59" s="357"/>
      <c r="J59" s="374"/>
      <c r="K59" s="357">
        <f>IF(NOT(ISERROR(MATCH(J59,_xlfn.ANCHORARRAY(E70),0))),I72&amp;"Por favor no seleccionar los criterios de impacto",J59)</f>
        <v>0</v>
      </c>
      <c r="L59" s="354"/>
      <c r="M59" s="357"/>
      <c r="N59" s="377"/>
      <c r="O59" s="6">
        <v>4</v>
      </c>
      <c r="P59" s="180"/>
      <c r="Q59" s="106" t="str">
        <f t="shared" ref="Q59:Q61" si="42">IF(OR(R59="Preventivo",R59="Detectivo"),"Probabilidad",IF(R59="Correctivo","Impacto",""))</f>
        <v/>
      </c>
      <c r="R59" s="107"/>
      <c r="S59" s="107"/>
      <c r="T59" s="108" t="str">
        <f t="shared" si="39"/>
        <v/>
      </c>
      <c r="U59" s="107"/>
      <c r="V59" s="107"/>
      <c r="W59" s="107"/>
      <c r="X59" s="109" t="str">
        <f t="shared" ref="X59:X61" si="43">IFERROR(IF(AND(Q58="Probabilidad",Q59="Probabilidad"),(Z58-(+Z58*T59)),IF(AND(Q58="Impacto",Q59="Probabilidad"),(Z57-(+Z57*T59)),IF(Q59="Impacto",Z58,""))),"")</f>
        <v/>
      </c>
      <c r="Y59" s="110" t="str">
        <f t="shared" si="1"/>
        <v/>
      </c>
      <c r="Z59" s="111" t="str">
        <f t="shared" si="40"/>
        <v/>
      </c>
      <c r="AA59" s="110" t="str">
        <f t="shared" si="3"/>
        <v/>
      </c>
      <c r="AB59" s="111" t="str">
        <f t="shared" ref="AB59:AB61" si="44">IFERROR(IF(AND(Q58="Impacto",Q59="Impacto"),(AB58-(+AB58*T59)),IF(AND(Q58="Probabilidad",Q59="Impacto"),(AB57-(+AB57*T59)),IF(Q59="Probabilidad",AB58,""))),"")</f>
        <v/>
      </c>
      <c r="AC59" s="112"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80"/>
      <c r="AF59" s="191"/>
      <c r="AG59" s="192"/>
      <c r="AH59" s="192"/>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42"/>
      <c r="B60" s="345"/>
      <c r="C60" s="345"/>
      <c r="D60" s="345"/>
      <c r="E60" s="348"/>
      <c r="F60" s="345"/>
      <c r="G60" s="351"/>
      <c r="H60" s="354"/>
      <c r="I60" s="357"/>
      <c r="J60" s="374"/>
      <c r="K60" s="357">
        <f>IF(NOT(ISERROR(MATCH(J60,_xlfn.ANCHORARRAY(E71),0))),I73&amp;"Por favor no seleccionar los criterios de impacto",J60)</f>
        <v>0</v>
      </c>
      <c r="L60" s="354"/>
      <c r="M60" s="357"/>
      <c r="N60" s="377"/>
      <c r="O60" s="6">
        <v>5</v>
      </c>
      <c r="P60" s="180"/>
      <c r="Q60" s="106" t="str">
        <f t="shared" si="42"/>
        <v/>
      </c>
      <c r="R60" s="107"/>
      <c r="S60" s="107"/>
      <c r="T60" s="108" t="str">
        <f t="shared" si="39"/>
        <v/>
      </c>
      <c r="U60" s="107"/>
      <c r="V60" s="107"/>
      <c r="W60" s="107"/>
      <c r="X60" s="109" t="str">
        <f t="shared" si="43"/>
        <v/>
      </c>
      <c r="Y60" s="110" t="str">
        <f t="shared" si="1"/>
        <v/>
      </c>
      <c r="Z60" s="111" t="str">
        <f t="shared" si="40"/>
        <v/>
      </c>
      <c r="AA60" s="110" t="str">
        <f t="shared" si="3"/>
        <v/>
      </c>
      <c r="AB60" s="111" t="str">
        <f t="shared" si="44"/>
        <v/>
      </c>
      <c r="AC60" s="112" t="str">
        <f t="shared" ref="AC60:AC61" si="45">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3"/>
      <c r="AE60" s="180"/>
      <c r="AF60" s="191"/>
      <c r="AG60" s="192"/>
      <c r="AH60" s="192"/>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43"/>
      <c r="B61" s="346"/>
      <c r="C61" s="346"/>
      <c r="D61" s="346"/>
      <c r="E61" s="349"/>
      <c r="F61" s="346"/>
      <c r="G61" s="352"/>
      <c r="H61" s="355"/>
      <c r="I61" s="358"/>
      <c r="J61" s="375"/>
      <c r="K61" s="358">
        <f>IF(NOT(ISERROR(MATCH(J61,_xlfn.ANCHORARRAY(E72),0))),I74&amp;"Por favor no seleccionar los criterios de impacto",J61)</f>
        <v>0</v>
      </c>
      <c r="L61" s="355"/>
      <c r="M61" s="358"/>
      <c r="N61" s="378"/>
      <c r="O61" s="6">
        <v>6</v>
      </c>
      <c r="P61" s="180"/>
      <c r="Q61" s="106" t="str">
        <f t="shared" si="42"/>
        <v/>
      </c>
      <c r="R61" s="107"/>
      <c r="S61" s="107"/>
      <c r="T61" s="108" t="str">
        <f t="shared" si="39"/>
        <v/>
      </c>
      <c r="U61" s="107"/>
      <c r="V61" s="107"/>
      <c r="W61" s="107"/>
      <c r="X61" s="109" t="str">
        <f t="shared" si="43"/>
        <v/>
      </c>
      <c r="Y61" s="110" t="str">
        <f t="shared" si="1"/>
        <v/>
      </c>
      <c r="Z61" s="111" t="str">
        <f t="shared" si="40"/>
        <v/>
      </c>
      <c r="AA61" s="110" t="str">
        <f t="shared" si="3"/>
        <v/>
      </c>
      <c r="AB61" s="111" t="str">
        <f t="shared" si="44"/>
        <v/>
      </c>
      <c r="AC61" s="112" t="str">
        <f t="shared" si="45"/>
        <v/>
      </c>
      <c r="AD61" s="113"/>
      <c r="AE61" s="180"/>
      <c r="AF61" s="191"/>
      <c r="AG61" s="192"/>
      <c r="AH61" s="192"/>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41">
        <v>9</v>
      </c>
      <c r="B62" s="344"/>
      <c r="C62" s="344"/>
      <c r="D62" s="344"/>
      <c r="E62" s="347"/>
      <c r="F62" s="344"/>
      <c r="G62" s="350"/>
      <c r="H62" s="353" t="str">
        <f>IF(G62&lt;=0,"",IF(G62&lt;=2,"Muy Baja",IF(G62&lt;=24,"Baja",IF(G62&lt;=500,"Media",IF(G62&lt;=5000,"Alta","Muy Alta")))))</f>
        <v/>
      </c>
      <c r="I62" s="356" t="str">
        <f>IF(H62="","",IF(H62="Muy Baja",0.2,IF(H62="Baja",0.4,IF(H62="Media",0.6,IF(H62="Alta",0.8,IF(H62="Muy Alta",1,))))))</f>
        <v/>
      </c>
      <c r="J62" s="373"/>
      <c r="K62" s="356">
        <f>IF(NOT(ISERROR(MATCH(J62,'Tabla Impacto'!$B$221:$B$223,0))),'Tabla Impacto'!$F$223&amp;"Por favor no seleccionar los criterios de impacto(Afectación Económica o presupuestal y Pérdida Reputacional)",J62)</f>
        <v>0</v>
      </c>
      <c r="L62" s="353" t="str">
        <f>IF(OR(K62='Tabla Impacto'!$C$11,K62='Tabla Impacto'!$D$11),"Leve",IF(OR(K62='Tabla Impacto'!$C$12,K62='Tabla Impacto'!$D$12),"Menor",IF(OR(K62='Tabla Impacto'!$C$13,K62='Tabla Impacto'!$D$13),"Moderado",IF(OR(K62='Tabla Impacto'!$C$14,K62='Tabla Impacto'!$D$14),"Mayor",IF(OR(K62='Tabla Impacto'!$C$15,K62='Tabla Impacto'!$D$15),"Catastrófico","")))))</f>
        <v/>
      </c>
      <c r="M62" s="356" t="str">
        <f>IF(L62="","",IF(L62="Leve",0.2,IF(L62="Menor",0.4,IF(L62="Moderado",0.6,IF(L62="Mayor",0.8,IF(L62="Catastrófico",1,))))))</f>
        <v/>
      </c>
      <c r="N62" s="376"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6">
        <v>1</v>
      </c>
      <c r="P62" s="180"/>
      <c r="Q62" s="163"/>
      <c r="R62" s="170"/>
      <c r="S62" s="170"/>
      <c r="T62" s="171" t="str">
        <f>IF(AND(R62="Preventivo",S62="Automático"),"50%",IF(AND(R62="Preventivo",S62="Manual"),"40%",IF(AND(R62="Detectivo",S62="Automático"),"40%",IF(AND(R62="Detectivo",S62="Manual"),"30%",IF(AND(R62="Correctivo",S62="Automático"),"35%",IF(AND(R62="Correctivo",S62="Manual"),"25%",""))))))</f>
        <v/>
      </c>
      <c r="U62" s="170"/>
      <c r="V62" s="170"/>
      <c r="W62" s="170"/>
      <c r="X62" s="160" t="str">
        <f>IFERROR(IF(Q62="Probabilidad",(I62-(+I62*T62)),IF(Q62="Impacto",I62,"")),"")</f>
        <v/>
      </c>
      <c r="Y62" s="172" t="str">
        <f>IFERROR(IF(X62="","",IF(X62&lt;=0.2,"Muy Baja",IF(X62&lt;=0.4,"Baja",IF(X62&lt;=0.6,"Media",IF(X62&lt;=0.8,"Alta","Muy Alta"))))),"")</f>
        <v/>
      </c>
      <c r="Z62" s="173" t="str">
        <f>+X62</f>
        <v/>
      </c>
      <c r="AA62" s="172" t="str">
        <f>IFERROR(IF(AB62="","",IF(AB62&lt;=0.2,"Leve",IF(AB62&lt;=0.4,"Menor",IF(AB62&lt;=0.6,"Moderado",IF(AB62&lt;=0.8,"Mayor","Catastrófico"))))),"")</f>
        <v/>
      </c>
      <c r="AB62" s="173" t="str">
        <f>IFERROR(IF(Q62="Impacto",(M62-(+M62*T62)),IF(Q62="Probabilidad",M62,"")),"")</f>
        <v/>
      </c>
      <c r="AC62" s="174"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75"/>
      <c r="AE62" s="180"/>
      <c r="AF62" s="176"/>
      <c r="AG62" s="192"/>
      <c r="AH62" s="192"/>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42"/>
      <c r="B63" s="345"/>
      <c r="C63" s="345"/>
      <c r="D63" s="345"/>
      <c r="E63" s="348"/>
      <c r="F63" s="345"/>
      <c r="G63" s="351"/>
      <c r="H63" s="354"/>
      <c r="I63" s="357"/>
      <c r="J63" s="374"/>
      <c r="K63" s="357">
        <f>IF(NOT(ISERROR(MATCH(J63,_xlfn.ANCHORARRAY(E74),0))),I76&amp;"Por favor no seleccionar los criterios de impacto",J63)</f>
        <v>0</v>
      </c>
      <c r="L63" s="354"/>
      <c r="M63" s="357"/>
      <c r="N63" s="377"/>
      <c r="O63" s="6">
        <v>2</v>
      </c>
      <c r="P63" s="180"/>
      <c r="Q63" s="106" t="str">
        <f>IF(OR(R63="Preventivo",R63="Detectivo"),"Probabilidad",IF(R63="Correctivo","Impacto",""))</f>
        <v/>
      </c>
      <c r="R63" s="107"/>
      <c r="S63" s="107"/>
      <c r="T63" s="108" t="str">
        <f t="shared" ref="T63:T67" si="46">IF(AND(R63="Preventivo",S63="Automático"),"50%",IF(AND(R63="Preventivo",S63="Manual"),"40%",IF(AND(R63="Detectivo",S63="Automático"),"40%",IF(AND(R63="Detectivo",S63="Manual"),"30%",IF(AND(R63="Correctivo",S63="Automático"),"35%",IF(AND(R63="Correctivo",S63="Manual"),"25%",""))))))</f>
        <v/>
      </c>
      <c r="U63" s="107"/>
      <c r="V63" s="107"/>
      <c r="W63" s="107"/>
      <c r="X63" s="109" t="str">
        <f>IFERROR(IF(AND(Q62="Probabilidad",Q63="Probabilidad"),(Z62-(+Z62*T63)),IF(Q63="Probabilidad",(I62-(+I62*T63)),IF(Q63="Impacto",Z62,""))),"")</f>
        <v/>
      </c>
      <c r="Y63" s="110" t="str">
        <f t="shared" si="1"/>
        <v/>
      </c>
      <c r="Z63" s="111" t="str">
        <f t="shared" ref="Z63:Z67" si="47">+X63</f>
        <v/>
      </c>
      <c r="AA63" s="110" t="str">
        <f t="shared" si="3"/>
        <v/>
      </c>
      <c r="AB63" s="111" t="str">
        <f>IFERROR(IF(AND(Q62="Impacto",Q63="Impacto"),(AB62-(+AB62*T63)),IF(Q63="Impacto",(M62-(+M62*T63)),IF(Q63="Probabilidad",AB62,""))),"")</f>
        <v/>
      </c>
      <c r="AC63" s="112" t="str">
        <f t="shared" ref="AC63:AC64" si="48">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80"/>
      <c r="AF63" s="191"/>
      <c r="AG63" s="192"/>
      <c r="AH63" s="192"/>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42"/>
      <c r="B64" s="345"/>
      <c r="C64" s="345"/>
      <c r="D64" s="345"/>
      <c r="E64" s="348"/>
      <c r="F64" s="345"/>
      <c r="G64" s="351"/>
      <c r="H64" s="354"/>
      <c r="I64" s="357"/>
      <c r="J64" s="374"/>
      <c r="K64" s="357">
        <f>IF(NOT(ISERROR(MATCH(J64,_xlfn.ANCHORARRAY(E75),0))),I77&amp;"Por favor no seleccionar los criterios de impacto",J64)</f>
        <v>0</v>
      </c>
      <c r="L64" s="354"/>
      <c r="M64" s="357"/>
      <c r="N64" s="377"/>
      <c r="O64" s="6">
        <v>3</v>
      </c>
      <c r="P64" s="181"/>
      <c r="Q64" s="106" t="str">
        <f>IF(OR(R64="Preventivo",R64="Detectivo"),"Probabilidad",IF(R64="Correctivo","Impacto",""))</f>
        <v/>
      </c>
      <c r="R64" s="107"/>
      <c r="S64" s="107"/>
      <c r="T64" s="108" t="str">
        <f t="shared" si="46"/>
        <v/>
      </c>
      <c r="U64" s="107"/>
      <c r="V64" s="107"/>
      <c r="W64" s="107"/>
      <c r="X64" s="109" t="str">
        <f>IFERROR(IF(AND(Q63="Probabilidad",Q64="Probabilidad"),(Z63-(+Z63*T64)),IF(AND(Q63="Impacto",Q64="Probabilidad"),(Z62-(+Z62*T64)),IF(Q64="Impacto",Z63,""))),"")</f>
        <v/>
      </c>
      <c r="Y64" s="110" t="str">
        <f t="shared" si="1"/>
        <v/>
      </c>
      <c r="Z64" s="111" t="str">
        <f t="shared" si="47"/>
        <v/>
      </c>
      <c r="AA64" s="110" t="str">
        <f t="shared" si="3"/>
        <v/>
      </c>
      <c r="AB64" s="111" t="str">
        <f>IFERROR(IF(AND(Q63="Impacto",Q64="Impacto"),(AB63-(+AB63*T64)),IF(AND(Q63="Probabilidad",Q64="Impacto"),(AB62-(+AB62*T64)),IF(Q64="Probabilidad",AB63,""))),"")</f>
        <v/>
      </c>
      <c r="AC64" s="112" t="str">
        <f t="shared" si="48"/>
        <v/>
      </c>
      <c r="AD64" s="113"/>
      <c r="AE64" s="180"/>
      <c r="AF64" s="191"/>
      <c r="AG64" s="192"/>
      <c r="AH64" s="192"/>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42"/>
      <c r="B65" s="345"/>
      <c r="C65" s="345"/>
      <c r="D65" s="345"/>
      <c r="E65" s="348"/>
      <c r="F65" s="345"/>
      <c r="G65" s="351"/>
      <c r="H65" s="354"/>
      <c r="I65" s="357"/>
      <c r="J65" s="374"/>
      <c r="K65" s="357">
        <f>IF(NOT(ISERROR(MATCH(J65,_xlfn.ANCHORARRAY(E76),0))),I78&amp;"Por favor no seleccionar los criterios de impacto",J65)</f>
        <v>0</v>
      </c>
      <c r="L65" s="354"/>
      <c r="M65" s="357"/>
      <c r="N65" s="377"/>
      <c r="O65" s="6">
        <v>4</v>
      </c>
      <c r="P65" s="180"/>
      <c r="Q65" s="106" t="str">
        <f t="shared" ref="Q65:Q67" si="49">IF(OR(R65="Preventivo",R65="Detectivo"),"Probabilidad",IF(R65="Correctivo","Impacto",""))</f>
        <v/>
      </c>
      <c r="R65" s="107"/>
      <c r="S65" s="107"/>
      <c r="T65" s="108" t="str">
        <f t="shared" si="46"/>
        <v/>
      </c>
      <c r="U65" s="107"/>
      <c r="V65" s="107"/>
      <c r="W65" s="107"/>
      <c r="X65" s="109" t="str">
        <f t="shared" ref="X65:X66" si="50">IFERROR(IF(AND(Q64="Probabilidad",Q65="Probabilidad"),(Z64-(+Z64*T65)),IF(AND(Q64="Impacto",Q65="Probabilidad"),(Z63-(+Z63*T65)),IF(Q65="Impacto",Z64,""))),"")</f>
        <v/>
      </c>
      <c r="Y65" s="110" t="str">
        <f t="shared" si="1"/>
        <v/>
      </c>
      <c r="Z65" s="111" t="str">
        <f t="shared" si="47"/>
        <v/>
      </c>
      <c r="AA65" s="110" t="str">
        <f t="shared" si="3"/>
        <v/>
      </c>
      <c r="AB65" s="111" t="str">
        <f t="shared" ref="AB65:AB66" si="51">IFERROR(IF(AND(Q64="Impacto",Q65="Impacto"),(AB64-(+AB64*T65)),IF(AND(Q64="Probabilidad",Q65="Impacto"),(AB63-(+AB63*T65)),IF(Q65="Probabilidad",AB64,""))),"")</f>
        <v/>
      </c>
      <c r="AC65" s="112"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80"/>
      <c r="AF65" s="191"/>
      <c r="AG65" s="192"/>
      <c r="AH65" s="192"/>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42"/>
      <c r="B66" s="345"/>
      <c r="C66" s="345"/>
      <c r="D66" s="345"/>
      <c r="E66" s="348"/>
      <c r="F66" s="345"/>
      <c r="G66" s="351"/>
      <c r="H66" s="354"/>
      <c r="I66" s="357"/>
      <c r="J66" s="374"/>
      <c r="K66" s="357">
        <f>IF(NOT(ISERROR(MATCH(J66,_xlfn.ANCHORARRAY(E77),0))),I79&amp;"Por favor no seleccionar los criterios de impacto",J66)</f>
        <v>0</v>
      </c>
      <c r="L66" s="354"/>
      <c r="M66" s="357"/>
      <c r="N66" s="377"/>
      <c r="O66" s="6">
        <v>5</v>
      </c>
      <c r="P66" s="180"/>
      <c r="Q66" s="106" t="str">
        <f t="shared" si="49"/>
        <v/>
      </c>
      <c r="R66" s="107"/>
      <c r="S66" s="107"/>
      <c r="T66" s="108" t="str">
        <f t="shared" si="46"/>
        <v/>
      </c>
      <c r="U66" s="107"/>
      <c r="V66" s="107"/>
      <c r="W66" s="107"/>
      <c r="X66" s="109" t="str">
        <f t="shared" si="50"/>
        <v/>
      </c>
      <c r="Y66" s="110" t="str">
        <f t="shared" si="1"/>
        <v/>
      </c>
      <c r="Z66" s="111" t="str">
        <f t="shared" si="47"/>
        <v/>
      </c>
      <c r="AA66" s="110" t="str">
        <f t="shared" si="3"/>
        <v/>
      </c>
      <c r="AB66" s="111" t="str">
        <f t="shared" si="51"/>
        <v/>
      </c>
      <c r="AC66" s="112" t="str">
        <f t="shared" ref="AC66:AC67" si="52">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3"/>
      <c r="AE66" s="180"/>
      <c r="AF66" s="191"/>
      <c r="AG66" s="192"/>
      <c r="AH66" s="192"/>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43"/>
      <c r="B67" s="346"/>
      <c r="C67" s="346"/>
      <c r="D67" s="346"/>
      <c r="E67" s="349"/>
      <c r="F67" s="346"/>
      <c r="G67" s="352"/>
      <c r="H67" s="355"/>
      <c r="I67" s="358"/>
      <c r="J67" s="375"/>
      <c r="K67" s="358">
        <f>IF(NOT(ISERROR(MATCH(J67,_xlfn.ANCHORARRAY(E78),0))),I80&amp;"Por favor no seleccionar los criterios de impacto",J67)</f>
        <v>0</v>
      </c>
      <c r="L67" s="355"/>
      <c r="M67" s="358"/>
      <c r="N67" s="378"/>
      <c r="O67" s="6">
        <v>6</v>
      </c>
      <c r="P67" s="180"/>
      <c r="Q67" s="106" t="str">
        <f t="shared" si="49"/>
        <v/>
      </c>
      <c r="R67" s="107"/>
      <c r="S67" s="107"/>
      <c r="T67" s="108" t="str">
        <f t="shared" si="46"/>
        <v/>
      </c>
      <c r="U67" s="107"/>
      <c r="V67" s="107"/>
      <c r="W67" s="107"/>
      <c r="X67" s="109" t="str">
        <f>IFERROR(IF(AND(Q66="Probabilidad",Q67="Probabilidad"),(Z66-(+Z66*T67)),IF(AND(Q66="Impacto",Q67="Probabilidad"),(Z65-(+Z65*T67)),IF(Q67="Impacto",Z66,""))),"")</f>
        <v/>
      </c>
      <c r="Y67" s="110" t="str">
        <f t="shared" si="1"/>
        <v/>
      </c>
      <c r="Z67" s="111" t="str">
        <f t="shared" si="47"/>
        <v/>
      </c>
      <c r="AA67" s="110" t="str">
        <f t="shared" si="3"/>
        <v/>
      </c>
      <c r="AB67" s="111" t="str">
        <f>IFERROR(IF(AND(Q66="Impacto",Q67="Impacto"),(AB66-(+AB66*T67)),IF(AND(Q66="Probabilidad",Q67="Impacto"),(AB65-(+AB65*T67)),IF(Q67="Probabilidad",AB66,""))),"")</f>
        <v/>
      </c>
      <c r="AC67" s="112" t="str">
        <f t="shared" si="52"/>
        <v/>
      </c>
      <c r="AD67" s="113"/>
      <c r="AE67" s="180"/>
      <c r="AF67" s="191"/>
      <c r="AG67" s="192"/>
      <c r="AH67" s="192"/>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41">
        <v>10</v>
      </c>
      <c r="B68" s="344"/>
      <c r="C68" s="344"/>
      <c r="D68" s="344"/>
      <c r="E68" s="347"/>
      <c r="F68" s="344"/>
      <c r="G68" s="350"/>
      <c r="H68" s="353" t="str">
        <f>IF(G68&lt;=0,"",IF(G68&lt;=2,"Muy Baja",IF(G68&lt;=24,"Baja",IF(G68&lt;=500,"Media",IF(G68&lt;=5000,"Alta","Muy Alta")))))</f>
        <v/>
      </c>
      <c r="I68" s="356" t="str">
        <f>IF(H68="","",IF(H68="Muy Baja",0.2,IF(H68="Baja",0.4,IF(H68="Media",0.6,IF(H68="Alta",0.8,IF(H68="Muy Alta",1,))))))</f>
        <v/>
      </c>
      <c r="J68" s="373"/>
      <c r="K68" s="356">
        <f>IF(NOT(ISERROR(MATCH(J68,'Tabla Impacto'!$B$221:$B$223,0))),'Tabla Impacto'!$F$223&amp;"Por favor no seleccionar los criterios de impacto(Afectación Económica o presupuestal y Pérdida Reputacional)",J68)</f>
        <v>0</v>
      </c>
      <c r="L68" s="353" t="str">
        <f>IF(OR(K68='Tabla Impacto'!$C$11,K68='Tabla Impacto'!$D$11),"Leve",IF(OR(K68='Tabla Impacto'!$C$12,K68='Tabla Impacto'!$D$12),"Menor",IF(OR(K68='Tabla Impacto'!$C$13,K68='Tabla Impacto'!$D$13),"Moderado",IF(OR(K68='Tabla Impacto'!$C$14,K68='Tabla Impacto'!$D$14),"Mayor",IF(OR(K68='Tabla Impacto'!$C$15,K68='Tabla Impacto'!$D$15),"Catastrófico","")))))</f>
        <v/>
      </c>
      <c r="M68" s="356" t="str">
        <f>IF(L68="","",IF(L68="Leve",0.2,IF(L68="Menor",0.4,IF(L68="Moderado",0.6,IF(L68="Mayor",0.8,IF(L68="Catastrófico",1,))))))</f>
        <v/>
      </c>
      <c r="N68" s="376"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6">
        <v>1</v>
      </c>
      <c r="P68" s="180"/>
      <c r="Q68" s="163"/>
      <c r="R68" s="170"/>
      <c r="S68" s="170"/>
      <c r="T68" s="171" t="str">
        <f>IF(AND(R68="Preventivo",S68="Automático"),"50%",IF(AND(R68="Preventivo",S68="Manual"),"40%",IF(AND(R68="Detectivo",S68="Automático"),"40%",IF(AND(R68="Detectivo",S68="Manual"),"30%",IF(AND(R68="Correctivo",S68="Automático"),"35%",IF(AND(R68="Correctivo",S68="Manual"),"25%",""))))))</f>
        <v/>
      </c>
      <c r="U68" s="170"/>
      <c r="V68" s="170"/>
      <c r="W68" s="170"/>
      <c r="X68" s="160" t="str">
        <f>IFERROR(IF(Q68="Probabilidad",(I68-(+I68*T68)),IF(Q68="Impacto",I68,"")),"")</f>
        <v/>
      </c>
      <c r="Y68" s="172" t="str">
        <f>IFERROR(IF(X68="","",IF(X68&lt;=0.2,"Muy Baja",IF(X68&lt;=0.4,"Baja",IF(X68&lt;=0.6,"Media",IF(X68&lt;=0.8,"Alta","Muy Alta"))))),"")</f>
        <v/>
      </c>
      <c r="Z68" s="173" t="str">
        <f>+X68</f>
        <v/>
      </c>
      <c r="AA68" s="172" t="str">
        <f>IFERROR(IF(AB68="","",IF(AB68&lt;=0.2,"Leve",IF(AB68&lt;=0.4,"Menor",IF(AB68&lt;=0.6,"Moderado",IF(AB68&lt;=0.8,"Mayor","Catastrófico"))))),"")</f>
        <v/>
      </c>
      <c r="AB68" s="173" t="str">
        <f>IFERROR(IF(Q68="Impacto",(M68-(+M68*T68)),IF(Q68="Probabilidad",M68,"")),"")</f>
        <v/>
      </c>
      <c r="AC68" s="174"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75"/>
      <c r="AE68" s="180"/>
      <c r="AF68" s="191"/>
      <c r="AG68" s="192"/>
      <c r="AH68" s="192"/>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42"/>
      <c r="B69" s="345"/>
      <c r="C69" s="345"/>
      <c r="D69" s="345"/>
      <c r="E69" s="348"/>
      <c r="F69" s="345"/>
      <c r="G69" s="351"/>
      <c r="H69" s="354"/>
      <c r="I69" s="357"/>
      <c r="J69" s="374"/>
      <c r="K69" s="357">
        <f>IF(NOT(ISERROR(MATCH(J69,_xlfn.ANCHORARRAY(E80),0))),I82&amp;"Por favor no seleccionar los criterios de impacto",J69)</f>
        <v>0</v>
      </c>
      <c r="L69" s="354"/>
      <c r="M69" s="357"/>
      <c r="N69" s="377"/>
      <c r="O69" s="6">
        <v>2</v>
      </c>
      <c r="P69" s="180"/>
      <c r="Q69" s="106" t="str">
        <f>IF(OR(R69="Preventivo",R69="Detectivo"),"Probabilidad",IF(R69="Correctivo","Impacto",""))</f>
        <v/>
      </c>
      <c r="R69" s="107"/>
      <c r="S69" s="107"/>
      <c r="T69" s="108" t="str">
        <f t="shared" ref="T69:T73" si="53">IF(AND(R69="Preventivo",S69="Automático"),"50%",IF(AND(R69="Preventivo",S69="Manual"),"40%",IF(AND(R69="Detectivo",S69="Automático"),"40%",IF(AND(R69="Detectivo",S69="Manual"),"30%",IF(AND(R69="Correctivo",S69="Automático"),"35%",IF(AND(R69="Correctivo",S69="Manual"),"25%",""))))))</f>
        <v/>
      </c>
      <c r="U69" s="107"/>
      <c r="V69" s="107"/>
      <c r="W69" s="107"/>
      <c r="X69" s="109" t="str">
        <f>IFERROR(IF(AND(Q68="Probabilidad",Q69="Probabilidad"),(Z68-(+Z68*T69)),IF(Q69="Probabilidad",(I68-(+I68*T69)),IF(Q69="Impacto",Z68,""))),"")</f>
        <v/>
      </c>
      <c r="Y69" s="110" t="str">
        <f t="shared" si="1"/>
        <v/>
      </c>
      <c r="Z69" s="111" t="str">
        <f t="shared" ref="Z69:Z73" si="54">+X69</f>
        <v/>
      </c>
      <c r="AA69" s="110" t="str">
        <f t="shared" si="3"/>
        <v/>
      </c>
      <c r="AB69" s="111" t="str">
        <f>IFERROR(IF(AND(Q68="Impacto",Q69="Impacto"),(AB68-(+AB68*T69)),IF(Q69="Impacto",(M68-(+M68*T69)),IF(Q69="Probabilidad",AB68,""))),"")</f>
        <v/>
      </c>
      <c r="AC69" s="112" t="str">
        <f t="shared" ref="AC69:AC70" si="55">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80"/>
      <c r="AF69" s="191"/>
      <c r="AG69" s="192"/>
      <c r="AH69" s="192"/>
      <c r="AI69" s="116"/>
      <c r="AJ69" s="114"/>
      <c r="AK69" s="115"/>
    </row>
    <row r="70" spans="1:69" ht="18" hidden="1" customHeight="1" x14ac:dyDescent="0.3">
      <c r="A70" s="342"/>
      <c r="B70" s="345"/>
      <c r="C70" s="345"/>
      <c r="D70" s="345"/>
      <c r="E70" s="348"/>
      <c r="F70" s="345"/>
      <c r="G70" s="351"/>
      <c r="H70" s="354"/>
      <c r="I70" s="357"/>
      <c r="J70" s="374"/>
      <c r="K70" s="357">
        <f>IF(NOT(ISERROR(MATCH(J70,_xlfn.ANCHORARRAY(E81),0))),I83&amp;"Por favor no seleccionar los criterios de impacto",J70)</f>
        <v>0</v>
      </c>
      <c r="L70" s="354"/>
      <c r="M70" s="357"/>
      <c r="N70" s="377"/>
      <c r="O70" s="6">
        <v>3</v>
      </c>
      <c r="P70" s="181"/>
      <c r="Q70" s="106" t="str">
        <f>IF(OR(R70="Preventivo",R70="Detectivo"),"Probabilidad",IF(R70="Correctivo","Impacto",""))</f>
        <v/>
      </c>
      <c r="R70" s="107"/>
      <c r="S70" s="107"/>
      <c r="T70" s="108" t="str">
        <f t="shared" si="53"/>
        <v/>
      </c>
      <c r="U70" s="107"/>
      <c r="V70" s="107"/>
      <c r="W70" s="107"/>
      <c r="X70" s="109" t="str">
        <f>IFERROR(IF(AND(Q69="Probabilidad",Q70="Probabilidad"),(Z69-(+Z69*T70)),IF(AND(Q69="Impacto",Q70="Probabilidad"),(Z68-(+Z68*T70)),IF(Q70="Impacto",Z69,""))),"")</f>
        <v/>
      </c>
      <c r="Y70" s="110" t="str">
        <f t="shared" si="1"/>
        <v/>
      </c>
      <c r="Z70" s="111" t="str">
        <f t="shared" si="54"/>
        <v/>
      </c>
      <c r="AA70" s="110" t="str">
        <f t="shared" si="3"/>
        <v/>
      </c>
      <c r="AB70" s="111" t="str">
        <f>IFERROR(IF(AND(Q69="Impacto",Q70="Impacto"),(AB69-(+AB69*T70)),IF(AND(Q69="Probabilidad",Q70="Impacto"),(AB68-(+AB68*T70)),IF(Q70="Probabilidad",AB69,""))),"")</f>
        <v/>
      </c>
      <c r="AC70" s="112" t="str">
        <f t="shared" si="55"/>
        <v/>
      </c>
      <c r="AD70" s="113"/>
      <c r="AE70" s="180"/>
      <c r="AF70" s="191"/>
      <c r="AG70" s="192"/>
      <c r="AH70" s="192"/>
      <c r="AI70" s="116"/>
      <c r="AJ70" s="114"/>
      <c r="AK70" s="115"/>
    </row>
    <row r="71" spans="1:69" ht="18" hidden="1" customHeight="1" x14ac:dyDescent="0.3">
      <c r="A71" s="342"/>
      <c r="B71" s="345"/>
      <c r="C71" s="345"/>
      <c r="D71" s="345"/>
      <c r="E71" s="348"/>
      <c r="F71" s="345"/>
      <c r="G71" s="351"/>
      <c r="H71" s="354"/>
      <c r="I71" s="357"/>
      <c r="J71" s="374"/>
      <c r="K71" s="357">
        <f>IF(NOT(ISERROR(MATCH(J71,_xlfn.ANCHORARRAY(E82),0))),I84&amp;"Por favor no seleccionar los criterios de impacto",J71)</f>
        <v>0</v>
      </c>
      <c r="L71" s="354"/>
      <c r="M71" s="357"/>
      <c r="N71" s="377"/>
      <c r="O71" s="6">
        <v>4</v>
      </c>
      <c r="P71" s="180"/>
      <c r="Q71" s="106" t="str">
        <f t="shared" ref="Q71:Q73" si="56">IF(OR(R71="Preventivo",R71="Detectivo"),"Probabilidad",IF(R71="Correctivo","Impacto",""))</f>
        <v/>
      </c>
      <c r="R71" s="107"/>
      <c r="S71" s="107"/>
      <c r="T71" s="108" t="str">
        <f t="shared" si="53"/>
        <v/>
      </c>
      <c r="U71" s="107"/>
      <c r="V71" s="107"/>
      <c r="W71" s="107"/>
      <c r="X71" s="109" t="str">
        <f t="shared" ref="X71:X72" si="57">IFERROR(IF(AND(Q70="Probabilidad",Q71="Probabilidad"),(Z70-(+Z70*T71)),IF(AND(Q70="Impacto",Q71="Probabilidad"),(Z69-(+Z69*T71)),IF(Q71="Impacto",Z70,""))),"")</f>
        <v/>
      </c>
      <c r="Y71" s="110" t="str">
        <f t="shared" si="1"/>
        <v/>
      </c>
      <c r="Z71" s="111" t="str">
        <f t="shared" si="54"/>
        <v/>
      </c>
      <c r="AA71" s="110" t="str">
        <f t="shared" si="3"/>
        <v/>
      </c>
      <c r="AB71" s="111" t="str">
        <f t="shared" ref="AB71:AB72" si="58">IFERROR(IF(AND(Q70="Impacto",Q71="Impacto"),(AB70-(+AB70*T71)),IF(AND(Q70="Probabilidad",Q71="Impacto"),(AB69-(+AB69*T71)),IF(Q71="Probabilidad",AB70,""))),"")</f>
        <v/>
      </c>
      <c r="AC71" s="112"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80"/>
      <c r="AF71" s="191"/>
      <c r="AG71" s="192"/>
      <c r="AH71" s="192"/>
      <c r="AI71" s="116"/>
      <c r="AJ71" s="114"/>
      <c r="AK71" s="115"/>
    </row>
    <row r="72" spans="1:69" ht="18" hidden="1" customHeight="1" x14ac:dyDescent="0.3">
      <c r="A72" s="342"/>
      <c r="B72" s="345"/>
      <c r="C72" s="345"/>
      <c r="D72" s="345"/>
      <c r="E72" s="348"/>
      <c r="F72" s="345"/>
      <c r="G72" s="351"/>
      <c r="H72" s="354"/>
      <c r="I72" s="357"/>
      <c r="J72" s="374"/>
      <c r="K72" s="357">
        <f>IF(NOT(ISERROR(MATCH(J72,_xlfn.ANCHORARRAY(E83),0))),I85&amp;"Por favor no seleccionar los criterios de impacto",J72)</f>
        <v>0</v>
      </c>
      <c r="L72" s="354"/>
      <c r="M72" s="357"/>
      <c r="N72" s="377"/>
      <c r="O72" s="6">
        <v>5</v>
      </c>
      <c r="P72" s="180"/>
      <c r="Q72" s="106" t="str">
        <f t="shared" si="56"/>
        <v/>
      </c>
      <c r="R72" s="107"/>
      <c r="S72" s="107"/>
      <c r="T72" s="108" t="str">
        <f t="shared" si="53"/>
        <v/>
      </c>
      <c r="U72" s="107"/>
      <c r="V72" s="107"/>
      <c r="W72" s="107"/>
      <c r="X72" s="109" t="str">
        <f t="shared" si="57"/>
        <v/>
      </c>
      <c r="Y72" s="110" t="str">
        <f t="shared" si="1"/>
        <v/>
      </c>
      <c r="Z72" s="111" t="str">
        <f t="shared" si="54"/>
        <v/>
      </c>
      <c r="AA72" s="110" t="str">
        <f t="shared" si="3"/>
        <v/>
      </c>
      <c r="AB72" s="111" t="str">
        <f t="shared" si="58"/>
        <v/>
      </c>
      <c r="AC72" s="112" t="str">
        <f t="shared" ref="AC72:AC73" si="59">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3"/>
      <c r="AE72" s="180"/>
      <c r="AF72" s="191"/>
      <c r="AG72" s="192"/>
      <c r="AH72" s="192"/>
      <c r="AI72" s="116"/>
      <c r="AJ72" s="114"/>
      <c r="AK72" s="115"/>
    </row>
    <row r="73" spans="1:69" ht="18" hidden="1" customHeight="1" x14ac:dyDescent="0.3">
      <c r="A73" s="343"/>
      <c r="B73" s="346"/>
      <c r="C73" s="346"/>
      <c r="D73" s="346"/>
      <c r="E73" s="349"/>
      <c r="F73" s="346"/>
      <c r="G73" s="352"/>
      <c r="H73" s="355"/>
      <c r="I73" s="358"/>
      <c r="J73" s="375"/>
      <c r="K73" s="358">
        <f>IF(NOT(ISERROR(MATCH(J73,_xlfn.ANCHORARRAY(E84),0))),I86&amp;"Por favor no seleccionar los criterios de impacto",J73)</f>
        <v>0</v>
      </c>
      <c r="L73" s="355"/>
      <c r="M73" s="358"/>
      <c r="N73" s="378"/>
      <c r="O73" s="6">
        <v>6</v>
      </c>
      <c r="P73" s="180"/>
      <c r="Q73" s="106" t="str">
        <f t="shared" si="56"/>
        <v/>
      </c>
      <c r="R73" s="107"/>
      <c r="S73" s="107"/>
      <c r="T73" s="108" t="str">
        <f t="shared" si="53"/>
        <v/>
      </c>
      <c r="U73" s="107"/>
      <c r="V73" s="107"/>
      <c r="W73" s="107"/>
      <c r="X73" s="109" t="str">
        <f>IFERROR(IF(AND(Q72="Probabilidad",Q73="Probabilidad"),(Z72-(+Z72*T73)),IF(AND(Q72="Impacto",Q73="Probabilidad"),(Z71-(+Z71*T73)),IF(Q73="Impacto",Z72,""))),"")</f>
        <v/>
      </c>
      <c r="Y73" s="110" t="str">
        <f t="shared" si="1"/>
        <v/>
      </c>
      <c r="Z73" s="111" t="str">
        <f t="shared" si="54"/>
        <v/>
      </c>
      <c r="AA73" s="110" t="str">
        <f t="shared" si="3"/>
        <v/>
      </c>
      <c r="AB73" s="111" t="str">
        <f>IFERROR(IF(AND(Q72="Impacto",Q73="Impacto"),(AB72-(+AB72*T73)),IF(AND(Q72="Probabilidad",Q73="Impacto"),(AB71-(+AB71*T73)),IF(Q73="Probabilidad",AB72,""))),"")</f>
        <v/>
      </c>
      <c r="AC73" s="112" t="str">
        <f t="shared" si="59"/>
        <v/>
      </c>
      <c r="AD73" s="113"/>
      <c r="AE73" s="180"/>
      <c r="AF73" s="191"/>
      <c r="AG73" s="192"/>
      <c r="AH73" s="192"/>
      <c r="AI73" s="116"/>
      <c r="AJ73" s="114"/>
      <c r="AK73" s="115"/>
    </row>
    <row r="74" spans="1:69" ht="34.5" customHeight="1" x14ac:dyDescent="0.3">
      <c r="A74" s="6"/>
      <c r="B74" s="415" t="s">
        <v>219</v>
      </c>
      <c r="C74" s="416"/>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7"/>
    </row>
    <row r="76" spans="1:69" x14ac:dyDescent="0.3">
      <c r="A76" s="1"/>
      <c r="B76" s="24" t="s">
        <v>220</v>
      </c>
      <c r="C76" s="1"/>
      <c r="D76" s="1"/>
      <c r="F76" s="1"/>
    </row>
  </sheetData>
  <dataConsolidate/>
  <mergeCells count="207">
    <mergeCell ref="Y12:Y14"/>
    <mergeCell ref="Z12:Z14"/>
    <mergeCell ref="X12:X14"/>
    <mergeCell ref="AA12:AA14"/>
    <mergeCell ref="AB12:AB14"/>
    <mergeCell ref="AC12:AC14"/>
    <mergeCell ref="AD12:AD14"/>
    <mergeCell ref="P12:P14"/>
    <mergeCell ref="O12:O14"/>
    <mergeCell ref="Q12:Q14"/>
    <mergeCell ref="R12:R14"/>
    <mergeCell ref="S12:S14"/>
    <mergeCell ref="T12:T14"/>
    <mergeCell ref="U12:U14"/>
    <mergeCell ref="V12:V14"/>
    <mergeCell ref="W12:W14"/>
    <mergeCell ref="F12:F19"/>
    <mergeCell ref="G12:G19"/>
    <mergeCell ref="H12:H19"/>
    <mergeCell ref="A12:A19"/>
    <mergeCell ref="N12:N19"/>
    <mergeCell ref="I12:I19"/>
    <mergeCell ref="J12:J19"/>
    <mergeCell ref="K12:K19"/>
    <mergeCell ref="L12:L19"/>
    <mergeCell ref="M12:M19"/>
    <mergeCell ref="B12:B19"/>
    <mergeCell ref="C12:C19"/>
    <mergeCell ref="D12:D19"/>
    <mergeCell ref="E12:E19"/>
    <mergeCell ref="Y10:Y11"/>
    <mergeCell ref="Z10:Z11"/>
    <mergeCell ref="G10:G11"/>
    <mergeCell ref="H10:H11"/>
    <mergeCell ref="I10:I11"/>
    <mergeCell ref="L10:L11"/>
    <mergeCell ref="M10:M11"/>
    <mergeCell ref="B10:B11"/>
    <mergeCell ref="N10:N11"/>
    <mergeCell ref="J10:J11"/>
    <mergeCell ref="K10:K11"/>
    <mergeCell ref="Q10:Q11"/>
    <mergeCell ref="R10:W10"/>
    <mergeCell ref="E20:E25"/>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20:L25"/>
    <mergeCell ref="M20:M25"/>
    <mergeCell ref="N20:N25"/>
    <mergeCell ref="A26:A31"/>
    <mergeCell ref="B26:B31"/>
    <mergeCell ref="C26:C31"/>
    <mergeCell ref="D26:D31"/>
    <mergeCell ref="E26:E31"/>
    <mergeCell ref="F26:F31"/>
    <mergeCell ref="G26:G31"/>
    <mergeCell ref="H26:H31"/>
    <mergeCell ref="I26:I31"/>
    <mergeCell ref="J26:J31"/>
    <mergeCell ref="K26:K31"/>
    <mergeCell ref="L26:L31"/>
    <mergeCell ref="F20:F25"/>
    <mergeCell ref="G20:G25"/>
    <mergeCell ref="H20:H25"/>
    <mergeCell ref="I20:I25"/>
    <mergeCell ref="J20:J25"/>
    <mergeCell ref="A20:A25"/>
    <mergeCell ref="B20:B25"/>
    <mergeCell ref="C20:C25"/>
    <mergeCell ref="D20:D25"/>
    <mergeCell ref="A32:A37"/>
    <mergeCell ref="B32:B37"/>
    <mergeCell ref="C32:C37"/>
    <mergeCell ref="D32:D37"/>
    <mergeCell ref="E32:E37"/>
    <mergeCell ref="F32:F37"/>
    <mergeCell ref="G32:G37"/>
    <mergeCell ref="H32:H37"/>
    <mergeCell ref="I32:I37"/>
    <mergeCell ref="A38:A43"/>
    <mergeCell ref="B38:B43"/>
    <mergeCell ref="C38:C43"/>
    <mergeCell ref="A44:A49"/>
    <mergeCell ref="B44:B49"/>
    <mergeCell ref="C44:C49"/>
    <mergeCell ref="D44:D49"/>
    <mergeCell ref="E44:E49"/>
    <mergeCell ref="F44:F49"/>
    <mergeCell ref="D38:D43"/>
    <mergeCell ref="E38:E43"/>
    <mergeCell ref="F38:F43"/>
    <mergeCell ref="D50:D55"/>
    <mergeCell ref="E50:E55"/>
    <mergeCell ref="M38:M43"/>
    <mergeCell ref="N38:N43"/>
    <mergeCell ref="M44:M49"/>
    <mergeCell ref="N44:N49"/>
    <mergeCell ref="J50:J55"/>
    <mergeCell ref="K50:K55"/>
    <mergeCell ref="L50:L55"/>
    <mergeCell ref="J44:J49"/>
    <mergeCell ref="K44:K49"/>
    <mergeCell ref="L44:L49"/>
    <mergeCell ref="G38:G43"/>
    <mergeCell ref="H38:H43"/>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A62:A67"/>
    <mergeCell ref="B62:B67"/>
    <mergeCell ref="C62:C67"/>
    <mergeCell ref="D62:D67"/>
    <mergeCell ref="E62:E67"/>
    <mergeCell ref="F62:F67"/>
    <mergeCell ref="G62:G67"/>
    <mergeCell ref="H62:H67"/>
    <mergeCell ref="I62:I67"/>
  </mergeCells>
  <conditionalFormatting sqref="H12:H14">
    <cfRule type="cellIs" dxfId="127" priority="25" operator="equal">
      <formula>"Muy Alta"</formula>
    </cfRule>
    <cfRule type="cellIs" dxfId="126" priority="26" operator="equal">
      <formula>"Alta"</formula>
    </cfRule>
    <cfRule type="cellIs" dxfId="125" priority="27" operator="equal">
      <formula>"Media"</formula>
    </cfRule>
    <cfRule type="cellIs" dxfId="124" priority="28" operator="equal">
      <formula>"Baja"</formula>
    </cfRule>
    <cfRule type="cellIs" dxfId="123" priority="29" operator="equal">
      <formula>"Muy Baja"</formula>
    </cfRule>
  </conditionalFormatting>
  <conditionalFormatting sqref="H20">
    <cfRule type="cellIs" dxfId="122" priority="551" operator="equal">
      <formula>"Muy Alta"</formula>
    </cfRule>
    <cfRule type="cellIs" dxfId="121" priority="554" operator="equal">
      <formula>"Baja"</formula>
    </cfRule>
    <cfRule type="cellIs" dxfId="120" priority="553" operator="equal">
      <formula>"Media"</formula>
    </cfRule>
    <cfRule type="cellIs" dxfId="119" priority="552" operator="equal">
      <formula>"Alta"</formula>
    </cfRule>
    <cfRule type="cellIs" dxfId="118" priority="555" operator="equal">
      <formula>"Muy Baja"</formula>
    </cfRule>
  </conditionalFormatting>
  <conditionalFormatting sqref="H26">
    <cfRule type="cellIs" dxfId="117" priority="453" operator="equal">
      <formula>"Muy Alta"</formula>
    </cfRule>
    <cfRule type="cellIs" dxfId="116" priority="454" operator="equal">
      <formula>"Alta"</formula>
    </cfRule>
    <cfRule type="cellIs" dxfId="115" priority="455" operator="equal">
      <formula>"Media"</formula>
    </cfRule>
    <cfRule type="cellIs" dxfId="114" priority="457" operator="equal">
      <formula>"Muy Baja"</formula>
    </cfRule>
    <cfRule type="cellIs" dxfId="113" priority="456" operator="equal">
      <formula>"Baja"</formula>
    </cfRule>
  </conditionalFormatting>
  <conditionalFormatting sqref="H32 H38">
    <cfRule type="cellIs" dxfId="112" priority="425" operator="equal">
      <formula>"Muy Alta"</formula>
    </cfRule>
    <cfRule type="cellIs" dxfId="111" priority="426" operator="equal">
      <formula>"Alta"</formula>
    </cfRule>
    <cfRule type="cellIs" dxfId="110" priority="427" operator="equal">
      <formula>"Media"</formula>
    </cfRule>
    <cfRule type="cellIs" dxfId="109" priority="428" operator="equal">
      <formula>"Baja"</formula>
    </cfRule>
    <cfRule type="cellIs" dxfId="108" priority="429" operator="equal">
      <formula>"Muy Baja"</formula>
    </cfRule>
  </conditionalFormatting>
  <conditionalFormatting sqref="H44">
    <cfRule type="cellIs" dxfId="107" priority="373" operator="equal">
      <formula>"Muy Baja"</formula>
    </cfRule>
    <cfRule type="cellIs" dxfId="106" priority="372" operator="equal">
      <formula>"Baja"</formula>
    </cfRule>
    <cfRule type="cellIs" dxfId="105" priority="371" operator="equal">
      <formula>"Media"</formula>
    </cfRule>
    <cfRule type="cellIs" dxfId="104" priority="370" operator="equal">
      <formula>"Alta"</formula>
    </cfRule>
    <cfRule type="cellIs" dxfId="103" priority="369" operator="equal">
      <formula>"Muy Alta"</formula>
    </cfRule>
  </conditionalFormatting>
  <conditionalFormatting sqref="H50">
    <cfRule type="cellIs" dxfId="102" priority="344" operator="equal">
      <formula>"Baja"</formula>
    </cfRule>
    <cfRule type="cellIs" dxfId="101" priority="343" operator="equal">
      <formula>"Media"</formula>
    </cfRule>
    <cfRule type="cellIs" dxfId="100" priority="345" operator="equal">
      <formula>"Muy Baja"</formula>
    </cfRule>
    <cfRule type="cellIs" dxfId="99" priority="341" operator="equal">
      <formula>"Muy Alta"</formula>
    </cfRule>
    <cfRule type="cellIs" dxfId="98" priority="342" operator="equal">
      <formula>"Alta"</formula>
    </cfRule>
  </conditionalFormatting>
  <conditionalFormatting sqref="H56">
    <cfRule type="cellIs" dxfId="97" priority="317" operator="equal">
      <formula>"Muy Baja"</formula>
    </cfRule>
    <cfRule type="cellIs" dxfId="96" priority="316" operator="equal">
      <formula>"Baja"</formula>
    </cfRule>
    <cfRule type="cellIs" dxfId="95" priority="314" operator="equal">
      <formula>"Alta"</formula>
    </cfRule>
    <cfRule type="cellIs" dxfId="94" priority="313" operator="equal">
      <formula>"Muy Alta"</formula>
    </cfRule>
    <cfRule type="cellIs" dxfId="93" priority="315" operator="equal">
      <formula>"Media"</formula>
    </cfRule>
  </conditionalFormatting>
  <conditionalFormatting sqref="H62">
    <cfRule type="cellIs" dxfId="92" priority="288" operator="equal">
      <formula>"Baja"</formula>
    </cfRule>
    <cfRule type="cellIs" dxfId="91" priority="289" operator="equal">
      <formula>"Muy Baja"</formula>
    </cfRule>
    <cfRule type="cellIs" dxfId="90" priority="287" operator="equal">
      <formula>"Media"</formula>
    </cfRule>
    <cfRule type="cellIs" dxfId="89" priority="286" operator="equal">
      <formula>"Alta"</formula>
    </cfRule>
    <cfRule type="cellIs" dxfId="88" priority="285" operator="equal">
      <formula>"Muy Alta"</formula>
    </cfRule>
  </conditionalFormatting>
  <conditionalFormatting sqref="H68">
    <cfRule type="cellIs" dxfId="87" priority="260" operator="equal">
      <formula>"Baja"</formula>
    </cfRule>
    <cfRule type="cellIs" dxfId="86" priority="259" operator="equal">
      <formula>"Media"</formula>
    </cfRule>
    <cfRule type="cellIs" dxfId="85" priority="258" operator="equal">
      <formula>"Alta"</formula>
    </cfRule>
    <cfRule type="cellIs" dxfId="84" priority="261" operator="equal">
      <formula>"Muy Baja"</formula>
    </cfRule>
    <cfRule type="cellIs" dxfId="83" priority="257" operator="equal">
      <formula>"Muy Alta"</formula>
    </cfRule>
  </conditionalFormatting>
  <conditionalFormatting sqref="K12:K73">
    <cfRule type="containsText" dxfId="82" priority="1" operator="containsText" text="❌">
      <formula>NOT(ISERROR(SEARCH("❌",K12)))</formula>
    </cfRule>
  </conditionalFormatting>
  <conditionalFormatting sqref="L12:L14">
    <cfRule type="cellIs" dxfId="81" priority="20" operator="equal">
      <formula>"Catastrófico"</formula>
    </cfRule>
    <cfRule type="cellIs" dxfId="80" priority="21" operator="equal">
      <formula>"Mayor"</formula>
    </cfRule>
    <cfRule type="cellIs" dxfId="79" priority="22" operator="equal">
      <formula>"Moderado"</formula>
    </cfRule>
    <cfRule type="cellIs" dxfId="78" priority="23" operator="equal">
      <formula>"Menor"</formula>
    </cfRule>
    <cfRule type="cellIs" dxfId="77" priority="24" operator="equal">
      <formula>"Leve"</formula>
    </cfRule>
  </conditionalFormatting>
  <conditionalFormatting sqref="L20 L26 L32 L38 L44 L50 L56 L62 L68">
    <cfRule type="cellIs" dxfId="76" priority="550" operator="equal">
      <formula>"Leve"</formula>
    </cfRule>
    <cfRule type="cellIs" dxfId="75" priority="549" operator="equal">
      <formula>"Menor"</formula>
    </cfRule>
    <cfRule type="cellIs" dxfId="74" priority="548" operator="equal">
      <formula>"Moderado"</formula>
    </cfRule>
    <cfRule type="cellIs" dxfId="73" priority="547" operator="equal">
      <formula>"Mayor"</formula>
    </cfRule>
    <cfRule type="cellIs" dxfId="72" priority="546" operator="equal">
      <formula>"Catastrófico"</formula>
    </cfRule>
  </conditionalFormatting>
  <conditionalFormatting sqref="N12:N14">
    <cfRule type="cellIs" dxfId="71" priority="16" operator="equal">
      <formula>"Extremo"</formula>
    </cfRule>
    <cfRule type="cellIs" dxfId="70" priority="17" operator="equal">
      <formula>"Alto"</formula>
    </cfRule>
    <cfRule type="cellIs" dxfId="69" priority="18" operator="equal">
      <formula>"Moderado"</formula>
    </cfRule>
    <cfRule type="cellIs" dxfId="68" priority="19" operator="equal">
      <formula>"Bajo"</formula>
    </cfRule>
  </conditionalFormatting>
  <conditionalFormatting sqref="N20">
    <cfRule type="cellIs" dxfId="67" priority="473" operator="equal">
      <formula>"Alto"</formula>
    </cfRule>
    <cfRule type="cellIs" dxfId="66" priority="472" operator="equal">
      <formula>"Extremo"</formula>
    </cfRule>
    <cfRule type="cellIs" dxfId="65" priority="475" operator="equal">
      <formula>"Bajo"</formula>
    </cfRule>
    <cfRule type="cellIs" dxfId="64" priority="474" operator="equal">
      <formula>"Moderado"</formula>
    </cfRule>
  </conditionalFormatting>
  <conditionalFormatting sqref="N26">
    <cfRule type="cellIs" dxfId="63" priority="444" operator="equal">
      <formula>"Extremo"</formula>
    </cfRule>
    <cfRule type="cellIs" dxfId="62" priority="445" operator="equal">
      <formula>"Alto"</formula>
    </cfRule>
    <cfRule type="cellIs" dxfId="61" priority="446" operator="equal">
      <formula>"Moderado"</formula>
    </cfRule>
    <cfRule type="cellIs" dxfId="60" priority="447" operator="equal">
      <formula>"Bajo"</formula>
    </cfRule>
  </conditionalFormatting>
  <conditionalFormatting sqref="N32">
    <cfRule type="cellIs" dxfId="59" priority="418" operator="equal">
      <formula>"Moderado"</formula>
    </cfRule>
    <cfRule type="cellIs" dxfId="58" priority="416" operator="equal">
      <formula>"Extremo"</formula>
    </cfRule>
    <cfRule type="cellIs" dxfId="57" priority="417" operator="equal">
      <formula>"Alto"</formula>
    </cfRule>
    <cfRule type="cellIs" dxfId="56" priority="419" operator="equal">
      <formula>"Bajo"</formula>
    </cfRule>
  </conditionalFormatting>
  <conditionalFormatting sqref="N38">
    <cfRule type="cellIs" dxfId="55" priority="388" operator="equal">
      <formula>"Extremo"</formula>
    </cfRule>
    <cfRule type="cellIs" dxfId="54" priority="389" operator="equal">
      <formula>"Alto"</formula>
    </cfRule>
    <cfRule type="cellIs" dxfId="53" priority="390" operator="equal">
      <formula>"Moderado"</formula>
    </cfRule>
    <cfRule type="cellIs" dxfId="52" priority="391" operator="equal">
      <formula>"Bajo"</formula>
    </cfRule>
  </conditionalFormatting>
  <conditionalFormatting sqref="N44">
    <cfRule type="cellIs" dxfId="51" priority="363" operator="equal">
      <formula>"Bajo"</formula>
    </cfRule>
    <cfRule type="cellIs" dxfId="50" priority="361" operator="equal">
      <formula>"Alto"</formula>
    </cfRule>
    <cfRule type="cellIs" dxfId="49" priority="360" operator="equal">
      <formula>"Extremo"</formula>
    </cfRule>
    <cfRule type="cellIs" dxfId="48" priority="362" operator="equal">
      <formula>"Moderado"</formula>
    </cfRule>
  </conditionalFormatting>
  <conditionalFormatting sqref="N50">
    <cfRule type="cellIs" dxfId="47" priority="332" operator="equal">
      <formula>"Extremo"</formula>
    </cfRule>
    <cfRule type="cellIs" dxfId="46" priority="333" operator="equal">
      <formula>"Alto"</formula>
    </cfRule>
    <cfRule type="cellIs" dxfId="45" priority="334" operator="equal">
      <formula>"Moderado"</formula>
    </cfRule>
    <cfRule type="cellIs" dxfId="44" priority="335" operator="equal">
      <formula>"Bajo"</formula>
    </cfRule>
  </conditionalFormatting>
  <conditionalFormatting sqref="N56">
    <cfRule type="cellIs" dxfId="43" priority="304" operator="equal">
      <formula>"Extremo"</formula>
    </cfRule>
    <cfRule type="cellIs" dxfId="42" priority="306" operator="equal">
      <formula>"Moderado"</formula>
    </cfRule>
    <cfRule type="cellIs" dxfId="41" priority="307" operator="equal">
      <formula>"Bajo"</formula>
    </cfRule>
    <cfRule type="cellIs" dxfId="40" priority="305" operator="equal">
      <formula>"Alto"</formula>
    </cfRule>
  </conditionalFormatting>
  <conditionalFormatting sqref="N62">
    <cfRule type="cellIs" dxfId="39" priority="276" operator="equal">
      <formula>"Extremo"</formula>
    </cfRule>
    <cfRule type="cellIs" dxfId="38" priority="279" operator="equal">
      <formula>"Bajo"</formula>
    </cfRule>
    <cfRule type="cellIs" dxfId="37" priority="278" operator="equal">
      <formula>"Moderado"</formula>
    </cfRule>
    <cfRule type="cellIs" dxfId="36" priority="277" operator="equal">
      <formula>"Alto"</formula>
    </cfRule>
  </conditionalFormatting>
  <conditionalFormatting sqref="N68">
    <cfRule type="cellIs" dxfId="35" priority="248" operator="equal">
      <formula>"Extremo"</formula>
    </cfRule>
    <cfRule type="cellIs" dxfId="34" priority="250" operator="equal">
      <formula>"Moderado"</formula>
    </cfRule>
    <cfRule type="cellIs" dxfId="33" priority="249" operator="equal">
      <formula>"Alto"</formula>
    </cfRule>
    <cfRule type="cellIs" dxfId="32" priority="251" operator="equal">
      <formula>"Bajo"</formula>
    </cfRule>
  </conditionalFormatting>
  <conditionalFormatting sqref="Y12">
    <cfRule type="cellIs" dxfId="31" priority="537" operator="equal">
      <formula>"Muy Alta"</formula>
    </cfRule>
    <cfRule type="cellIs" dxfId="30" priority="539" operator="equal">
      <formula>"Media"</formula>
    </cfRule>
    <cfRule type="cellIs" dxfId="29" priority="538" operator="equal">
      <formula>"Alta"</formula>
    </cfRule>
    <cfRule type="cellIs" dxfId="28" priority="540" operator="equal">
      <formula>"Baja"</formula>
    </cfRule>
    <cfRule type="cellIs" dxfId="27" priority="541" operator="equal">
      <formula>"Muy Baja"</formula>
    </cfRule>
  </conditionalFormatting>
  <conditionalFormatting sqref="Y15:Y73">
    <cfRule type="cellIs" dxfId="26" priority="247" operator="equal">
      <formula>"Muy Baja"</formula>
    </cfRule>
    <cfRule type="cellIs" dxfId="25" priority="246" operator="equal">
      <formula>"Baja"</formula>
    </cfRule>
    <cfRule type="cellIs" dxfId="24" priority="245" operator="equal">
      <formula>"Media"</formula>
    </cfRule>
    <cfRule type="cellIs" dxfId="23" priority="244" operator="equal">
      <formula>"Alta"</formula>
    </cfRule>
    <cfRule type="cellIs" dxfId="22" priority="243" operator="equal">
      <formula>"Muy Alta"</formula>
    </cfRule>
  </conditionalFormatting>
  <conditionalFormatting sqref="AA12">
    <cfRule type="cellIs" dxfId="21" priority="532" operator="equal">
      <formula>"Catastrófico"</formula>
    </cfRule>
    <cfRule type="cellIs" dxfId="20" priority="533" operator="equal">
      <formula>"Mayor"</formula>
    </cfRule>
    <cfRule type="cellIs" dxfId="19" priority="536" operator="equal">
      <formula>"Leve"</formula>
    </cfRule>
    <cfRule type="cellIs" dxfId="18" priority="535" operator="equal">
      <formula>"Menor"</formula>
    </cfRule>
    <cfRule type="cellIs" dxfId="17" priority="534" operator="equal">
      <formula>"Moderado"</formula>
    </cfRule>
  </conditionalFormatting>
  <conditionalFormatting sqref="AA15:AA73">
    <cfRule type="cellIs" dxfId="16" priority="240" operator="equal">
      <formula>"Moderado"</formula>
    </cfRule>
    <cfRule type="cellIs" dxfId="15" priority="239" operator="equal">
      <formula>"Mayor"</formula>
    </cfRule>
    <cfRule type="cellIs" dxfId="14" priority="242" operator="equal">
      <formula>"Leve"</formula>
    </cfRule>
    <cfRule type="cellIs" dxfId="13" priority="241" operator="equal">
      <formula>"Menor"</formula>
    </cfRule>
    <cfRule type="cellIs" dxfId="12" priority="238" operator="equal">
      <formula>"Catastrófico"</formula>
    </cfRule>
  </conditionalFormatting>
  <conditionalFormatting sqref="AC12">
    <cfRule type="cellIs" dxfId="11" priority="531" operator="equal">
      <formula>"Bajo"</formula>
    </cfRule>
    <cfRule type="cellIs" dxfId="10" priority="528" operator="equal">
      <formula>"Extremo"</formula>
    </cfRule>
    <cfRule type="cellIs" dxfId="9" priority="529" operator="equal">
      <formula>"Alto"</formula>
    </cfRule>
    <cfRule type="cellIs" dxfId="8" priority="530" operator="equal">
      <formula>"Moderado"</formula>
    </cfRule>
  </conditionalFormatting>
  <conditionalFormatting sqref="AC15:AC73">
    <cfRule type="cellIs" dxfId="7" priority="235" operator="equal">
      <formula>"Alto"</formula>
    </cfRule>
    <cfRule type="cellIs" dxfId="6" priority="234" operator="equal">
      <formula>"Extremo"</formula>
    </cfRule>
    <cfRule type="cellIs" dxfId="5" priority="236" operator="equal">
      <formula>"Moderado"</formula>
    </cfRule>
    <cfRule type="cellIs" dxfId="4" priority="237"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AK71:AK72 AK17:AK18 AK20:AK21 AK23:AK24 AK26:AK27 AK29:AK30 AK32:AK33 AK35:AK36 AK38:AK39 AK41:AK42 AK44:AK45 AK47:AK48 AK50:AK51 AK53:AK54 AK56:AK57 AK59:AK60 AK62:AK63 AK65:AK66 AK68:AK69 AK12:AK15</xm:sqref>
        </x14:dataValidation>
        <x14:dataValidation type="list" allowBlank="1" showInputMessage="1" showErrorMessage="1" xr:uid="{00000000-0002-0000-0100-000000000000}">
          <x14:formula1>
            <xm:f>'Tabla Valoración controles'!$D$4:$D$6</xm:f>
          </x14:formula1>
          <xm:sqref>R12 R15:R73</xm:sqref>
        </x14:dataValidation>
        <x14:dataValidation type="list" allowBlank="1" showInputMessage="1" showErrorMessage="1" xr:uid="{00000000-0002-0000-0100-000001000000}">
          <x14:formula1>
            <xm:f>'Tabla Valoración controles'!$D$7:$D$8</xm:f>
          </x14:formula1>
          <xm:sqref>S12 S15:S73</xm:sqref>
        </x14:dataValidation>
        <x14:dataValidation type="list" allowBlank="1" showInputMessage="1" showErrorMessage="1" xr:uid="{00000000-0002-0000-0100-000002000000}">
          <x14:formula1>
            <xm:f>'Tabla Valoración controles'!$D$9:$D$10</xm:f>
          </x14:formula1>
          <xm:sqref>U12 U15:U73</xm:sqref>
        </x14:dataValidation>
        <x14:dataValidation type="list" allowBlank="1" showInputMessage="1" showErrorMessage="1" xr:uid="{00000000-0002-0000-0100-000003000000}">
          <x14:formula1>
            <xm:f>'Tabla Valoración controles'!$D$11:$D$12</xm:f>
          </x14:formula1>
          <xm:sqref>V12 V15:V73</xm:sqref>
        </x14:dataValidation>
        <x14:dataValidation type="list" allowBlank="1" showInputMessage="1" showErrorMessage="1" xr:uid="{00000000-0002-0000-0100-000005000000}">
          <x14:formula1>
            <xm:f>'Tabla Valoración controles'!$D$13:$D$14</xm:f>
          </x14:formula1>
          <xm:sqref>W12 W15:W73</xm:sqref>
        </x14:dataValidation>
        <x14:dataValidation type="list" allowBlank="1" showInputMessage="1" showErrorMessage="1" xr:uid="{00000000-0002-0000-0100-000006000000}">
          <x14:formula1>
            <xm:f>'Opciones Tratamiento'!$B$13:$B$19</xm:f>
          </x14:formula1>
          <xm:sqref>F12:F73</xm:sqref>
        </x14:dataValidation>
        <x14:dataValidation type="list" allowBlank="1" showInputMessage="1" showErrorMessage="1" xr:uid="{00000000-0002-0000-0100-000007000000}">
          <x14:formula1>
            <xm:f>'Opciones Tratamiento'!$E$2:$E$4</xm:f>
          </x14:formula1>
          <xm:sqref>B12 B20:B73</xm:sqref>
        </x14:dataValidation>
        <x14:dataValidation type="list" allowBlank="1" showInputMessage="1" showErrorMessage="1" xr:uid="{00000000-0002-0000-0100-000008000000}">
          <x14:formula1>
            <xm:f>'Opciones Tratamiento'!$B$2:$B$5</xm:f>
          </x14:formula1>
          <xm:sqref>AD12 AD15:AD73</xm:sqref>
        </x14:dataValidation>
        <x14:dataValidation type="list" allowBlank="1" showInputMessage="1" showErrorMessage="1" xr:uid="{00000000-0002-0000-0100-000009000000}">
          <x14:formula1>
            <xm:f>'Tabla Impacto'!$F$210:$F$221</xm:f>
          </x14:formula1>
          <xm:sqref>J12:J73</xm:sqref>
        </x14:dataValidation>
        <x14:dataValidation type="custom" allowBlank="1" showInputMessage="1" showErrorMessage="1" error="Recuerde que las acciones se generan bajo la medida de mitigar el riesgo" xr:uid="{00000000-0002-0000-0100-00000A000000}">
          <x14:formula1>
            <xm:f>IF(OR(AD15='Opciones Tratamiento'!$B$2,AD15='Opciones Tratamiento'!$B$3,AD15='Opciones Tratamiento'!$B$4),ISBLANK(AD15),ISTEXT(AD15))</xm:f>
          </x14:formula1>
          <xm:sqref>AE15:AE19 AE23:AE25 AE27:AE31 AE33:AE37 AE39:AE43 AE52:AE73 AE46:AE49</xm:sqref>
        </x14:dataValidation>
        <x14:dataValidation type="custom" allowBlank="1" showInputMessage="1" showErrorMessage="1" error="Recuerde que las acciones se generan bajo la medida de mitigar el riesgo" xr:uid="{00000000-0002-0000-0100-00000B000000}">
          <x14:formula1>
            <xm:f>IF(OR(AD15='Opciones Tratamiento'!$B$2,AD15='Opciones Tratamiento'!$B$3,AD15='Opciones Tratamiento'!$B$4),ISBLANK(AD15),ISTEXT(AD15))</xm:f>
          </x14:formula1>
          <xm:sqref>AF15:AF19 AF23:AF25 AF27:AF31 AF33:AF37 AF39:AF43 AF52:AF73 AF46:AF49</xm:sqref>
        </x14:dataValidation>
        <x14:dataValidation type="custom" allowBlank="1" showInputMessage="1" showErrorMessage="1" error="Recuerde que las acciones se generan bajo la medida de mitigar el riesgo" xr:uid="{00000000-0002-0000-0100-00000C000000}">
          <x14:formula1>
            <xm:f>IF(OR(AD15='Opciones Tratamiento'!$B$2,AD15='Opciones Tratamiento'!$B$3,AD15='Opciones Tratamiento'!$B$4),ISBLANK(AD15),ISTEXT(AD15))</xm:f>
          </x14:formula1>
          <xm:sqref>AG15:AH19 AG23:AH25 AG27:AH31 AG33:AH37 AG39:AH43 AG52:AH73 AG46:AH49</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74" t="s">
        <v>221</v>
      </c>
      <c r="C2" s="574"/>
      <c r="D2" s="574"/>
      <c r="E2" s="574"/>
      <c r="F2" s="574"/>
      <c r="G2" s="574"/>
      <c r="H2" s="574"/>
      <c r="I2" s="574"/>
      <c r="J2" s="542" t="s">
        <v>23</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74"/>
      <c r="C3" s="574"/>
      <c r="D3" s="574"/>
      <c r="E3" s="574"/>
      <c r="F3" s="574"/>
      <c r="G3" s="574"/>
      <c r="H3" s="574"/>
      <c r="I3" s="574"/>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74"/>
      <c r="C4" s="574"/>
      <c r="D4" s="574"/>
      <c r="E4" s="574"/>
      <c r="F4" s="574"/>
      <c r="G4" s="574"/>
      <c r="H4" s="574"/>
      <c r="I4" s="574"/>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9" t="s">
        <v>222</v>
      </c>
      <c r="C6" s="489"/>
      <c r="D6" s="490"/>
      <c r="E6" s="527" t="s">
        <v>223</v>
      </c>
      <c r="F6" s="528"/>
      <c r="G6" s="528"/>
      <c r="H6" s="528"/>
      <c r="I6" s="529"/>
      <c r="J6" s="538" t="str">
        <f>IF(AND('Mapa de Riesgos'!$H$12="Muy Alta",'Mapa de Riesgos'!$L$12="Leve"),CONCATENATE("R",'Mapa de Riesgos'!$A$12),"")</f>
        <v/>
      </c>
      <c r="K6" s="539"/>
      <c r="L6" s="539" t="str">
        <f>IF(AND('Mapa de Riesgos'!$H$20="Muy Alta",'Mapa de Riesgos'!$L$20="Leve"),CONCATENATE("R",'Mapa de Riesgos'!$A$20),"")</f>
        <v/>
      </c>
      <c r="M6" s="539"/>
      <c r="N6" s="539" t="str">
        <f>IF(AND('Mapa de Riesgos'!$H$26="Muy Alta",'Mapa de Riesgos'!$L$26="Leve"),CONCATENATE("R",'Mapa de Riesgos'!$A$26),"")</f>
        <v/>
      </c>
      <c r="O6" s="541"/>
      <c r="P6" s="538" t="str">
        <f>IF(AND('Mapa de Riesgos'!$H$12="Muy Alta",'Mapa de Riesgos'!$L$12="Menor"),CONCATENATE("R",'Mapa de Riesgos'!$A$12),"")</f>
        <v/>
      </c>
      <c r="Q6" s="539"/>
      <c r="R6" s="539" t="str">
        <f>IF(AND('Mapa de Riesgos'!$H$20="Muy Alta",'Mapa de Riesgos'!$L$20="Menor"),CONCATENATE("R",'Mapa de Riesgos'!$A$20),"")</f>
        <v/>
      </c>
      <c r="S6" s="539"/>
      <c r="T6" s="539" t="str">
        <f>IF(AND('Mapa de Riesgos'!$H$26="Muy Alta",'Mapa de Riesgos'!$L$26="Menor"),CONCATENATE("R",'Mapa de Riesgos'!$A$26),"")</f>
        <v/>
      </c>
      <c r="U6" s="541"/>
      <c r="V6" s="538" t="str">
        <f>IF(AND('Mapa de Riesgos'!$H$12="Muy Alta",'Mapa de Riesgos'!$L$12="Moderado"),CONCATENATE("R",'Mapa de Riesgos'!$A$12),"")</f>
        <v/>
      </c>
      <c r="W6" s="539"/>
      <c r="X6" s="539" t="str">
        <f>IF(AND('Mapa de Riesgos'!$H$20="Muy Alta",'Mapa de Riesgos'!$L$20="Moderado"),CONCATENATE("R",'Mapa de Riesgos'!$A$20),"")</f>
        <v/>
      </c>
      <c r="Y6" s="539"/>
      <c r="Z6" s="539" t="str">
        <f>IF(AND('Mapa de Riesgos'!$H$26="Muy Alta",'Mapa de Riesgos'!$L$26="Moderado"),CONCATENATE("R",'Mapa de Riesgos'!$A$26),"")</f>
        <v/>
      </c>
      <c r="AA6" s="541"/>
      <c r="AB6" s="538" t="str">
        <f>IF(AND('Mapa de Riesgos'!$H$12="Muy Alta",'Mapa de Riesgos'!$L$12="Mayor"),CONCATENATE("R",'Mapa de Riesgos'!$A$12),"")</f>
        <v/>
      </c>
      <c r="AC6" s="539"/>
      <c r="AD6" s="539" t="str">
        <f>IF(AND('Mapa de Riesgos'!$H$20="Muy Alta",'Mapa de Riesgos'!$L$20="Mayor"),CONCATENATE("R",'Mapa de Riesgos'!$A$20),"")</f>
        <v/>
      </c>
      <c r="AE6" s="539"/>
      <c r="AF6" s="539" t="str">
        <f>IF(AND('Mapa de Riesgos'!$H$26="Muy Alta",'Mapa de Riesgos'!$L$26="Mayor"),CONCATENATE("R",'Mapa de Riesgos'!$A$26),"")</f>
        <v/>
      </c>
      <c r="AG6" s="541"/>
      <c r="AH6" s="553" t="str">
        <f>IF(AND('Mapa de Riesgos'!$H$12="Muy Alta",'Mapa de Riesgos'!$L$12="Catastrófico"),CONCATENATE("R",'Mapa de Riesgos'!$A$12),"")</f>
        <v/>
      </c>
      <c r="AI6" s="554"/>
      <c r="AJ6" s="554" t="str">
        <f>IF(AND('Mapa de Riesgos'!$H$20="Muy Alta",'Mapa de Riesgos'!$L$20="Catastrófico"),CONCATENATE("R",'Mapa de Riesgos'!$A$20),"")</f>
        <v/>
      </c>
      <c r="AK6" s="554"/>
      <c r="AL6" s="554" t="str">
        <f>IF(AND('Mapa de Riesgos'!$H$26="Muy Alta",'Mapa de Riesgos'!$L$26="Catastrófico"),CONCATENATE("R",'Mapa de Riesgos'!$A$26),"")</f>
        <v/>
      </c>
      <c r="AM6" s="555"/>
      <c r="AO6" s="491" t="s">
        <v>224</v>
      </c>
      <c r="AP6" s="492"/>
      <c r="AQ6" s="492"/>
      <c r="AR6" s="492"/>
      <c r="AS6" s="492"/>
      <c r="AT6" s="49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9"/>
      <c r="C7" s="489"/>
      <c r="D7" s="490"/>
      <c r="E7" s="530"/>
      <c r="F7" s="531"/>
      <c r="G7" s="531"/>
      <c r="H7" s="531"/>
      <c r="I7" s="532"/>
      <c r="J7" s="540"/>
      <c r="K7" s="536"/>
      <c r="L7" s="536"/>
      <c r="M7" s="536"/>
      <c r="N7" s="536"/>
      <c r="O7" s="537"/>
      <c r="P7" s="540"/>
      <c r="Q7" s="536"/>
      <c r="R7" s="536"/>
      <c r="S7" s="536"/>
      <c r="T7" s="536"/>
      <c r="U7" s="537"/>
      <c r="V7" s="540"/>
      <c r="W7" s="536"/>
      <c r="X7" s="536"/>
      <c r="Y7" s="536"/>
      <c r="Z7" s="536"/>
      <c r="AA7" s="537"/>
      <c r="AB7" s="540"/>
      <c r="AC7" s="536"/>
      <c r="AD7" s="536"/>
      <c r="AE7" s="536"/>
      <c r="AF7" s="536"/>
      <c r="AG7" s="537"/>
      <c r="AH7" s="547"/>
      <c r="AI7" s="548"/>
      <c r="AJ7" s="548"/>
      <c r="AK7" s="548"/>
      <c r="AL7" s="548"/>
      <c r="AM7" s="549"/>
      <c r="AN7" s="83"/>
      <c r="AO7" s="494"/>
      <c r="AP7" s="495"/>
      <c r="AQ7" s="495"/>
      <c r="AR7" s="495"/>
      <c r="AS7" s="495"/>
      <c r="AT7" s="49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9"/>
      <c r="C8" s="489"/>
      <c r="D8" s="490"/>
      <c r="E8" s="530"/>
      <c r="F8" s="531"/>
      <c r="G8" s="531"/>
      <c r="H8" s="531"/>
      <c r="I8" s="532"/>
      <c r="J8" s="540" t="str">
        <f>IF(AND('Mapa de Riesgos'!$H$32="Muy Alta",'Mapa de Riesgos'!$L$32="Leve"),CONCATENATE("R",'Mapa de Riesgos'!$A$32),"")</f>
        <v/>
      </c>
      <c r="K8" s="536"/>
      <c r="L8" s="536" t="str">
        <f>IF(AND('Mapa de Riesgos'!$H$38="Muy Alta",'Mapa de Riesgos'!$L$38="Leve"),CONCATENATE("R",'Mapa de Riesgos'!$A$38),"")</f>
        <v/>
      </c>
      <c r="M8" s="536"/>
      <c r="N8" s="536" t="str">
        <f>IF(AND('Mapa de Riesgos'!$H$44="Muy Alta",'Mapa de Riesgos'!$L$44="Leve"),CONCATENATE("R",'Mapa de Riesgos'!$A$44),"")</f>
        <v/>
      </c>
      <c r="O8" s="537"/>
      <c r="P8" s="540" t="str">
        <f>IF(AND('Mapa de Riesgos'!$H$32="Muy Alta",'Mapa de Riesgos'!$L$32="Menor"),CONCATENATE("R",'Mapa de Riesgos'!$A$32),"")</f>
        <v/>
      </c>
      <c r="Q8" s="536"/>
      <c r="R8" s="536" t="str">
        <f>IF(AND('Mapa de Riesgos'!$H$38="Muy Alta",'Mapa de Riesgos'!$L$38="Menor"),CONCATENATE("R",'Mapa de Riesgos'!$A$38),"")</f>
        <v>R5</v>
      </c>
      <c r="S8" s="536"/>
      <c r="T8" s="536" t="str">
        <f>IF(AND('Mapa de Riesgos'!$H$44="Muy Alta",'Mapa de Riesgos'!$L$44="Menor"),CONCATENATE("R",'Mapa de Riesgos'!$A$44),"")</f>
        <v/>
      </c>
      <c r="U8" s="537"/>
      <c r="V8" s="540" t="str">
        <f>IF(AND('Mapa de Riesgos'!$H$32="Muy Alta",'Mapa de Riesgos'!$L$32="Moderado"),CONCATENATE("R",'Mapa de Riesgos'!$A$32),"")</f>
        <v/>
      </c>
      <c r="W8" s="536"/>
      <c r="X8" s="536" t="str">
        <f>IF(AND('Mapa de Riesgos'!$H$38="Muy Alta",'Mapa de Riesgos'!$L$38="Moderado"),CONCATENATE("R",'Mapa de Riesgos'!$A$38),"")</f>
        <v/>
      </c>
      <c r="Y8" s="536"/>
      <c r="Z8" s="536" t="str">
        <f>IF(AND('Mapa de Riesgos'!$H$44="Muy Alta",'Mapa de Riesgos'!$L$44="Moderado"),CONCATENATE("R",'Mapa de Riesgos'!$A$44),"")</f>
        <v/>
      </c>
      <c r="AA8" s="537"/>
      <c r="AB8" s="540" t="str">
        <f>IF(AND('Mapa de Riesgos'!$H$32="Muy Alta",'Mapa de Riesgos'!$L$32="Mayor"),CONCATENATE("R",'Mapa de Riesgos'!$A$32),"")</f>
        <v/>
      </c>
      <c r="AC8" s="536"/>
      <c r="AD8" s="536" t="str">
        <f>IF(AND('Mapa de Riesgos'!$H$38="Muy Alta",'Mapa de Riesgos'!$L$38="Mayor"),CONCATENATE("R",'Mapa de Riesgos'!$A$38),"")</f>
        <v/>
      </c>
      <c r="AE8" s="536"/>
      <c r="AF8" s="536" t="str">
        <f>IF(AND('Mapa de Riesgos'!$H$44="Muy Alta",'Mapa de Riesgos'!$L$44="Mayor"),CONCATENATE("R",'Mapa de Riesgos'!$A$44),"")</f>
        <v/>
      </c>
      <c r="AG8" s="537"/>
      <c r="AH8" s="547" t="str">
        <f>IF(AND('Mapa de Riesgos'!$H$32="Muy Alta",'Mapa de Riesgos'!$L$32="Catastrófico"),CONCATENATE("R",'Mapa de Riesgos'!$A$32),"")</f>
        <v/>
      </c>
      <c r="AI8" s="548"/>
      <c r="AJ8" s="548" t="str">
        <f>IF(AND('Mapa de Riesgos'!$H$38="Muy Alta",'Mapa de Riesgos'!$L$38="Catastrófico"),CONCATENATE("R",'Mapa de Riesgos'!$A$38),"")</f>
        <v/>
      </c>
      <c r="AK8" s="548"/>
      <c r="AL8" s="548" t="str">
        <f>IF(AND('Mapa de Riesgos'!$H$44="Muy Alta",'Mapa de Riesgos'!$L$44="Catastrófico"),CONCATENATE("R",'Mapa de Riesgos'!$A$44),"")</f>
        <v/>
      </c>
      <c r="AM8" s="549"/>
      <c r="AN8" s="83"/>
      <c r="AO8" s="494"/>
      <c r="AP8" s="495"/>
      <c r="AQ8" s="495"/>
      <c r="AR8" s="495"/>
      <c r="AS8" s="495"/>
      <c r="AT8" s="49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9"/>
      <c r="C9" s="489"/>
      <c r="D9" s="490"/>
      <c r="E9" s="530"/>
      <c r="F9" s="531"/>
      <c r="G9" s="531"/>
      <c r="H9" s="531"/>
      <c r="I9" s="532"/>
      <c r="J9" s="540"/>
      <c r="K9" s="536"/>
      <c r="L9" s="536"/>
      <c r="M9" s="536"/>
      <c r="N9" s="536"/>
      <c r="O9" s="537"/>
      <c r="P9" s="540"/>
      <c r="Q9" s="536"/>
      <c r="R9" s="536"/>
      <c r="S9" s="536"/>
      <c r="T9" s="536"/>
      <c r="U9" s="537"/>
      <c r="V9" s="540"/>
      <c r="W9" s="536"/>
      <c r="X9" s="536"/>
      <c r="Y9" s="536"/>
      <c r="Z9" s="536"/>
      <c r="AA9" s="537"/>
      <c r="AB9" s="540"/>
      <c r="AC9" s="536"/>
      <c r="AD9" s="536"/>
      <c r="AE9" s="536"/>
      <c r="AF9" s="536"/>
      <c r="AG9" s="537"/>
      <c r="AH9" s="547"/>
      <c r="AI9" s="548"/>
      <c r="AJ9" s="548"/>
      <c r="AK9" s="548"/>
      <c r="AL9" s="548"/>
      <c r="AM9" s="549"/>
      <c r="AN9" s="83"/>
      <c r="AO9" s="494"/>
      <c r="AP9" s="495"/>
      <c r="AQ9" s="495"/>
      <c r="AR9" s="495"/>
      <c r="AS9" s="495"/>
      <c r="AT9" s="49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9"/>
      <c r="C10" s="489"/>
      <c r="D10" s="490"/>
      <c r="E10" s="530"/>
      <c r="F10" s="531"/>
      <c r="G10" s="531"/>
      <c r="H10" s="531"/>
      <c r="I10" s="532"/>
      <c r="J10" s="540" t="str">
        <f>IF(AND('Mapa de Riesgos'!$H$50="Muy Alta",'Mapa de Riesgos'!$L$50="Leve"),CONCATENATE("R",'Mapa de Riesgos'!$A$50),"")</f>
        <v/>
      </c>
      <c r="K10" s="536"/>
      <c r="L10" s="536" t="str">
        <f>IF(AND('Mapa de Riesgos'!$H$56="Muy Alta",'Mapa de Riesgos'!$L$56="Leve"),CONCATENATE("R",'Mapa de Riesgos'!$A$56),"")</f>
        <v/>
      </c>
      <c r="M10" s="536"/>
      <c r="N10" s="536" t="str">
        <f>IF(AND('Mapa de Riesgos'!$H$62="Muy Alta",'Mapa de Riesgos'!$L$62="Leve"),CONCATENATE("R",'Mapa de Riesgos'!$A$62),"")</f>
        <v/>
      </c>
      <c r="O10" s="537"/>
      <c r="P10" s="540" t="str">
        <f>IF(AND('Mapa de Riesgos'!$H$50="Muy Alta",'Mapa de Riesgos'!$L$50="Menor"),CONCATENATE("R",'Mapa de Riesgos'!$A$50),"")</f>
        <v/>
      </c>
      <c r="Q10" s="536"/>
      <c r="R10" s="536" t="str">
        <f>IF(AND('Mapa de Riesgos'!$H$56="Muy Alta",'Mapa de Riesgos'!$L$56="Menor"),CONCATENATE("R",'Mapa de Riesgos'!$A$56),"")</f>
        <v/>
      </c>
      <c r="S10" s="536"/>
      <c r="T10" s="536" t="str">
        <f>IF(AND('Mapa de Riesgos'!$H$62="Muy Alta",'Mapa de Riesgos'!$L$62="Menor"),CONCATENATE("R",'Mapa de Riesgos'!$A$62),"")</f>
        <v/>
      </c>
      <c r="U10" s="537"/>
      <c r="V10" s="540" t="str">
        <f>IF(AND('Mapa de Riesgos'!$H$50="Muy Alta",'Mapa de Riesgos'!$L$50="Moderado"),CONCATENATE("R",'Mapa de Riesgos'!$A$50),"")</f>
        <v/>
      </c>
      <c r="W10" s="536"/>
      <c r="X10" s="536" t="str">
        <f>IF(AND('Mapa de Riesgos'!$H$56="Muy Alta",'Mapa de Riesgos'!$L$56="Moderado"),CONCATENATE("R",'Mapa de Riesgos'!$A$56),"")</f>
        <v/>
      </c>
      <c r="Y10" s="536"/>
      <c r="Z10" s="536" t="str">
        <f>IF(AND('Mapa de Riesgos'!$H$62="Muy Alta",'Mapa de Riesgos'!$L$62="Moderado"),CONCATENATE("R",'Mapa de Riesgos'!$A$62),"")</f>
        <v/>
      </c>
      <c r="AA10" s="537"/>
      <c r="AB10" s="540" t="str">
        <f>IF(AND('Mapa de Riesgos'!$H$50="Muy Alta",'Mapa de Riesgos'!$L$50="Mayor"),CONCATENATE("R",'Mapa de Riesgos'!$A$50),"")</f>
        <v/>
      </c>
      <c r="AC10" s="536"/>
      <c r="AD10" s="536" t="str">
        <f>IF(AND('Mapa de Riesgos'!$H$56="Muy Alta",'Mapa de Riesgos'!$L$56="Mayor"),CONCATENATE("R",'Mapa de Riesgos'!$A$56),"")</f>
        <v/>
      </c>
      <c r="AE10" s="536"/>
      <c r="AF10" s="536" t="str">
        <f>IF(AND('Mapa de Riesgos'!$H$62="Muy Alta",'Mapa de Riesgos'!$L$62="Mayor"),CONCATENATE("R",'Mapa de Riesgos'!$A$62),"")</f>
        <v/>
      </c>
      <c r="AG10" s="537"/>
      <c r="AH10" s="547" t="str">
        <f>IF(AND('Mapa de Riesgos'!$H$50="Muy Alta",'Mapa de Riesgos'!$L$50="Catastrófico"),CONCATENATE("R",'Mapa de Riesgos'!$A$50),"")</f>
        <v/>
      </c>
      <c r="AI10" s="548"/>
      <c r="AJ10" s="548" t="str">
        <f>IF(AND('Mapa de Riesgos'!$H$56="Muy Alta",'Mapa de Riesgos'!$L$56="Catastrófico"),CONCATENATE("R",'Mapa de Riesgos'!$A$56),"")</f>
        <v/>
      </c>
      <c r="AK10" s="548"/>
      <c r="AL10" s="548" t="str">
        <f>IF(AND('Mapa de Riesgos'!$H$62="Muy Alta",'Mapa de Riesgos'!$L$62="Catastrófico"),CONCATENATE("R",'Mapa de Riesgos'!$A$62),"")</f>
        <v/>
      </c>
      <c r="AM10" s="549"/>
      <c r="AN10" s="83"/>
      <c r="AO10" s="494"/>
      <c r="AP10" s="495"/>
      <c r="AQ10" s="495"/>
      <c r="AR10" s="495"/>
      <c r="AS10" s="495"/>
      <c r="AT10" s="49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9"/>
      <c r="C11" s="489"/>
      <c r="D11" s="490"/>
      <c r="E11" s="530"/>
      <c r="F11" s="531"/>
      <c r="G11" s="531"/>
      <c r="H11" s="531"/>
      <c r="I11" s="532"/>
      <c r="J11" s="540"/>
      <c r="K11" s="536"/>
      <c r="L11" s="536"/>
      <c r="M11" s="536"/>
      <c r="N11" s="536"/>
      <c r="O11" s="537"/>
      <c r="P11" s="540"/>
      <c r="Q11" s="536"/>
      <c r="R11" s="536"/>
      <c r="S11" s="536"/>
      <c r="T11" s="536"/>
      <c r="U11" s="537"/>
      <c r="V11" s="540"/>
      <c r="W11" s="536"/>
      <c r="X11" s="536"/>
      <c r="Y11" s="536"/>
      <c r="Z11" s="536"/>
      <c r="AA11" s="537"/>
      <c r="AB11" s="540"/>
      <c r="AC11" s="536"/>
      <c r="AD11" s="536"/>
      <c r="AE11" s="536"/>
      <c r="AF11" s="536"/>
      <c r="AG11" s="537"/>
      <c r="AH11" s="547"/>
      <c r="AI11" s="548"/>
      <c r="AJ11" s="548"/>
      <c r="AK11" s="548"/>
      <c r="AL11" s="548"/>
      <c r="AM11" s="549"/>
      <c r="AN11" s="83"/>
      <c r="AO11" s="494"/>
      <c r="AP11" s="495"/>
      <c r="AQ11" s="495"/>
      <c r="AR11" s="495"/>
      <c r="AS11" s="495"/>
      <c r="AT11" s="49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9"/>
      <c r="C12" s="489"/>
      <c r="D12" s="490"/>
      <c r="E12" s="530"/>
      <c r="F12" s="531"/>
      <c r="G12" s="531"/>
      <c r="H12" s="531"/>
      <c r="I12" s="532"/>
      <c r="J12" s="540" t="str">
        <f>IF(AND('Mapa de Riesgos'!$H$68="Muy Alta",'Mapa de Riesgos'!$L$68="Leve"),CONCATENATE("R",'Mapa de Riesgos'!$A$68),"")</f>
        <v/>
      </c>
      <c r="K12" s="536"/>
      <c r="L12" s="536" t="str">
        <f>IF(AND('Mapa de Riesgos'!$H$74="Muy Alta",'Mapa de Riesgos'!$L$74="Leve"),CONCATENATE("R",'Mapa de Riesgos'!$A$74),"")</f>
        <v/>
      </c>
      <c r="M12" s="536"/>
      <c r="N12" s="536" t="str">
        <f>IF(AND('Mapa de Riesgos'!$H$80="Muy Alta",'Mapa de Riesgos'!$L$80="Leve"),CONCATENATE("R",'Mapa de Riesgos'!$A$80),"")</f>
        <v/>
      </c>
      <c r="O12" s="537"/>
      <c r="P12" s="540" t="str">
        <f>IF(AND('Mapa de Riesgos'!$H$68="Muy Alta",'Mapa de Riesgos'!$L$68="Menor"),CONCATENATE("R",'Mapa de Riesgos'!$A$68),"")</f>
        <v/>
      </c>
      <c r="Q12" s="536"/>
      <c r="R12" s="536" t="str">
        <f>IF(AND('Mapa de Riesgos'!$H$74="Muy Alta",'Mapa de Riesgos'!$L$74="Menor"),CONCATENATE("R",'Mapa de Riesgos'!$A$74),"")</f>
        <v/>
      </c>
      <c r="S12" s="536"/>
      <c r="T12" s="536" t="str">
        <f>IF(AND('Mapa de Riesgos'!$H$80="Muy Alta",'Mapa de Riesgos'!$L$80="Menor"),CONCATENATE("R",'Mapa de Riesgos'!$A$80),"")</f>
        <v/>
      </c>
      <c r="U12" s="537"/>
      <c r="V12" s="540" t="str">
        <f>IF(AND('Mapa de Riesgos'!$H$68="Muy Alta",'Mapa de Riesgos'!$L$68="Moderado"),CONCATENATE("R",'Mapa de Riesgos'!$A$68),"")</f>
        <v/>
      </c>
      <c r="W12" s="536"/>
      <c r="X12" s="536" t="str">
        <f>IF(AND('Mapa de Riesgos'!$H$74="Muy Alta",'Mapa de Riesgos'!$L$74="Moderado"),CONCATENATE("R",'Mapa de Riesgos'!$A$74),"")</f>
        <v/>
      </c>
      <c r="Y12" s="536"/>
      <c r="Z12" s="536" t="str">
        <f>IF(AND('Mapa de Riesgos'!$H$80="Muy Alta",'Mapa de Riesgos'!$L$80="Moderado"),CONCATENATE("R",'Mapa de Riesgos'!$A$80),"")</f>
        <v/>
      </c>
      <c r="AA12" s="537"/>
      <c r="AB12" s="540" t="str">
        <f>IF(AND('Mapa de Riesgos'!$H$68="Muy Alta",'Mapa de Riesgos'!$L$68="Mayor"),CONCATENATE("R",'Mapa de Riesgos'!$A$68),"")</f>
        <v/>
      </c>
      <c r="AC12" s="536"/>
      <c r="AD12" s="536" t="str">
        <f>IF(AND('Mapa de Riesgos'!$H$74="Muy Alta",'Mapa de Riesgos'!$L$74="Mayor"),CONCATENATE("R",'Mapa de Riesgos'!$A$74),"")</f>
        <v/>
      </c>
      <c r="AE12" s="536"/>
      <c r="AF12" s="536" t="str">
        <f>IF(AND('Mapa de Riesgos'!$H$80="Muy Alta",'Mapa de Riesgos'!$L$80="Mayor"),CONCATENATE("R",'Mapa de Riesgos'!$A$80),"")</f>
        <v/>
      </c>
      <c r="AG12" s="537"/>
      <c r="AH12" s="547" t="str">
        <f>IF(AND('Mapa de Riesgos'!$H$68="Muy Alta",'Mapa de Riesgos'!$L$68="Catastrófico"),CONCATENATE("R",'Mapa de Riesgos'!$A$68),"")</f>
        <v/>
      </c>
      <c r="AI12" s="548"/>
      <c r="AJ12" s="548" t="str">
        <f>IF(AND('Mapa de Riesgos'!$H$74="Muy Alta",'Mapa de Riesgos'!$L$74="Catastrófico"),CONCATENATE("R",'Mapa de Riesgos'!$A$74),"")</f>
        <v/>
      </c>
      <c r="AK12" s="548"/>
      <c r="AL12" s="548" t="str">
        <f>IF(AND('Mapa de Riesgos'!$H$80="Muy Alta",'Mapa de Riesgos'!$L$80="Catastrófico"),CONCATENATE("R",'Mapa de Riesgos'!$A$80),"")</f>
        <v/>
      </c>
      <c r="AM12" s="549"/>
      <c r="AN12" s="83"/>
      <c r="AO12" s="494"/>
      <c r="AP12" s="495"/>
      <c r="AQ12" s="495"/>
      <c r="AR12" s="495"/>
      <c r="AS12" s="495"/>
      <c r="AT12" s="49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9"/>
      <c r="C13" s="489"/>
      <c r="D13" s="490"/>
      <c r="E13" s="533"/>
      <c r="F13" s="534"/>
      <c r="G13" s="534"/>
      <c r="H13" s="534"/>
      <c r="I13" s="535"/>
      <c r="J13" s="540"/>
      <c r="K13" s="536"/>
      <c r="L13" s="536"/>
      <c r="M13" s="536"/>
      <c r="N13" s="536"/>
      <c r="O13" s="537"/>
      <c r="P13" s="540"/>
      <c r="Q13" s="536"/>
      <c r="R13" s="536"/>
      <c r="S13" s="536"/>
      <c r="T13" s="536"/>
      <c r="U13" s="537"/>
      <c r="V13" s="540"/>
      <c r="W13" s="536"/>
      <c r="X13" s="536"/>
      <c r="Y13" s="536"/>
      <c r="Z13" s="536"/>
      <c r="AA13" s="537"/>
      <c r="AB13" s="540"/>
      <c r="AC13" s="536"/>
      <c r="AD13" s="536"/>
      <c r="AE13" s="536"/>
      <c r="AF13" s="536"/>
      <c r="AG13" s="537"/>
      <c r="AH13" s="550"/>
      <c r="AI13" s="551"/>
      <c r="AJ13" s="551"/>
      <c r="AK13" s="551"/>
      <c r="AL13" s="551"/>
      <c r="AM13" s="552"/>
      <c r="AN13" s="83"/>
      <c r="AO13" s="497"/>
      <c r="AP13" s="498"/>
      <c r="AQ13" s="498"/>
      <c r="AR13" s="498"/>
      <c r="AS13" s="498"/>
      <c r="AT13" s="49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9"/>
      <c r="C14" s="489"/>
      <c r="D14" s="490"/>
      <c r="E14" s="527" t="s">
        <v>225</v>
      </c>
      <c r="F14" s="528"/>
      <c r="G14" s="528"/>
      <c r="H14" s="528"/>
      <c r="I14" s="528"/>
      <c r="J14" s="562" t="str">
        <f>IF(AND('Mapa de Riesgos'!$H$12="Alta",'Mapa de Riesgos'!$L$12="Leve"),CONCATENATE("R",'Mapa de Riesgos'!$A$12),"")</f>
        <v/>
      </c>
      <c r="K14" s="563"/>
      <c r="L14" s="563" t="str">
        <f>IF(AND('Mapa de Riesgos'!$H$20="Alta",'Mapa de Riesgos'!$L$20="Leve"),CONCATENATE("R",'Mapa de Riesgos'!$A$20),"")</f>
        <v/>
      </c>
      <c r="M14" s="563"/>
      <c r="N14" s="563" t="str">
        <f>IF(AND('Mapa de Riesgos'!$H$26="Alta",'Mapa de Riesgos'!$L$26="Leve"),CONCATENATE("R",'Mapa de Riesgos'!$A$26),"")</f>
        <v/>
      </c>
      <c r="O14" s="564"/>
      <c r="P14" s="562" t="str">
        <f>IF(AND('Mapa de Riesgos'!$H$12="Alta",'Mapa de Riesgos'!$L$12="Menor"),CONCATENATE("R",'Mapa de Riesgos'!$A$12),"")</f>
        <v/>
      </c>
      <c r="Q14" s="563"/>
      <c r="R14" s="563" t="str">
        <f>IF(AND('Mapa de Riesgos'!$H$20="Alta",'Mapa de Riesgos'!$L$20="Menor"),CONCATENATE("R",'Mapa de Riesgos'!$A$20),"")</f>
        <v/>
      </c>
      <c r="S14" s="563"/>
      <c r="T14" s="563" t="str">
        <f>IF(AND('Mapa de Riesgos'!$H$26="Alta",'Mapa de Riesgos'!$L$26="Menor"),CONCATENATE("R",'Mapa de Riesgos'!$A$26),"")</f>
        <v/>
      </c>
      <c r="U14" s="564"/>
      <c r="V14" s="538" t="str">
        <f>IF(AND('Mapa de Riesgos'!$H$12="Alta",'Mapa de Riesgos'!$L$12="Moderado"),CONCATENATE("R",'Mapa de Riesgos'!$A$12),"")</f>
        <v/>
      </c>
      <c r="W14" s="539"/>
      <c r="X14" s="539" t="str">
        <f>IF(AND('Mapa de Riesgos'!$H$20="Alta",'Mapa de Riesgos'!$L$20="Moderado"),CONCATENATE("R",'Mapa de Riesgos'!$A$20),"")</f>
        <v/>
      </c>
      <c r="Y14" s="539"/>
      <c r="Z14" s="539" t="str">
        <f>IF(AND('Mapa de Riesgos'!$H$26="Alta",'Mapa de Riesgos'!$L$26="Moderado"),CONCATENATE("R",'Mapa de Riesgos'!$A$26),"")</f>
        <v/>
      </c>
      <c r="AA14" s="541"/>
      <c r="AB14" s="538" t="str">
        <f>IF(AND('Mapa de Riesgos'!$H$12="Alta",'Mapa de Riesgos'!$L$12="Mayor"),CONCATENATE("R",'Mapa de Riesgos'!$A$12),"")</f>
        <v/>
      </c>
      <c r="AC14" s="539"/>
      <c r="AD14" s="539" t="str">
        <f>IF(AND('Mapa de Riesgos'!$H$20="Alta",'Mapa de Riesgos'!$L$20="Mayor"),CONCATENATE("R",'Mapa de Riesgos'!$A$20),"")</f>
        <v/>
      </c>
      <c r="AE14" s="539"/>
      <c r="AF14" s="539" t="str">
        <f>IF(AND('Mapa de Riesgos'!$H$26="Alta",'Mapa de Riesgos'!$L$26="Mayor"),CONCATENATE("R",'Mapa de Riesgos'!$A$26),"")</f>
        <v/>
      </c>
      <c r="AG14" s="541"/>
      <c r="AH14" s="553" t="str">
        <f>IF(AND('Mapa de Riesgos'!$H$12="Alta",'Mapa de Riesgos'!$L$12="Catastrófico"),CONCATENATE("R",'Mapa de Riesgos'!$A$12),"")</f>
        <v/>
      </c>
      <c r="AI14" s="554"/>
      <c r="AJ14" s="554" t="str">
        <f>IF(AND('Mapa de Riesgos'!$H$20="Alta",'Mapa de Riesgos'!$L$20="Catastrófico"),CONCATENATE("R",'Mapa de Riesgos'!$A$20),"")</f>
        <v/>
      </c>
      <c r="AK14" s="554"/>
      <c r="AL14" s="554" t="str">
        <f>IF(AND('Mapa de Riesgos'!$H$26="Alta",'Mapa de Riesgos'!$L$26="Catastrófico"),CONCATENATE("R",'Mapa de Riesgos'!$A$26),"")</f>
        <v/>
      </c>
      <c r="AM14" s="555"/>
      <c r="AN14" s="83"/>
      <c r="AO14" s="500" t="s">
        <v>226</v>
      </c>
      <c r="AP14" s="501"/>
      <c r="AQ14" s="501"/>
      <c r="AR14" s="501"/>
      <c r="AS14" s="501"/>
      <c r="AT14" s="50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9"/>
      <c r="C15" s="489"/>
      <c r="D15" s="490"/>
      <c r="E15" s="530"/>
      <c r="F15" s="531"/>
      <c r="G15" s="531"/>
      <c r="H15" s="531"/>
      <c r="I15" s="531"/>
      <c r="J15" s="556"/>
      <c r="K15" s="557"/>
      <c r="L15" s="557"/>
      <c r="M15" s="557"/>
      <c r="N15" s="557"/>
      <c r="O15" s="558"/>
      <c r="P15" s="556"/>
      <c r="Q15" s="557"/>
      <c r="R15" s="557"/>
      <c r="S15" s="557"/>
      <c r="T15" s="557"/>
      <c r="U15" s="558"/>
      <c r="V15" s="540"/>
      <c r="W15" s="536"/>
      <c r="X15" s="536"/>
      <c r="Y15" s="536"/>
      <c r="Z15" s="536"/>
      <c r="AA15" s="537"/>
      <c r="AB15" s="540"/>
      <c r="AC15" s="536"/>
      <c r="AD15" s="536"/>
      <c r="AE15" s="536"/>
      <c r="AF15" s="536"/>
      <c r="AG15" s="537"/>
      <c r="AH15" s="547"/>
      <c r="AI15" s="548"/>
      <c r="AJ15" s="548"/>
      <c r="AK15" s="548"/>
      <c r="AL15" s="548"/>
      <c r="AM15" s="549"/>
      <c r="AN15" s="83"/>
      <c r="AO15" s="503"/>
      <c r="AP15" s="504"/>
      <c r="AQ15" s="504"/>
      <c r="AR15" s="504"/>
      <c r="AS15" s="504"/>
      <c r="AT15" s="50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9"/>
      <c r="C16" s="489"/>
      <c r="D16" s="490"/>
      <c r="E16" s="530"/>
      <c r="F16" s="531"/>
      <c r="G16" s="531"/>
      <c r="H16" s="531"/>
      <c r="I16" s="531"/>
      <c r="J16" s="556" t="str">
        <f>IF(AND('Mapa de Riesgos'!$H$32="Alta",'Mapa de Riesgos'!$L$32="Leve"),CONCATENATE("R",'Mapa de Riesgos'!$A$32),"")</f>
        <v/>
      </c>
      <c r="K16" s="557"/>
      <c r="L16" s="557" t="str">
        <f>IF(AND('Mapa de Riesgos'!$H$38="Alta",'Mapa de Riesgos'!$L$38="Leve"),CONCATENATE("R",'Mapa de Riesgos'!$A$38),"")</f>
        <v/>
      </c>
      <c r="M16" s="557"/>
      <c r="N16" s="557" t="str">
        <f>IF(AND('Mapa de Riesgos'!$H$44="Alta",'Mapa de Riesgos'!$L$44="Leve"),CONCATENATE("R",'Mapa de Riesgos'!$A$44),"")</f>
        <v/>
      </c>
      <c r="O16" s="558"/>
      <c r="P16" s="556" t="str">
        <f>IF(AND('Mapa de Riesgos'!$H$32="Alta",'Mapa de Riesgos'!$L$32="Menor"),CONCATENATE("R",'Mapa de Riesgos'!$A$32),"")</f>
        <v/>
      </c>
      <c r="Q16" s="557"/>
      <c r="R16" s="557" t="str">
        <f>IF(AND('Mapa de Riesgos'!$H$38="Alta",'Mapa de Riesgos'!$L$38="Menor"),CONCATENATE("R",'Mapa de Riesgos'!$A$38),"")</f>
        <v/>
      </c>
      <c r="S16" s="557"/>
      <c r="T16" s="557" t="str">
        <f>IF(AND('Mapa de Riesgos'!$H$44="Alta",'Mapa de Riesgos'!$L$44="Menor"),CONCATENATE("R",'Mapa de Riesgos'!$A$44),"")</f>
        <v/>
      </c>
      <c r="U16" s="558"/>
      <c r="V16" s="540" t="str">
        <f>IF(AND('Mapa de Riesgos'!$H$32="Alta",'Mapa de Riesgos'!$L$32="Moderado"),CONCATENATE("R",'Mapa de Riesgos'!$A$32),"")</f>
        <v/>
      </c>
      <c r="W16" s="536"/>
      <c r="X16" s="536" t="str">
        <f>IF(AND('Mapa de Riesgos'!$H$38="Alta",'Mapa de Riesgos'!$L$38="Moderado"),CONCATENATE("R",'Mapa de Riesgos'!$A$38),"")</f>
        <v/>
      </c>
      <c r="Y16" s="536"/>
      <c r="Z16" s="536" t="str">
        <f>IF(AND('Mapa de Riesgos'!$H$44="Alta",'Mapa de Riesgos'!$L$44="Moderado"),CONCATENATE("R",'Mapa de Riesgos'!$A$44),"")</f>
        <v/>
      </c>
      <c r="AA16" s="537"/>
      <c r="AB16" s="540" t="str">
        <f>IF(AND('Mapa de Riesgos'!$H$32="Alta",'Mapa de Riesgos'!$L$32="Mayor"),CONCATENATE("R",'Mapa de Riesgos'!$A$32),"")</f>
        <v/>
      </c>
      <c r="AC16" s="536"/>
      <c r="AD16" s="536" t="str">
        <f>IF(AND('Mapa de Riesgos'!$H$38="Alta",'Mapa de Riesgos'!$L$38="Mayor"),CONCATENATE("R",'Mapa de Riesgos'!$A$38),"")</f>
        <v/>
      </c>
      <c r="AE16" s="536"/>
      <c r="AF16" s="536" t="str">
        <f>IF(AND('Mapa de Riesgos'!$H$44="Alta",'Mapa de Riesgos'!$L$44="Mayor"),CONCATENATE("R",'Mapa de Riesgos'!$A$44),"")</f>
        <v/>
      </c>
      <c r="AG16" s="537"/>
      <c r="AH16" s="547" t="str">
        <f>IF(AND('Mapa de Riesgos'!$H$32="Alta",'Mapa de Riesgos'!$L$32="Catastrófico"),CONCATENATE("R",'Mapa de Riesgos'!$A$32),"")</f>
        <v/>
      </c>
      <c r="AI16" s="548"/>
      <c r="AJ16" s="548" t="str">
        <f>IF(AND('Mapa de Riesgos'!$H$38="Alta",'Mapa de Riesgos'!$L$38="Catastrófico"),CONCATENATE("R",'Mapa de Riesgos'!$A$38),"")</f>
        <v/>
      </c>
      <c r="AK16" s="548"/>
      <c r="AL16" s="548" t="str">
        <f>IF(AND('Mapa de Riesgos'!$H$44="Alta",'Mapa de Riesgos'!$L$44="Catastrófico"),CONCATENATE("R",'Mapa de Riesgos'!$A$44),"")</f>
        <v/>
      </c>
      <c r="AM16" s="549"/>
      <c r="AN16" s="83"/>
      <c r="AO16" s="503"/>
      <c r="AP16" s="504"/>
      <c r="AQ16" s="504"/>
      <c r="AR16" s="504"/>
      <c r="AS16" s="504"/>
      <c r="AT16" s="50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9"/>
      <c r="C17" s="489"/>
      <c r="D17" s="490"/>
      <c r="E17" s="530"/>
      <c r="F17" s="531"/>
      <c r="G17" s="531"/>
      <c r="H17" s="531"/>
      <c r="I17" s="531"/>
      <c r="J17" s="556"/>
      <c r="K17" s="557"/>
      <c r="L17" s="557"/>
      <c r="M17" s="557"/>
      <c r="N17" s="557"/>
      <c r="O17" s="558"/>
      <c r="P17" s="556"/>
      <c r="Q17" s="557"/>
      <c r="R17" s="557"/>
      <c r="S17" s="557"/>
      <c r="T17" s="557"/>
      <c r="U17" s="558"/>
      <c r="V17" s="540"/>
      <c r="W17" s="536"/>
      <c r="X17" s="536"/>
      <c r="Y17" s="536"/>
      <c r="Z17" s="536"/>
      <c r="AA17" s="537"/>
      <c r="AB17" s="540"/>
      <c r="AC17" s="536"/>
      <c r="AD17" s="536"/>
      <c r="AE17" s="536"/>
      <c r="AF17" s="536"/>
      <c r="AG17" s="537"/>
      <c r="AH17" s="547"/>
      <c r="AI17" s="548"/>
      <c r="AJ17" s="548"/>
      <c r="AK17" s="548"/>
      <c r="AL17" s="548"/>
      <c r="AM17" s="549"/>
      <c r="AN17" s="83"/>
      <c r="AO17" s="503"/>
      <c r="AP17" s="504"/>
      <c r="AQ17" s="504"/>
      <c r="AR17" s="504"/>
      <c r="AS17" s="504"/>
      <c r="AT17" s="50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9"/>
      <c r="C18" s="489"/>
      <c r="D18" s="490"/>
      <c r="E18" s="530"/>
      <c r="F18" s="531"/>
      <c r="G18" s="531"/>
      <c r="H18" s="531"/>
      <c r="I18" s="531"/>
      <c r="J18" s="556" t="str">
        <f>IF(AND('Mapa de Riesgos'!$H$50="Alta",'Mapa de Riesgos'!$L$50="Leve"),CONCATENATE("R",'Mapa de Riesgos'!$A$50),"")</f>
        <v/>
      </c>
      <c r="K18" s="557"/>
      <c r="L18" s="557" t="str">
        <f>IF(AND('Mapa de Riesgos'!$H$56="Alta",'Mapa de Riesgos'!$L$56="Leve"),CONCATENATE("R",'Mapa de Riesgos'!$A$56),"")</f>
        <v/>
      </c>
      <c r="M18" s="557"/>
      <c r="N18" s="557" t="str">
        <f>IF(AND('Mapa de Riesgos'!$H$62="Alta",'Mapa de Riesgos'!$L$62="Leve"),CONCATENATE("R",'Mapa de Riesgos'!$A$62),"")</f>
        <v/>
      </c>
      <c r="O18" s="558"/>
      <c r="P18" s="556" t="str">
        <f>IF(AND('Mapa de Riesgos'!$H$50="Alta",'Mapa de Riesgos'!$L$50="Menor"),CONCATENATE("R",'Mapa de Riesgos'!$A$50),"")</f>
        <v/>
      </c>
      <c r="Q18" s="557"/>
      <c r="R18" s="557" t="str">
        <f>IF(AND('Mapa de Riesgos'!$H$56="Alta",'Mapa de Riesgos'!$L$56="Menor"),CONCATENATE("R",'Mapa de Riesgos'!$A$56),"")</f>
        <v/>
      </c>
      <c r="S18" s="557"/>
      <c r="T18" s="557" t="str">
        <f>IF(AND('Mapa de Riesgos'!$H$62="Alta",'Mapa de Riesgos'!$L$62="Menor"),CONCATENATE("R",'Mapa de Riesgos'!$A$62),"")</f>
        <v/>
      </c>
      <c r="U18" s="558"/>
      <c r="V18" s="540" t="str">
        <f>IF(AND('Mapa de Riesgos'!$H$50="Alta",'Mapa de Riesgos'!$L$50="Moderado"),CONCATENATE("R",'Mapa de Riesgos'!$A$50),"")</f>
        <v/>
      </c>
      <c r="W18" s="536"/>
      <c r="X18" s="536" t="str">
        <f>IF(AND('Mapa de Riesgos'!$H$56="Alta",'Mapa de Riesgos'!$L$56="Moderado"),CONCATENATE("R",'Mapa de Riesgos'!$A$56),"")</f>
        <v/>
      </c>
      <c r="Y18" s="536"/>
      <c r="Z18" s="536" t="str">
        <f>IF(AND('Mapa de Riesgos'!$H$62="Alta",'Mapa de Riesgos'!$L$62="Moderado"),CONCATENATE("R",'Mapa de Riesgos'!$A$62),"")</f>
        <v/>
      </c>
      <c r="AA18" s="537"/>
      <c r="AB18" s="540" t="str">
        <f>IF(AND('Mapa de Riesgos'!$H$50="Alta",'Mapa de Riesgos'!$L$50="Mayor"),CONCATENATE("R",'Mapa de Riesgos'!$A$50),"")</f>
        <v/>
      </c>
      <c r="AC18" s="536"/>
      <c r="AD18" s="536" t="str">
        <f>IF(AND('Mapa de Riesgos'!$H$56="Alta",'Mapa de Riesgos'!$L$56="Mayor"),CONCATENATE("R",'Mapa de Riesgos'!$A$56),"")</f>
        <v/>
      </c>
      <c r="AE18" s="536"/>
      <c r="AF18" s="536" t="str">
        <f>IF(AND('Mapa de Riesgos'!$H$62="Alta",'Mapa de Riesgos'!$L$62="Mayor"),CONCATENATE("R",'Mapa de Riesgos'!$A$62),"")</f>
        <v/>
      </c>
      <c r="AG18" s="537"/>
      <c r="AH18" s="547" t="str">
        <f>IF(AND('Mapa de Riesgos'!$H$50="Alta",'Mapa de Riesgos'!$L$50="Catastrófico"),CONCATENATE("R",'Mapa de Riesgos'!$A$50),"")</f>
        <v/>
      </c>
      <c r="AI18" s="548"/>
      <c r="AJ18" s="548" t="str">
        <f>IF(AND('Mapa de Riesgos'!$H$56="Alta",'Mapa de Riesgos'!$L$56="Catastrófico"),CONCATENATE("R",'Mapa de Riesgos'!$A$56),"")</f>
        <v/>
      </c>
      <c r="AK18" s="548"/>
      <c r="AL18" s="548" t="str">
        <f>IF(AND('Mapa de Riesgos'!$H$62="Alta",'Mapa de Riesgos'!$L$62="Catastrófico"),CONCATENATE("R",'Mapa de Riesgos'!$A$62),"")</f>
        <v/>
      </c>
      <c r="AM18" s="549"/>
      <c r="AN18" s="83"/>
      <c r="AO18" s="503"/>
      <c r="AP18" s="504"/>
      <c r="AQ18" s="504"/>
      <c r="AR18" s="504"/>
      <c r="AS18" s="504"/>
      <c r="AT18" s="50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9"/>
      <c r="C19" s="489"/>
      <c r="D19" s="490"/>
      <c r="E19" s="530"/>
      <c r="F19" s="531"/>
      <c r="G19" s="531"/>
      <c r="H19" s="531"/>
      <c r="I19" s="531"/>
      <c r="J19" s="556"/>
      <c r="K19" s="557"/>
      <c r="L19" s="557"/>
      <c r="M19" s="557"/>
      <c r="N19" s="557"/>
      <c r="O19" s="558"/>
      <c r="P19" s="556"/>
      <c r="Q19" s="557"/>
      <c r="R19" s="557"/>
      <c r="S19" s="557"/>
      <c r="T19" s="557"/>
      <c r="U19" s="558"/>
      <c r="V19" s="540"/>
      <c r="W19" s="536"/>
      <c r="X19" s="536"/>
      <c r="Y19" s="536"/>
      <c r="Z19" s="536"/>
      <c r="AA19" s="537"/>
      <c r="AB19" s="540"/>
      <c r="AC19" s="536"/>
      <c r="AD19" s="536"/>
      <c r="AE19" s="536"/>
      <c r="AF19" s="536"/>
      <c r="AG19" s="537"/>
      <c r="AH19" s="547"/>
      <c r="AI19" s="548"/>
      <c r="AJ19" s="548"/>
      <c r="AK19" s="548"/>
      <c r="AL19" s="548"/>
      <c r="AM19" s="549"/>
      <c r="AN19" s="83"/>
      <c r="AO19" s="503"/>
      <c r="AP19" s="504"/>
      <c r="AQ19" s="504"/>
      <c r="AR19" s="504"/>
      <c r="AS19" s="504"/>
      <c r="AT19" s="50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9"/>
      <c r="C20" s="489"/>
      <c r="D20" s="490"/>
      <c r="E20" s="530"/>
      <c r="F20" s="531"/>
      <c r="G20" s="531"/>
      <c r="H20" s="531"/>
      <c r="I20" s="531"/>
      <c r="J20" s="556" t="str">
        <f>IF(AND('Mapa de Riesgos'!$H$68="Alta",'Mapa de Riesgos'!$L$68="Leve"),CONCATENATE("R",'Mapa de Riesgos'!$A$68),"")</f>
        <v/>
      </c>
      <c r="K20" s="557"/>
      <c r="L20" s="557" t="str">
        <f>IF(AND('Mapa de Riesgos'!$H$74="Alta",'Mapa de Riesgos'!$L$74="Leve"),CONCATENATE("R",'Mapa de Riesgos'!$A$74),"")</f>
        <v/>
      </c>
      <c r="M20" s="557"/>
      <c r="N20" s="557" t="str">
        <f>IF(AND('Mapa de Riesgos'!$H$80="Alta",'Mapa de Riesgos'!$L$80="Leve"),CONCATENATE("R",'Mapa de Riesgos'!$A$80),"")</f>
        <v/>
      </c>
      <c r="O20" s="558"/>
      <c r="P20" s="556" t="str">
        <f>IF(AND('Mapa de Riesgos'!$H$68="Alta",'Mapa de Riesgos'!$L$68="Menor"),CONCATENATE("R",'Mapa de Riesgos'!$A$68),"")</f>
        <v/>
      </c>
      <c r="Q20" s="557"/>
      <c r="R20" s="557" t="str">
        <f>IF(AND('Mapa de Riesgos'!$H$74="Alta",'Mapa de Riesgos'!$L$74="Menor"),CONCATENATE("R",'Mapa de Riesgos'!$A$74),"")</f>
        <v/>
      </c>
      <c r="S20" s="557"/>
      <c r="T20" s="557" t="str">
        <f>IF(AND('Mapa de Riesgos'!$H$80="Alta",'Mapa de Riesgos'!$L$80="Menor"),CONCATENATE("R",'Mapa de Riesgos'!$A$80),"")</f>
        <v/>
      </c>
      <c r="U20" s="558"/>
      <c r="V20" s="540" t="str">
        <f>IF(AND('Mapa de Riesgos'!$H$68="Alta",'Mapa de Riesgos'!$L$68="Moderado"),CONCATENATE("R",'Mapa de Riesgos'!$A$68),"")</f>
        <v/>
      </c>
      <c r="W20" s="536"/>
      <c r="X20" s="536" t="str">
        <f>IF(AND('Mapa de Riesgos'!$H$74="Alta",'Mapa de Riesgos'!$L$74="Moderado"),CONCATENATE("R",'Mapa de Riesgos'!$A$74),"")</f>
        <v/>
      </c>
      <c r="Y20" s="536"/>
      <c r="Z20" s="536" t="str">
        <f>IF(AND('Mapa de Riesgos'!$H$80="Alta",'Mapa de Riesgos'!$L$80="Moderado"),CONCATENATE("R",'Mapa de Riesgos'!$A$80),"")</f>
        <v/>
      </c>
      <c r="AA20" s="537"/>
      <c r="AB20" s="540" t="str">
        <f>IF(AND('Mapa de Riesgos'!$H$68="Alta",'Mapa de Riesgos'!$L$68="Mayor"),CONCATENATE("R",'Mapa de Riesgos'!$A$68),"")</f>
        <v/>
      </c>
      <c r="AC20" s="536"/>
      <c r="AD20" s="536" t="str">
        <f>IF(AND('Mapa de Riesgos'!$H$74="Alta",'Mapa de Riesgos'!$L$74="Mayor"),CONCATENATE("R",'Mapa de Riesgos'!$A$74),"")</f>
        <v/>
      </c>
      <c r="AE20" s="536"/>
      <c r="AF20" s="536" t="str">
        <f>IF(AND('Mapa de Riesgos'!$H$80="Alta",'Mapa de Riesgos'!$L$80="Mayor"),CONCATENATE("R",'Mapa de Riesgos'!$A$80),"")</f>
        <v/>
      </c>
      <c r="AG20" s="537"/>
      <c r="AH20" s="547" t="str">
        <f>IF(AND('Mapa de Riesgos'!$H$68="Alta",'Mapa de Riesgos'!$L$68="Catastrófico"),CONCATENATE("R",'Mapa de Riesgos'!$A$68),"")</f>
        <v/>
      </c>
      <c r="AI20" s="548"/>
      <c r="AJ20" s="548" t="str">
        <f>IF(AND('Mapa de Riesgos'!$H$74="Alta",'Mapa de Riesgos'!$L$74="Catastrófico"),CONCATENATE("R",'Mapa de Riesgos'!$A$74),"")</f>
        <v/>
      </c>
      <c r="AK20" s="548"/>
      <c r="AL20" s="548" t="str">
        <f>IF(AND('Mapa de Riesgos'!$H$80="Alta",'Mapa de Riesgos'!$L$80="Catastrófico"),CONCATENATE("R",'Mapa de Riesgos'!$A$80),"")</f>
        <v/>
      </c>
      <c r="AM20" s="549"/>
      <c r="AN20" s="83"/>
      <c r="AO20" s="503"/>
      <c r="AP20" s="504"/>
      <c r="AQ20" s="504"/>
      <c r="AR20" s="504"/>
      <c r="AS20" s="504"/>
      <c r="AT20" s="50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9"/>
      <c r="C21" s="489"/>
      <c r="D21" s="490"/>
      <c r="E21" s="533"/>
      <c r="F21" s="534"/>
      <c r="G21" s="534"/>
      <c r="H21" s="534"/>
      <c r="I21" s="534"/>
      <c r="J21" s="559"/>
      <c r="K21" s="560"/>
      <c r="L21" s="560"/>
      <c r="M21" s="560"/>
      <c r="N21" s="560"/>
      <c r="O21" s="561"/>
      <c r="P21" s="559"/>
      <c r="Q21" s="560"/>
      <c r="R21" s="560"/>
      <c r="S21" s="560"/>
      <c r="T21" s="560"/>
      <c r="U21" s="561"/>
      <c r="V21" s="544"/>
      <c r="W21" s="545"/>
      <c r="X21" s="545"/>
      <c r="Y21" s="545"/>
      <c r="Z21" s="545"/>
      <c r="AA21" s="546"/>
      <c r="AB21" s="544"/>
      <c r="AC21" s="545"/>
      <c r="AD21" s="545"/>
      <c r="AE21" s="545"/>
      <c r="AF21" s="545"/>
      <c r="AG21" s="546"/>
      <c r="AH21" s="550"/>
      <c r="AI21" s="551"/>
      <c r="AJ21" s="551"/>
      <c r="AK21" s="551"/>
      <c r="AL21" s="551"/>
      <c r="AM21" s="552"/>
      <c r="AN21" s="83"/>
      <c r="AO21" s="506"/>
      <c r="AP21" s="507"/>
      <c r="AQ21" s="507"/>
      <c r="AR21" s="507"/>
      <c r="AS21" s="507"/>
      <c r="AT21" s="50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9"/>
      <c r="C22" s="489"/>
      <c r="D22" s="490"/>
      <c r="E22" s="527" t="s">
        <v>227</v>
      </c>
      <c r="F22" s="528"/>
      <c r="G22" s="528"/>
      <c r="H22" s="528"/>
      <c r="I22" s="529"/>
      <c r="J22" s="562" t="str">
        <f>IF(AND('Mapa de Riesgos'!$H$12="Media",'Mapa de Riesgos'!$L$12="Leve"),CONCATENATE("R",'Mapa de Riesgos'!$A$12),"")</f>
        <v/>
      </c>
      <c r="K22" s="563"/>
      <c r="L22" s="563" t="str">
        <f>IF(AND('Mapa de Riesgos'!$H$20="Media",'Mapa de Riesgos'!$L$20="Leve"),CONCATENATE("R",'Mapa de Riesgos'!$A$20),"")</f>
        <v/>
      </c>
      <c r="M22" s="563"/>
      <c r="N22" s="563" t="str">
        <f>IF(AND('Mapa de Riesgos'!$H$26="Media",'Mapa de Riesgos'!$L$26="Leve"),CONCATENATE("R",'Mapa de Riesgos'!$A$26),"")</f>
        <v/>
      </c>
      <c r="O22" s="564"/>
      <c r="P22" s="562" t="str">
        <f>IF(AND('Mapa de Riesgos'!$H$12="Media",'Mapa de Riesgos'!$L$12="Menor"),CONCATENATE("R",'Mapa de Riesgos'!$A$12),"")</f>
        <v/>
      </c>
      <c r="Q22" s="563"/>
      <c r="R22" s="563" t="str">
        <f>IF(AND('Mapa de Riesgos'!$H$20="Media",'Mapa de Riesgos'!$L$20="Menor"),CONCATENATE("R",'Mapa de Riesgos'!$A$20),"")</f>
        <v/>
      </c>
      <c r="S22" s="563"/>
      <c r="T22" s="563" t="str">
        <f>IF(AND('Mapa de Riesgos'!$H$26="Media",'Mapa de Riesgos'!$L$26="Menor"),CONCATENATE("R",'Mapa de Riesgos'!$A$26),"")</f>
        <v/>
      </c>
      <c r="U22" s="564"/>
      <c r="V22" s="562" t="str">
        <f>IF(AND('Mapa de Riesgos'!$H$12="Media",'Mapa de Riesgos'!$L$12="Moderado"),CONCATENATE("R",'Mapa de Riesgos'!$A$12),"")</f>
        <v>R1</v>
      </c>
      <c r="W22" s="563"/>
      <c r="X22" s="563" t="str">
        <f>IF(AND('Mapa de Riesgos'!$H$20="Media",'Mapa de Riesgos'!$L$20="Moderado"),CONCATENATE("R",'Mapa de Riesgos'!$A$20),"")</f>
        <v/>
      </c>
      <c r="Y22" s="563"/>
      <c r="Z22" s="563" t="str">
        <f>IF(AND('Mapa de Riesgos'!$H$26="Media",'Mapa de Riesgos'!$L$26="Moderado"),CONCATENATE("R",'Mapa de Riesgos'!$A$26),"")</f>
        <v/>
      </c>
      <c r="AA22" s="564"/>
      <c r="AB22" s="538" t="str">
        <f>IF(AND('Mapa de Riesgos'!$H$12="Media",'Mapa de Riesgos'!$L$12="Mayor"),CONCATENATE("R",'Mapa de Riesgos'!$A$12),"")</f>
        <v/>
      </c>
      <c r="AC22" s="539"/>
      <c r="AD22" s="539" t="str">
        <f>IF(AND('Mapa de Riesgos'!$H$20="Media",'Mapa de Riesgos'!$L$20="Mayor"),CONCATENATE("R",'Mapa de Riesgos'!$A$20),"")</f>
        <v/>
      </c>
      <c r="AE22" s="539"/>
      <c r="AF22" s="539" t="str">
        <f>IF(AND('Mapa de Riesgos'!$H$26="Media",'Mapa de Riesgos'!$L$26="Mayor"),CONCATENATE("R",'Mapa de Riesgos'!$A$26),"")</f>
        <v/>
      </c>
      <c r="AG22" s="541"/>
      <c r="AH22" s="553" t="str">
        <f>IF(AND('Mapa de Riesgos'!$H$12="Media",'Mapa de Riesgos'!$L$12="Catastrófico"),CONCATENATE("R",'Mapa de Riesgos'!$A$12),"")</f>
        <v/>
      </c>
      <c r="AI22" s="554"/>
      <c r="AJ22" s="554" t="str">
        <f>IF(AND('Mapa de Riesgos'!$H$20="Media",'Mapa de Riesgos'!$L$20="Catastrófico"),CONCATENATE("R",'Mapa de Riesgos'!$A$20),"")</f>
        <v/>
      </c>
      <c r="AK22" s="554"/>
      <c r="AL22" s="554" t="str">
        <f>IF(AND('Mapa de Riesgos'!$H$26="Media",'Mapa de Riesgos'!$L$26="Catastrófico"),CONCATENATE("R",'Mapa de Riesgos'!$A$26),"")</f>
        <v/>
      </c>
      <c r="AM22" s="555"/>
      <c r="AN22" s="83"/>
      <c r="AO22" s="509" t="s">
        <v>228</v>
      </c>
      <c r="AP22" s="510"/>
      <c r="AQ22" s="510"/>
      <c r="AR22" s="510"/>
      <c r="AS22" s="510"/>
      <c r="AT22" s="51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9"/>
      <c r="C23" s="489"/>
      <c r="D23" s="490"/>
      <c r="E23" s="530"/>
      <c r="F23" s="531"/>
      <c r="G23" s="531"/>
      <c r="H23" s="531"/>
      <c r="I23" s="532"/>
      <c r="J23" s="556"/>
      <c r="K23" s="557"/>
      <c r="L23" s="557"/>
      <c r="M23" s="557"/>
      <c r="N23" s="557"/>
      <c r="O23" s="558"/>
      <c r="P23" s="556"/>
      <c r="Q23" s="557"/>
      <c r="R23" s="557"/>
      <c r="S23" s="557"/>
      <c r="T23" s="557"/>
      <c r="U23" s="558"/>
      <c r="V23" s="556"/>
      <c r="W23" s="557"/>
      <c r="X23" s="557"/>
      <c r="Y23" s="557"/>
      <c r="Z23" s="557"/>
      <c r="AA23" s="558"/>
      <c r="AB23" s="540"/>
      <c r="AC23" s="536"/>
      <c r="AD23" s="536"/>
      <c r="AE23" s="536"/>
      <c r="AF23" s="536"/>
      <c r="AG23" s="537"/>
      <c r="AH23" s="547"/>
      <c r="AI23" s="548"/>
      <c r="AJ23" s="548"/>
      <c r="AK23" s="548"/>
      <c r="AL23" s="548"/>
      <c r="AM23" s="549"/>
      <c r="AN23" s="83"/>
      <c r="AO23" s="512"/>
      <c r="AP23" s="513"/>
      <c r="AQ23" s="513"/>
      <c r="AR23" s="513"/>
      <c r="AS23" s="513"/>
      <c r="AT23" s="51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9"/>
      <c r="C24" s="489"/>
      <c r="D24" s="490"/>
      <c r="E24" s="530"/>
      <c r="F24" s="531"/>
      <c r="G24" s="531"/>
      <c r="H24" s="531"/>
      <c r="I24" s="532"/>
      <c r="J24" s="556" t="str">
        <f>IF(AND('Mapa de Riesgos'!$H$32="Media",'Mapa de Riesgos'!$L$32="Leve"),CONCATENATE("R",'Mapa de Riesgos'!$A$32),"")</f>
        <v/>
      </c>
      <c r="K24" s="557"/>
      <c r="L24" s="557" t="str">
        <f>IF(AND('Mapa de Riesgos'!$H$38="Media",'Mapa de Riesgos'!$L$38="Leve"),CONCATENATE("R",'Mapa de Riesgos'!$A$38),"")</f>
        <v/>
      </c>
      <c r="M24" s="557"/>
      <c r="N24" s="557" t="str">
        <f>IF(AND('Mapa de Riesgos'!$H$44="Media",'Mapa de Riesgos'!$L$44="Leve"),CONCATENATE("R",'Mapa de Riesgos'!$A$44),"")</f>
        <v/>
      </c>
      <c r="O24" s="558"/>
      <c r="P24" s="556" t="str">
        <f>IF(AND('Mapa de Riesgos'!$H$32="Media",'Mapa de Riesgos'!$L$32="Menor"),CONCATENATE("R",'Mapa de Riesgos'!$A$32),"")</f>
        <v/>
      </c>
      <c r="Q24" s="557"/>
      <c r="R24" s="557" t="str">
        <f>IF(AND('Mapa de Riesgos'!$H$38="Media",'Mapa de Riesgos'!$L$38="Menor"),CONCATENATE("R",'Mapa de Riesgos'!$A$38),"")</f>
        <v/>
      </c>
      <c r="S24" s="557"/>
      <c r="T24" s="557" t="str">
        <f>IF(AND('Mapa de Riesgos'!$H$44="Media",'Mapa de Riesgos'!$L$44="Menor"),CONCATENATE("R",'Mapa de Riesgos'!$A$44),"")</f>
        <v/>
      </c>
      <c r="U24" s="558"/>
      <c r="V24" s="556" t="str">
        <f>IF(AND('Mapa de Riesgos'!$H$32="Media",'Mapa de Riesgos'!$L$32="Moderado"),CONCATENATE("R",'Mapa de Riesgos'!$A$32),"")</f>
        <v/>
      </c>
      <c r="W24" s="557"/>
      <c r="X24" s="557" t="str">
        <f>IF(AND('Mapa de Riesgos'!$H$38="Media",'Mapa de Riesgos'!$L$38="Moderado"),CONCATENATE("R",'Mapa de Riesgos'!$A$38),"")</f>
        <v/>
      </c>
      <c r="Y24" s="557"/>
      <c r="Z24" s="557" t="str">
        <f>IF(AND('Mapa de Riesgos'!$H$44="Media",'Mapa de Riesgos'!$L$44="Moderado"),CONCATENATE("R",'Mapa de Riesgos'!$A$44),"")</f>
        <v>R6</v>
      </c>
      <c r="AA24" s="558"/>
      <c r="AB24" s="540" t="str">
        <f>IF(AND('Mapa de Riesgos'!$H$32="Media",'Mapa de Riesgos'!$L$32="Mayor"),CONCATENATE("R",'Mapa de Riesgos'!$A$32),"")</f>
        <v>R4</v>
      </c>
      <c r="AC24" s="536"/>
      <c r="AD24" s="536" t="str">
        <f>IF(AND('Mapa de Riesgos'!$H$38="Media",'Mapa de Riesgos'!$L$38="Mayor"),CONCATENATE("R",'Mapa de Riesgos'!$A$38),"")</f>
        <v/>
      </c>
      <c r="AE24" s="536"/>
      <c r="AF24" s="536" t="str">
        <f>IF(AND('Mapa de Riesgos'!$H$44="Media",'Mapa de Riesgos'!$L$44="Mayor"),CONCATENATE("R",'Mapa de Riesgos'!$A$44),"")</f>
        <v/>
      </c>
      <c r="AG24" s="537"/>
      <c r="AH24" s="547" t="str">
        <f>IF(AND('Mapa de Riesgos'!$H$32="Media",'Mapa de Riesgos'!$L$32="Catastrófico"),CONCATENATE("R",'Mapa de Riesgos'!$A$32),"")</f>
        <v/>
      </c>
      <c r="AI24" s="548"/>
      <c r="AJ24" s="548" t="str">
        <f>IF(AND('Mapa de Riesgos'!$H$38="Media",'Mapa de Riesgos'!$L$38="Catastrófico"),CONCATENATE("R",'Mapa de Riesgos'!$A$38),"")</f>
        <v/>
      </c>
      <c r="AK24" s="548"/>
      <c r="AL24" s="548" t="str">
        <f>IF(AND('Mapa de Riesgos'!$H$44="Media",'Mapa de Riesgos'!$L$44="Catastrófico"),CONCATENATE("R",'Mapa de Riesgos'!$A$44),"")</f>
        <v/>
      </c>
      <c r="AM24" s="549"/>
      <c r="AN24" s="83"/>
      <c r="AO24" s="512"/>
      <c r="AP24" s="513"/>
      <c r="AQ24" s="513"/>
      <c r="AR24" s="513"/>
      <c r="AS24" s="513"/>
      <c r="AT24" s="51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9"/>
      <c r="C25" s="489"/>
      <c r="D25" s="490"/>
      <c r="E25" s="530"/>
      <c r="F25" s="531"/>
      <c r="G25" s="531"/>
      <c r="H25" s="531"/>
      <c r="I25" s="532"/>
      <c r="J25" s="556"/>
      <c r="K25" s="557"/>
      <c r="L25" s="557"/>
      <c r="M25" s="557"/>
      <c r="N25" s="557"/>
      <c r="O25" s="558"/>
      <c r="P25" s="556"/>
      <c r="Q25" s="557"/>
      <c r="R25" s="557"/>
      <c r="S25" s="557"/>
      <c r="T25" s="557"/>
      <c r="U25" s="558"/>
      <c r="V25" s="556"/>
      <c r="W25" s="557"/>
      <c r="X25" s="557"/>
      <c r="Y25" s="557"/>
      <c r="Z25" s="557"/>
      <c r="AA25" s="558"/>
      <c r="AB25" s="540"/>
      <c r="AC25" s="536"/>
      <c r="AD25" s="536"/>
      <c r="AE25" s="536"/>
      <c r="AF25" s="536"/>
      <c r="AG25" s="537"/>
      <c r="AH25" s="547"/>
      <c r="AI25" s="548"/>
      <c r="AJ25" s="548"/>
      <c r="AK25" s="548"/>
      <c r="AL25" s="548"/>
      <c r="AM25" s="549"/>
      <c r="AN25" s="83"/>
      <c r="AO25" s="512"/>
      <c r="AP25" s="513"/>
      <c r="AQ25" s="513"/>
      <c r="AR25" s="513"/>
      <c r="AS25" s="513"/>
      <c r="AT25" s="51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9"/>
      <c r="C26" s="489"/>
      <c r="D26" s="490"/>
      <c r="E26" s="530"/>
      <c r="F26" s="531"/>
      <c r="G26" s="531"/>
      <c r="H26" s="531"/>
      <c r="I26" s="532"/>
      <c r="J26" s="556" t="str">
        <f>IF(AND('Mapa de Riesgos'!$H$50="Media",'Mapa de Riesgos'!$L$50="Leve"),CONCATENATE("R",'Mapa de Riesgos'!$A$50),"")</f>
        <v/>
      </c>
      <c r="K26" s="557"/>
      <c r="L26" s="557" t="str">
        <f>IF(AND('Mapa de Riesgos'!$H$56="Media",'Mapa de Riesgos'!$L$56="Leve"),CONCATENATE("R",'Mapa de Riesgos'!$A$56),"")</f>
        <v/>
      </c>
      <c r="M26" s="557"/>
      <c r="N26" s="557" t="str">
        <f>IF(AND('Mapa de Riesgos'!$H$62="Media",'Mapa de Riesgos'!$L$62="Leve"),CONCATENATE("R",'Mapa de Riesgos'!$A$62),"")</f>
        <v/>
      </c>
      <c r="O26" s="558"/>
      <c r="P26" s="556" t="str">
        <f>IF(AND('Mapa de Riesgos'!$H$50="Media",'Mapa de Riesgos'!$L$50="Menor"),CONCATENATE("R",'Mapa de Riesgos'!$A$50),"")</f>
        <v/>
      </c>
      <c r="Q26" s="557"/>
      <c r="R26" s="557" t="str">
        <f>IF(AND('Mapa de Riesgos'!$H$56="Media",'Mapa de Riesgos'!$L$56="Menor"),CONCATENATE("R",'Mapa de Riesgos'!$A$56),"")</f>
        <v/>
      </c>
      <c r="S26" s="557"/>
      <c r="T26" s="557" t="str">
        <f>IF(AND('Mapa de Riesgos'!$H$62="Media",'Mapa de Riesgos'!$L$62="Menor"),CONCATENATE("R",'Mapa de Riesgos'!$A$62),"")</f>
        <v/>
      </c>
      <c r="U26" s="558"/>
      <c r="V26" s="556" t="str">
        <f>IF(AND('Mapa de Riesgos'!$H$50="Media",'Mapa de Riesgos'!$L$50="Moderado"),CONCATENATE("R",'Mapa de Riesgos'!$A$50),"")</f>
        <v/>
      </c>
      <c r="W26" s="557"/>
      <c r="X26" s="557" t="str">
        <f>IF(AND('Mapa de Riesgos'!$H$56="Media",'Mapa de Riesgos'!$L$56="Moderado"),CONCATENATE("R",'Mapa de Riesgos'!$A$56),"")</f>
        <v/>
      </c>
      <c r="Y26" s="557"/>
      <c r="Z26" s="557" t="str">
        <f>IF(AND('Mapa de Riesgos'!$H$62="Media",'Mapa de Riesgos'!$L$62="Moderado"),CONCATENATE("R",'Mapa de Riesgos'!$A$62),"")</f>
        <v/>
      </c>
      <c r="AA26" s="558"/>
      <c r="AB26" s="540" t="str">
        <f>IF(AND('Mapa de Riesgos'!$H$50="Media",'Mapa de Riesgos'!$L$50="Mayor"),CONCATENATE("R",'Mapa de Riesgos'!$A$50),"")</f>
        <v/>
      </c>
      <c r="AC26" s="536"/>
      <c r="AD26" s="536" t="str">
        <f>IF(AND('Mapa de Riesgos'!$H$56="Media",'Mapa de Riesgos'!$L$56="Mayor"),CONCATENATE("R",'Mapa de Riesgos'!$A$56),"")</f>
        <v/>
      </c>
      <c r="AE26" s="536"/>
      <c r="AF26" s="536" t="str">
        <f>IF(AND('Mapa de Riesgos'!$H$62="Media",'Mapa de Riesgos'!$L$62="Mayor"),CONCATENATE("R",'Mapa de Riesgos'!$A$62),"")</f>
        <v/>
      </c>
      <c r="AG26" s="537"/>
      <c r="AH26" s="547" t="str">
        <f>IF(AND('Mapa de Riesgos'!$H$50="Media",'Mapa de Riesgos'!$L$50="Catastrófico"),CONCATENATE("R",'Mapa de Riesgos'!$A$50),"")</f>
        <v/>
      </c>
      <c r="AI26" s="548"/>
      <c r="AJ26" s="548" t="str">
        <f>IF(AND('Mapa de Riesgos'!$H$56="Media",'Mapa de Riesgos'!$L$56="Catastrófico"),CONCATENATE("R",'Mapa de Riesgos'!$A$56),"")</f>
        <v/>
      </c>
      <c r="AK26" s="548"/>
      <c r="AL26" s="548" t="str">
        <f>IF(AND('Mapa de Riesgos'!$H$62="Media",'Mapa de Riesgos'!$L$62="Catastrófico"),CONCATENATE("R",'Mapa de Riesgos'!$A$62),"")</f>
        <v/>
      </c>
      <c r="AM26" s="549"/>
      <c r="AN26" s="83"/>
      <c r="AO26" s="512"/>
      <c r="AP26" s="513"/>
      <c r="AQ26" s="513"/>
      <c r="AR26" s="513"/>
      <c r="AS26" s="513"/>
      <c r="AT26" s="51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9"/>
      <c r="C27" s="489"/>
      <c r="D27" s="490"/>
      <c r="E27" s="530"/>
      <c r="F27" s="531"/>
      <c r="G27" s="531"/>
      <c r="H27" s="531"/>
      <c r="I27" s="532"/>
      <c r="J27" s="556"/>
      <c r="K27" s="557"/>
      <c r="L27" s="557"/>
      <c r="M27" s="557"/>
      <c r="N27" s="557"/>
      <c r="O27" s="558"/>
      <c r="P27" s="556"/>
      <c r="Q27" s="557"/>
      <c r="R27" s="557"/>
      <c r="S27" s="557"/>
      <c r="T27" s="557"/>
      <c r="U27" s="558"/>
      <c r="V27" s="556"/>
      <c r="W27" s="557"/>
      <c r="X27" s="557"/>
      <c r="Y27" s="557"/>
      <c r="Z27" s="557"/>
      <c r="AA27" s="558"/>
      <c r="AB27" s="540"/>
      <c r="AC27" s="536"/>
      <c r="AD27" s="536"/>
      <c r="AE27" s="536"/>
      <c r="AF27" s="536"/>
      <c r="AG27" s="537"/>
      <c r="AH27" s="547"/>
      <c r="AI27" s="548"/>
      <c r="AJ27" s="548"/>
      <c r="AK27" s="548"/>
      <c r="AL27" s="548"/>
      <c r="AM27" s="549"/>
      <c r="AN27" s="83"/>
      <c r="AO27" s="512"/>
      <c r="AP27" s="513"/>
      <c r="AQ27" s="513"/>
      <c r="AR27" s="513"/>
      <c r="AS27" s="513"/>
      <c r="AT27" s="51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9"/>
      <c r="C28" s="489"/>
      <c r="D28" s="490"/>
      <c r="E28" s="530"/>
      <c r="F28" s="531"/>
      <c r="G28" s="531"/>
      <c r="H28" s="531"/>
      <c r="I28" s="532"/>
      <c r="J28" s="556" t="str">
        <f>IF(AND('Mapa de Riesgos'!$H$68="Media",'Mapa de Riesgos'!$L$68="Leve"),CONCATENATE("R",'Mapa de Riesgos'!$A$68),"")</f>
        <v/>
      </c>
      <c r="K28" s="557"/>
      <c r="L28" s="557" t="str">
        <f>IF(AND('Mapa de Riesgos'!$H$74="Media",'Mapa de Riesgos'!$L$74="Leve"),CONCATENATE("R",'Mapa de Riesgos'!$A$74),"")</f>
        <v/>
      </c>
      <c r="M28" s="557"/>
      <c r="N28" s="557" t="str">
        <f>IF(AND('Mapa de Riesgos'!$H$80="Media",'Mapa de Riesgos'!$L$80="Leve"),CONCATENATE("R",'Mapa de Riesgos'!$A$80),"")</f>
        <v/>
      </c>
      <c r="O28" s="558"/>
      <c r="P28" s="556" t="str">
        <f>IF(AND('Mapa de Riesgos'!$H$68="Media",'Mapa de Riesgos'!$L$68="Menor"),CONCATENATE("R",'Mapa de Riesgos'!$A$68),"")</f>
        <v/>
      </c>
      <c r="Q28" s="557"/>
      <c r="R28" s="557" t="str">
        <f>IF(AND('Mapa de Riesgos'!$H$74="Media",'Mapa de Riesgos'!$L$74="Menor"),CONCATENATE("R",'Mapa de Riesgos'!$A$74),"")</f>
        <v/>
      </c>
      <c r="S28" s="557"/>
      <c r="T28" s="557" t="str">
        <f>IF(AND('Mapa de Riesgos'!$H$80="Media",'Mapa de Riesgos'!$L$80="Menor"),CONCATENATE("R",'Mapa de Riesgos'!$A$80),"")</f>
        <v/>
      </c>
      <c r="U28" s="558"/>
      <c r="V28" s="556" t="str">
        <f>IF(AND('Mapa de Riesgos'!$H$68="Media",'Mapa de Riesgos'!$L$68="Moderado"),CONCATENATE("R",'Mapa de Riesgos'!$A$68),"")</f>
        <v/>
      </c>
      <c r="W28" s="557"/>
      <c r="X28" s="557" t="str">
        <f>IF(AND('Mapa de Riesgos'!$H$74="Media",'Mapa de Riesgos'!$L$74="Moderado"),CONCATENATE("R",'Mapa de Riesgos'!$A$74),"")</f>
        <v/>
      </c>
      <c r="Y28" s="557"/>
      <c r="Z28" s="557" t="str">
        <f>IF(AND('Mapa de Riesgos'!$H$80="Media",'Mapa de Riesgos'!$L$80="Moderado"),CONCATENATE("R",'Mapa de Riesgos'!$A$80),"")</f>
        <v/>
      </c>
      <c r="AA28" s="558"/>
      <c r="AB28" s="540" t="str">
        <f>IF(AND('Mapa de Riesgos'!$H$68="Media",'Mapa de Riesgos'!$L$68="Mayor"),CONCATENATE("R",'Mapa de Riesgos'!$A$68),"")</f>
        <v/>
      </c>
      <c r="AC28" s="536"/>
      <c r="AD28" s="536" t="str">
        <f>IF(AND('Mapa de Riesgos'!$H$74="Media",'Mapa de Riesgos'!$L$74="Mayor"),CONCATENATE("R",'Mapa de Riesgos'!$A$74),"")</f>
        <v/>
      </c>
      <c r="AE28" s="536"/>
      <c r="AF28" s="536" t="str">
        <f>IF(AND('Mapa de Riesgos'!$H$80="Media",'Mapa de Riesgos'!$L$80="Mayor"),CONCATENATE("R",'Mapa de Riesgos'!$A$80),"")</f>
        <v/>
      </c>
      <c r="AG28" s="537"/>
      <c r="AH28" s="547" t="str">
        <f>IF(AND('Mapa de Riesgos'!$H$68="Media",'Mapa de Riesgos'!$L$68="Catastrófico"),CONCATENATE("R",'Mapa de Riesgos'!$A$68),"")</f>
        <v/>
      </c>
      <c r="AI28" s="548"/>
      <c r="AJ28" s="548" t="str">
        <f>IF(AND('Mapa de Riesgos'!$H$74="Media",'Mapa de Riesgos'!$L$74="Catastrófico"),CONCATENATE("R",'Mapa de Riesgos'!$A$74),"")</f>
        <v/>
      </c>
      <c r="AK28" s="548"/>
      <c r="AL28" s="548" t="str">
        <f>IF(AND('Mapa de Riesgos'!$H$80="Media",'Mapa de Riesgos'!$L$80="Catastrófico"),CONCATENATE("R",'Mapa de Riesgos'!$A$80),"")</f>
        <v/>
      </c>
      <c r="AM28" s="549"/>
      <c r="AN28" s="83"/>
      <c r="AO28" s="512"/>
      <c r="AP28" s="513"/>
      <c r="AQ28" s="513"/>
      <c r="AR28" s="513"/>
      <c r="AS28" s="513"/>
      <c r="AT28" s="51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9"/>
      <c r="C29" s="489"/>
      <c r="D29" s="490"/>
      <c r="E29" s="533"/>
      <c r="F29" s="534"/>
      <c r="G29" s="534"/>
      <c r="H29" s="534"/>
      <c r="I29" s="535"/>
      <c r="J29" s="556"/>
      <c r="K29" s="557"/>
      <c r="L29" s="557"/>
      <c r="M29" s="557"/>
      <c r="N29" s="557"/>
      <c r="O29" s="558"/>
      <c r="P29" s="559"/>
      <c r="Q29" s="560"/>
      <c r="R29" s="560"/>
      <c r="S29" s="560"/>
      <c r="T29" s="560"/>
      <c r="U29" s="561"/>
      <c r="V29" s="559"/>
      <c r="W29" s="560"/>
      <c r="X29" s="560"/>
      <c r="Y29" s="560"/>
      <c r="Z29" s="560"/>
      <c r="AA29" s="561"/>
      <c r="AB29" s="544"/>
      <c r="AC29" s="545"/>
      <c r="AD29" s="545"/>
      <c r="AE29" s="545"/>
      <c r="AF29" s="545"/>
      <c r="AG29" s="546"/>
      <c r="AH29" s="550"/>
      <c r="AI29" s="551"/>
      <c r="AJ29" s="551"/>
      <c r="AK29" s="551"/>
      <c r="AL29" s="551"/>
      <c r="AM29" s="552"/>
      <c r="AN29" s="83"/>
      <c r="AO29" s="515"/>
      <c r="AP29" s="516"/>
      <c r="AQ29" s="516"/>
      <c r="AR29" s="516"/>
      <c r="AS29" s="516"/>
      <c r="AT29" s="51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9"/>
      <c r="C30" s="489"/>
      <c r="D30" s="490"/>
      <c r="E30" s="527" t="s">
        <v>229</v>
      </c>
      <c r="F30" s="528"/>
      <c r="G30" s="528"/>
      <c r="H30" s="528"/>
      <c r="I30" s="528"/>
      <c r="J30" s="571" t="str">
        <f>IF(AND('Mapa de Riesgos'!$H$12="Baja",'Mapa de Riesgos'!$L$12="Leve"),CONCATENATE("R",'Mapa de Riesgos'!$A$12),"")</f>
        <v/>
      </c>
      <c r="K30" s="572"/>
      <c r="L30" s="572" t="str">
        <f>IF(AND('Mapa de Riesgos'!$H$20="Baja",'Mapa de Riesgos'!$L$20="Leve"),CONCATENATE("R",'Mapa de Riesgos'!$A$20),"")</f>
        <v/>
      </c>
      <c r="M30" s="572"/>
      <c r="N30" s="572" t="str">
        <f>IF(AND('Mapa de Riesgos'!$H$26="Baja",'Mapa de Riesgos'!$L$26="Leve"),CONCATENATE("R",'Mapa de Riesgos'!$A$26),"")</f>
        <v/>
      </c>
      <c r="O30" s="573"/>
      <c r="P30" s="563" t="str">
        <f>IF(AND('Mapa de Riesgos'!$H$12="Baja",'Mapa de Riesgos'!$L$12="Menor"),CONCATENATE("R",'Mapa de Riesgos'!$A$12),"")</f>
        <v/>
      </c>
      <c r="Q30" s="563"/>
      <c r="R30" s="563" t="str">
        <f>IF(AND('Mapa de Riesgos'!$H$20="Baja",'Mapa de Riesgos'!$L$20="Menor"),CONCATENATE("R",'Mapa de Riesgos'!$A$20),"")</f>
        <v/>
      </c>
      <c r="S30" s="563"/>
      <c r="T30" s="563" t="str">
        <f>IF(AND('Mapa de Riesgos'!$H$26="Baja",'Mapa de Riesgos'!$L$26="Menor"),CONCATENATE("R",'Mapa de Riesgos'!$A$26),"")</f>
        <v/>
      </c>
      <c r="U30" s="564"/>
      <c r="V30" s="562" t="str">
        <f>IF(AND('Mapa de Riesgos'!$H$12="Baja",'Mapa de Riesgos'!$L$12="Moderado"),CONCATENATE("R",'Mapa de Riesgos'!$A$12),"")</f>
        <v/>
      </c>
      <c r="W30" s="563"/>
      <c r="X30" s="563" t="str">
        <f>IF(AND('Mapa de Riesgos'!$H$20="Baja",'Mapa de Riesgos'!$L$20="Moderado"),CONCATENATE("R",'Mapa de Riesgos'!$A$20),"")</f>
        <v/>
      </c>
      <c r="Y30" s="563"/>
      <c r="Z30" s="563" t="str">
        <f>IF(AND('Mapa de Riesgos'!$H$26="Baja",'Mapa de Riesgos'!$L$26="Moderado"),CONCATENATE("R",'Mapa de Riesgos'!$A$26),"")</f>
        <v/>
      </c>
      <c r="AA30" s="564"/>
      <c r="AB30" s="538" t="str">
        <f>IF(AND('Mapa de Riesgos'!$H$12="Baja",'Mapa de Riesgos'!$L$12="Mayor"),CONCATENATE("R",'Mapa de Riesgos'!$A$12),"")</f>
        <v/>
      </c>
      <c r="AC30" s="539"/>
      <c r="AD30" s="539" t="str">
        <f>IF(AND('Mapa de Riesgos'!$H$20="Baja",'Mapa de Riesgos'!$L$20="Mayor"),CONCATENATE("R",'Mapa de Riesgos'!$A$20),"")</f>
        <v>R2</v>
      </c>
      <c r="AE30" s="539"/>
      <c r="AF30" s="539" t="str">
        <f>IF(AND('Mapa de Riesgos'!$H$26="Baja",'Mapa de Riesgos'!$L$26="Mayor"),CONCATENATE("R",'Mapa de Riesgos'!$A$26),"")</f>
        <v>R3</v>
      </c>
      <c r="AG30" s="541"/>
      <c r="AH30" s="553" t="str">
        <f>IF(AND('Mapa de Riesgos'!$H$12="Baja",'Mapa de Riesgos'!$L$12="Catastrófico"),CONCATENATE("R",'Mapa de Riesgos'!$A$12),"")</f>
        <v/>
      </c>
      <c r="AI30" s="554"/>
      <c r="AJ30" s="554" t="str">
        <f>IF(AND('Mapa de Riesgos'!$H$20="Baja",'Mapa de Riesgos'!$L$20="Catastrófico"),CONCATENATE("R",'Mapa de Riesgos'!$A$20),"")</f>
        <v/>
      </c>
      <c r="AK30" s="554"/>
      <c r="AL30" s="554" t="str">
        <f>IF(AND('Mapa de Riesgos'!$H$26="Baja",'Mapa de Riesgos'!$L$26="Catastrófico"),CONCATENATE("R",'Mapa de Riesgos'!$A$26),"")</f>
        <v/>
      </c>
      <c r="AM30" s="555"/>
      <c r="AN30" s="83"/>
      <c r="AO30" s="518" t="s">
        <v>230</v>
      </c>
      <c r="AP30" s="519"/>
      <c r="AQ30" s="519"/>
      <c r="AR30" s="519"/>
      <c r="AS30" s="519"/>
      <c r="AT30" s="52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9"/>
      <c r="C31" s="489"/>
      <c r="D31" s="490"/>
      <c r="E31" s="530"/>
      <c r="F31" s="531"/>
      <c r="G31" s="531"/>
      <c r="H31" s="531"/>
      <c r="I31" s="531"/>
      <c r="J31" s="567"/>
      <c r="K31" s="565"/>
      <c r="L31" s="565"/>
      <c r="M31" s="565"/>
      <c r="N31" s="565"/>
      <c r="O31" s="566"/>
      <c r="P31" s="557"/>
      <c r="Q31" s="557"/>
      <c r="R31" s="557"/>
      <c r="S31" s="557"/>
      <c r="T31" s="557"/>
      <c r="U31" s="558"/>
      <c r="V31" s="556"/>
      <c r="W31" s="557"/>
      <c r="X31" s="557"/>
      <c r="Y31" s="557"/>
      <c r="Z31" s="557"/>
      <c r="AA31" s="558"/>
      <c r="AB31" s="540"/>
      <c r="AC31" s="536"/>
      <c r="AD31" s="536"/>
      <c r="AE31" s="536"/>
      <c r="AF31" s="536"/>
      <c r="AG31" s="537"/>
      <c r="AH31" s="547"/>
      <c r="AI31" s="548"/>
      <c r="AJ31" s="548"/>
      <c r="AK31" s="548"/>
      <c r="AL31" s="548"/>
      <c r="AM31" s="549"/>
      <c r="AN31" s="83"/>
      <c r="AO31" s="521"/>
      <c r="AP31" s="522"/>
      <c r="AQ31" s="522"/>
      <c r="AR31" s="522"/>
      <c r="AS31" s="522"/>
      <c r="AT31" s="52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9"/>
      <c r="C32" s="489"/>
      <c r="D32" s="490"/>
      <c r="E32" s="530"/>
      <c r="F32" s="531"/>
      <c r="G32" s="531"/>
      <c r="H32" s="531"/>
      <c r="I32" s="531"/>
      <c r="J32" s="567" t="str">
        <f>IF(AND('Mapa de Riesgos'!$H$32="Baja",'Mapa de Riesgos'!$L$32="Leve"),CONCATENATE("R",'Mapa de Riesgos'!$A$32),"")</f>
        <v/>
      </c>
      <c r="K32" s="565"/>
      <c r="L32" s="565" t="str">
        <f>IF(AND('Mapa de Riesgos'!$H$38="Baja",'Mapa de Riesgos'!$L$38="Leve"),CONCATENATE("R",'Mapa de Riesgos'!$A$38),"")</f>
        <v/>
      </c>
      <c r="M32" s="565"/>
      <c r="N32" s="565" t="str">
        <f>IF(AND('Mapa de Riesgos'!$H$44="Baja",'Mapa de Riesgos'!$L$44="Leve"),CONCATENATE("R",'Mapa de Riesgos'!$A$44),"")</f>
        <v/>
      </c>
      <c r="O32" s="566"/>
      <c r="P32" s="557" t="str">
        <f>IF(AND('Mapa de Riesgos'!$H$32="Baja",'Mapa de Riesgos'!$L$32="Menor"),CONCATENATE("R",'Mapa de Riesgos'!$A$32),"")</f>
        <v/>
      </c>
      <c r="Q32" s="557"/>
      <c r="R32" s="557" t="str">
        <f>IF(AND('Mapa de Riesgos'!$H$38="Baja",'Mapa de Riesgos'!$L$38="Menor"),CONCATENATE("R",'Mapa de Riesgos'!$A$38),"")</f>
        <v/>
      </c>
      <c r="S32" s="557"/>
      <c r="T32" s="557" t="str">
        <f>IF(AND('Mapa de Riesgos'!$H$44="Baja",'Mapa de Riesgos'!$L$44="Menor"),CONCATENATE("R",'Mapa de Riesgos'!$A$44),"")</f>
        <v/>
      </c>
      <c r="U32" s="558"/>
      <c r="V32" s="556" t="str">
        <f>IF(AND('Mapa de Riesgos'!$H$32="Baja",'Mapa de Riesgos'!$L$32="Moderado"),CONCATENATE("R",'Mapa de Riesgos'!$A$32),"")</f>
        <v/>
      </c>
      <c r="W32" s="557"/>
      <c r="X32" s="557" t="str">
        <f>IF(AND('Mapa de Riesgos'!$H$38="Baja",'Mapa de Riesgos'!$L$38="Moderado"),CONCATENATE("R",'Mapa de Riesgos'!$A$38),"")</f>
        <v/>
      </c>
      <c r="Y32" s="557"/>
      <c r="Z32" s="557" t="str">
        <f>IF(AND('Mapa de Riesgos'!$H$44="Baja",'Mapa de Riesgos'!$L$44="Moderado"),CONCATENATE("R",'Mapa de Riesgos'!$A$44),"")</f>
        <v/>
      </c>
      <c r="AA32" s="558"/>
      <c r="AB32" s="540" t="str">
        <f>IF(AND('Mapa de Riesgos'!$H$32="Baja",'Mapa de Riesgos'!$L$32="Mayor"),CONCATENATE("R",'Mapa de Riesgos'!$A$32),"")</f>
        <v/>
      </c>
      <c r="AC32" s="536"/>
      <c r="AD32" s="536" t="str">
        <f>IF(AND('Mapa de Riesgos'!$H$38="Baja",'Mapa de Riesgos'!$L$38="Mayor"),CONCATENATE("R",'Mapa de Riesgos'!$A$38),"")</f>
        <v/>
      </c>
      <c r="AE32" s="536"/>
      <c r="AF32" s="536" t="str">
        <f>IF(AND('Mapa de Riesgos'!$H$44="Baja",'Mapa de Riesgos'!$L$44="Mayor"),CONCATENATE("R",'Mapa de Riesgos'!$A$44),"")</f>
        <v/>
      </c>
      <c r="AG32" s="537"/>
      <c r="AH32" s="547" t="str">
        <f>IF(AND('Mapa de Riesgos'!$H$32="Baja",'Mapa de Riesgos'!$L$32="Catastrófico"),CONCATENATE("R",'Mapa de Riesgos'!$A$32),"")</f>
        <v/>
      </c>
      <c r="AI32" s="548"/>
      <c r="AJ32" s="548" t="str">
        <f>IF(AND('Mapa de Riesgos'!$H$38="Baja",'Mapa de Riesgos'!$L$38="Catastrófico"),CONCATENATE("R",'Mapa de Riesgos'!$A$38),"")</f>
        <v/>
      </c>
      <c r="AK32" s="548"/>
      <c r="AL32" s="548" t="str">
        <f>IF(AND('Mapa de Riesgos'!$H$44="Baja",'Mapa de Riesgos'!$L$44="Catastrófico"),CONCATENATE("R",'Mapa de Riesgos'!$A$44),"")</f>
        <v/>
      </c>
      <c r="AM32" s="549"/>
      <c r="AN32" s="83"/>
      <c r="AO32" s="521"/>
      <c r="AP32" s="522"/>
      <c r="AQ32" s="522"/>
      <c r="AR32" s="522"/>
      <c r="AS32" s="522"/>
      <c r="AT32" s="52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9"/>
      <c r="C33" s="489"/>
      <c r="D33" s="490"/>
      <c r="E33" s="530"/>
      <c r="F33" s="531"/>
      <c r="G33" s="531"/>
      <c r="H33" s="531"/>
      <c r="I33" s="531"/>
      <c r="J33" s="567"/>
      <c r="K33" s="565"/>
      <c r="L33" s="565"/>
      <c r="M33" s="565"/>
      <c r="N33" s="565"/>
      <c r="O33" s="566"/>
      <c r="P33" s="557"/>
      <c r="Q33" s="557"/>
      <c r="R33" s="557"/>
      <c r="S33" s="557"/>
      <c r="T33" s="557"/>
      <c r="U33" s="558"/>
      <c r="V33" s="556"/>
      <c r="W33" s="557"/>
      <c r="X33" s="557"/>
      <c r="Y33" s="557"/>
      <c r="Z33" s="557"/>
      <c r="AA33" s="558"/>
      <c r="AB33" s="540"/>
      <c r="AC33" s="536"/>
      <c r="AD33" s="536"/>
      <c r="AE33" s="536"/>
      <c r="AF33" s="536"/>
      <c r="AG33" s="537"/>
      <c r="AH33" s="547"/>
      <c r="AI33" s="548"/>
      <c r="AJ33" s="548"/>
      <c r="AK33" s="548"/>
      <c r="AL33" s="548"/>
      <c r="AM33" s="549"/>
      <c r="AN33" s="83"/>
      <c r="AO33" s="521"/>
      <c r="AP33" s="522"/>
      <c r="AQ33" s="522"/>
      <c r="AR33" s="522"/>
      <c r="AS33" s="522"/>
      <c r="AT33" s="52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9"/>
      <c r="C34" s="489"/>
      <c r="D34" s="490"/>
      <c r="E34" s="530"/>
      <c r="F34" s="531"/>
      <c r="G34" s="531"/>
      <c r="H34" s="531"/>
      <c r="I34" s="531"/>
      <c r="J34" s="567" t="str">
        <f>IF(AND('Mapa de Riesgos'!$H$50="Baja",'Mapa de Riesgos'!$L$50="Leve"),CONCATENATE("R",'Mapa de Riesgos'!$A$50),"")</f>
        <v/>
      </c>
      <c r="K34" s="565"/>
      <c r="L34" s="565" t="str">
        <f>IF(AND('Mapa de Riesgos'!$H$56="Baja",'Mapa de Riesgos'!$L$56="Leve"),CONCATENATE("R",'Mapa de Riesgos'!$A$56),"")</f>
        <v/>
      </c>
      <c r="M34" s="565"/>
      <c r="N34" s="565" t="str">
        <f>IF(AND('Mapa de Riesgos'!$H$62="Baja",'Mapa de Riesgos'!$L$62="Leve"),CONCATENATE("R",'Mapa de Riesgos'!$A$62),"")</f>
        <v/>
      </c>
      <c r="O34" s="566"/>
      <c r="P34" s="557" t="str">
        <f>IF(AND('Mapa de Riesgos'!$H$50="Baja",'Mapa de Riesgos'!$L$50="Menor"),CONCATENATE("R",'Mapa de Riesgos'!$A$50),"")</f>
        <v/>
      </c>
      <c r="Q34" s="557"/>
      <c r="R34" s="557" t="str">
        <f>IF(AND('Mapa de Riesgos'!$H$56="Baja",'Mapa de Riesgos'!$L$56="Menor"),CONCATENATE("R",'Mapa de Riesgos'!$A$56),"")</f>
        <v/>
      </c>
      <c r="S34" s="557"/>
      <c r="T34" s="557" t="str">
        <f>IF(AND('Mapa de Riesgos'!$H$62="Baja",'Mapa de Riesgos'!$L$62="Menor"),CONCATENATE("R",'Mapa de Riesgos'!$A$62),"")</f>
        <v/>
      </c>
      <c r="U34" s="558"/>
      <c r="V34" s="556" t="str">
        <f>IF(AND('Mapa de Riesgos'!$H$50="Baja",'Mapa de Riesgos'!$L$50="Moderado"),CONCATENATE("R",'Mapa de Riesgos'!$A$50),"")</f>
        <v/>
      </c>
      <c r="W34" s="557"/>
      <c r="X34" s="557" t="str">
        <f>IF(AND('Mapa de Riesgos'!$H$56="Baja",'Mapa de Riesgos'!$L$56="Moderado"),CONCATENATE("R",'Mapa de Riesgos'!$A$56),"")</f>
        <v/>
      </c>
      <c r="Y34" s="557"/>
      <c r="Z34" s="557" t="str">
        <f>IF(AND('Mapa de Riesgos'!$H$62="Baja",'Mapa de Riesgos'!$L$62="Moderado"),CONCATENATE("R",'Mapa de Riesgos'!$A$62),"")</f>
        <v/>
      </c>
      <c r="AA34" s="558"/>
      <c r="AB34" s="540" t="str">
        <f>IF(AND('Mapa de Riesgos'!$H$50="Baja",'Mapa de Riesgos'!$L$50="Mayor"),CONCATENATE("R",'Mapa de Riesgos'!$A$50),"")</f>
        <v/>
      </c>
      <c r="AC34" s="536"/>
      <c r="AD34" s="536" t="str">
        <f>IF(AND('Mapa de Riesgos'!$H$56="Baja",'Mapa de Riesgos'!$L$56="Mayor"),CONCATENATE("R",'Mapa de Riesgos'!$A$56),"")</f>
        <v/>
      </c>
      <c r="AE34" s="536"/>
      <c r="AF34" s="536" t="str">
        <f>IF(AND('Mapa de Riesgos'!$H$62="Baja",'Mapa de Riesgos'!$L$62="Mayor"),CONCATENATE("R",'Mapa de Riesgos'!$A$62),"")</f>
        <v/>
      </c>
      <c r="AG34" s="537"/>
      <c r="AH34" s="547" t="str">
        <f>IF(AND('Mapa de Riesgos'!$H$50="Baja",'Mapa de Riesgos'!$L$50="Catastrófico"),CONCATENATE("R",'Mapa de Riesgos'!$A$50),"")</f>
        <v/>
      </c>
      <c r="AI34" s="548"/>
      <c r="AJ34" s="548" t="str">
        <f>IF(AND('Mapa de Riesgos'!$H$56="Baja",'Mapa de Riesgos'!$L$56="Catastrófico"),CONCATENATE("R",'Mapa de Riesgos'!$A$56),"")</f>
        <v/>
      </c>
      <c r="AK34" s="548"/>
      <c r="AL34" s="548" t="str">
        <f>IF(AND('Mapa de Riesgos'!$H$62="Baja",'Mapa de Riesgos'!$L$62="Catastrófico"),CONCATENATE("R",'Mapa de Riesgos'!$A$62),"")</f>
        <v/>
      </c>
      <c r="AM34" s="549"/>
      <c r="AN34" s="83"/>
      <c r="AO34" s="521"/>
      <c r="AP34" s="522"/>
      <c r="AQ34" s="522"/>
      <c r="AR34" s="522"/>
      <c r="AS34" s="522"/>
      <c r="AT34" s="52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9"/>
      <c r="C35" s="489"/>
      <c r="D35" s="490"/>
      <c r="E35" s="530"/>
      <c r="F35" s="531"/>
      <c r="G35" s="531"/>
      <c r="H35" s="531"/>
      <c r="I35" s="531"/>
      <c r="J35" s="567"/>
      <c r="K35" s="565"/>
      <c r="L35" s="565"/>
      <c r="M35" s="565"/>
      <c r="N35" s="565"/>
      <c r="O35" s="566"/>
      <c r="P35" s="557"/>
      <c r="Q35" s="557"/>
      <c r="R35" s="557"/>
      <c r="S35" s="557"/>
      <c r="T35" s="557"/>
      <c r="U35" s="558"/>
      <c r="V35" s="556"/>
      <c r="W35" s="557"/>
      <c r="X35" s="557"/>
      <c r="Y35" s="557"/>
      <c r="Z35" s="557"/>
      <c r="AA35" s="558"/>
      <c r="AB35" s="540"/>
      <c r="AC35" s="536"/>
      <c r="AD35" s="536"/>
      <c r="AE35" s="536"/>
      <c r="AF35" s="536"/>
      <c r="AG35" s="537"/>
      <c r="AH35" s="547"/>
      <c r="AI35" s="548"/>
      <c r="AJ35" s="548"/>
      <c r="AK35" s="548"/>
      <c r="AL35" s="548"/>
      <c r="AM35" s="549"/>
      <c r="AN35" s="83"/>
      <c r="AO35" s="521"/>
      <c r="AP35" s="522"/>
      <c r="AQ35" s="522"/>
      <c r="AR35" s="522"/>
      <c r="AS35" s="522"/>
      <c r="AT35" s="52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9"/>
      <c r="C36" s="489"/>
      <c r="D36" s="490"/>
      <c r="E36" s="530"/>
      <c r="F36" s="531"/>
      <c r="G36" s="531"/>
      <c r="H36" s="531"/>
      <c r="I36" s="531"/>
      <c r="J36" s="567" t="str">
        <f>IF(AND('Mapa de Riesgos'!$H$68="Baja",'Mapa de Riesgos'!$L$68="Leve"),CONCATENATE("R",'Mapa de Riesgos'!$A$68),"")</f>
        <v/>
      </c>
      <c r="K36" s="565"/>
      <c r="L36" s="565" t="str">
        <f>IF(AND('Mapa de Riesgos'!$H$74="Baja",'Mapa de Riesgos'!$L$74="Leve"),CONCATENATE("R",'Mapa de Riesgos'!$A$74),"")</f>
        <v/>
      </c>
      <c r="M36" s="565"/>
      <c r="N36" s="565" t="str">
        <f>IF(AND('Mapa de Riesgos'!$H$80="Baja",'Mapa de Riesgos'!$L$80="Leve"),CONCATENATE("R",'Mapa de Riesgos'!$A$80),"")</f>
        <v/>
      </c>
      <c r="O36" s="566"/>
      <c r="P36" s="557" t="str">
        <f>IF(AND('Mapa de Riesgos'!$H$68="Baja",'Mapa de Riesgos'!$L$68="Menor"),CONCATENATE("R",'Mapa de Riesgos'!$A$68),"")</f>
        <v/>
      </c>
      <c r="Q36" s="557"/>
      <c r="R36" s="557" t="str">
        <f>IF(AND('Mapa de Riesgos'!$H$74="Baja",'Mapa de Riesgos'!$L$74="Menor"),CONCATENATE("R",'Mapa de Riesgos'!$A$74),"")</f>
        <v/>
      </c>
      <c r="S36" s="557"/>
      <c r="T36" s="557" t="str">
        <f>IF(AND('Mapa de Riesgos'!$H$80="Baja",'Mapa de Riesgos'!$L$80="Menor"),CONCATENATE("R",'Mapa de Riesgos'!$A$80),"")</f>
        <v/>
      </c>
      <c r="U36" s="558"/>
      <c r="V36" s="556" t="str">
        <f>IF(AND('Mapa de Riesgos'!$H$68="Baja",'Mapa de Riesgos'!$L$68="Moderado"),CONCATENATE("R",'Mapa de Riesgos'!$A$68),"")</f>
        <v/>
      </c>
      <c r="W36" s="557"/>
      <c r="X36" s="557" t="str">
        <f>IF(AND('Mapa de Riesgos'!$H$74="Baja",'Mapa de Riesgos'!$L$74="Moderado"),CONCATENATE("R",'Mapa de Riesgos'!$A$74),"")</f>
        <v/>
      </c>
      <c r="Y36" s="557"/>
      <c r="Z36" s="557" t="str">
        <f>IF(AND('Mapa de Riesgos'!$H$80="Baja",'Mapa de Riesgos'!$L$80="Moderado"),CONCATENATE("R",'Mapa de Riesgos'!$A$80),"")</f>
        <v/>
      </c>
      <c r="AA36" s="558"/>
      <c r="AB36" s="540" t="str">
        <f>IF(AND('Mapa de Riesgos'!$H$68="Baja",'Mapa de Riesgos'!$L$68="Mayor"),CONCATENATE("R",'Mapa de Riesgos'!$A$68),"")</f>
        <v/>
      </c>
      <c r="AC36" s="536"/>
      <c r="AD36" s="536" t="str">
        <f>IF(AND('Mapa de Riesgos'!$H$74="Baja",'Mapa de Riesgos'!$L$74="Mayor"),CONCATENATE("R",'Mapa de Riesgos'!$A$74),"")</f>
        <v/>
      </c>
      <c r="AE36" s="536"/>
      <c r="AF36" s="536" t="str">
        <f>IF(AND('Mapa de Riesgos'!$H$80="Baja",'Mapa de Riesgos'!$L$80="Mayor"),CONCATENATE("R",'Mapa de Riesgos'!$A$80),"")</f>
        <v/>
      </c>
      <c r="AG36" s="537"/>
      <c r="AH36" s="547" t="str">
        <f>IF(AND('Mapa de Riesgos'!$H$68="Baja",'Mapa de Riesgos'!$L$68="Catastrófico"),CONCATENATE("R",'Mapa de Riesgos'!$A$68),"")</f>
        <v/>
      </c>
      <c r="AI36" s="548"/>
      <c r="AJ36" s="548" t="str">
        <f>IF(AND('Mapa de Riesgos'!$H$74="Baja",'Mapa de Riesgos'!$L$74="Catastrófico"),CONCATENATE("R",'Mapa de Riesgos'!$A$74),"")</f>
        <v/>
      </c>
      <c r="AK36" s="548"/>
      <c r="AL36" s="548" t="str">
        <f>IF(AND('Mapa de Riesgos'!$H$80="Baja",'Mapa de Riesgos'!$L$80="Catastrófico"),CONCATENATE("R",'Mapa de Riesgos'!$A$80),"")</f>
        <v/>
      </c>
      <c r="AM36" s="549"/>
      <c r="AN36" s="83"/>
      <c r="AO36" s="521"/>
      <c r="AP36" s="522"/>
      <c r="AQ36" s="522"/>
      <c r="AR36" s="522"/>
      <c r="AS36" s="522"/>
      <c r="AT36" s="52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9"/>
      <c r="C37" s="489"/>
      <c r="D37" s="490"/>
      <c r="E37" s="533"/>
      <c r="F37" s="534"/>
      <c r="G37" s="534"/>
      <c r="H37" s="534"/>
      <c r="I37" s="534"/>
      <c r="J37" s="568"/>
      <c r="K37" s="569"/>
      <c r="L37" s="569"/>
      <c r="M37" s="569"/>
      <c r="N37" s="569"/>
      <c r="O37" s="570"/>
      <c r="P37" s="560"/>
      <c r="Q37" s="560"/>
      <c r="R37" s="560"/>
      <c r="S37" s="560"/>
      <c r="T37" s="560"/>
      <c r="U37" s="561"/>
      <c r="V37" s="559"/>
      <c r="W37" s="560"/>
      <c r="X37" s="560"/>
      <c r="Y37" s="560"/>
      <c r="Z37" s="560"/>
      <c r="AA37" s="561"/>
      <c r="AB37" s="544"/>
      <c r="AC37" s="545"/>
      <c r="AD37" s="545"/>
      <c r="AE37" s="545"/>
      <c r="AF37" s="545"/>
      <c r="AG37" s="546"/>
      <c r="AH37" s="550"/>
      <c r="AI37" s="551"/>
      <c r="AJ37" s="551"/>
      <c r="AK37" s="551"/>
      <c r="AL37" s="551"/>
      <c r="AM37" s="552"/>
      <c r="AN37" s="83"/>
      <c r="AO37" s="524"/>
      <c r="AP37" s="525"/>
      <c r="AQ37" s="525"/>
      <c r="AR37" s="525"/>
      <c r="AS37" s="525"/>
      <c r="AT37" s="52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9"/>
      <c r="C38" s="489"/>
      <c r="D38" s="490"/>
      <c r="E38" s="527" t="s">
        <v>231</v>
      </c>
      <c r="F38" s="528"/>
      <c r="G38" s="528"/>
      <c r="H38" s="528"/>
      <c r="I38" s="529"/>
      <c r="J38" s="571" t="str">
        <f>IF(AND('Mapa de Riesgos'!$H$12="Muy Baja",'Mapa de Riesgos'!$L$12="Leve"),CONCATENATE("R",'Mapa de Riesgos'!$A$12),"")</f>
        <v/>
      </c>
      <c r="K38" s="572"/>
      <c r="L38" s="572" t="str">
        <f>IF(AND('Mapa de Riesgos'!$H$20="Muy Baja",'Mapa de Riesgos'!$L$20="Leve"),CONCATENATE("R",'Mapa de Riesgos'!$A$20),"")</f>
        <v/>
      </c>
      <c r="M38" s="572"/>
      <c r="N38" s="572" t="str">
        <f>IF(AND('Mapa de Riesgos'!$H$26="Muy Baja",'Mapa de Riesgos'!$L$26="Leve"),CONCATENATE("R",'Mapa de Riesgos'!$A$26),"")</f>
        <v/>
      </c>
      <c r="O38" s="573"/>
      <c r="P38" s="571" t="str">
        <f>IF(AND('Mapa de Riesgos'!$H$12="Muy Baja",'Mapa de Riesgos'!$L$12="Menor"),CONCATENATE("R",'Mapa de Riesgos'!$A$12),"")</f>
        <v/>
      </c>
      <c r="Q38" s="572"/>
      <c r="R38" s="572" t="str">
        <f>IF(AND('Mapa de Riesgos'!$H$20="Muy Baja",'Mapa de Riesgos'!$L$20="Menor"),CONCATENATE("R",'Mapa de Riesgos'!$A$20),"")</f>
        <v/>
      </c>
      <c r="S38" s="572"/>
      <c r="T38" s="572" t="str">
        <f>IF(AND('Mapa de Riesgos'!$H$26="Muy Baja",'Mapa de Riesgos'!$L$26="Menor"),CONCATENATE("R",'Mapa de Riesgos'!$A$26),"")</f>
        <v/>
      </c>
      <c r="U38" s="573"/>
      <c r="V38" s="562" t="str">
        <f>IF(AND('Mapa de Riesgos'!$H$12="Muy Baja",'Mapa de Riesgos'!$L$12="Moderado"),CONCATENATE("R",'Mapa de Riesgos'!$A$12),"")</f>
        <v/>
      </c>
      <c r="W38" s="563"/>
      <c r="X38" s="563" t="str">
        <f>IF(AND('Mapa de Riesgos'!$H$20="Muy Baja",'Mapa de Riesgos'!$L$20="Moderado"),CONCATENATE("R",'Mapa de Riesgos'!$A$20),"")</f>
        <v/>
      </c>
      <c r="Y38" s="563"/>
      <c r="Z38" s="563" t="str">
        <f>IF(AND('Mapa de Riesgos'!$H$26="Muy Baja",'Mapa de Riesgos'!$L$26="Moderado"),CONCATENATE("R",'Mapa de Riesgos'!$A$26),"")</f>
        <v/>
      </c>
      <c r="AA38" s="564"/>
      <c r="AB38" s="538" t="str">
        <f>IF(AND('Mapa de Riesgos'!$H$12="Muy Baja",'Mapa de Riesgos'!$L$12="Mayor"),CONCATENATE("R",'Mapa de Riesgos'!$A$12),"")</f>
        <v/>
      </c>
      <c r="AC38" s="539"/>
      <c r="AD38" s="539" t="str">
        <f>IF(AND('Mapa de Riesgos'!$H$20="Muy Baja",'Mapa de Riesgos'!$L$20="Mayor"),CONCATENATE("R",'Mapa de Riesgos'!$A$20),"")</f>
        <v/>
      </c>
      <c r="AE38" s="539"/>
      <c r="AF38" s="539" t="str">
        <f>IF(AND('Mapa de Riesgos'!$H$26="Muy Baja",'Mapa de Riesgos'!$L$26="Mayor"),CONCATENATE("R",'Mapa de Riesgos'!$A$26),"")</f>
        <v/>
      </c>
      <c r="AG38" s="541"/>
      <c r="AH38" s="553" t="str">
        <f>IF(AND('Mapa de Riesgos'!$H$12="Muy Baja",'Mapa de Riesgos'!$L$12="Catastrófico"),CONCATENATE("R",'Mapa de Riesgos'!$A$12),"")</f>
        <v/>
      </c>
      <c r="AI38" s="554"/>
      <c r="AJ38" s="554" t="str">
        <f>IF(AND('Mapa de Riesgos'!$H$20="Muy Baja",'Mapa de Riesgos'!$L$20="Catastrófico"),CONCATENATE("R",'Mapa de Riesgos'!$A$20),"")</f>
        <v/>
      </c>
      <c r="AK38" s="554"/>
      <c r="AL38" s="554" t="str">
        <f>IF(AND('Mapa de Riesgos'!$H$26="Muy Baja",'Mapa de Riesgos'!$L$26="Catastrófico"),CONCATENATE("R",'Mapa de Riesgos'!$A$26),"")</f>
        <v/>
      </c>
      <c r="AM38" s="55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9"/>
      <c r="C39" s="489"/>
      <c r="D39" s="490"/>
      <c r="E39" s="530"/>
      <c r="F39" s="531"/>
      <c r="G39" s="531"/>
      <c r="H39" s="531"/>
      <c r="I39" s="532"/>
      <c r="J39" s="567"/>
      <c r="K39" s="565"/>
      <c r="L39" s="565"/>
      <c r="M39" s="565"/>
      <c r="N39" s="565"/>
      <c r="O39" s="566"/>
      <c r="P39" s="567"/>
      <c r="Q39" s="565"/>
      <c r="R39" s="565"/>
      <c r="S39" s="565"/>
      <c r="T39" s="565"/>
      <c r="U39" s="566"/>
      <c r="V39" s="556"/>
      <c r="W39" s="557"/>
      <c r="X39" s="557"/>
      <c r="Y39" s="557"/>
      <c r="Z39" s="557"/>
      <c r="AA39" s="558"/>
      <c r="AB39" s="540"/>
      <c r="AC39" s="536"/>
      <c r="AD39" s="536"/>
      <c r="AE39" s="536"/>
      <c r="AF39" s="536"/>
      <c r="AG39" s="537"/>
      <c r="AH39" s="547"/>
      <c r="AI39" s="548"/>
      <c r="AJ39" s="548"/>
      <c r="AK39" s="548"/>
      <c r="AL39" s="548"/>
      <c r="AM39" s="54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9"/>
      <c r="C40" s="489"/>
      <c r="D40" s="490"/>
      <c r="E40" s="530"/>
      <c r="F40" s="531"/>
      <c r="G40" s="531"/>
      <c r="H40" s="531"/>
      <c r="I40" s="532"/>
      <c r="J40" s="567" t="str">
        <f>IF(AND('Mapa de Riesgos'!$H$32="Muy Baja",'Mapa de Riesgos'!$L$32="Leve"),CONCATENATE("R",'Mapa de Riesgos'!$A$32),"")</f>
        <v/>
      </c>
      <c r="K40" s="565"/>
      <c r="L40" s="565" t="str">
        <f>IF(AND('Mapa de Riesgos'!$H$38="Muy Baja",'Mapa de Riesgos'!$L$38="Leve"),CONCATENATE("R",'Mapa de Riesgos'!$A$38),"")</f>
        <v/>
      </c>
      <c r="M40" s="565"/>
      <c r="N40" s="565" t="str">
        <f>IF(AND('Mapa de Riesgos'!$H$44="Muy Baja",'Mapa de Riesgos'!$L$44="Leve"),CONCATENATE("R",'Mapa de Riesgos'!$A$44),"")</f>
        <v/>
      </c>
      <c r="O40" s="566"/>
      <c r="P40" s="567" t="str">
        <f>IF(AND('Mapa de Riesgos'!$H$32="Muy Baja",'Mapa de Riesgos'!$L$32="Menor"),CONCATENATE("R",'Mapa de Riesgos'!$A$32),"")</f>
        <v/>
      </c>
      <c r="Q40" s="565"/>
      <c r="R40" s="565" t="str">
        <f>IF(AND('Mapa de Riesgos'!$H$38="Muy Baja",'Mapa de Riesgos'!$L$38="Menor"),CONCATENATE("R",'Mapa de Riesgos'!$A$38),"")</f>
        <v/>
      </c>
      <c r="S40" s="565"/>
      <c r="T40" s="565" t="str">
        <f>IF(AND('Mapa de Riesgos'!$H$44="Muy Baja",'Mapa de Riesgos'!$L$44="Menor"),CONCATENATE("R",'Mapa de Riesgos'!$A$44),"")</f>
        <v/>
      </c>
      <c r="U40" s="566"/>
      <c r="V40" s="556" t="str">
        <f>IF(AND('Mapa de Riesgos'!$H$32="Muy Baja",'Mapa de Riesgos'!$L$32="Moderado"),CONCATENATE("R",'Mapa de Riesgos'!$A$32),"")</f>
        <v/>
      </c>
      <c r="W40" s="557"/>
      <c r="X40" s="557" t="str">
        <f>IF(AND('Mapa de Riesgos'!$H$38="Muy Baja",'Mapa de Riesgos'!$L$38="Moderado"),CONCATENATE("R",'Mapa de Riesgos'!$A$38),"")</f>
        <v/>
      </c>
      <c r="Y40" s="557"/>
      <c r="Z40" s="557" t="str">
        <f>IF(AND('Mapa de Riesgos'!$H$44="Muy Baja",'Mapa de Riesgos'!$L$44="Moderado"),CONCATENATE("R",'Mapa de Riesgos'!$A$44),"")</f>
        <v/>
      </c>
      <c r="AA40" s="558"/>
      <c r="AB40" s="540" t="str">
        <f>IF(AND('Mapa de Riesgos'!$H$32="Muy Baja",'Mapa de Riesgos'!$L$32="Mayor"),CONCATENATE("R",'Mapa de Riesgos'!$A$32),"")</f>
        <v/>
      </c>
      <c r="AC40" s="536"/>
      <c r="AD40" s="536" t="str">
        <f>IF(AND('Mapa de Riesgos'!$H$38="Muy Baja",'Mapa de Riesgos'!$L$38="Mayor"),CONCATENATE("R",'Mapa de Riesgos'!$A$38),"")</f>
        <v/>
      </c>
      <c r="AE40" s="536"/>
      <c r="AF40" s="536" t="str">
        <f>IF(AND('Mapa de Riesgos'!$H$44="Muy Baja",'Mapa de Riesgos'!$L$44="Mayor"),CONCATENATE("R",'Mapa de Riesgos'!$A$44),"")</f>
        <v/>
      </c>
      <c r="AG40" s="537"/>
      <c r="AH40" s="547" t="str">
        <f>IF(AND('Mapa de Riesgos'!$H$32="Muy Baja",'Mapa de Riesgos'!$L$32="Catastrófico"),CONCATENATE("R",'Mapa de Riesgos'!$A$32),"")</f>
        <v/>
      </c>
      <c r="AI40" s="548"/>
      <c r="AJ40" s="548" t="str">
        <f>IF(AND('Mapa de Riesgos'!$H$38="Muy Baja",'Mapa de Riesgos'!$L$38="Catastrófico"),CONCATENATE("R",'Mapa de Riesgos'!$A$38),"")</f>
        <v/>
      </c>
      <c r="AK40" s="548"/>
      <c r="AL40" s="548" t="str">
        <f>IF(AND('Mapa de Riesgos'!$H$44="Muy Baja",'Mapa de Riesgos'!$L$44="Catastrófico"),CONCATENATE("R",'Mapa de Riesgos'!$A$44),"")</f>
        <v/>
      </c>
      <c r="AM40" s="54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9"/>
      <c r="C41" s="489"/>
      <c r="D41" s="490"/>
      <c r="E41" s="530"/>
      <c r="F41" s="531"/>
      <c r="G41" s="531"/>
      <c r="H41" s="531"/>
      <c r="I41" s="532"/>
      <c r="J41" s="567"/>
      <c r="K41" s="565"/>
      <c r="L41" s="565"/>
      <c r="M41" s="565"/>
      <c r="N41" s="565"/>
      <c r="O41" s="566"/>
      <c r="P41" s="567"/>
      <c r="Q41" s="565"/>
      <c r="R41" s="565"/>
      <c r="S41" s="565"/>
      <c r="T41" s="565"/>
      <c r="U41" s="566"/>
      <c r="V41" s="556"/>
      <c r="W41" s="557"/>
      <c r="X41" s="557"/>
      <c r="Y41" s="557"/>
      <c r="Z41" s="557"/>
      <c r="AA41" s="558"/>
      <c r="AB41" s="540"/>
      <c r="AC41" s="536"/>
      <c r="AD41" s="536"/>
      <c r="AE41" s="536"/>
      <c r="AF41" s="536"/>
      <c r="AG41" s="537"/>
      <c r="AH41" s="547"/>
      <c r="AI41" s="548"/>
      <c r="AJ41" s="548"/>
      <c r="AK41" s="548"/>
      <c r="AL41" s="548"/>
      <c r="AM41" s="54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9"/>
      <c r="C42" s="489"/>
      <c r="D42" s="490"/>
      <c r="E42" s="530"/>
      <c r="F42" s="531"/>
      <c r="G42" s="531"/>
      <c r="H42" s="531"/>
      <c r="I42" s="532"/>
      <c r="J42" s="567" t="str">
        <f>IF(AND('Mapa de Riesgos'!$H$50="Muy Baja",'Mapa de Riesgos'!$L$50="Leve"),CONCATENATE("R",'Mapa de Riesgos'!$A$50),"")</f>
        <v/>
      </c>
      <c r="K42" s="565"/>
      <c r="L42" s="565" t="str">
        <f>IF(AND('Mapa de Riesgos'!$H$56="Muy Baja",'Mapa de Riesgos'!$L$56="Leve"),CONCATENATE("R",'Mapa de Riesgos'!$A$56),"")</f>
        <v/>
      </c>
      <c r="M42" s="565"/>
      <c r="N42" s="565" t="str">
        <f>IF(AND('Mapa de Riesgos'!$H$62="Muy Baja",'Mapa de Riesgos'!$L$62="Leve"),CONCATENATE("R",'Mapa de Riesgos'!$A$62),"")</f>
        <v/>
      </c>
      <c r="O42" s="566"/>
      <c r="P42" s="567" t="str">
        <f>IF(AND('Mapa de Riesgos'!$H$50="Muy Baja",'Mapa de Riesgos'!$L$50="Menor"),CONCATENATE("R",'Mapa de Riesgos'!$A$50),"")</f>
        <v/>
      </c>
      <c r="Q42" s="565"/>
      <c r="R42" s="565" t="str">
        <f>IF(AND('Mapa de Riesgos'!$H$56="Muy Baja",'Mapa de Riesgos'!$L$56="Menor"),CONCATENATE("R",'Mapa de Riesgos'!$A$56),"")</f>
        <v/>
      </c>
      <c r="S42" s="565"/>
      <c r="T42" s="565" t="str">
        <f>IF(AND('Mapa de Riesgos'!$H$62="Muy Baja",'Mapa de Riesgos'!$L$62="Menor"),CONCATENATE("R",'Mapa de Riesgos'!$A$62),"")</f>
        <v/>
      </c>
      <c r="U42" s="566"/>
      <c r="V42" s="556" t="str">
        <f>IF(AND('Mapa de Riesgos'!$H$50="Muy Baja",'Mapa de Riesgos'!$L$50="Moderado"),CONCATENATE("R",'Mapa de Riesgos'!$A$50),"")</f>
        <v/>
      </c>
      <c r="W42" s="557"/>
      <c r="X42" s="557" t="str">
        <f>IF(AND('Mapa de Riesgos'!$H$56="Muy Baja",'Mapa de Riesgos'!$L$56="Moderado"),CONCATENATE("R",'Mapa de Riesgos'!$A$56),"")</f>
        <v/>
      </c>
      <c r="Y42" s="557"/>
      <c r="Z42" s="557" t="str">
        <f>IF(AND('Mapa de Riesgos'!$H$62="Muy Baja",'Mapa de Riesgos'!$L$62="Moderado"),CONCATENATE("R",'Mapa de Riesgos'!$A$62),"")</f>
        <v/>
      </c>
      <c r="AA42" s="558"/>
      <c r="AB42" s="540" t="str">
        <f>IF(AND('Mapa de Riesgos'!$H$50="Muy Baja",'Mapa de Riesgos'!$L$50="Mayor"),CONCATENATE("R",'Mapa de Riesgos'!$A$50),"")</f>
        <v/>
      </c>
      <c r="AC42" s="536"/>
      <c r="AD42" s="536" t="str">
        <f>IF(AND('Mapa de Riesgos'!$H$56="Muy Baja",'Mapa de Riesgos'!$L$56="Mayor"),CONCATENATE("R",'Mapa de Riesgos'!$A$56),"")</f>
        <v/>
      </c>
      <c r="AE42" s="536"/>
      <c r="AF42" s="536" t="str">
        <f>IF(AND('Mapa de Riesgos'!$H$62="Muy Baja",'Mapa de Riesgos'!$L$62="Mayor"),CONCATENATE("R",'Mapa de Riesgos'!$A$62),"")</f>
        <v/>
      </c>
      <c r="AG42" s="537"/>
      <c r="AH42" s="547" t="str">
        <f>IF(AND('Mapa de Riesgos'!$H$50="Muy Baja",'Mapa de Riesgos'!$L$50="Catastrófico"),CONCATENATE("R",'Mapa de Riesgos'!$A$50),"")</f>
        <v/>
      </c>
      <c r="AI42" s="548"/>
      <c r="AJ42" s="548" t="str">
        <f>IF(AND('Mapa de Riesgos'!$H$56="Muy Baja",'Mapa de Riesgos'!$L$56="Catastrófico"),CONCATENATE("R",'Mapa de Riesgos'!$A$56),"")</f>
        <v/>
      </c>
      <c r="AK42" s="548"/>
      <c r="AL42" s="548" t="str">
        <f>IF(AND('Mapa de Riesgos'!$H$62="Muy Baja",'Mapa de Riesgos'!$L$62="Catastrófico"),CONCATENATE("R",'Mapa de Riesgos'!$A$62),"")</f>
        <v/>
      </c>
      <c r="AM42" s="54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9"/>
      <c r="C43" s="489"/>
      <c r="D43" s="490"/>
      <c r="E43" s="530"/>
      <c r="F43" s="531"/>
      <c r="G43" s="531"/>
      <c r="H43" s="531"/>
      <c r="I43" s="532"/>
      <c r="J43" s="567"/>
      <c r="K43" s="565"/>
      <c r="L43" s="565"/>
      <c r="M43" s="565"/>
      <c r="N43" s="565"/>
      <c r="O43" s="566"/>
      <c r="P43" s="567"/>
      <c r="Q43" s="565"/>
      <c r="R43" s="565"/>
      <c r="S43" s="565"/>
      <c r="T43" s="565"/>
      <c r="U43" s="566"/>
      <c r="V43" s="556"/>
      <c r="W43" s="557"/>
      <c r="X43" s="557"/>
      <c r="Y43" s="557"/>
      <c r="Z43" s="557"/>
      <c r="AA43" s="558"/>
      <c r="AB43" s="540"/>
      <c r="AC43" s="536"/>
      <c r="AD43" s="536"/>
      <c r="AE43" s="536"/>
      <c r="AF43" s="536"/>
      <c r="AG43" s="537"/>
      <c r="AH43" s="547"/>
      <c r="AI43" s="548"/>
      <c r="AJ43" s="548"/>
      <c r="AK43" s="548"/>
      <c r="AL43" s="548"/>
      <c r="AM43" s="54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9"/>
      <c r="C44" s="489"/>
      <c r="D44" s="490"/>
      <c r="E44" s="530"/>
      <c r="F44" s="531"/>
      <c r="G44" s="531"/>
      <c r="H44" s="531"/>
      <c r="I44" s="532"/>
      <c r="J44" s="567" t="str">
        <f>IF(AND('Mapa de Riesgos'!$H$68="Muy Baja",'Mapa de Riesgos'!$L$68="Leve"),CONCATENATE("R",'Mapa de Riesgos'!$A$68),"")</f>
        <v/>
      </c>
      <c r="K44" s="565"/>
      <c r="L44" s="565" t="str">
        <f>IF(AND('Mapa de Riesgos'!$H$74="Muy Baja",'Mapa de Riesgos'!$L$74="Leve"),CONCATENATE("R",'Mapa de Riesgos'!$A$74),"")</f>
        <v/>
      </c>
      <c r="M44" s="565"/>
      <c r="N44" s="565" t="str">
        <f>IF(AND('Mapa de Riesgos'!$H$80="Muy Baja",'Mapa de Riesgos'!$L$80="Leve"),CONCATENATE("R",'Mapa de Riesgos'!$A$80),"")</f>
        <v/>
      </c>
      <c r="O44" s="566"/>
      <c r="P44" s="567" t="str">
        <f>IF(AND('Mapa de Riesgos'!$H$68="Muy Baja",'Mapa de Riesgos'!$L$68="Menor"),CONCATENATE("R",'Mapa de Riesgos'!$A$68),"")</f>
        <v/>
      </c>
      <c r="Q44" s="565"/>
      <c r="R44" s="565" t="str">
        <f>IF(AND('Mapa de Riesgos'!$H$74="Muy Baja",'Mapa de Riesgos'!$L$74="Menor"),CONCATENATE("R",'Mapa de Riesgos'!$A$74),"")</f>
        <v/>
      </c>
      <c r="S44" s="565"/>
      <c r="T44" s="565" t="str">
        <f>IF(AND('Mapa de Riesgos'!$H$80="Muy Baja",'Mapa de Riesgos'!$L$80="Menor"),CONCATENATE("R",'Mapa de Riesgos'!$A$80),"")</f>
        <v/>
      </c>
      <c r="U44" s="566"/>
      <c r="V44" s="556" t="str">
        <f>IF(AND('Mapa de Riesgos'!$H$68="Muy Baja",'Mapa de Riesgos'!$L$68="Moderado"),CONCATENATE("R",'Mapa de Riesgos'!$A$68),"")</f>
        <v/>
      </c>
      <c r="W44" s="557"/>
      <c r="X44" s="557" t="str">
        <f>IF(AND('Mapa de Riesgos'!$H$74="Muy Baja",'Mapa de Riesgos'!$L$74="Moderado"),CONCATENATE("R",'Mapa de Riesgos'!$A$74),"")</f>
        <v/>
      </c>
      <c r="Y44" s="557"/>
      <c r="Z44" s="557" t="str">
        <f>IF(AND('Mapa de Riesgos'!$H$80="Muy Baja",'Mapa de Riesgos'!$L$80="Moderado"),CONCATENATE("R",'Mapa de Riesgos'!$A$80),"")</f>
        <v/>
      </c>
      <c r="AA44" s="558"/>
      <c r="AB44" s="540" t="str">
        <f>IF(AND('Mapa de Riesgos'!$H$68="Muy Baja",'Mapa de Riesgos'!$L$68="Mayor"),CONCATENATE("R",'Mapa de Riesgos'!$A$68),"")</f>
        <v/>
      </c>
      <c r="AC44" s="536"/>
      <c r="AD44" s="536" t="str">
        <f>IF(AND('Mapa de Riesgos'!$H$74="Muy Baja",'Mapa de Riesgos'!$L$74="Mayor"),CONCATENATE("R",'Mapa de Riesgos'!$A$74),"")</f>
        <v/>
      </c>
      <c r="AE44" s="536"/>
      <c r="AF44" s="536" t="str">
        <f>IF(AND('Mapa de Riesgos'!$H$80="Muy Baja",'Mapa de Riesgos'!$L$80="Mayor"),CONCATENATE("R",'Mapa de Riesgos'!$A$80),"")</f>
        <v/>
      </c>
      <c r="AG44" s="537"/>
      <c r="AH44" s="547" t="str">
        <f>IF(AND('Mapa de Riesgos'!$H$68="Muy Baja",'Mapa de Riesgos'!$L$68="Catastrófico"),CONCATENATE("R",'Mapa de Riesgos'!$A$68),"")</f>
        <v/>
      </c>
      <c r="AI44" s="548"/>
      <c r="AJ44" s="548" t="str">
        <f>IF(AND('Mapa de Riesgos'!$H$74="Muy Baja",'Mapa de Riesgos'!$L$74="Catastrófico"),CONCATENATE("R",'Mapa de Riesgos'!$A$74),"")</f>
        <v/>
      </c>
      <c r="AK44" s="548"/>
      <c r="AL44" s="548" t="str">
        <f>IF(AND('Mapa de Riesgos'!$H$80="Muy Baja",'Mapa de Riesgos'!$L$80="Catastrófico"),CONCATENATE("R",'Mapa de Riesgos'!$A$80),"")</f>
        <v/>
      </c>
      <c r="AM44" s="54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9"/>
      <c r="C45" s="489"/>
      <c r="D45" s="490"/>
      <c r="E45" s="533"/>
      <c r="F45" s="534"/>
      <c r="G45" s="534"/>
      <c r="H45" s="534"/>
      <c r="I45" s="535"/>
      <c r="J45" s="568"/>
      <c r="K45" s="569"/>
      <c r="L45" s="569"/>
      <c r="M45" s="569"/>
      <c r="N45" s="569"/>
      <c r="O45" s="570"/>
      <c r="P45" s="568"/>
      <c r="Q45" s="569"/>
      <c r="R45" s="569"/>
      <c r="S45" s="569"/>
      <c r="T45" s="569"/>
      <c r="U45" s="570"/>
      <c r="V45" s="559"/>
      <c r="W45" s="560"/>
      <c r="X45" s="560"/>
      <c r="Y45" s="560"/>
      <c r="Z45" s="560"/>
      <c r="AA45" s="561"/>
      <c r="AB45" s="544"/>
      <c r="AC45" s="545"/>
      <c r="AD45" s="545"/>
      <c r="AE45" s="545"/>
      <c r="AF45" s="545"/>
      <c r="AG45" s="546"/>
      <c r="AH45" s="550"/>
      <c r="AI45" s="551"/>
      <c r="AJ45" s="551"/>
      <c r="AK45" s="551"/>
      <c r="AL45" s="551"/>
      <c r="AM45" s="55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527" t="s">
        <v>232</v>
      </c>
      <c r="K46" s="528"/>
      <c r="L46" s="528"/>
      <c r="M46" s="528"/>
      <c r="N46" s="528"/>
      <c r="O46" s="529"/>
      <c r="P46" s="527" t="s">
        <v>233</v>
      </c>
      <c r="Q46" s="528"/>
      <c r="R46" s="528"/>
      <c r="S46" s="528"/>
      <c r="T46" s="528"/>
      <c r="U46" s="529"/>
      <c r="V46" s="527" t="s">
        <v>234</v>
      </c>
      <c r="W46" s="528"/>
      <c r="X46" s="528"/>
      <c r="Y46" s="528"/>
      <c r="Z46" s="528"/>
      <c r="AA46" s="529"/>
      <c r="AB46" s="527" t="s">
        <v>235</v>
      </c>
      <c r="AC46" s="543"/>
      <c r="AD46" s="528"/>
      <c r="AE46" s="528"/>
      <c r="AF46" s="528"/>
      <c r="AG46" s="529"/>
      <c r="AH46" s="527" t="s">
        <v>236</v>
      </c>
      <c r="AI46" s="528"/>
      <c r="AJ46" s="528"/>
      <c r="AK46" s="528"/>
      <c r="AL46" s="528"/>
      <c r="AM46" s="52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530"/>
      <c r="K47" s="531"/>
      <c r="L47" s="531"/>
      <c r="M47" s="531"/>
      <c r="N47" s="531"/>
      <c r="O47" s="532"/>
      <c r="P47" s="530"/>
      <c r="Q47" s="531"/>
      <c r="R47" s="531"/>
      <c r="S47" s="531"/>
      <c r="T47" s="531"/>
      <c r="U47" s="532"/>
      <c r="V47" s="530"/>
      <c r="W47" s="531"/>
      <c r="X47" s="531"/>
      <c r="Y47" s="531"/>
      <c r="Z47" s="531"/>
      <c r="AA47" s="532"/>
      <c r="AB47" s="530"/>
      <c r="AC47" s="531"/>
      <c r="AD47" s="531"/>
      <c r="AE47" s="531"/>
      <c r="AF47" s="531"/>
      <c r="AG47" s="532"/>
      <c r="AH47" s="530"/>
      <c r="AI47" s="531"/>
      <c r="AJ47" s="531"/>
      <c r="AK47" s="531"/>
      <c r="AL47" s="531"/>
      <c r="AM47" s="53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530"/>
      <c r="K48" s="531"/>
      <c r="L48" s="531"/>
      <c r="M48" s="531"/>
      <c r="N48" s="531"/>
      <c r="O48" s="532"/>
      <c r="P48" s="530"/>
      <c r="Q48" s="531"/>
      <c r="R48" s="531"/>
      <c r="S48" s="531"/>
      <c r="T48" s="531"/>
      <c r="U48" s="532"/>
      <c r="V48" s="530"/>
      <c r="W48" s="531"/>
      <c r="X48" s="531"/>
      <c r="Y48" s="531"/>
      <c r="Z48" s="531"/>
      <c r="AA48" s="532"/>
      <c r="AB48" s="530"/>
      <c r="AC48" s="531"/>
      <c r="AD48" s="531"/>
      <c r="AE48" s="531"/>
      <c r="AF48" s="531"/>
      <c r="AG48" s="532"/>
      <c r="AH48" s="530"/>
      <c r="AI48" s="531"/>
      <c r="AJ48" s="531"/>
      <c r="AK48" s="531"/>
      <c r="AL48" s="531"/>
      <c r="AM48" s="53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530"/>
      <c r="K49" s="531"/>
      <c r="L49" s="531"/>
      <c r="M49" s="531"/>
      <c r="N49" s="531"/>
      <c r="O49" s="532"/>
      <c r="P49" s="530"/>
      <c r="Q49" s="531"/>
      <c r="R49" s="531"/>
      <c r="S49" s="531"/>
      <c r="T49" s="531"/>
      <c r="U49" s="532"/>
      <c r="V49" s="530"/>
      <c r="W49" s="531"/>
      <c r="X49" s="531"/>
      <c r="Y49" s="531"/>
      <c r="Z49" s="531"/>
      <c r="AA49" s="532"/>
      <c r="AB49" s="530"/>
      <c r="AC49" s="531"/>
      <c r="AD49" s="531"/>
      <c r="AE49" s="531"/>
      <c r="AF49" s="531"/>
      <c r="AG49" s="532"/>
      <c r="AH49" s="530"/>
      <c r="AI49" s="531"/>
      <c r="AJ49" s="531"/>
      <c r="AK49" s="531"/>
      <c r="AL49" s="531"/>
      <c r="AM49" s="53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530"/>
      <c r="K50" s="531"/>
      <c r="L50" s="531"/>
      <c r="M50" s="531"/>
      <c r="N50" s="531"/>
      <c r="O50" s="532"/>
      <c r="P50" s="530"/>
      <c r="Q50" s="531"/>
      <c r="R50" s="531"/>
      <c r="S50" s="531"/>
      <c r="T50" s="531"/>
      <c r="U50" s="532"/>
      <c r="V50" s="530"/>
      <c r="W50" s="531"/>
      <c r="X50" s="531"/>
      <c r="Y50" s="531"/>
      <c r="Z50" s="531"/>
      <c r="AA50" s="532"/>
      <c r="AB50" s="530"/>
      <c r="AC50" s="531"/>
      <c r="AD50" s="531"/>
      <c r="AE50" s="531"/>
      <c r="AF50" s="531"/>
      <c r="AG50" s="532"/>
      <c r="AH50" s="530"/>
      <c r="AI50" s="531"/>
      <c r="AJ50" s="531"/>
      <c r="AK50" s="531"/>
      <c r="AL50" s="531"/>
      <c r="AM50" s="53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533"/>
      <c r="K51" s="534"/>
      <c r="L51" s="534"/>
      <c r="M51" s="534"/>
      <c r="N51" s="534"/>
      <c r="O51" s="535"/>
      <c r="P51" s="533"/>
      <c r="Q51" s="534"/>
      <c r="R51" s="534"/>
      <c r="S51" s="534"/>
      <c r="T51" s="534"/>
      <c r="U51" s="535"/>
      <c r="V51" s="533"/>
      <c r="W51" s="534"/>
      <c r="X51" s="534"/>
      <c r="Y51" s="534"/>
      <c r="Z51" s="534"/>
      <c r="AA51" s="535"/>
      <c r="AB51" s="533"/>
      <c r="AC51" s="534"/>
      <c r="AD51" s="534"/>
      <c r="AE51" s="534"/>
      <c r="AF51" s="534"/>
      <c r="AG51" s="535"/>
      <c r="AH51" s="533"/>
      <c r="AI51" s="534"/>
      <c r="AJ51" s="534"/>
      <c r="AK51" s="534"/>
      <c r="AL51" s="534"/>
      <c r="AM51" s="53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5"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600" t="s">
        <v>237</v>
      </c>
      <c r="C2" s="601"/>
      <c r="D2" s="601"/>
      <c r="E2" s="601"/>
      <c r="F2" s="601"/>
      <c r="G2" s="601"/>
      <c r="H2" s="601"/>
      <c r="I2" s="601"/>
      <c r="J2" s="542" t="s">
        <v>23</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601"/>
      <c r="C3" s="601"/>
      <c r="D3" s="601"/>
      <c r="E3" s="601"/>
      <c r="F3" s="601"/>
      <c r="G3" s="601"/>
      <c r="H3" s="601"/>
      <c r="I3" s="601"/>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601"/>
      <c r="C4" s="601"/>
      <c r="D4" s="601"/>
      <c r="E4" s="601"/>
      <c r="F4" s="601"/>
      <c r="G4" s="601"/>
      <c r="H4" s="601"/>
      <c r="I4" s="601"/>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9" t="s">
        <v>222</v>
      </c>
      <c r="C6" s="489"/>
      <c r="D6" s="490"/>
      <c r="E6" s="584" t="s">
        <v>223</v>
      </c>
      <c r="F6" s="585"/>
      <c r="G6" s="585"/>
      <c r="H6" s="585"/>
      <c r="I6" s="602"/>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91" t="s">
        <v>224</v>
      </c>
      <c r="AP6" s="592"/>
      <c r="AQ6" s="592"/>
      <c r="AR6" s="592"/>
      <c r="AS6" s="592"/>
      <c r="AT6" s="59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9"/>
      <c r="C7" s="489"/>
      <c r="D7" s="490"/>
      <c r="E7" s="588"/>
      <c r="F7" s="587"/>
      <c r="G7" s="587"/>
      <c r="H7" s="587"/>
      <c r="I7" s="603"/>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3"/>
      <c r="AO7" s="594"/>
      <c r="AP7" s="595"/>
      <c r="AQ7" s="595"/>
      <c r="AR7" s="595"/>
      <c r="AS7" s="595"/>
      <c r="AT7" s="59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9"/>
      <c r="C8" s="489"/>
      <c r="D8" s="490"/>
      <c r="E8" s="588"/>
      <c r="F8" s="587"/>
      <c r="G8" s="587"/>
      <c r="H8" s="587"/>
      <c r="I8" s="603"/>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94"/>
      <c r="AP8" s="595"/>
      <c r="AQ8" s="595"/>
      <c r="AR8" s="595"/>
      <c r="AS8" s="595"/>
      <c r="AT8" s="59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9"/>
      <c r="C9" s="489"/>
      <c r="D9" s="490"/>
      <c r="E9" s="588"/>
      <c r="F9" s="587"/>
      <c r="G9" s="587"/>
      <c r="H9" s="587"/>
      <c r="I9" s="603"/>
      <c r="J9" s="52" t="str">
        <f>IF(AND('Mapa de Riesgos'!$Y$32="Muy Alta",'Mapa de Riesgos'!$AA$32="Leve"),CONCATENATE("R4C",'Mapa de Riesgos'!$O$32),"")</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94"/>
      <c r="AP9" s="595"/>
      <c r="AQ9" s="595"/>
      <c r="AR9" s="595"/>
      <c r="AS9" s="595"/>
      <c r="AT9" s="59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9"/>
      <c r="C10" s="489"/>
      <c r="D10" s="490"/>
      <c r="E10" s="588"/>
      <c r="F10" s="587"/>
      <c r="G10" s="587"/>
      <c r="H10" s="587"/>
      <c r="I10" s="603"/>
      <c r="J10" s="52" t="str">
        <f>IF(AND('Mapa de Riesgos'!$Y$38="Muy Alta",'Mapa de Riesgos'!$AA$38="Leve"),CONCATENATE("R5C",'Mapa de Riesgos'!$O$38),"")</f>
        <v/>
      </c>
      <c r="K10" s="53" t="str">
        <f>IF(AND('Mapa de Riesgos'!$Y$39="Muy Alta",'Mapa de Riesgos'!$AA$39="Leve"),CONCATENATE("R5C",'Mapa de Riesgos'!$O$39),"")</f>
        <v/>
      </c>
      <c r="L10" s="53" t="str">
        <f>IF(AND('Mapa de Riesgos'!$Y$40="Muy Alta",'Mapa de Riesgos'!$AA$40="Leve"),CONCATENATE("R5C",'Mapa de Riesgos'!$O$40),"")</f>
        <v/>
      </c>
      <c r="M10" s="53" t="str">
        <f>IF(AND('Mapa de Riesgos'!$Y$41="Muy Alta",'Mapa de Riesgos'!$AA$41="Leve"),CONCATENATE("R5C",'Mapa de Riesgos'!$O$41),"")</f>
        <v/>
      </c>
      <c r="N10" s="53"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3" t="str">
        <f>IF(AND('Mapa de Riesgos'!$Y$40="Muy Alta",'Mapa de Riesgos'!$AA$40="Menor"),CONCATENATE("R5C",'Mapa de Riesgos'!$O$40),"")</f>
        <v/>
      </c>
      <c r="S10" s="53" t="str">
        <f>IF(AND('Mapa de Riesgos'!$Y$41="Muy Alta",'Mapa de Riesgos'!$AA$41="Menor"),CONCATENATE("R5C",'Mapa de Riesgos'!$O$41),"")</f>
        <v/>
      </c>
      <c r="T10" s="53"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3" t="str">
        <f>IF(AND('Mapa de Riesgos'!$Y$40="Muy Alta",'Mapa de Riesgos'!$AA$40="Moderado"),CONCATENATE("R5C",'Mapa de Riesgos'!$O$40),"")</f>
        <v/>
      </c>
      <c r="Y10" s="53" t="str">
        <f>IF(AND('Mapa de Riesgos'!$Y$41="Muy Alta",'Mapa de Riesgos'!$AA$41="Moderado"),CONCATENATE("R5C",'Mapa de Riesgos'!$O$41),"")</f>
        <v/>
      </c>
      <c r="Z10" s="53"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3" t="str">
        <f>IF(AND('Mapa de Riesgos'!$Y$40="Muy Alta",'Mapa de Riesgos'!$AA$40="Mayor"),CONCATENATE("R5C",'Mapa de Riesgos'!$O$40),"")</f>
        <v/>
      </c>
      <c r="AE10" s="53" t="str">
        <f>IF(AND('Mapa de Riesgos'!$Y$41="Muy Alta",'Mapa de Riesgos'!$AA$41="Mayor"),CONCATENATE("R5C",'Mapa de Riesgos'!$O$41),"")</f>
        <v/>
      </c>
      <c r="AF10" s="53"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3"/>
      <c r="AO10" s="594"/>
      <c r="AP10" s="595"/>
      <c r="AQ10" s="595"/>
      <c r="AR10" s="595"/>
      <c r="AS10" s="595"/>
      <c r="AT10" s="59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9"/>
      <c r="C11" s="489"/>
      <c r="D11" s="490"/>
      <c r="E11" s="588"/>
      <c r="F11" s="587"/>
      <c r="G11" s="587"/>
      <c r="H11" s="587"/>
      <c r="I11" s="603"/>
      <c r="J11" s="52" t="str">
        <f>IF(AND('Mapa de Riesgos'!$Y$44="Muy Alta",'Mapa de Riesgos'!$AA$44="Leve"),CONCATENATE("R6C",'Mapa de Riesgos'!$O$44),"")</f>
        <v/>
      </c>
      <c r="K11" s="53" t="str">
        <f>IF(AND('Mapa de Riesgos'!$Y$45="Muy Alta",'Mapa de Riesgos'!$AA$45="Leve"),CONCATENATE("R6C",'Mapa de Riesgos'!$O$45),"")</f>
        <v/>
      </c>
      <c r="L11" s="53" t="str">
        <f>IF(AND('Mapa de Riesgos'!$Y$46="Muy Alta",'Mapa de Riesgos'!$AA$46="Leve"),CONCATENATE("R6C",'Mapa de Riesgos'!$O$46),"")</f>
        <v/>
      </c>
      <c r="M11" s="53" t="str">
        <f>IF(AND('Mapa de Riesgos'!$Y$47="Muy Alta",'Mapa de Riesgos'!$AA$47="Leve"),CONCATENATE("R6C",'Mapa de Riesgos'!$O$47),"")</f>
        <v/>
      </c>
      <c r="N11" s="53"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3" t="str">
        <f>IF(AND('Mapa de Riesgos'!$Y$46="Muy Alta",'Mapa de Riesgos'!$AA$46="Menor"),CONCATENATE("R6C",'Mapa de Riesgos'!$O$46),"")</f>
        <v/>
      </c>
      <c r="S11" s="53" t="str">
        <f>IF(AND('Mapa de Riesgos'!$Y$47="Muy Alta",'Mapa de Riesgos'!$AA$47="Menor"),CONCATENATE("R6C",'Mapa de Riesgos'!$O$47),"")</f>
        <v/>
      </c>
      <c r="T11" s="53"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3" t="str">
        <f>IF(AND('Mapa de Riesgos'!$Y$46="Muy Alta",'Mapa de Riesgos'!$AA$46="Moderado"),CONCATENATE("R6C",'Mapa de Riesgos'!$O$46),"")</f>
        <v/>
      </c>
      <c r="Y11" s="53" t="str">
        <f>IF(AND('Mapa de Riesgos'!$Y$47="Muy Alta",'Mapa de Riesgos'!$AA$47="Moderado"),CONCATENATE("R6C",'Mapa de Riesgos'!$O$47),"")</f>
        <v/>
      </c>
      <c r="Z11" s="53"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3" t="str">
        <f>IF(AND('Mapa de Riesgos'!$Y$46="Muy Alta",'Mapa de Riesgos'!$AA$46="Mayor"),CONCATENATE("R6C",'Mapa de Riesgos'!$O$46),"")</f>
        <v/>
      </c>
      <c r="AE11" s="53" t="str">
        <f>IF(AND('Mapa de Riesgos'!$Y$47="Muy Alta",'Mapa de Riesgos'!$AA$47="Mayor"),CONCATENATE("R6C",'Mapa de Riesgos'!$O$47),"")</f>
        <v/>
      </c>
      <c r="AF11" s="53"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3"/>
      <c r="AO11" s="594"/>
      <c r="AP11" s="595"/>
      <c r="AQ11" s="595"/>
      <c r="AR11" s="595"/>
      <c r="AS11" s="595"/>
      <c r="AT11" s="59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9"/>
      <c r="C12" s="489"/>
      <c r="D12" s="490"/>
      <c r="E12" s="588"/>
      <c r="F12" s="587"/>
      <c r="G12" s="587"/>
      <c r="H12" s="587"/>
      <c r="I12" s="603"/>
      <c r="J12" s="52" t="str">
        <f>IF(AND('Mapa de Riesgos'!$Y$50="Muy Alta",'Mapa de Riesgos'!$AA$50="Leve"),CONCATENATE("R7C",'Mapa de Riesgos'!$O$50),"")</f>
        <v/>
      </c>
      <c r="K12" s="53" t="str">
        <f>IF(AND('Mapa de Riesgos'!$Y$51="Muy Alta",'Mapa de Riesgos'!$AA$51="Leve"),CONCATENATE("R7C",'Mapa de Riesgos'!$O$51),"")</f>
        <v/>
      </c>
      <c r="L12" s="53" t="str">
        <f>IF(AND('Mapa de Riesgos'!$Y$52="Muy Alta",'Mapa de Riesgos'!$AA$52="Leve"),CONCATENATE("R7C",'Mapa de Riesgos'!$O$52),"")</f>
        <v/>
      </c>
      <c r="M12" s="53" t="str">
        <f>IF(AND('Mapa de Riesgos'!$Y$53="Muy Alta",'Mapa de Riesgos'!$AA$53="Leve"),CONCATENATE("R7C",'Mapa de Riesgos'!$O$53),"")</f>
        <v/>
      </c>
      <c r="N12" s="53"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3" t="str">
        <f>IF(AND('Mapa de Riesgos'!$Y$52="Muy Alta",'Mapa de Riesgos'!$AA$52="Menor"),CONCATENATE("R7C",'Mapa de Riesgos'!$O$52),"")</f>
        <v/>
      </c>
      <c r="S12" s="53" t="str">
        <f>IF(AND('Mapa de Riesgos'!$Y$53="Muy Alta",'Mapa de Riesgos'!$AA$53="Menor"),CONCATENATE("R7C",'Mapa de Riesgos'!$O$53),"")</f>
        <v/>
      </c>
      <c r="T12" s="53"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3" t="str">
        <f>IF(AND('Mapa de Riesgos'!$Y$52="Muy Alta",'Mapa de Riesgos'!$AA$52="Moderado"),CONCATENATE("R7C",'Mapa de Riesgos'!$O$52),"")</f>
        <v/>
      </c>
      <c r="Y12" s="53" t="str">
        <f>IF(AND('Mapa de Riesgos'!$Y$53="Muy Alta",'Mapa de Riesgos'!$AA$53="Moderado"),CONCATENATE("R7C",'Mapa de Riesgos'!$O$53),"")</f>
        <v/>
      </c>
      <c r="Z12" s="53"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3" t="str">
        <f>IF(AND('Mapa de Riesgos'!$Y$52="Muy Alta",'Mapa de Riesgos'!$AA$52="Mayor"),CONCATENATE("R7C",'Mapa de Riesgos'!$O$52),"")</f>
        <v/>
      </c>
      <c r="AE12" s="53" t="str">
        <f>IF(AND('Mapa de Riesgos'!$Y$53="Muy Alta",'Mapa de Riesgos'!$AA$53="Mayor"),CONCATENATE("R7C",'Mapa de Riesgos'!$O$53),"")</f>
        <v/>
      </c>
      <c r="AF12" s="53"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3"/>
      <c r="AO12" s="594"/>
      <c r="AP12" s="595"/>
      <c r="AQ12" s="595"/>
      <c r="AR12" s="595"/>
      <c r="AS12" s="595"/>
      <c r="AT12" s="59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9"/>
      <c r="C13" s="489"/>
      <c r="D13" s="490"/>
      <c r="E13" s="588"/>
      <c r="F13" s="587"/>
      <c r="G13" s="587"/>
      <c r="H13" s="587"/>
      <c r="I13" s="603"/>
      <c r="J13" s="52" t="str">
        <f>IF(AND('Mapa de Riesgos'!$Y$56="Muy Alta",'Mapa de Riesgos'!$AA$56="Leve"),CONCATENATE("R8C",'Mapa de Riesgos'!$O$56),"")</f>
        <v/>
      </c>
      <c r="K13" s="53" t="str">
        <f>IF(AND('Mapa de Riesgos'!$Y$57="Muy Alta",'Mapa de Riesgos'!$AA$57="Leve"),CONCATENATE("R8C",'Mapa de Riesgos'!$O$57),"")</f>
        <v/>
      </c>
      <c r="L13" s="53" t="str">
        <f>IF(AND('Mapa de Riesgos'!$Y$58="Muy Alta",'Mapa de Riesgos'!$AA$58="Leve"),CONCATENATE("R8C",'Mapa de Riesgos'!$O$58),"")</f>
        <v/>
      </c>
      <c r="M13" s="53" t="str">
        <f>IF(AND('Mapa de Riesgos'!$Y$59="Muy Alta",'Mapa de Riesgos'!$AA$59="Leve"),CONCATENATE("R8C",'Mapa de Riesgos'!$O$59),"")</f>
        <v/>
      </c>
      <c r="N13" s="53"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3" t="str">
        <f>IF(AND('Mapa de Riesgos'!$Y$58="Muy Alta",'Mapa de Riesgos'!$AA$58="Menor"),CONCATENATE("R8C",'Mapa de Riesgos'!$O$58),"")</f>
        <v/>
      </c>
      <c r="S13" s="53" t="str">
        <f>IF(AND('Mapa de Riesgos'!$Y$59="Muy Alta",'Mapa de Riesgos'!$AA$59="Menor"),CONCATENATE("R8C",'Mapa de Riesgos'!$O$59),"")</f>
        <v/>
      </c>
      <c r="T13" s="53"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3" t="str">
        <f>IF(AND('Mapa de Riesgos'!$Y$58="Muy Alta",'Mapa de Riesgos'!$AA$58="Moderado"),CONCATENATE("R8C",'Mapa de Riesgos'!$O$58),"")</f>
        <v/>
      </c>
      <c r="Y13" s="53" t="str">
        <f>IF(AND('Mapa de Riesgos'!$Y$59="Muy Alta",'Mapa de Riesgos'!$AA$59="Moderado"),CONCATENATE("R8C",'Mapa de Riesgos'!$O$59),"")</f>
        <v/>
      </c>
      <c r="Z13" s="53"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3" t="str">
        <f>IF(AND('Mapa de Riesgos'!$Y$58="Muy Alta",'Mapa de Riesgos'!$AA$58="Mayor"),CONCATENATE("R8C",'Mapa de Riesgos'!$O$58),"")</f>
        <v/>
      </c>
      <c r="AE13" s="53" t="str">
        <f>IF(AND('Mapa de Riesgos'!$Y$59="Muy Alta",'Mapa de Riesgos'!$AA$59="Mayor"),CONCATENATE("R8C",'Mapa de Riesgos'!$O$59),"")</f>
        <v/>
      </c>
      <c r="AF13" s="53"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3"/>
      <c r="AO13" s="594"/>
      <c r="AP13" s="595"/>
      <c r="AQ13" s="595"/>
      <c r="AR13" s="595"/>
      <c r="AS13" s="595"/>
      <c r="AT13" s="5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9"/>
      <c r="C14" s="489"/>
      <c r="D14" s="490"/>
      <c r="E14" s="588"/>
      <c r="F14" s="587"/>
      <c r="G14" s="587"/>
      <c r="H14" s="587"/>
      <c r="I14" s="603"/>
      <c r="J14" s="52" t="str">
        <f>IF(AND('Mapa de Riesgos'!$Y$62="Muy Alta",'Mapa de Riesgos'!$AA$62="Leve"),CONCATENATE("R9C",'Mapa de Riesgos'!$O$62),"")</f>
        <v/>
      </c>
      <c r="K14" s="53" t="str">
        <f>IF(AND('Mapa de Riesgos'!$Y$63="Muy Alta",'Mapa de Riesgos'!$AA$63="Leve"),CONCATENATE("R9C",'Mapa de Riesgos'!$O$63),"")</f>
        <v/>
      </c>
      <c r="L14" s="53" t="str">
        <f>IF(AND('Mapa de Riesgos'!$Y$64="Muy Alta",'Mapa de Riesgos'!$AA$64="Leve"),CONCATENATE("R9C",'Mapa de Riesgos'!$O$64),"")</f>
        <v/>
      </c>
      <c r="M14" s="53" t="str">
        <f>IF(AND('Mapa de Riesgos'!$Y$65="Muy Alta",'Mapa de Riesgos'!$AA$65="Leve"),CONCATENATE("R9C",'Mapa de Riesgos'!$O$65),"")</f>
        <v/>
      </c>
      <c r="N14" s="53"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3" t="str">
        <f>IF(AND('Mapa de Riesgos'!$Y$64="Muy Alta",'Mapa de Riesgos'!$AA$64="Menor"),CONCATENATE("R9C",'Mapa de Riesgos'!$O$64),"")</f>
        <v/>
      </c>
      <c r="S14" s="53" t="str">
        <f>IF(AND('Mapa de Riesgos'!$Y$65="Muy Alta",'Mapa de Riesgos'!$AA$65="Menor"),CONCATENATE("R9C",'Mapa de Riesgos'!$O$65),"")</f>
        <v/>
      </c>
      <c r="T14" s="53"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3" t="str">
        <f>IF(AND('Mapa de Riesgos'!$Y$64="Muy Alta",'Mapa de Riesgos'!$AA$64="Moderado"),CONCATENATE("R9C",'Mapa de Riesgos'!$O$64),"")</f>
        <v/>
      </c>
      <c r="Y14" s="53" t="str">
        <f>IF(AND('Mapa de Riesgos'!$Y$65="Muy Alta",'Mapa de Riesgos'!$AA$65="Moderado"),CONCATENATE("R9C",'Mapa de Riesgos'!$O$65),"")</f>
        <v/>
      </c>
      <c r="Z14" s="53"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3" t="str">
        <f>IF(AND('Mapa de Riesgos'!$Y$64="Muy Alta",'Mapa de Riesgos'!$AA$64="Mayor"),CONCATENATE("R9C",'Mapa de Riesgos'!$O$64),"")</f>
        <v/>
      </c>
      <c r="AE14" s="53" t="str">
        <f>IF(AND('Mapa de Riesgos'!$Y$65="Muy Alta",'Mapa de Riesgos'!$AA$65="Mayor"),CONCATENATE("R9C",'Mapa de Riesgos'!$O$65),"")</f>
        <v/>
      </c>
      <c r="AF14" s="53"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3"/>
      <c r="AO14" s="594"/>
      <c r="AP14" s="595"/>
      <c r="AQ14" s="595"/>
      <c r="AR14" s="595"/>
      <c r="AS14" s="595"/>
      <c r="AT14" s="59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9"/>
      <c r="C15" s="489"/>
      <c r="D15" s="490"/>
      <c r="E15" s="589"/>
      <c r="F15" s="590"/>
      <c r="G15" s="590"/>
      <c r="H15" s="590"/>
      <c r="I15" s="604"/>
      <c r="J15" s="58" t="str">
        <f>IF(AND('Mapa de Riesgos'!$Y$68="Muy Alta",'Mapa de Riesgos'!$AA$68="Leve"),CONCATENATE("R10C",'Mapa de Riesgos'!$O$68),"")</f>
        <v/>
      </c>
      <c r="K15" s="59" t="str">
        <f>IF(AND('Mapa de Riesgos'!$Y$69="Muy Alta",'Mapa de Riesgos'!$AA$69="Leve"),CONCATENATE("R10C",'Mapa de Riesgos'!$O$69),"")</f>
        <v/>
      </c>
      <c r="L15" s="59" t="str">
        <f>IF(AND('Mapa de Riesgos'!$Y$70="Muy Alta",'Mapa de Riesgos'!$AA$70="Leve"),CONCATENATE("R10C",'Mapa de Riesgos'!$O$70),"")</f>
        <v/>
      </c>
      <c r="M15" s="59" t="str">
        <f>IF(AND('Mapa de Riesgos'!$Y$71="Muy Alta",'Mapa de Riesgos'!$AA$71="Leve"),CONCATENATE("R10C",'Mapa de Riesgos'!$O$71),"")</f>
        <v/>
      </c>
      <c r="N15" s="59" t="str">
        <f>IF(AND('Mapa de Riesgos'!$Y$72="Muy Alta",'Mapa de Riesgos'!$AA$72="Leve"),CONCATENATE("R10C",'Mapa de Riesgos'!$O$72),"")</f>
        <v/>
      </c>
      <c r="O15" s="60"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8" t="str">
        <f>IF(AND('Mapa de Riesgos'!$Y$68="Muy Alta",'Mapa de Riesgos'!$AA$68="Moderado"),CONCATENATE("R10C",'Mapa de Riesgos'!$O$68),"")</f>
        <v/>
      </c>
      <c r="W15" s="59" t="str">
        <f>IF(AND('Mapa de Riesgos'!$Y$69="Muy Alta",'Mapa de Riesgos'!$AA$69="Moderado"),CONCATENATE("R10C",'Mapa de Riesgos'!$O$69),"")</f>
        <v/>
      </c>
      <c r="X15" s="59" t="str">
        <f>IF(AND('Mapa de Riesgos'!$Y$70="Muy Alta",'Mapa de Riesgos'!$AA$70="Moderado"),CONCATENATE("R10C",'Mapa de Riesgos'!$O$70),"")</f>
        <v/>
      </c>
      <c r="Y15" s="59" t="str">
        <f>IF(AND('Mapa de Riesgos'!$Y$71="Muy Alta",'Mapa de Riesgos'!$AA$71="Moderado"),CONCATENATE("R10C",'Mapa de Riesgos'!$O$71),"")</f>
        <v/>
      </c>
      <c r="Z15" s="59" t="str">
        <f>IF(AND('Mapa de Riesgos'!$Y$72="Muy Alta",'Mapa de Riesgos'!$AA$72="Moderado"),CONCATENATE("R10C",'Mapa de Riesgos'!$O$72),"")</f>
        <v/>
      </c>
      <c r="AA15" s="60"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1" t="str">
        <f>IF(AND('Mapa de Riesgos'!$Y$68="Muy Alta",'Mapa de Riesgos'!$AA$68="Catastrófico"),CONCATENATE("R10C",'Mapa de Riesgos'!$O$68),"")</f>
        <v/>
      </c>
      <c r="AI15" s="62" t="str">
        <f>IF(AND('Mapa de Riesgos'!$Y$69="Muy Alta",'Mapa de Riesgos'!$AA$69="Catastrófico"),CONCATENATE("R10C",'Mapa de Riesgos'!$O$69),"")</f>
        <v/>
      </c>
      <c r="AJ15" s="62" t="str">
        <f>IF(AND('Mapa de Riesgos'!$Y$70="Muy Alta",'Mapa de Riesgos'!$AA$70="Catastrófico"),CONCATENATE("R10C",'Mapa de Riesgos'!$O$70),"")</f>
        <v/>
      </c>
      <c r="AK15" s="62" t="str">
        <f>IF(AND('Mapa de Riesgos'!$Y$71="Muy Alta",'Mapa de Riesgos'!$AA$71="Catastrófico"),CONCATENATE("R10C",'Mapa de Riesgos'!$O$71),"")</f>
        <v/>
      </c>
      <c r="AL15" s="62" t="str">
        <f>IF(AND('Mapa de Riesgos'!$Y$72="Muy Alta",'Mapa de Riesgos'!$AA$72="Catastrófico"),CONCATENATE("R10C",'Mapa de Riesgos'!$O$72),"")</f>
        <v/>
      </c>
      <c r="AM15" s="63" t="str">
        <f>IF(AND('Mapa de Riesgos'!$Y$73="Muy Alta",'Mapa de Riesgos'!$AA$73="Catastrófico"),CONCATENATE("R10C",'Mapa de Riesgos'!$O$73),"")</f>
        <v/>
      </c>
      <c r="AN15" s="83"/>
      <c r="AO15" s="597"/>
      <c r="AP15" s="598"/>
      <c r="AQ15" s="598"/>
      <c r="AR15" s="598"/>
      <c r="AS15" s="598"/>
      <c r="AT15" s="59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9"/>
      <c r="C16" s="489"/>
      <c r="D16" s="490"/>
      <c r="E16" s="584" t="s">
        <v>225</v>
      </c>
      <c r="F16" s="585"/>
      <c r="G16" s="585"/>
      <c r="H16" s="585"/>
      <c r="I16" s="585"/>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75" t="s">
        <v>226</v>
      </c>
      <c r="AP16" s="576"/>
      <c r="AQ16" s="576"/>
      <c r="AR16" s="576"/>
      <c r="AS16" s="576"/>
      <c r="AT16" s="57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9"/>
      <c r="C17" s="489"/>
      <c r="D17" s="490"/>
      <c r="E17" s="586"/>
      <c r="F17" s="587"/>
      <c r="G17" s="587"/>
      <c r="H17" s="587"/>
      <c r="I17" s="587"/>
      <c r="J17" s="67" t="str">
        <f>IF(AND('Mapa de Riesgos'!$Y$20="Alta",'Mapa de Riesgos'!$AA$20="Leve"),CONCATENATE("R2C",'Mapa de Riesgos'!$O$20),"")</f>
        <v/>
      </c>
      <c r="K17" s="68" t="str">
        <f>IF(AND('Mapa de Riesgos'!$Y$21="Alta",'Mapa de Riesgos'!$AA$21="Leve"),CONCATENATE("R2C",'Mapa de Riesgos'!$O$21),"")</f>
        <v/>
      </c>
      <c r="L17" s="68" t="str">
        <f>IF(AND('Mapa de Riesgos'!$Y$22="Alta",'Mapa de Riesgos'!$AA$22="Leve"),CONCATENATE("R2C",'Mapa de Riesgos'!$O$22),"")</f>
        <v/>
      </c>
      <c r="M17" s="68" t="str">
        <f>IF(AND('Mapa de Riesgos'!$Y$23="Alta",'Mapa de Riesgos'!$AA$23="Leve"),CONCATENATE("R2C",'Mapa de Riesgos'!$O$23),"")</f>
        <v/>
      </c>
      <c r="N17" s="68" t="str">
        <f>IF(AND('Mapa de Riesgos'!$Y$24="Alta",'Mapa de Riesgos'!$AA$24="Leve"),CONCATENATE("R2C",'Mapa de Riesgos'!$O$24),"")</f>
        <v/>
      </c>
      <c r="O17" s="69" t="str">
        <f>IF(AND('Mapa de Riesgos'!$Y$25="Alta",'Mapa de Riesgos'!$AA$25="Leve"),CONCATENATE("R2C",'Mapa de Riesgos'!$O$25),"")</f>
        <v/>
      </c>
      <c r="P17" s="67" t="str">
        <f>IF(AND('Mapa de Riesgos'!$Y$20="Alta",'Mapa de Riesgos'!$AA$20="Menor"),CONCATENATE("R2C",'Mapa de Riesgos'!$O$20),"")</f>
        <v/>
      </c>
      <c r="Q17" s="68" t="str">
        <f>IF(AND('Mapa de Riesgos'!$Y$21="Alta",'Mapa de Riesgos'!$AA$21="Menor"),CONCATENATE("R2C",'Mapa de Riesgos'!$O$21),"")</f>
        <v/>
      </c>
      <c r="R17" s="68" t="str">
        <f>IF(AND('Mapa de Riesgos'!$Y$22="Alta",'Mapa de Riesgos'!$AA$22="Menor"),CONCATENATE("R2C",'Mapa de Riesgos'!$O$22),"")</f>
        <v/>
      </c>
      <c r="S17" s="68" t="str">
        <f>IF(AND('Mapa de Riesgos'!$Y$23="Alta",'Mapa de Riesgos'!$AA$23="Menor"),CONCATENATE("R2C",'Mapa de Riesgos'!$O$23),"")</f>
        <v/>
      </c>
      <c r="T17" s="68" t="str">
        <f>IF(AND('Mapa de Riesgos'!$Y$24="Alta",'Mapa de Riesgos'!$AA$24="Menor"),CONCATENATE("R2C",'Mapa de Riesgos'!$O$24),"")</f>
        <v/>
      </c>
      <c r="U17" s="69"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3"/>
      <c r="AO17" s="578"/>
      <c r="AP17" s="579"/>
      <c r="AQ17" s="579"/>
      <c r="AR17" s="579"/>
      <c r="AS17" s="579"/>
      <c r="AT17" s="58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9"/>
      <c r="C18" s="489"/>
      <c r="D18" s="490"/>
      <c r="E18" s="588"/>
      <c r="F18" s="587"/>
      <c r="G18" s="587"/>
      <c r="H18" s="587"/>
      <c r="I18" s="587"/>
      <c r="J18" s="67" t="str">
        <f>IF(AND('Mapa de Riesgos'!$Y$26="Alta",'Mapa de Riesgos'!$AA$26="Leve"),CONCATENATE("R3C",'Mapa de Riesgos'!$O$26),"")</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Riesgos'!$Y$26="Alta",'Mapa de Riesgos'!$AA$26="Menor"),CONCATENATE("R3C",'Mapa de Riesgos'!$O$26),"")</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78"/>
      <c r="AP18" s="579"/>
      <c r="AQ18" s="579"/>
      <c r="AR18" s="579"/>
      <c r="AS18" s="579"/>
      <c r="AT18" s="58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9"/>
      <c r="C19" s="489"/>
      <c r="D19" s="490"/>
      <c r="E19" s="588"/>
      <c r="F19" s="587"/>
      <c r="G19" s="587"/>
      <c r="H19" s="587"/>
      <c r="I19" s="587"/>
      <c r="J19" s="67" t="str">
        <f>IF(AND('Mapa de Riesgos'!$Y$32="Alta",'Mapa de Riesgos'!$AA$32="Leve"),CONCATENATE("R4C",'Mapa de Riesgos'!$O$32),"")</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Riesgos'!$Y$32="Alta",'Mapa de Riesgos'!$AA$32="Menor"),CONCATENATE("R4C",'Mapa de Riesgos'!$O$32),"")</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78"/>
      <c r="AP19" s="579"/>
      <c r="AQ19" s="579"/>
      <c r="AR19" s="579"/>
      <c r="AS19" s="579"/>
      <c r="AT19" s="58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9"/>
      <c r="C20" s="489"/>
      <c r="D20" s="490"/>
      <c r="E20" s="588"/>
      <c r="F20" s="587"/>
      <c r="G20" s="587"/>
      <c r="H20" s="587"/>
      <c r="I20" s="587"/>
      <c r="J20" s="67" t="str">
        <f>IF(AND('Mapa de Riesgos'!$Y$38="Alta",'Mapa de Riesgos'!$AA$38="Leve"),CONCATENATE("R5C",'Mapa de Riesgos'!$O$38),"")</f>
        <v/>
      </c>
      <c r="K20" s="68" t="str">
        <f>IF(AND('Mapa de Riesgos'!$Y$39="Alta",'Mapa de Riesgos'!$AA$39="Leve"),CONCATENATE("R5C",'Mapa de Riesgos'!$O$39),"")</f>
        <v/>
      </c>
      <c r="L20" s="68" t="str">
        <f>IF(AND('Mapa de Riesgos'!$Y$40="Alta",'Mapa de Riesgos'!$AA$40="Leve"),CONCATENATE("R5C",'Mapa de Riesgos'!$O$40),"")</f>
        <v/>
      </c>
      <c r="M20" s="68" t="str">
        <f>IF(AND('Mapa de Riesgos'!$Y$41="Alta",'Mapa de Riesgos'!$AA$41="Leve"),CONCATENATE("R5C",'Mapa de Riesgos'!$O$41),"")</f>
        <v/>
      </c>
      <c r="N20" s="68" t="str">
        <f>IF(AND('Mapa de Riesgos'!$Y$42="Alta",'Mapa de Riesgos'!$AA$42="Leve"),CONCATENATE("R5C",'Mapa de Riesgos'!$O$42),"")</f>
        <v/>
      </c>
      <c r="O20" s="69" t="str">
        <f>IF(AND('Mapa de Riesgos'!$Y$43="Alta",'Mapa de Riesgos'!$AA$43="Leve"),CONCATENATE("R5C",'Mapa de Riesgos'!$O$43),"")</f>
        <v/>
      </c>
      <c r="P20" s="67" t="str">
        <f>IF(AND('Mapa de Riesgos'!$Y$38="Alta",'Mapa de Riesgos'!$AA$38="Menor"),CONCATENATE("R5C",'Mapa de Riesgos'!$O$38),"")</f>
        <v/>
      </c>
      <c r="Q20" s="68" t="str">
        <f>IF(AND('Mapa de Riesgos'!$Y$39="Alta",'Mapa de Riesgos'!$AA$39="Menor"),CONCATENATE("R5C",'Mapa de Riesgos'!$O$39),"")</f>
        <v/>
      </c>
      <c r="R20" s="68" t="str">
        <f>IF(AND('Mapa de Riesgos'!$Y$40="Alta",'Mapa de Riesgos'!$AA$40="Menor"),CONCATENATE("R5C",'Mapa de Riesgos'!$O$40),"")</f>
        <v/>
      </c>
      <c r="S20" s="68" t="str">
        <f>IF(AND('Mapa de Riesgos'!$Y$41="Alta",'Mapa de Riesgos'!$AA$41="Menor"),CONCATENATE("R5C",'Mapa de Riesgos'!$O$41),"")</f>
        <v/>
      </c>
      <c r="T20" s="68" t="str">
        <f>IF(AND('Mapa de Riesgos'!$Y$42="Alta",'Mapa de Riesgos'!$AA$42="Menor"),CONCATENATE("R5C",'Mapa de Riesgos'!$O$42),"")</f>
        <v/>
      </c>
      <c r="U20" s="69"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3" t="str">
        <f>IF(AND('Mapa de Riesgos'!$Y$40="Alta",'Mapa de Riesgos'!$AA$40="Moderado"),CONCATENATE("R5C",'Mapa de Riesgos'!$O$40),"")</f>
        <v/>
      </c>
      <c r="Y20" s="53" t="str">
        <f>IF(AND('Mapa de Riesgos'!$Y$41="Alta",'Mapa de Riesgos'!$AA$41="Moderado"),CONCATENATE("R5C",'Mapa de Riesgos'!$O$41),"")</f>
        <v/>
      </c>
      <c r="Z20" s="53"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3" t="str">
        <f>IF(AND('Mapa de Riesgos'!$Y$40="Alta",'Mapa de Riesgos'!$AA$40="Mayor"),CONCATENATE("R5C",'Mapa de Riesgos'!$O$40),"")</f>
        <v/>
      </c>
      <c r="AE20" s="53" t="str">
        <f>IF(AND('Mapa de Riesgos'!$Y$41="Alta",'Mapa de Riesgos'!$AA$41="Mayor"),CONCATENATE("R5C",'Mapa de Riesgos'!$O$41),"")</f>
        <v/>
      </c>
      <c r="AF20" s="53"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3"/>
      <c r="AO20" s="578"/>
      <c r="AP20" s="579"/>
      <c r="AQ20" s="579"/>
      <c r="AR20" s="579"/>
      <c r="AS20" s="579"/>
      <c r="AT20" s="58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9"/>
      <c r="C21" s="489"/>
      <c r="D21" s="490"/>
      <c r="E21" s="588"/>
      <c r="F21" s="587"/>
      <c r="G21" s="587"/>
      <c r="H21" s="587"/>
      <c r="I21" s="587"/>
      <c r="J21" s="67" t="str">
        <f>IF(AND('Mapa de Riesgos'!$Y$44="Alta",'Mapa de Riesgos'!$AA$44="Leve"),CONCATENATE("R6C",'Mapa de Riesgos'!$O$44),"")</f>
        <v/>
      </c>
      <c r="K21" s="68" t="str">
        <f>IF(AND('Mapa de Riesgos'!$Y$45="Alta",'Mapa de Riesgos'!$AA$45="Leve"),CONCATENATE("R6C",'Mapa de Riesgos'!$O$45),"")</f>
        <v/>
      </c>
      <c r="L21" s="68" t="str">
        <f>IF(AND('Mapa de Riesgos'!$Y$46="Alta",'Mapa de Riesgos'!$AA$46="Leve"),CONCATENATE("R6C",'Mapa de Riesgos'!$O$46),"")</f>
        <v/>
      </c>
      <c r="M21" s="68" t="str">
        <f>IF(AND('Mapa de Riesgos'!$Y$47="Alta",'Mapa de Riesgos'!$AA$47="Leve"),CONCATENATE("R6C",'Mapa de Riesgos'!$O$47),"")</f>
        <v/>
      </c>
      <c r="N21" s="68" t="str">
        <f>IF(AND('Mapa de Riesgos'!$Y$48="Alta",'Mapa de Riesgos'!$AA$48="Leve"),CONCATENATE("R6C",'Mapa de Riesgos'!$O$48),"")</f>
        <v/>
      </c>
      <c r="O21" s="69" t="str">
        <f>IF(AND('Mapa de Riesgos'!$Y$49="Alta",'Mapa de Riesgos'!$AA$49="Leve"),CONCATENATE("R6C",'Mapa de Riesgos'!$O$49),"")</f>
        <v/>
      </c>
      <c r="P21" s="67" t="str">
        <f>IF(AND('Mapa de Riesgos'!$Y$44="Alta",'Mapa de Riesgos'!$AA$44="Menor"),CONCATENATE("R6C",'Mapa de Riesgos'!$O$44),"")</f>
        <v/>
      </c>
      <c r="Q21" s="68" t="str">
        <f>IF(AND('Mapa de Riesgos'!$Y$45="Alta",'Mapa de Riesgos'!$AA$45="Menor"),CONCATENATE("R6C",'Mapa de Riesgos'!$O$45),"")</f>
        <v/>
      </c>
      <c r="R21" s="68" t="str">
        <f>IF(AND('Mapa de Riesgos'!$Y$46="Alta",'Mapa de Riesgos'!$AA$46="Menor"),CONCATENATE("R6C",'Mapa de Riesgos'!$O$46),"")</f>
        <v/>
      </c>
      <c r="S21" s="68" t="str">
        <f>IF(AND('Mapa de Riesgos'!$Y$47="Alta",'Mapa de Riesgos'!$AA$47="Menor"),CONCATENATE("R6C",'Mapa de Riesgos'!$O$47),"")</f>
        <v/>
      </c>
      <c r="T21" s="68" t="str">
        <f>IF(AND('Mapa de Riesgos'!$Y$48="Alta",'Mapa de Riesgos'!$AA$48="Menor"),CONCATENATE("R6C",'Mapa de Riesgos'!$O$48),"")</f>
        <v/>
      </c>
      <c r="U21" s="69"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3" t="str">
        <f>IF(AND('Mapa de Riesgos'!$Y$46="Alta",'Mapa de Riesgos'!$AA$46="Moderado"),CONCATENATE("R6C",'Mapa de Riesgos'!$O$46),"")</f>
        <v/>
      </c>
      <c r="Y21" s="53" t="str">
        <f>IF(AND('Mapa de Riesgos'!$Y$47="Alta",'Mapa de Riesgos'!$AA$47="Moderado"),CONCATENATE("R6C",'Mapa de Riesgos'!$O$47),"")</f>
        <v/>
      </c>
      <c r="Z21" s="53"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3" t="str">
        <f>IF(AND('Mapa de Riesgos'!$Y$46="Alta",'Mapa de Riesgos'!$AA$46="Mayor"),CONCATENATE("R6C",'Mapa de Riesgos'!$O$46),"")</f>
        <v/>
      </c>
      <c r="AE21" s="53" t="str">
        <f>IF(AND('Mapa de Riesgos'!$Y$47="Alta",'Mapa de Riesgos'!$AA$47="Mayor"),CONCATENATE("R6C",'Mapa de Riesgos'!$O$47),"")</f>
        <v/>
      </c>
      <c r="AF21" s="53"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3"/>
      <c r="AO21" s="578"/>
      <c r="AP21" s="579"/>
      <c r="AQ21" s="579"/>
      <c r="AR21" s="579"/>
      <c r="AS21" s="579"/>
      <c r="AT21" s="58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9"/>
      <c r="C22" s="489"/>
      <c r="D22" s="490"/>
      <c r="E22" s="588"/>
      <c r="F22" s="587"/>
      <c r="G22" s="587"/>
      <c r="H22" s="587"/>
      <c r="I22" s="587"/>
      <c r="J22" s="67" t="str">
        <f>IF(AND('Mapa de Riesgos'!$Y$50="Alta",'Mapa de Riesgos'!$AA$50="Leve"),CONCATENATE("R7C",'Mapa de Riesgos'!$O$50),"")</f>
        <v/>
      </c>
      <c r="K22" s="68" t="str">
        <f>IF(AND('Mapa de Riesgos'!$Y$51="Alta",'Mapa de Riesgos'!$AA$51="Leve"),CONCATENATE("R7C",'Mapa de Riesgos'!$O$51),"")</f>
        <v/>
      </c>
      <c r="L22" s="68" t="str">
        <f>IF(AND('Mapa de Riesgos'!$Y$52="Alta",'Mapa de Riesgos'!$AA$52="Leve"),CONCATENATE("R7C",'Mapa de Riesgos'!$O$52),"")</f>
        <v/>
      </c>
      <c r="M22" s="68" t="str">
        <f>IF(AND('Mapa de Riesgos'!$Y$53="Alta",'Mapa de Riesgos'!$AA$53="Leve"),CONCATENATE("R7C",'Mapa de Riesgos'!$O$53),"")</f>
        <v/>
      </c>
      <c r="N22" s="68" t="str">
        <f>IF(AND('Mapa de Riesgos'!$Y$54="Alta",'Mapa de Riesgos'!$AA$54="Leve"),CONCATENATE("R7C",'Mapa de Riesgos'!$O$54),"")</f>
        <v/>
      </c>
      <c r="O22" s="69" t="str">
        <f>IF(AND('Mapa de Riesgos'!$Y$55="Alta",'Mapa de Riesgos'!$AA$55="Leve"),CONCATENATE("R7C",'Mapa de Riesgos'!$O$55),"")</f>
        <v/>
      </c>
      <c r="P22" s="67" t="str">
        <f>IF(AND('Mapa de Riesgos'!$Y$50="Alta",'Mapa de Riesgos'!$AA$50="Menor"),CONCATENATE("R7C",'Mapa de Riesgos'!$O$50),"")</f>
        <v/>
      </c>
      <c r="Q22" s="68" t="str">
        <f>IF(AND('Mapa de Riesgos'!$Y$51="Alta",'Mapa de Riesgos'!$AA$51="Menor"),CONCATENATE("R7C",'Mapa de Riesgos'!$O$51),"")</f>
        <v/>
      </c>
      <c r="R22" s="68" t="str">
        <f>IF(AND('Mapa de Riesgos'!$Y$52="Alta",'Mapa de Riesgos'!$AA$52="Menor"),CONCATENATE("R7C",'Mapa de Riesgos'!$O$52),"")</f>
        <v/>
      </c>
      <c r="S22" s="68" t="str">
        <f>IF(AND('Mapa de Riesgos'!$Y$53="Alta",'Mapa de Riesgos'!$AA$53="Menor"),CONCATENATE("R7C",'Mapa de Riesgos'!$O$53),"")</f>
        <v/>
      </c>
      <c r="T22" s="68" t="str">
        <f>IF(AND('Mapa de Riesgos'!$Y$54="Alta",'Mapa de Riesgos'!$AA$54="Menor"),CONCATENATE("R7C",'Mapa de Riesgos'!$O$54),"")</f>
        <v/>
      </c>
      <c r="U22" s="69"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3" t="str">
        <f>IF(AND('Mapa de Riesgos'!$Y$52="Alta",'Mapa de Riesgos'!$AA$52="Moderado"),CONCATENATE("R7C",'Mapa de Riesgos'!$O$52),"")</f>
        <v/>
      </c>
      <c r="Y22" s="53" t="str">
        <f>IF(AND('Mapa de Riesgos'!$Y$53="Alta",'Mapa de Riesgos'!$AA$53="Moderado"),CONCATENATE("R7C",'Mapa de Riesgos'!$O$53),"")</f>
        <v/>
      </c>
      <c r="Z22" s="53"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3" t="str">
        <f>IF(AND('Mapa de Riesgos'!$Y$52="Alta",'Mapa de Riesgos'!$AA$52="Mayor"),CONCATENATE("R7C",'Mapa de Riesgos'!$O$52),"")</f>
        <v/>
      </c>
      <c r="AE22" s="53" t="str">
        <f>IF(AND('Mapa de Riesgos'!$Y$53="Alta",'Mapa de Riesgos'!$AA$53="Mayor"),CONCATENATE("R7C",'Mapa de Riesgos'!$O$53),"")</f>
        <v/>
      </c>
      <c r="AF22" s="53"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3"/>
      <c r="AO22" s="578"/>
      <c r="AP22" s="579"/>
      <c r="AQ22" s="579"/>
      <c r="AR22" s="579"/>
      <c r="AS22" s="579"/>
      <c r="AT22" s="58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9"/>
      <c r="C23" s="489"/>
      <c r="D23" s="490"/>
      <c r="E23" s="588"/>
      <c r="F23" s="587"/>
      <c r="G23" s="587"/>
      <c r="H23" s="587"/>
      <c r="I23" s="587"/>
      <c r="J23" s="67" t="str">
        <f>IF(AND('Mapa de Riesgos'!$Y$56="Alta",'Mapa de Riesgos'!$AA$56="Leve"),CONCATENATE("R8C",'Mapa de Riesgos'!$O$56),"")</f>
        <v/>
      </c>
      <c r="K23" s="68" t="str">
        <f>IF(AND('Mapa de Riesgos'!$Y$57="Alta",'Mapa de Riesgos'!$AA$57="Leve"),CONCATENATE("R8C",'Mapa de Riesgos'!$O$57),"")</f>
        <v/>
      </c>
      <c r="L23" s="68" t="str">
        <f>IF(AND('Mapa de Riesgos'!$Y$58="Alta",'Mapa de Riesgos'!$AA$58="Leve"),CONCATENATE("R8C",'Mapa de Riesgos'!$O$58),"")</f>
        <v/>
      </c>
      <c r="M23" s="68" t="str">
        <f>IF(AND('Mapa de Riesgos'!$Y$59="Alta",'Mapa de Riesgos'!$AA$59="Leve"),CONCATENATE("R8C",'Mapa de Riesgos'!$O$59),"")</f>
        <v/>
      </c>
      <c r="N23" s="68" t="str">
        <f>IF(AND('Mapa de Riesgos'!$Y$60="Alta",'Mapa de Riesgos'!$AA$60="Leve"),CONCATENATE("R8C",'Mapa de Riesgos'!$O$60),"")</f>
        <v/>
      </c>
      <c r="O23" s="69" t="str">
        <f>IF(AND('Mapa de Riesgos'!$Y$61="Alta",'Mapa de Riesgos'!$AA$61="Leve"),CONCATENATE("R8C",'Mapa de Riesgos'!$O$61),"")</f>
        <v/>
      </c>
      <c r="P23" s="67" t="str">
        <f>IF(AND('Mapa de Riesgos'!$Y$56="Alta",'Mapa de Riesgos'!$AA$56="Menor"),CONCATENATE("R8C",'Mapa de Riesgos'!$O$56),"")</f>
        <v/>
      </c>
      <c r="Q23" s="68" t="str">
        <f>IF(AND('Mapa de Riesgos'!$Y$57="Alta",'Mapa de Riesgos'!$AA$57="Menor"),CONCATENATE("R8C",'Mapa de Riesgos'!$O$57),"")</f>
        <v/>
      </c>
      <c r="R23" s="68" t="str">
        <f>IF(AND('Mapa de Riesgos'!$Y$58="Alta",'Mapa de Riesgos'!$AA$58="Menor"),CONCATENATE("R8C",'Mapa de Riesgos'!$O$58),"")</f>
        <v/>
      </c>
      <c r="S23" s="68" t="str">
        <f>IF(AND('Mapa de Riesgos'!$Y$59="Alta",'Mapa de Riesgos'!$AA$59="Menor"),CONCATENATE("R8C",'Mapa de Riesgos'!$O$59),"")</f>
        <v/>
      </c>
      <c r="T23" s="68" t="str">
        <f>IF(AND('Mapa de Riesgos'!$Y$60="Alta",'Mapa de Riesgos'!$AA$60="Menor"),CONCATENATE("R8C",'Mapa de Riesgos'!$O$60),"")</f>
        <v/>
      </c>
      <c r="U23" s="69"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3" t="str">
        <f>IF(AND('Mapa de Riesgos'!$Y$58="Alta",'Mapa de Riesgos'!$AA$58="Moderado"),CONCATENATE("R8C",'Mapa de Riesgos'!$O$58),"")</f>
        <v/>
      </c>
      <c r="Y23" s="53" t="str">
        <f>IF(AND('Mapa de Riesgos'!$Y$59="Alta",'Mapa de Riesgos'!$AA$59="Moderado"),CONCATENATE("R8C",'Mapa de Riesgos'!$O$59),"")</f>
        <v/>
      </c>
      <c r="Z23" s="53"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3" t="str">
        <f>IF(AND('Mapa de Riesgos'!$Y$58="Alta",'Mapa de Riesgos'!$AA$58="Mayor"),CONCATENATE("R8C",'Mapa de Riesgos'!$O$58),"")</f>
        <v/>
      </c>
      <c r="AE23" s="53" t="str">
        <f>IF(AND('Mapa de Riesgos'!$Y$59="Alta",'Mapa de Riesgos'!$AA$59="Mayor"),CONCATENATE("R8C",'Mapa de Riesgos'!$O$59),"")</f>
        <v/>
      </c>
      <c r="AF23" s="53"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3"/>
      <c r="AO23" s="578"/>
      <c r="AP23" s="579"/>
      <c r="AQ23" s="579"/>
      <c r="AR23" s="579"/>
      <c r="AS23" s="579"/>
      <c r="AT23" s="58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9"/>
      <c r="C24" s="489"/>
      <c r="D24" s="490"/>
      <c r="E24" s="588"/>
      <c r="F24" s="587"/>
      <c r="G24" s="587"/>
      <c r="H24" s="587"/>
      <c r="I24" s="587"/>
      <c r="J24" s="67" t="str">
        <f>IF(AND('Mapa de Riesgos'!$Y$62="Alta",'Mapa de Riesgos'!$AA$62="Leve"),CONCATENATE("R9C",'Mapa de Riesgos'!$O$62),"")</f>
        <v/>
      </c>
      <c r="K24" s="68" t="str">
        <f>IF(AND('Mapa de Riesgos'!$Y$63="Alta",'Mapa de Riesgos'!$AA$63="Leve"),CONCATENATE("R9C",'Mapa de Riesgos'!$O$63),"")</f>
        <v/>
      </c>
      <c r="L24" s="68" t="str">
        <f>IF(AND('Mapa de Riesgos'!$Y$64="Alta",'Mapa de Riesgos'!$AA$64="Leve"),CONCATENATE("R9C",'Mapa de Riesgos'!$O$64),"")</f>
        <v/>
      </c>
      <c r="M24" s="68" t="str">
        <f>IF(AND('Mapa de Riesgos'!$Y$65="Alta",'Mapa de Riesgos'!$AA$65="Leve"),CONCATENATE("R9C",'Mapa de Riesgos'!$O$65),"")</f>
        <v/>
      </c>
      <c r="N24" s="68" t="str">
        <f>IF(AND('Mapa de Riesgos'!$Y$66="Alta",'Mapa de Riesgos'!$AA$66="Leve"),CONCATENATE("R9C",'Mapa de Riesgos'!$O$66),"")</f>
        <v/>
      </c>
      <c r="O24" s="69" t="str">
        <f>IF(AND('Mapa de Riesgos'!$Y$67="Alta",'Mapa de Riesgos'!$AA$67="Leve"),CONCATENATE("R9C",'Mapa de Riesgos'!$O$67),"")</f>
        <v/>
      </c>
      <c r="P24" s="67" t="str">
        <f>IF(AND('Mapa de Riesgos'!$Y$62="Alta",'Mapa de Riesgos'!$AA$62="Menor"),CONCATENATE("R9C",'Mapa de Riesgos'!$O$62),"")</f>
        <v/>
      </c>
      <c r="Q24" s="68" t="str">
        <f>IF(AND('Mapa de Riesgos'!$Y$63="Alta",'Mapa de Riesgos'!$AA$63="Menor"),CONCATENATE("R9C",'Mapa de Riesgos'!$O$63),"")</f>
        <v/>
      </c>
      <c r="R24" s="68" t="str">
        <f>IF(AND('Mapa de Riesgos'!$Y$64="Alta",'Mapa de Riesgos'!$AA$64="Menor"),CONCATENATE("R9C",'Mapa de Riesgos'!$O$64),"")</f>
        <v/>
      </c>
      <c r="S24" s="68" t="str">
        <f>IF(AND('Mapa de Riesgos'!$Y$65="Alta",'Mapa de Riesgos'!$AA$65="Menor"),CONCATENATE("R9C",'Mapa de Riesgos'!$O$65),"")</f>
        <v/>
      </c>
      <c r="T24" s="68" t="str">
        <f>IF(AND('Mapa de Riesgos'!$Y$66="Alta",'Mapa de Riesgos'!$AA$66="Menor"),CONCATENATE("R9C",'Mapa de Riesgos'!$O$66),"")</f>
        <v/>
      </c>
      <c r="U24" s="69"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3" t="str">
        <f>IF(AND('Mapa de Riesgos'!$Y$64="Alta",'Mapa de Riesgos'!$AA$64="Moderado"),CONCATENATE("R9C",'Mapa de Riesgos'!$O$64),"")</f>
        <v/>
      </c>
      <c r="Y24" s="53" t="str">
        <f>IF(AND('Mapa de Riesgos'!$Y$65="Alta",'Mapa de Riesgos'!$AA$65="Moderado"),CONCATENATE("R9C",'Mapa de Riesgos'!$O$65),"")</f>
        <v/>
      </c>
      <c r="Z24" s="53"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3" t="str">
        <f>IF(AND('Mapa de Riesgos'!$Y$64="Alta",'Mapa de Riesgos'!$AA$64="Mayor"),CONCATENATE("R9C",'Mapa de Riesgos'!$O$64),"")</f>
        <v/>
      </c>
      <c r="AE24" s="53" t="str">
        <f>IF(AND('Mapa de Riesgos'!$Y$65="Alta",'Mapa de Riesgos'!$AA$65="Mayor"),CONCATENATE("R9C",'Mapa de Riesgos'!$O$65),"")</f>
        <v/>
      </c>
      <c r="AF24" s="53"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3"/>
      <c r="AO24" s="578"/>
      <c r="AP24" s="579"/>
      <c r="AQ24" s="579"/>
      <c r="AR24" s="579"/>
      <c r="AS24" s="579"/>
      <c r="AT24" s="58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9"/>
      <c r="C25" s="489"/>
      <c r="D25" s="490"/>
      <c r="E25" s="589"/>
      <c r="F25" s="590"/>
      <c r="G25" s="590"/>
      <c r="H25" s="590"/>
      <c r="I25" s="590"/>
      <c r="J25" s="70" t="str">
        <f>IF(AND('Mapa de Riesgos'!$Y$68="Alta",'Mapa de Riesgos'!$AA$68="Leve"),CONCATENATE("R10C",'Mapa de Riesgos'!$O$68),"")</f>
        <v/>
      </c>
      <c r="K25" s="71" t="str">
        <f>IF(AND('Mapa de Riesgos'!$Y$69="Alta",'Mapa de Riesgos'!$AA$69="Leve"),CONCATENATE("R10C",'Mapa de Riesgos'!$O$69),"")</f>
        <v/>
      </c>
      <c r="L25" s="71" t="str">
        <f>IF(AND('Mapa de Riesgos'!$Y$70="Alta",'Mapa de Riesgos'!$AA$70="Leve"),CONCATENATE("R10C",'Mapa de Riesgos'!$O$70),"")</f>
        <v/>
      </c>
      <c r="M25" s="71" t="str">
        <f>IF(AND('Mapa de Riesgos'!$Y$71="Alta",'Mapa de Riesgos'!$AA$71="Leve"),CONCATENATE("R10C",'Mapa de Riesgos'!$O$71),"")</f>
        <v/>
      </c>
      <c r="N25" s="71" t="str">
        <f>IF(AND('Mapa de Riesgos'!$Y$72="Alta",'Mapa de Riesgos'!$AA$72="Leve"),CONCATENATE("R10C",'Mapa de Riesgos'!$O$72),"")</f>
        <v/>
      </c>
      <c r="O25" s="72" t="str">
        <f>IF(AND('Mapa de Riesgos'!$Y$73="Alta",'Mapa de Riesgos'!$AA$73="Leve"),CONCATENATE("R10C",'Mapa de Riesgos'!$O$73),"")</f>
        <v/>
      </c>
      <c r="P25" s="70" t="str">
        <f>IF(AND('Mapa de Riesgos'!$Y$68="Alta",'Mapa de Riesgos'!$AA$68="Menor"),CONCATENATE("R10C",'Mapa de Riesgos'!$O$68),"")</f>
        <v/>
      </c>
      <c r="Q25" s="71" t="str">
        <f>IF(AND('Mapa de Riesgos'!$Y$69="Alta",'Mapa de Riesgos'!$AA$69="Menor"),CONCATENATE("R10C",'Mapa de Riesgos'!$O$69),"")</f>
        <v/>
      </c>
      <c r="R25" s="71" t="str">
        <f>IF(AND('Mapa de Riesgos'!$Y$70="Alta",'Mapa de Riesgos'!$AA$70="Menor"),CONCATENATE("R10C",'Mapa de Riesgos'!$O$70),"")</f>
        <v/>
      </c>
      <c r="S25" s="71" t="str">
        <f>IF(AND('Mapa de Riesgos'!$Y$71="Alta",'Mapa de Riesgos'!$AA$71="Menor"),CONCATENATE("R10C",'Mapa de Riesgos'!$O$71),"")</f>
        <v/>
      </c>
      <c r="T25" s="71" t="str">
        <f>IF(AND('Mapa de Riesgos'!$Y$72="Alta",'Mapa de Riesgos'!$AA$72="Menor"),CONCATENATE("R10C",'Mapa de Riesgos'!$O$72),"")</f>
        <v/>
      </c>
      <c r="U25" s="72" t="str">
        <f>IF(AND('Mapa de Riesgos'!$Y$73="Alta",'Mapa de Riesgos'!$AA$73="Menor"),CONCATENATE("R10C",'Mapa de Riesgos'!$O$73),"")</f>
        <v/>
      </c>
      <c r="V25" s="58" t="str">
        <f>IF(AND('Mapa de Riesgos'!$Y$68="Alta",'Mapa de Riesgos'!$AA$68="Moderado"),CONCATENATE("R10C",'Mapa de Riesgos'!$O$68),"")</f>
        <v/>
      </c>
      <c r="W25" s="59" t="str">
        <f>IF(AND('Mapa de Riesgos'!$Y$69="Alta",'Mapa de Riesgos'!$AA$69="Moderado"),CONCATENATE("R10C",'Mapa de Riesgos'!$O$69),"")</f>
        <v/>
      </c>
      <c r="X25" s="59" t="str">
        <f>IF(AND('Mapa de Riesgos'!$Y$70="Alta",'Mapa de Riesgos'!$AA$70="Moderado"),CONCATENATE("R10C",'Mapa de Riesgos'!$O$70),"")</f>
        <v/>
      </c>
      <c r="Y25" s="59" t="str">
        <f>IF(AND('Mapa de Riesgos'!$Y$71="Alta",'Mapa de Riesgos'!$AA$71="Moderado"),CONCATENATE("R10C",'Mapa de Riesgos'!$O$71),"")</f>
        <v/>
      </c>
      <c r="Z25" s="59" t="str">
        <f>IF(AND('Mapa de Riesgos'!$Y$72="Alta",'Mapa de Riesgos'!$AA$72="Moderado"),CONCATENATE("R10C",'Mapa de Riesgos'!$O$72),"")</f>
        <v/>
      </c>
      <c r="AA25" s="60" t="str">
        <f>IF(AND('Mapa de Riesgos'!$Y$73="Alta",'Mapa de Riesgos'!$AA$73="Moderado"),CONCATENATE("R10C",'Mapa de Riesgos'!$O$73),"")</f>
        <v/>
      </c>
      <c r="AB25" s="58" t="str">
        <f>IF(AND('Mapa de Riesgos'!$Y$68="Alta",'Mapa de Riesgos'!$AA$68="Mayor"),CONCATENATE("R10C",'Mapa de Riesgos'!$O$68),"")</f>
        <v/>
      </c>
      <c r="AC25" s="59" t="str">
        <f>IF(AND('Mapa de Riesgos'!$Y$69="Alta",'Mapa de Riesgos'!$AA$69="Mayor"),CONCATENATE("R10C",'Mapa de Riesgos'!$O$69),"")</f>
        <v/>
      </c>
      <c r="AD25" s="59" t="str">
        <f>IF(AND('Mapa de Riesgos'!$Y$70="Alta",'Mapa de Riesgos'!$AA$70="Mayor"),CONCATENATE("R10C",'Mapa de Riesgos'!$O$70),"")</f>
        <v/>
      </c>
      <c r="AE25" s="59" t="str">
        <f>IF(AND('Mapa de Riesgos'!$Y$71="Alta",'Mapa de Riesgos'!$AA$71="Mayor"),CONCATENATE("R10C",'Mapa de Riesgos'!$O$71),"")</f>
        <v/>
      </c>
      <c r="AF25" s="59" t="str">
        <f>IF(AND('Mapa de Riesgos'!$Y$72="Alta",'Mapa de Riesgos'!$AA$72="Mayor"),CONCATENATE("R10C",'Mapa de Riesgos'!$O$72),"")</f>
        <v/>
      </c>
      <c r="AG25" s="60" t="str">
        <f>IF(AND('Mapa de Riesgos'!$Y$73="Alta",'Mapa de Riesgos'!$AA$73="Mayor"),CONCATENATE("R10C",'Mapa de Riesgos'!$O$73),"")</f>
        <v/>
      </c>
      <c r="AH25" s="61" t="str">
        <f>IF(AND('Mapa de Riesgos'!$Y$68="Alta",'Mapa de Riesgos'!$AA$68="Catastrófico"),CONCATENATE("R10C",'Mapa de Riesgos'!$O$68),"")</f>
        <v/>
      </c>
      <c r="AI25" s="62" t="str">
        <f>IF(AND('Mapa de Riesgos'!$Y$69="Alta",'Mapa de Riesgos'!$AA$69="Catastrófico"),CONCATENATE("R10C",'Mapa de Riesgos'!$O$69),"")</f>
        <v/>
      </c>
      <c r="AJ25" s="62" t="str">
        <f>IF(AND('Mapa de Riesgos'!$Y$70="Alta",'Mapa de Riesgos'!$AA$70="Catastrófico"),CONCATENATE("R10C",'Mapa de Riesgos'!$O$70),"")</f>
        <v/>
      </c>
      <c r="AK25" s="62" t="str">
        <f>IF(AND('Mapa de Riesgos'!$Y$71="Alta",'Mapa de Riesgos'!$AA$71="Catastrófico"),CONCATENATE("R10C",'Mapa de Riesgos'!$O$71),"")</f>
        <v/>
      </c>
      <c r="AL25" s="62" t="str">
        <f>IF(AND('Mapa de Riesgos'!$Y$72="Alta",'Mapa de Riesgos'!$AA$72="Catastrófico"),CONCATENATE("R10C",'Mapa de Riesgos'!$O$72),"")</f>
        <v/>
      </c>
      <c r="AM25" s="63" t="str">
        <f>IF(AND('Mapa de Riesgos'!$Y$73="Alta",'Mapa de Riesgos'!$AA$73="Catastrófico"),CONCATENATE("R10C",'Mapa de Riesgos'!$O$73),"")</f>
        <v/>
      </c>
      <c r="AN25" s="83"/>
      <c r="AO25" s="581"/>
      <c r="AP25" s="582"/>
      <c r="AQ25" s="582"/>
      <c r="AR25" s="582"/>
      <c r="AS25" s="582"/>
      <c r="AT25" s="5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9"/>
      <c r="C26" s="489"/>
      <c r="D26" s="490"/>
      <c r="E26" s="584" t="s">
        <v>227</v>
      </c>
      <c r="F26" s="585"/>
      <c r="G26" s="585"/>
      <c r="H26" s="585"/>
      <c r="I26" s="602"/>
      <c r="J26" s="64" t="str">
        <f>IF(AND('Mapa de Riesgos'!$Y$12="Media",'Mapa de Riesgos'!$AA$12="Leve"),CONCATENATE("R1C",'Mapa de Riesgos'!$O$12),"")</f>
        <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614" t="s">
        <v>228</v>
      </c>
      <c r="AP26" s="615"/>
      <c r="AQ26" s="615"/>
      <c r="AR26" s="615"/>
      <c r="AS26" s="615"/>
      <c r="AT26" s="61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9"/>
      <c r="C27" s="489"/>
      <c r="D27" s="490"/>
      <c r="E27" s="586"/>
      <c r="F27" s="587"/>
      <c r="G27" s="587"/>
      <c r="H27" s="587"/>
      <c r="I27" s="603"/>
      <c r="J27" s="67" t="str">
        <f>IF(AND('Mapa de Riesgos'!$Y$20="Media",'Mapa de Riesgos'!$AA$20="Leve"),CONCATENATE("R2C",'Mapa de Riesgos'!$O$20),"")</f>
        <v/>
      </c>
      <c r="K27" s="68" t="str">
        <f>IF(AND('Mapa de Riesgos'!$Y$21="Media",'Mapa de Riesgos'!$AA$21="Leve"),CONCATENATE("R2C",'Mapa de Riesgos'!$O$21),"")</f>
        <v/>
      </c>
      <c r="L27" s="68" t="str">
        <f>IF(AND('Mapa de Riesgos'!$Y$22="Media",'Mapa de Riesgos'!$AA$22="Leve"),CONCATENATE("R2C",'Mapa de Riesgos'!$O$22),"")</f>
        <v/>
      </c>
      <c r="M27" s="68" t="str">
        <f>IF(AND('Mapa de Riesgos'!$Y$23="Media",'Mapa de Riesgos'!$AA$23="Leve"),CONCATENATE("R2C",'Mapa de Riesgos'!$O$23),"")</f>
        <v/>
      </c>
      <c r="N27" s="68" t="str">
        <f>IF(AND('Mapa de Riesgos'!$Y$24="Media",'Mapa de Riesgos'!$AA$24="Leve"),CONCATENATE("R2C",'Mapa de Riesgos'!$O$24),"")</f>
        <v/>
      </c>
      <c r="O27" s="69" t="str">
        <f>IF(AND('Mapa de Riesgos'!$Y$25="Media",'Mapa de Riesgos'!$AA$25="Leve"),CONCATENATE("R2C",'Mapa de Riesgos'!$O$25),"")</f>
        <v/>
      </c>
      <c r="P27" s="67" t="str">
        <f>IF(AND('Mapa de Riesgos'!$Y$20="Media",'Mapa de Riesgos'!$AA$20="Menor"),CONCATENATE("R2C",'Mapa de Riesgos'!$O$20),"")</f>
        <v/>
      </c>
      <c r="Q27" s="68" t="str">
        <f>IF(AND('Mapa de Riesgos'!$Y$21="Media",'Mapa de Riesgos'!$AA$21="Menor"),CONCATENATE("R2C",'Mapa de Riesgos'!$O$21),"")</f>
        <v/>
      </c>
      <c r="R27" s="68" t="str">
        <f>IF(AND('Mapa de Riesgos'!$Y$22="Media",'Mapa de Riesgos'!$AA$22="Menor"),CONCATENATE("R2C",'Mapa de Riesgos'!$O$22),"")</f>
        <v/>
      </c>
      <c r="S27" s="68" t="str">
        <f>IF(AND('Mapa de Riesgos'!$Y$23="Media",'Mapa de Riesgos'!$AA$23="Menor"),CONCATENATE("R2C",'Mapa de Riesgos'!$O$23),"")</f>
        <v/>
      </c>
      <c r="T27" s="68" t="str">
        <f>IF(AND('Mapa de Riesgos'!$Y$24="Media",'Mapa de Riesgos'!$AA$24="Menor"),CONCATENATE("R2C",'Mapa de Riesgos'!$O$24),"")</f>
        <v/>
      </c>
      <c r="U27" s="69" t="str">
        <f>IF(AND('Mapa de Riesgos'!$Y$25="Media",'Mapa de Riesgos'!$AA$25="Menor"),CONCATENATE("R2C",'Mapa de Riesgos'!$O$25),"")</f>
        <v/>
      </c>
      <c r="V27" s="67" t="str">
        <f>IF(AND('Mapa de Riesgos'!$Y$20="Media",'Mapa de Riesgos'!$AA$20="Moderado"),CONCATENATE("R2C",'Mapa de Riesgos'!$O$20),"")</f>
        <v/>
      </c>
      <c r="W27" s="68" t="str">
        <f>IF(AND('Mapa de Riesgos'!$Y$21="Media",'Mapa de Riesgos'!$AA$21="Moderado"),CONCATENATE("R2C",'Mapa de Riesgos'!$O$21),"")</f>
        <v/>
      </c>
      <c r="X27" s="68" t="str">
        <f>IF(AND('Mapa de Riesgos'!$Y$22="Media",'Mapa de Riesgos'!$AA$22="Moderado"),CONCATENATE("R2C",'Mapa de Riesgos'!$O$22),"")</f>
        <v/>
      </c>
      <c r="Y27" s="68" t="str">
        <f>IF(AND('Mapa de Riesgos'!$Y$23="Media",'Mapa de Riesgos'!$AA$23="Moderado"),CONCATENATE("R2C",'Mapa de Riesgos'!$O$23),"")</f>
        <v/>
      </c>
      <c r="Z27" s="68" t="str">
        <f>IF(AND('Mapa de Riesgos'!$Y$24="Media",'Mapa de Riesgos'!$AA$24="Moderado"),CONCATENATE("R2C",'Mapa de Riesgos'!$O$24),"")</f>
        <v/>
      </c>
      <c r="AA27" s="69"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3"/>
      <c r="AO27" s="617"/>
      <c r="AP27" s="618"/>
      <c r="AQ27" s="618"/>
      <c r="AR27" s="618"/>
      <c r="AS27" s="618"/>
      <c r="AT27" s="61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9"/>
      <c r="C28" s="489"/>
      <c r="D28" s="490"/>
      <c r="E28" s="588"/>
      <c r="F28" s="587"/>
      <c r="G28" s="587"/>
      <c r="H28" s="587"/>
      <c r="I28" s="603"/>
      <c r="J28" s="67" t="str">
        <f>IF(AND('Mapa de Riesgos'!$Y$26="Media",'Mapa de Riesgos'!$AA$26="Leve"),CONCATENATE("R3C",'Mapa de Riesgos'!$O$26),"")</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Riesgos'!$Y$26="Media",'Mapa de Riesgos'!$AA$26="Menor"),CONCATENATE("R3C",'Mapa de Riesgos'!$O$26),"")</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Riesgos'!$Y$26="Media",'Mapa de Riesgos'!$AA$26="Moderado"),CONCATENATE("R3C",'Mapa de Riesgos'!$O$26),"")</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Riesgos'!$Y$26="Media",'Mapa de Riesgos'!$AA$26="Mayor"),CONCATENATE("R3C",'Mapa de Riesgos'!$O$26),"")</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617"/>
      <c r="AP28" s="618"/>
      <c r="AQ28" s="618"/>
      <c r="AR28" s="618"/>
      <c r="AS28" s="618"/>
      <c r="AT28" s="61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9"/>
      <c r="C29" s="489"/>
      <c r="D29" s="490"/>
      <c r="E29" s="588"/>
      <c r="F29" s="587"/>
      <c r="G29" s="587"/>
      <c r="H29" s="587"/>
      <c r="I29" s="603"/>
      <c r="J29" s="67" t="str">
        <f>IF(AND('Mapa de Riesgos'!$Y$32="Media",'Mapa de Riesgos'!$AA$32="Leve"),CONCATENATE("R4C",'Mapa de Riesgos'!$O$32),"")</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Riesgos'!$Y$32="Media",'Mapa de Riesgos'!$AA$32="Menor"),CONCATENATE("R4C",'Mapa de Riesgos'!$O$32),"")</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Riesgos'!$Y$32="Media",'Mapa de Riesgos'!$AA$32="Moderado"),CONCATENATE("R4C",'Mapa de Riesgos'!$O$32),"")</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Riesgos'!$Y$32="Media",'Mapa de Riesgos'!$AA$32="Mayor"),CONCATENATE("R4C",'Mapa de Riesgos'!$O$32),"")</f>
        <v>R4C1</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617"/>
      <c r="AP29" s="618"/>
      <c r="AQ29" s="618"/>
      <c r="AR29" s="618"/>
      <c r="AS29" s="618"/>
      <c r="AT29" s="61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9"/>
      <c r="C30" s="489"/>
      <c r="D30" s="490"/>
      <c r="E30" s="588"/>
      <c r="F30" s="587"/>
      <c r="G30" s="587"/>
      <c r="H30" s="587"/>
      <c r="I30" s="603"/>
      <c r="J30" s="67" t="str">
        <f>IF(AND('Mapa de Riesgos'!$Y$38="Media",'Mapa de Riesgos'!$AA$38="Leve"),CONCATENATE("R5C",'Mapa de Riesgos'!$O$38),"")</f>
        <v/>
      </c>
      <c r="K30" s="68" t="str">
        <f>IF(AND('Mapa de Riesgos'!$Y$39="Media",'Mapa de Riesgos'!$AA$39="Leve"),CONCATENATE("R5C",'Mapa de Riesgos'!$O$39),"")</f>
        <v/>
      </c>
      <c r="L30" s="68" t="str">
        <f>IF(AND('Mapa de Riesgos'!$Y$40="Media",'Mapa de Riesgos'!$AA$40="Leve"),CONCATENATE("R5C",'Mapa de Riesgos'!$O$40),"")</f>
        <v/>
      </c>
      <c r="M30" s="68" t="str">
        <f>IF(AND('Mapa de Riesgos'!$Y$41="Media",'Mapa de Riesgos'!$AA$41="Leve"),CONCATENATE("R5C",'Mapa de Riesgos'!$O$41),"")</f>
        <v/>
      </c>
      <c r="N30" s="68" t="str">
        <f>IF(AND('Mapa de Riesgos'!$Y$42="Media",'Mapa de Riesgos'!$AA$42="Leve"),CONCATENATE("R5C",'Mapa de Riesgos'!$O$42),"")</f>
        <v/>
      </c>
      <c r="O30" s="69" t="str">
        <f>IF(AND('Mapa de Riesgos'!$Y$43="Media",'Mapa de Riesgos'!$AA$43="Leve"),CONCATENATE("R5C",'Mapa de Riesgos'!$O$43),"")</f>
        <v/>
      </c>
      <c r="P30" s="67" t="str">
        <f>IF(AND('Mapa de Riesgos'!$Y$38="Media",'Mapa de Riesgos'!$AA$38="Menor"),CONCATENATE("R5C",'Mapa de Riesgos'!$O$38),"")</f>
        <v>R5C1</v>
      </c>
      <c r="Q30" s="68" t="str">
        <f>IF(AND('Mapa de Riesgos'!$Y$39="Media",'Mapa de Riesgos'!$AA$39="Menor"),CONCATENATE("R5C",'Mapa de Riesgos'!$O$39),"")</f>
        <v/>
      </c>
      <c r="R30" s="68" t="str">
        <f>IF(AND('Mapa de Riesgos'!$Y$40="Media",'Mapa de Riesgos'!$AA$40="Menor"),CONCATENATE("R5C",'Mapa de Riesgos'!$O$40),"")</f>
        <v/>
      </c>
      <c r="S30" s="68" t="str">
        <f>IF(AND('Mapa de Riesgos'!$Y$41="Media",'Mapa de Riesgos'!$AA$41="Menor"),CONCATENATE("R5C",'Mapa de Riesgos'!$O$41),"")</f>
        <v/>
      </c>
      <c r="T30" s="68" t="str">
        <f>IF(AND('Mapa de Riesgos'!$Y$42="Media",'Mapa de Riesgos'!$AA$42="Menor"),CONCATENATE("R5C",'Mapa de Riesgos'!$O$42),"")</f>
        <v/>
      </c>
      <c r="U30" s="69" t="str">
        <f>IF(AND('Mapa de Riesgos'!$Y$43="Media",'Mapa de Riesgos'!$AA$43="Menor"),CONCATENATE("R5C",'Mapa de Riesgos'!$O$43),"")</f>
        <v/>
      </c>
      <c r="V30" s="67" t="str">
        <f>IF(AND('Mapa de Riesgos'!$Y$38="Media",'Mapa de Riesgos'!$AA$38="Moderado"),CONCATENATE("R5C",'Mapa de Riesgos'!$O$38),"")</f>
        <v/>
      </c>
      <c r="W30" s="68" t="str">
        <f>IF(AND('Mapa de Riesgos'!$Y$39="Media",'Mapa de Riesgos'!$AA$39="Moderado"),CONCATENATE("R5C",'Mapa de Riesgos'!$O$39),"")</f>
        <v/>
      </c>
      <c r="X30" s="68" t="str">
        <f>IF(AND('Mapa de Riesgos'!$Y$40="Media",'Mapa de Riesgos'!$AA$40="Moderado"),CONCATENATE("R5C",'Mapa de Riesgos'!$O$40),"")</f>
        <v/>
      </c>
      <c r="Y30" s="68" t="str">
        <f>IF(AND('Mapa de Riesgos'!$Y$41="Media",'Mapa de Riesgos'!$AA$41="Moderado"),CONCATENATE("R5C",'Mapa de Riesgos'!$O$41),"")</f>
        <v/>
      </c>
      <c r="Z30" s="68" t="str">
        <f>IF(AND('Mapa de Riesgos'!$Y$42="Media",'Mapa de Riesgos'!$AA$42="Moderado"),CONCATENATE("R5C",'Mapa de Riesgos'!$O$42),"")</f>
        <v/>
      </c>
      <c r="AA30" s="69"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3" t="str">
        <f>IF(AND('Mapa de Riesgos'!$Y$40="Media",'Mapa de Riesgos'!$AA$40="Mayor"),CONCATENATE("R5C",'Mapa de Riesgos'!$O$40),"")</f>
        <v/>
      </c>
      <c r="AE30" s="53" t="str">
        <f>IF(AND('Mapa de Riesgos'!$Y$41="Media",'Mapa de Riesgos'!$AA$41="Mayor"),CONCATENATE("R5C",'Mapa de Riesgos'!$O$41),"")</f>
        <v/>
      </c>
      <c r="AF30" s="53"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3"/>
      <c r="AO30" s="617"/>
      <c r="AP30" s="618"/>
      <c r="AQ30" s="618"/>
      <c r="AR30" s="618"/>
      <c r="AS30" s="618"/>
      <c r="AT30" s="61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9"/>
      <c r="C31" s="489"/>
      <c r="D31" s="490"/>
      <c r="E31" s="588"/>
      <c r="F31" s="587"/>
      <c r="G31" s="587"/>
      <c r="H31" s="587"/>
      <c r="I31" s="603"/>
      <c r="J31" s="67" t="str">
        <f>IF(AND('Mapa de Riesgos'!$Y$44="Media",'Mapa de Riesgos'!$AA$44="Leve"),CONCATENATE("R6C",'Mapa de Riesgos'!$O$44),"")</f>
        <v/>
      </c>
      <c r="K31" s="68" t="str">
        <f>IF(AND('Mapa de Riesgos'!$Y$45="Media",'Mapa de Riesgos'!$AA$45="Leve"),CONCATENATE("R6C",'Mapa de Riesgos'!$O$45),"")</f>
        <v/>
      </c>
      <c r="L31" s="68" t="str">
        <f>IF(AND('Mapa de Riesgos'!$Y$46="Media",'Mapa de Riesgos'!$AA$46="Leve"),CONCATENATE("R6C",'Mapa de Riesgos'!$O$46),"")</f>
        <v/>
      </c>
      <c r="M31" s="68" t="str">
        <f>IF(AND('Mapa de Riesgos'!$Y$47="Media",'Mapa de Riesgos'!$AA$47="Leve"),CONCATENATE("R6C",'Mapa de Riesgos'!$O$47),"")</f>
        <v/>
      </c>
      <c r="N31" s="68" t="str">
        <f>IF(AND('Mapa de Riesgos'!$Y$48="Media",'Mapa de Riesgos'!$AA$48="Leve"),CONCATENATE("R6C",'Mapa de Riesgos'!$O$48),"")</f>
        <v/>
      </c>
      <c r="O31" s="69" t="str">
        <f>IF(AND('Mapa de Riesgos'!$Y$49="Media",'Mapa de Riesgos'!$AA$49="Leve"),CONCATENATE("R6C",'Mapa de Riesgos'!$O$49),"")</f>
        <v/>
      </c>
      <c r="P31" s="67" t="str">
        <f>IF(AND('Mapa de Riesgos'!$Y$44="Media",'Mapa de Riesgos'!$AA$44="Menor"),CONCATENATE("R6C",'Mapa de Riesgos'!$O$44),"")</f>
        <v/>
      </c>
      <c r="Q31" s="68" t="str">
        <f>IF(AND('Mapa de Riesgos'!$Y$45="Media",'Mapa de Riesgos'!$AA$45="Menor"),CONCATENATE("R6C",'Mapa de Riesgos'!$O$45),"")</f>
        <v/>
      </c>
      <c r="R31" s="68" t="str">
        <f>IF(AND('Mapa de Riesgos'!$Y$46="Media",'Mapa de Riesgos'!$AA$46="Menor"),CONCATENATE("R6C",'Mapa de Riesgos'!$O$46),"")</f>
        <v/>
      </c>
      <c r="S31" s="68" t="str">
        <f>IF(AND('Mapa de Riesgos'!$Y$47="Media",'Mapa de Riesgos'!$AA$47="Menor"),CONCATENATE("R6C",'Mapa de Riesgos'!$O$47),"")</f>
        <v/>
      </c>
      <c r="T31" s="68" t="str">
        <f>IF(AND('Mapa de Riesgos'!$Y$48="Media",'Mapa de Riesgos'!$AA$48="Menor"),CONCATENATE("R6C",'Mapa de Riesgos'!$O$48),"")</f>
        <v/>
      </c>
      <c r="U31" s="69" t="str">
        <f>IF(AND('Mapa de Riesgos'!$Y$49="Media",'Mapa de Riesgos'!$AA$49="Menor"),CONCATENATE("R6C",'Mapa de Riesgos'!$O$49),"")</f>
        <v/>
      </c>
      <c r="V31" s="67" t="str">
        <f>IF(AND('Mapa de Riesgos'!$Y$44="Media",'Mapa de Riesgos'!$AA$44="Moderado"),CONCATENATE("R6C",'Mapa de Riesgos'!$O$44),"")</f>
        <v/>
      </c>
      <c r="W31" s="68" t="str">
        <f>IF(AND('Mapa de Riesgos'!$Y$45="Media",'Mapa de Riesgos'!$AA$45="Moderado"),CONCATENATE("R6C",'Mapa de Riesgos'!$O$45),"")</f>
        <v/>
      </c>
      <c r="X31" s="68" t="str">
        <f>IF(AND('Mapa de Riesgos'!$Y$46="Media",'Mapa de Riesgos'!$AA$46="Moderado"),CONCATENATE("R6C",'Mapa de Riesgos'!$O$46),"")</f>
        <v/>
      </c>
      <c r="Y31" s="68" t="str">
        <f>IF(AND('Mapa de Riesgos'!$Y$47="Media",'Mapa de Riesgos'!$AA$47="Moderado"),CONCATENATE("R6C",'Mapa de Riesgos'!$O$47),"")</f>
        <v/>
      </c>
      <c r="Z31" s="68" t="str">
        <f>IF(AND('Mapa de Riesgos'!$Y$48="Media",'Mapa de Riesgos'!$AA$48="Moderado"),CONCATENATE("R6C",'Mapa de Riesgos'!$O$48),"")</f>
        <v/>
      </c>
      <c r="AA31" s="69"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3" t="str">
        <f>IF(AND('Mapa de Riesgos'!$Y$46="Media",'Mapa de Riesgos'!$AA$46="Mayor"),CONCATENATE("R6C",'Mapa de Riesgos'!$O$46),"")</f>
        <v/>
      </c>
      <c r="AE31" s="53" t="str">
        <f>IF(AND('Mapa de Riesgos'!$Y$47="Media",'Mapa de Riesgos'!$AA$47="Mayor"),CONCATENATE("R6C",'Mapa de Riesgos'!$O$47),"")</f>
        <v/>
      </c>
      <c r="AF31" s="53"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3"/>
      <c r="AO31" s="617"/>
      <c r="AP31" s="618"/>
      <c r="AQ31" s="618"/>
      <c r="AR31" s="618"/>
      <c r="AS31" s="618"/>
      <c r="AT31" s="6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9"/>
      <c r="C32" s="489"/>
      <c r="D32" s="490"/>
      <c r="E32" s="588"/>
      <c r="F32" s="587"/>
      <c r="G32" s="587"/>
      <c r="H32" s="587"/>
      <c r="I32" s="603"/>
      <c r="J32" s="67" t="str">
        <f>IF(AND('Mapa de Riesgos'!$Y$50="Media",'Mapa de Riesgos'!$AA$50="Leve"),CONCATENATE("R7C",'Mapa de Riesgos'!$O$50),"")</f>
        <v/>
      </c>
      <c r="K32" s="68" t="str">
        <f>IF(AND('Mapa de Riesgos'!$Y$51="Media",'Mapa de Riesgos'!$AA$51="Leve"),CONCATENATE("R7C",'Mapa de Riesgos'!$O$51),"")</f>
        <v/>
      </c>
      <c r="L32" s="68" t="str">
        <f>IF(AND('Mapa de Riesgos'!$Y$52="Media",'Mapa de Riesgos'!$AA$52="Leve"),CONCATENATE("R7C",'Mapa de Riesgos'!$O$52),"")</f>
        <v/>
      </c>
      <c r="M32" s="68" t="str">
        <f>IF(AND('Mapa de Riesgos'!$Y$53="Media",'Mapa de Riesgos'!$AA$53="Leve"),CONCATENATE("R7C",'Mapa de Riesgos'!$O$53),"")</f>
        <v/>
      </c>
      <c r="N32" s="68" t="str">
        <f>IF(AND('Mapa de Riesgos'!$Y$54="Media",'Mapa de Riesgos'!$AA$54="Leve"),CONCATENATE("R7C",'Mapa de Riesgos'!$O$54),"")</f>
        <v/>
      </c>
      <c r="O32" s="69" t="str">
        <f>IF(AND('Mapa de Riesgos'!$Y$55="Media",'Mapa de Riesgos'!$AA$55="Leve"),CONCATENATE("R7C",'Mapa de Riesgos'!$O$55),"")</f>
        <v/>
      </c>
      <c r="P32" s="67" t="str">
        <f>IF(AND('Mapa de Riesgos'!$Y$50="Media",'Mapa de Riesgos'!$AA$50="Menor"),CONCATENATE("R7C",'Mapa de Riesgos'!$O$50),"")</f>
        <v/>
      </c>
      <c r="Q32" s="68" t="str">
        <f>IF(AND('Mapa de Riesgos'!$Y$51="Media",'Mapa de Riesgos'!$AA$51="Menor"),CONCATENATE("R7C",'Mapa de Riesgos'!$O$51),"")</f>
        <v/>
      </c>
      <c r="R32" s="68" t="str">
        <f>IF(AND('Mapa de Riesgos'!$Y$52="Media",'Mapa de Riesgos'!$AA$52="Menor"),CONCATENATE("R7C",'Mapa de Riesgos'!$O$52),"")</f>
        <v/>
      </c>
      <c r="S32" s="68" t="str">
        <f>IF(AND('Mapa de Riesgos'!$Y$53="Media",'Mapa de Riesgos'!$AA$53="Menor"),CONCATENATE("R7C",'Mapa de Riesgos'!$O$53),"")</f>
        <v/>
      </c>
      <c r="T32" s="68" t="str">
        <f>IF(AND('Mapa de Riesgos'!$Y$54="Media",'Mapa de Riesgos'!$AA$54="Menor"),CONCATENATE("R7C",'Mapa de Riesgos'!$O$54),"")</f>
        <v/>
      </c>
      <c r="U32" s="69" t="str">
        <f>IF(AND('Mapa de Riesgos'!$Y$55="Media",'Mapa de Riesgos'!$AA$55="Menor"),CONCATENATE("R7C",'Mapa de Riesgos'!$O$55),"")</f>
        <v/>
      </c>
      <c r="V32" s="67" t="str">
        <f>IF(AND('Mapa de Riesgos'!$Y$50="Media",'Mapa de Riesgos'!$AA$50="Moderado"),CONCATENATE("R7C",'Mapa de Riesgos'!$O$50),"")</f>
        <v/>
      </c>
      <c r="W32" s="68" t="str">
        <f>IF(AND('Mapa de Riesgos'!$Y$51="Media",'Mapa de Riesgos'!$AA$51="Moderado"),CONCATENATE("R7C",'Mapa de Riesgos'!$O$51),"")</f>
        <v/>
      </c>
      <c r="X32" s="68" t="str">
        <f>IF(AND('Mapa de Riesgos'!$Y$52="Media",'Mapa de Riesgos'!$AA$52="Moderado"),CONCATENATE("R7C",'Mapa de Riesgos'!$O$52),"")</f>
        <v/>
      </c>
      <c r="Y32" s="68" t="str">
        <f>IF(AND('Mapa de Riesgos'!$Y$53="Media",'Mapa de Riesgos'!$AA$53="Moderado"),CONCATENATE("R7C",'Mapa de Riesgos'!$O$53),"")</f>
        <v/>
      </c>
      <c r="Z32" s="68" t="str">
        <f>IF(AND('Mapa de Riesgos'!$Y$54="Media",'Mapa de Riesgos'!$AA$54="Moderado"),CONCATENATE("R7C",'Mapa de Riesgos'!$O$54),"")</f>
        <v/>
      </c>
      <c r="AA32" s="69"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3" t="str">
        <f>IF(AND('Mapa de Riesgos'!$Y$52="Media",'Mapa de Riesgos'!$AA$52="Mayor"),CONCATENATE("R7C",'Mapa de Riesgos'!$O$52),"")</f>
        <v/>
      </c>
      <c r="AE32" s="53" t="str">
        <f>IF(AND('Mapa de Riesgos'!$Y$53="Media",'Mapa de Riesgos'!$AA$53="Mayor"),CONCATENATE("R7C",'Mapa de Riesgos'!$O$53),"")</f>
        <v/>
      </c>
      <c r="AF32" s="53"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3"/>
      <c r="AO32" s="617"/>
      <c r="AP32" s="618"/>
      <c r="AQ32" s="618"/>
      <c r="AR32" s="618"/>
      <c r="AS32" s="618"/>
      <c r="AT32" s="6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9"/>
      <c r="C33" s="489"/>
      <c r="D33" s="490"/>
      <c r="E33" s="588"/>
      <c r="F33" s="587"/>
      <c r="G33" s="587"/>
      <c r="H33" s="587"/>
      <c r="I33" s="603"/>
      <c r="J33" s="67" t="str">
        <f>IF(AND('Mapa de Riesgos'!$Y$56="Media",'Mapa de Riesgos'!$AA$56="Leve"),CONCATENATE("R8C",'Mapa de Riesgos'!$O$56),"")</f>
        <v/>
      </c>
      <c r="K33" s="68" t="str">
        <f>IF(AND('Mapa de Riesgos'!$Y$57="Media",'Mapa de Riesgos'!$AA$57="Leve"),CONCATENATE("R8C",'Mapa de Riesgos'!$O$57),"")</f>
        <v/>
      </c>
      <c r="L33" s="68" t="str">
        <f>IF(AND('Mapa de Riesgos'!$Y$58="Media",'Mapa de Riesgos'!$AA$58="Leve"),CONCATENATE("R8C",'Mapa de Riesgos'!$O$58),"")</f>
        <v/>
      </c>
      <c r="M33" s="68" t="str">
        <f>IF(AND('Mapa de Riesgos'!$Y$59="Media",'Mapa de Riesgos'!$AA$59="Leve"),CONCATENATE("R8C",'Mapa de Riesgos'!$O$59),"")</f>
        <v/>
      </c>
      <c r="N33" s="68" t="str">
        <f>IF(AND('Mapa de Riesgos'!$Y$60="Media",'Mapa de Riesgos'!$AA$60="Leve"),CONCATENATE("R8C",'Mapa de Riesgos'!$O$60),"")</f>
        <v/>
      </c>
      <c r="O33" s="69" t="str">
        <f>IF(AND('Mapa de Riesgos'!$Y$61="Media",'Mapa de Riesgos'!$AA$61="Leve"),CONCATENATE("R8C",'Mapa de Riesgos'!$O$61),"")</f>
        <v/>
      </c>
      <c r="P33" s="67" t="str">
        <f>IF(AND('Mapa de Riesgos'!$Y$56="Media",'Mapa de Riesgos'!$AA$56="Menor"),CONCATENATE("R8C",'Mapa de Riesgos'!$O$56),"")</f>
        <v/>
      </c>
      <c r="Q33" s="68" t="str">
        <f>IF(AND('Mapa de Riesgos'!$Y$57="Media",'Mapa de Riesgos'!$AA$57="Menor"),CONCATENATE("R8C",'Mapa de Riesgos'!$O$57),"")</f>
        <v/>
      </c>
      <c r="R33" s="68" t="str">
        <f>IF(AND('Mapa de Riesgos'!$Y$58="Media",'Mapa de Riesgos'!$AA$58="Menor"),CONCATENATE("R8C",'Mapa de Riesgos'!$O$58),"")</f>
        <v/>
      </c>
      <c r="S33" s="68" t="str">
        <f>IF(AND('Mapa de Riesgos'!$Y$59="Media",'Mapa de Riesgos'!$AA$59="Menor"),CONCATENATE("R8C",'Mapa de Riesgos'!$O$59),"")</f>
        <v/>
      </c>
      <c r="T33" s="68" t="str">
        <f>IF(AND('Mapa de Riesgos'!$Y$60="Media",'Mapa de Riesgos'!$AA$60="Menor"),CONCATENATE("R8C",'Mapa de Riesgos'!$O$60),"")</f>
        <v/>
      </c>
      <c r="U33" s="69" t="str">
        <f>IF(AND('Mapa de Riesgos'!$Y$61="Media",'Mapa de Riesgos'!$AA$61="Menor"),CONCATENATE("R8C",'Mapa de Riesgos'!$O$61),"")</f>
        <v/>
      </c>
      <c r="V33" s="67" t="str">
        <f>IF(AND('Mapa de Riesgos'!$Y$56="Media",'Mapa de Riesgos'!$AA$56="Moderado"),CONCATENATE("R8C",'Mapa de Riesgos'!$O$56),"")</f>
        <v/>
      </c>
      <c r="W33" s="68" t="str">
        <f>IF(AND('Mapa de Riesgos'!$Y$57="Media",'Mapa de Riesgos'!$AA$57="Moderado"),CONCATENATE("R8C",'Mapa de Riesgos'!$O$57),"")</f>
        <v/>
      </c>
      <c r="X33" s="68" t="str">
        <f>IF(AND('Mapa de Riesgos'!$Y$58="Media",'Mapa de Riesgos'!$AA$58="Moderado"),CONCATENATE("R8C",'Mapa de Riesgos'!$O$58),"")</f>
        <v/>
      </c>
      <c r="Y33" s="68" t="str">
        <f>IF(AND('Mapa de Riesgos'!$Y$59="Media",'Mapa de Riesgos'!$AA$59="Moderado"),CONCATENATE("R8C",'Mapa de Riesgos'!$O$59),"")</f>
        <v/>
      </c>
      <c r="Z33" s="68" t="str">
        <f>IF(AND('Mapa de Riesgos'!$Y$60="Media",'Mapa de Riesgos'!$AA$60="Moderado"),CONCATENATE("R8C",'Mapa de Riesgos'!$O$60),"")</f>
        <v/>
      </c>
      <c r="AA33" s="69"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3" t="str">
        <f>IF(AND('Mapa de Riesgos'!$Y$58="Media",'Mapa de Riesgos'!$AA$58="Mayor"),CONCATENATE("R8C",'Mapa de Riesgos'!$O$58),"")</f>
        <v/>
      </c>
      <c r="AE33" s="53" t="str">
        <f>IF(AND('Mapa de Riesgos'!$Y$59="Media",'Mapa de Riesgos'!$AA$59="Mayor"),CONCATENATE("R8C",'Mapa de Riesgos'!$O$59),"")</f>
        <v/>
      </c>
      <c r="AF33" s="53"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3"/>
      <c r="AO33" s="617"/>
      <c r="AP33" s="618"/>
      <c r="AQ33" s="618"/>
      <c r="AR33" s="618"/>
      <c r="AS33" s="618"/>
      <c r="AT33" s="6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9"/>
      <c r="C34" s="489"/>
      <c r="D34" s="490"/>
      <c r="E34" s="588"/>
      <c r="F34" s="587"/>
      <c r="G34" s="587"/>
      <c r="H34" s="587"/>
      <c r="I34" s="603"/>
      <c r="J34" s="67" t="str">
        <f>IF(AND('Mapa de Riesgos'!$Y$62="Media",'Mapa de Riesgos'!$AA$62="Leve"),CONCATENATE("R9C",'Mapa de Riesgos'!$O$62),"")</f>
        <v/>
      </c>
      <c r="K34" s="68" t="str">
        <f>IF(AND('Mapa de Riesgos'!$Y$63="Media",'Mapa de Riesgos'!$AA$63="Leve"),CONCATENATE("R9C",'Mapa de Riesgos'!$O$63),"")</f>
        <v/>
      </c>
      <c r="L34" s="68" t="str">
        <f>IF(AND('Mapa de Riesgos'!$Y$64="Media",'Mapa de Riesgos'!$AA$64="Leve"),CONCATENATE("R9C",'Mapa de Riesgos'!$O$64),"")</f>
        <v/>
      </c>
      <c r="M34" s="68" t="str">
        <f>IF(AND('Mapa de Riesgos'!$Y$65="Media",'Mapa de Riesgos'!$AA$65="Leve"),CONCATENATE("R9C",'Mapa de Riesgos'!$O$65),"")</f>
        <v/>
      </c>
      <c r="N34" s="68" t="str">
        <f>IF(AND('Mapa de Riesgos'!$Y$66="Media",'Mapa de Riesgos'!$AA$66="Leve"),CONCATENATE("R9C",'Mapa de Riesgos'!$O$66),"")</f>
        <v/>
      </c>
      <c r="O34" s="69" t="str">
        <f>IF(AND('Mapa de Riesgos'!$Y$67="Media",'Mapa de Riesgos'!$AA$67="Leve"),CONCATENATE("R9C",'Mapa de Riesgos'!$O$67),"")</f>
        <v/>
      </c>
      <c r="P34" s="67" t="str">
        <f>IF(AND('Mapa de Riesgos'!$Y$62="Media",'Mapa de Riesgos'!$AA$62="Menor"),CONCATENATE("R9C",'Mapa de Riesgos'!$O$62),"")</f>
        <v/>
      </c>
      <c r="Q34" s="68" t="str">
        <f>IF(AND('Mapa de Riesgos'!$Y$63="Media",'Mapa de Riesgos'!$AA$63="Menor"),CONCATENATE("R9C",'Mapa de Riesgos'!$O$63),"")</f>
        <v/>
      </c>
      <c r="R34" s="68" t="str">
        <f>IF(AND('Mapa de Riesgos'!$Y$64="Media",'Mapa de Riesgos'!$AA$64="Menor"),CONCATENATE("R9C",'Mapa de Riesgos'!$O$64),"")</f>
        <v/>
      </c>
      <c r="S34" s="68" t="str">
        <f>IF(AND('Mapa de Riesgos'!$Y$65="Media",'Mapa de Riesgos'!$AA$65="Menor"),CONCATENATE("R9C",'Mapa de Riesgos'!$O$65),"")</f>
        <v/>
      </c>
      <c r="T34" s="68" t="str">
        <f>IF(AND('Mapa de Riesgos'!$Y$66="Media",'Mapa de Riesgos'!$AA$66="Menor"),CONCATENATE("R9C",'Mapa de Riesgos'!$O$66),"")</f>
        <v/>
      </c>
      <c r="U34" s="69" t="str">
        <f>IF(AND('Mapa de Riesgos'!$Y$67="Media",'Mapa de Riesgos'!$AA$67="Menor"),CONCATENATE("R9C",'Mapa de Riesgos'!$O$67),"")</f>
        <v/>
      </c>
      <c r="V34" s="67" t="str">
        <f>IF(AND('Mapa de Riesgos'!$Y$62="Media",'Mapa de Riesgos'!$AA$62="Moderado"),CONCATENATE("R9C",'Mapa de Riesgos'!$O$62),"")</f>
        <v/>
      </c>
      <c r="W34" s="68" t="str">
        <f>IF(AND('Mapa de Riesgos'!$Y$63="Media",'Mapa de Riesgos'!$AA$63="Moderado"),CONCATENATE("R9C",'Mapa de Riesgos'!$O$63),"")</f>
        <v/>
      </c>
      <c r="X34" s="68" t="str">
        <f>IF(AND('Mapa de Riesgos'!$Y$64="Media",'Mapa de Riesgos'!$AA$64="Moderado"),CONCATENATE("R9C",'Mapa de Riesgos'!$O$64),"")</f>
        <v/>
      </c>
      <c r="Y34" s="68" t="str">
        <f>IF(AND('Mapa de Riesgos'!$Y$65="Media",'Mapa de Riesgos'!$AA$65="Moderado"),CONCATENATE("R9C",'Mapa de Riesgos'!$O$65),"")</f>
        <v/>
      </c>
      <c r="Z34" s="68" t="str">
        <f>IF(AND('Mapa de Riesgos'!$Y$66="Media",'Mapa de Riesgos'!$AA$66="Moderado"),CONCATENATE("R9C",'Mapa de Riesgos'!$O$66),"")</f>
        <v/>
      </c>
      <c r="AA34" s="69"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3" t="str">
        <f>IF(AND('Mapa de Riesgos'!$Y$64="Media",'Mapa de Riesgos'!$AA$64="Mayor"),CONCATENATE("R9C",'Mapa de Riesgos'!$O$64),"")</f>
        <v/>
      </c>
      <c r="AE34" s="53" t="str">
        <f>IF(AND('Mapa de Riesgos'!$Y$65="Media",'Mapa de Riesgos'!$AA$65="Mayor"),CONCATENATE("R9C",'Mapa de Riesgos'!$O$65),"")</f>
        <v/>
      </c>
      <c r="AF34" s="53"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3"/>
      <c r="AO34" s="617"/>
      <c r="AP34" s="618"/>
      <c r="AQ34" s="618"/>
      <c r="AR34" s="618"/>
      <c r="AS34" s="618"/>
      <c r="AT34" s="6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9"/>
      <c r="C35" s="489"/>
      <c r="D35" s="490"/>
      <c r="E35" s="589"/>
      <c r="F35" s="590"/>
      <c r="G35" s="590"/>
      <c r="H35" s="590"/>
      <c r="I35" s="604"/>
      <c r="J35" s="67" t="str">
        <f>IF(AND('Mapa de Riesgos'!$Y$68="Media",'Mapa de Riesgos'!$AA$68="Leve"),CONCATENATE("R10C",'Mapa de Riesgos'!$O$68),"")</f>
        <v/>
      </c>
      <c r="K35" s="68" t="str">
        <f>IF(AND('Mapa de Riesgos'!$Y$69="Media",'Mapa de Riesgos'!$AA$69="Leve"),CONCATENATE("R10C",'Mapa de Riesgos'!$O$69),"")</f>
        <v/>
      </c>
      <c r="L35" s="68" t="str">
        <f>IF(AND('Mapa de Riesgos'!$Y$70="Media",'Mapa de Riesgos'!$AA$70="Leve"),CONCATENATE("R10C",'Mapa de Riesgos'!$O$70),"")</f>
        <v/>
      </c>
      <c r="M35" s="68" t="str">
        <f>IF(AND('Mapa de Riesgos'!$Y$71="Media",'Mapa de Riesgos'!$AA$71="Leve"),CONCATENATE("R10C",'Mapa de Riesgos'!$O$71),"")</f>
        <v/>
      </c>
      <c r="N35" s="68" t="str">
        <f>IF(AND('Mapa de Riesgos'!$Y$72="Media",'Mapa de Riesgos'!$AA$72="Leve"),CONCATENATE("R10C",'Mapa de Riesgos'!$O$72),"")</f>
        <v/>
      </c>
      <c r="O35" s="69" t="str">
        <f>IF(AND('Mapa de Riesgos'!$Y$73="Media",'Mapa de Riesgos'!$AA$73="Leve"),CONCATENATE("R10C",'Mapa de Riesgos'!$O$73),"")</f>
        <v/>
      </c>
      <c r="P35" s="67" t="str">
        <f>IF(AND('Mapa de Riesgos'!$Y$68="Media",'Mapa de Riesgos'!$AA$68="Menor"),CONCATENATE("R10C",'Mapa de Riesgos'!$O$68),"")</f>
        <v/>
      </c>
      <c r="Q35" s="68" t="str">
        <f>IF(AND('Mapa de Riesgos'!$Y$69="Media",'Mapa de Riesgos'!$AA$69="Menor"),CONCATENATE("R10C",'Mapa de Riesgos'!$O$69),"")</f>
        <v/>
      </c>
      <c r="R35" s="68" t="str">
        <f>IF(AND('Mapa de Riesgos'!$Y$70="Media",'Mapa de Riesgos'!$AA$70="Menor"),CONCATENATE("R10C",'Mapa de Riesgos'!$O$70),"")</f>
        <v/>
      </c>
      <c r="S35" s="68" t="str">
        <f>IF(AND('Mapa de Riesgos'!$Y$71="Media",'Mapa de Riesgos'!$AA$71="Menor"),CONCATENATE("R10C",'Mapa de Riesgos'!$O$71),"")</f>
        <v/>
      </c>
      <c r="T35" s="68" t="str">
        <f>IF(AND('Mapa de Riesgos'!$Y$72="Media",'Mapa de Riesgos'!$AA$72="Menor"),CONCATENATE("R10C",'Mapa de Riesgos'!$O$72),"")</f>
        <v/>
      </c>
      <c r="U35" s="69" t="str">
        <f>IF(AND('Mapa de Riesgos'!$Y$73="Media",'Mapa de Riesgos'!$AA$73="Menor"),CONCATENATE("R10C",'Mapa de Riesgos'!$O$73),"")</f>
        <v/>
      </c>
      <c r="V35" s="67" t="str">
        <f>IF(AND('Mapa de Riesgos'!$Y$68="Media",'Mapa de Riesgos'!$AA$68="Moderado"),CONCATENATE("R10C",'Mapa de Riesgos'!$O$68),"")</f>
        <v/>
      </c>
      <c r="W35" s="68" t="str">
        <f>IF(AND('Mapa de Riesgos'!$Y$69="Media",'Mapa de Riesgos'!$AA$69="Moderado"),CONCATENATE("R10C",'Mapa de Riesgos'!$O$69),"")</f>
        <v/>
      </c>
      <c r="X35" s="68" t="str">
        <f>IF(AND('Mapa de Riesgos'!$Y$70="Media",'Mapa de Riesgos'!$AA$70="Moderado"),CONCATENATE("R10C",'Mapa de Riesgos'!$O$70),"")</f>
        <v/>
      </c>
      <c r="Y35" s="68" t="str">
        <f>IF(AND('Mapa de Riesgos'!$Y$71="Media",'Mapa de Riesgos'!$AA$71="Moderado"),CONCATENATE("R10C",'Mapa de Riesgos'!$O$71),"")</f>
        <v/>
      </c>
      <c r="Z35" s="68" t="str">
        <f>IF(AND('Mapa de Riesgos'!$Y$72="Media",'Mapa de Riesgos'!$AA$72="Moderado"),CONCATENATE("R10C",'Mapa de Riesgos'!$O$72),"")</f>
        <v/>
      </c>
      <c r="AA35" s="69" t="str">
        <f>IF(AND('Mapa de Riesgos'!$Y$73="Media",'Mapa de Riesgos'!$AA$73="Moderado"),CONCATENATE("R10C",'Mapa de Riesgos'!$O$73),"")</f>
        <v/>
      </c>
      <c r="AB35" s="58" t="str">
        <f>IF(AND('Mapa de Riesgos'!$Y$68="Media",'Mapa de Riesgos'!$AA$68="Mayor"),CONCATENATE("R10C",'Mapa de Riesgos'!$O$68),"")</f>
        <v/>
      </c>
      <c r="AC35" s="59" t="str">
        <f>IF(AND('Mapa de Riesgos'!$Y$69="Media",'Mapa de Riesgos'!$AA$69="Mayor"),CONCATENATE("R10C",'Mapa de Riesgos'!$O$69),"")</f>
        <v/>
      </c>
      <c r="AD35" s="59" t="str">
        <f>IF(AND('Mapa de Riesgos'!$Y$70="Media",'Mapa de Riesgos'!$AA$70="Mayor"),CONCATENATE("R10C",'Mapa de Riesgos'!$O$70),"")</f>
        <v/>
      </c>
      <c r="AE35" s="59" t="str">
        <f>IF(AND('Mapa de Riesgos'!$Y$71="Media",'Mapa de Riesgos'!$AA$71="Mayor"),CONCATENATE("R10C",'Mapa de Riesgos'!$O$71),"")</f>
        <v/>
      </c>
      <c r="AF35" s="59" t="str">
        <f>IF(AND('Mapa de Riesgos'!$Y$72="Media",'Mapa de Riesgos'!$AA$72="Mayor"),CONCATENATE("R10C",'Mapa de Riesgos'!$O$72),"")</f>
        <v/>
      </c>
      <c r="AG35" s="60" t="str">
        <f>IF(AND('Mapa de Riesgos'!$Y$73="Media",'Mapa de Riesgos'!$AA$73="Mayor"),CONCATENATE("R10C",'Mapa de Riesgos'!$O$73),"")</f>
        <v/>
      </c>
      <c r="AH35" s="61" t="str">
        <f>IF(AND('Mapa de Riesgos'!$Y$68="Media",'Mapa de Riesgos'!$AA$68="Catastrófico"),CONCATENATE("R10C",'Mapa de Riesgos'!$O$68),"")</f>
        <v/>
      </c>
      <c r="AI35" s="62" t="str">
        <f>IF(AND('Mapa de Riesgos'!$Y$69="Media",'Mapa de Riesgos'!$AA$69="Catastrófico"),CONCATENATE("R10C",'Mapa de Riesgos'!$O$69),"")</f>
        <v/>
      </c>
      <c r="AJ35" s="62" t="str">
        <f>IF(AND('Mapa de Riesgos'!$Y$70="Media",'Mapa de Riesgos'!$AA$70="Catastrófico"),CONCATENATE("R10C",'Mapa de Riesgos'!$O$70),"")</f>
        <v/>
      </c>
      <c r="AK35" s="62" t="str">
        <f>IF(AND('Mapa de Riesgos'!$Y$71="Media",'Mapa de Riesgos'!$AA$71="Catastrófico"),CONCATENATE("R10C",'Mapa de Riesgos'!$O$71),"")</f>
        <v/>
      </c>
      <c r="AL35" s="62" t="str">
        <f>IF(AND('Mapa de Riesgos'!$Y$72="Media",'Mapa de Riesgos'!$AA$72="Catastrófico"),CONCATENATE("R10C",'Mapa de Riesgos'!$O$72),"")</f>
        <v/>
      </c>
      <c r="AM35" s="63" t="str">
        <f>IF(AND('Mapa de Riesgos'!$Y$73="Media",'Mapa de Riesgos'!$AA$73="Catastrófico"),CONCATENATE("R10C",'Mapa de Riesgos'!$O$73),"")</f>
        <v/>
      </c>
      <c r="AN35" s="83"/>
      <c r="AO35" s="620"/>
      <c r="AP35" s="621"/>
      <c r="AQ35" s="621"/>
      <c r="AR35" s="621"/>
      <c r="AS35" s="621"/>
      <c r="AT35" s="62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9"/>
      <c r="C36" s="489"/>
      <c r="D36" s="490"/>
      <c r="E36" s="584" t="s">
        <v>229</v>
      </c>
      <c r="F36" s="585"/>
      <c r="G36" s="585"/>
      <c r="H36" s="585"/>
      <c r="I36" s="585"/>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R1C1</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605" t="s">
        <v>230</v>
      </c>
      <c r="AP36" s="606"/>
      <c r="AQ36" s="606"/>
      <c r="AR36" s="606"/>
      <c r="AS36" s="606"/>
      <c r="AT36" s="60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9"/>
      <c r="C37" s="489"/>
      <c r="D37" s="490"/>
      <c r="E37" s="586"/>
      <c r="F37" s="587"/>
      <c r="G37" s="587"/>
      <c r="H37" s="587"/>
      <c r="I37" s="587"/>
      <c r="J37" s="76" t="str">
        <f>IF(AND('Mapa de Riesgos'!$Y$20="Baja",'Mapa de Riesgos'!$AA$20="Leve"),CONCATENATE("R2C",'Mapa de Riesgos'!$O$20),"")</f>
        <v/>
      </c>
      <c r="K37" s="77" t="str">
        <f>IF(AND('Mapa de Riesgos'!$Y$21="Baja",'Mapa de Riesgos'!$AA$21="Leve"),CONCATENATE("R2C",'Mapa de Riesgos'!$O$21),"")</f>
        <v/>
      </c>
      <c r="L37" s="77" t="str">
        <f>IF(AND('Mapa de Riesgos'!$Y$22="Baja",'Mapa de Riesgos'!$AA$22="Leve"),CONCATENATE("R2C",'Mapa de Riesgos'!$O$22),"")</f>
        <v/>
      </c>
      <c r="M37" s="77" t="str">
        <f>IF(AND('Mapa de Riesgos'!$Y$23="Baja",'Mapa de Riesgos'!$AA$23="Leve"),CONCATENATE("R2C",'Mapa de Riesgos'!$O$23),"")</f>
        <v/>
      </c>
      <c r="N37" s="77" t="str">
        <f>IF(AND('Mapa de Riesgos'!$Y$24="Baja",'Mapa de Riesgos'!$AA$24="Leve"),CONCATENATE("R2C",'Mapa de Riesgos'!$O$24),"")</f>
        <v/>
      </c>
      <c r="O37" s="78" t="str">
        <f>IF(AND('Mapa de Riesgos'!$Y$25="Baja",'Mapa de Riesgos'!$AA$25="Leve"),CONCATENATE("R2C",'Mapa de Riesgos'!$O$25),"")</f>
        <v/>
      </c>
      <c r="P37" s="67" t="str">
        <f>IF(AND('Mapa de Riesgos'!$Y$20="Baja",'Mapa de Riesgos'!$AA$20="Menor"),CONCATENATE("R2C",'Mapa de Riesgos'!$O$20),"")</f>
        <v/>
      </c>
      <c r="Q37" s="68" t="str">
        <f>IF(AND('Mapa de Riesgos'!$Y$21="Baja",'Mapa de Riesgos'!$AA$21="Menor"),CONCATENATE("R2C",'Mapa de Riesgos'!$O$21),"")</f>
        <v/>
      </c>
      <c r="R37" s="68" t="str">
        <f>IF(AND('Mapa de Riesgos'!$Y$22="Baja",'Mapa de Riesgos'!$AA$22="Menor"),CONCATENATE("R2C",'Mapa de Riesgos'!$O$22),"")</f>
        <v/>
      </c>
      <c r="S37" s="68" t="str">
        <f>IF(AND('Mapa de Riesgos'!$Y$23="Baja",'Mapa de Riesgos'!$AA$23="Menor"),CONCATENATE("R2C",'Mapa de Riesgos'!$O$23),"")</f>
        <v/>
      </c>
      <c r="T37" s="68" t="str">
        <f>IF(AND('Mapa de Riesgos'!$Y$24="Baja",'Mapa de Riesgos'!$AA$24="Menor"),CONCATENATE("R2C",'Mapa de Riesgos'!$O$24),"")</f>
        <v/>
      </c>
      <c r="U37" s="69" t="str">
        <f>IF(AND('Mapa de Riesgos'!$Y$25="Baja",'Mapa de Riesgos'!$AA$25="Menor"),CONCATENATE("R2C",'Mapa de Riesgos'!$O$25),"")</f>
        <v/>
      </c>
      <c r="V37" s="67" t="str">
        <f>IF(AND('Mapa de Riesgos'!$Y$20="Baja",'Mapa de Riesgos'!$AA$20="Moderado"),CONCATENATE("R2C",'Mapa de Riesgos'!$O$20),"")</f>
        <v/>
      </c>
      <c r="W37" s="68" t="str">
        <f>IF(AND('Mapa de Riesgos'!$Y$21="Baja",'Mapa de Riesgos'!$AA$21="Moderado"),CONCATENATE("R2C",'Mapa de Riesgos'!$O$21),"")</f>
        <v/>
      </c>
      <c r="X37" s="68" t="str">
        <f>IF(AND('Mapa de Riesgos'!$Y$22="Baja",'Mapa de Riesgos'!$AA$22="Moderado"),CONCATENATE("R2C",'Mapa de Riesgos'!$O$22),"")</f>
        <v/>
      </c>
      <c r="Y37" s="68" t="str">
        <f>IF(AND('Mapa de Riesgos'!$Y$23="Baja",'Mapa de Riesgos'!$AA$23="Moderado"),CONCATENATE("R2C",'Mapa de Riesgos'!$O$23),"")</f>
        <v/>
      </c>
      <c r="Z37" s="68" t="str">
        <f>IF(AND('Mapa de Riesgos'!$Y$24="Baja",'Mapa de Riesgos'!$AA$24="Moderado"),CONCATENATE("R2C",'Mapa de Riesgos'!$O$24),"")</f>
        <v/>
      </c>
      <c r="AA37" s="69" t="str">
        <f>IF(AND('Mapa de Riesgos'!$Y$25="Baja",'Mapa de Riesgos'!$AA$25="Moderado"),CONCATENATE("R2C",'Mapa de Riesgos'!$O$25),"")</f>
        <v/>
      </c>
      <c r="AB37" s="52" t="str">
        <f>IF(AND('Mapa de Riesgos'!$Y$20="Baja",'Mapa de Riesgos'!$AA$20="Mayor"),CONCATENATE("R2C",'Mapa de Riesgos'!$O$20),"")</f>
        <v>R2C1</v>
      </c>
      <c r="AC37" s="53" t="str">
        <f>IF(AND('Mapa de Riesgos'!$Y$21="Baja",'Mapa de Riesgos'!$AA$21="Mayor"),CONCATENATE("R2C",'Mapa de Riesgos'!$O$21),"")</f>
        <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3"/>
      <c r="AO37" s="608"/>
      <c r="AP37" s="609"/>
      <c r="AQ37" s="609"/>
      <c r="AR37" s="609"/>
      <c r="AS37" s="609"/>
      <c r="AT37" s="61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9"/>
      <c r="C38" s="489"/>
      <c r="D38" s="490"/>
      <c r="E38" s="588"/>
      <c r="F38" s="587"/>
      <c r="G38" s="587"/>
      <c r="H38" s="587"/>
      <c r="I38" s="587"/>
      <c r="J38" s="76" t="str">
        <f>IF(AND('Mapa de Riesgos'!$Y$26="Baja",'Mapa de Riesgos'!$AA$26="Leve"),CONCATENATE("R3C",'Mapa de Riesgos'!$O$26),"")</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Riesgos'!$Y$26="Baja",'Mapa de Riesgos'!$AA$26="Menor"),CONCATENATE("R3C",'Mapa de Riesgos'!$O$26),"")</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Riesgos'!$Y$26="Baja",'Mapa de Riesgos'!$AA$26="Moderado"),CONCATENATE("R3C",'Mapa de Riesgos'!$O$26),"")</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Riesgos'!$Y$26="Baja",'Mapa de Riesgos'!$AA$26="Mayor"),CONCATENATE("R3C",'Mapa de Riesgos'!$O$26),"")</f>
        <v>R3C1</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608"/>
      <c r="AP38" s="609"/>
      <c r="AQ38" s="609"/>
      <c r="AR38" s="609"/>
      <c r="AS38" s="609"/>
      <c r="AT38" s="61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9"/>
      <c r="C39" s="489"/>
      <c r="D39" s="490"/>
      <c r="E39" s="588"/>
      <c r="F39" s="587"/>
      <c r="G39" s="587"/>
      <c r="H39" s="587"/>
      <c r="I39" s="587"/>
      <c r="J39" s="76" t="str">
        <f>IF(AND('Mapa de Riesgos'!$Y$32="Baja",'Mapa de Riesgos'!$AA$32="Leve"),CONCATENATE("R4C",'Mapa de Riesgos'!$O$32),"")</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Riesgos'!$Y$32="Baja",'Mapa de Riesgos'!$AA$32="Menor"),CONCATENATE("R4C",'Mapa de Riesgos'!$O$32),"")</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Riesgos'!$Y$32="Baja",'Mapa de Riesgos'!$AA$32="Moderado"),CONCATENATE("R4C",'Mapa de Riesgos'!$O$32),"")</f>
        <v/>
      </c>
      <c r="W39" s="68" t="str">
        <f>IF(AND('Mapa de Riesgos'!$Y$33="Baja",'Mapa de Riesgos'!$AA$33="Moderado"),CONCATENATE("R4C",'Mapa de Riesgos'!$O$33),"")</f>
        <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608"/>
      <c r="AP39" s="609"/>
      <c r="AQ39" s="609"/>
      <c r="AR39" s="609"/>
      <c r="AS39" s="609"/>
      <c r="AT39" s="61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9"/>
      <c r="C40" s="489"/>
      <c r="D40" s="490"/>
      <c r="E40" s="588"/>
      <c r="F40" s="587"/>
      <c r="G40" s="587"/>
      <c r="H40" s="587"/>
      <c r="I40" s="587"/>
      <c r="J40" s="76" t="str">
        <f>IF(AND('Mapa de Riesgos'!$Y$38="Baja",'Mapa de Riesgos'!$AA$38="Leve"),CONCATENATE("R5C",'Mapa de Riesgos'!$O$38),"")</f>
        <v/>
      </c>
      <c r="K40" s="77" t="str">
        <f>IF(AND('Mapa de Riesgos'!$Y$39="Baja",'Mapa de Riesgos'!$AA$39="Leve"),CONCATENATE("R5C",'Mapa de Riesgos'!$O$39),"")</f>
        <v/>
      </c>
      <c r="L40" s="77" t="str">
        <f>IF(AND('Mapa de Riesgos'!$Y$40="Baja",'Mapa de Riesgos'!$AA$40="Leve"),CONCATENATE("R5C",'Mapa de Riesgos'!$O$40),"")</f>
        <v/>
      </c>
      <c r="M40" s="77" t="str">
        <f>IF(AND('Mapa de Riesgos'!$Y$41="Baja",'Mapa de Riesgos'!$AA$41="Leve"),CONCATENATE("R5C",'Mapa de Riesgos'!$O$41),"")</f>
        <v/>
      </c>
      <c r="N40" s="77" t="str">
        <f>IF(AND('Mapa de Riesgos'!$Y$42="Baja",'Mapa de Riesgos'!$AA$42="Leve"),CONCATENATE("R5C",'Mapa de Riesgos'!$O$42),"")</f>
        <v/>
      </c>
      <c r="O40" s="78" t="str">
        <f>IF(AND('Mapa de Riesgos'!$Y$43="Baja",'Mapa de Riesgos'!$AA$43="Leve"),CONCATENATE("R5C",'Mapa de Riesgos'!$O$43),"")</f>
        <v/>
      </c>
      <c r="P40" s="67" t="str">
        <f>IF(AND('Mapa de Riesgos'!$Y$38="Baja",'Mapa de Riesgos'!$AA$38="Menor"),CONCATENATE("R5C",'Mapa de Riesgos'!$O$38),"")</f>
        <v/>
      </c>
      <c r="Q40" s="68" t="str">
        <f>IF(AND('Mapa de Riesgos'!$Y$39="Baja",'Mapa de Riesgos'!$AA$39="Menor"),CONCATENATE("R5C",'Mapa de Riesgos'!$O$39),"")</f>
        <v/>
      </c>
      <c r="R40" s="68" t="str">
        <f>IF(AND('Mapa de Riesgos'!$Y$40="Baja",'Mapa de Riesgos'!$AA$40="Menor"),CONCATENATE("R5C",'Mapa de Riesgos'!$O$40),"")</f>
        <v/>
      </c>
      <c r="S40" s="68" t="str">
        <f>IF(AND('Mapa de Riesgos'!$Y$41="Baja",'Mapa de Riesgos'!$AA$41="Menor"),CONCATENATE("R5C",'Mapa de Riesgos'!$O$41),"")</f>
        <v/>
      </c>
      <c r="T40" s="68" t="str">
        <f>IF(AND('Mapa de Riesgos'!$Y$42="Baja",'Mapa de Riesgos'!$AA$42="Menor"),CONCATENATE("R5C",'Mapa de Riesgos'!$O$42),"")</f>
        <v/>
      </c>
      <c r="U40" s="69" t="str">
        <f>IF(AND('Mapa de Riesgos'!$Y$43="Baja",'Mapa de Riesgos'!$AA$43="Menor"),CONCATENATE("R5C",'Mapa de Riesgos'!$O$43),"")</f>
        <v/>
      </c>
      <c r="V40" s="67" t="str">
        <f>IF(AND('Mapa de Riesgos'!$Y$38="Baja",'Mapa de Riesgos'!$AA$38="Moderado"),CONCATENATE("R5C",'Mapa de Riesgos'!$O$38),"")</f>
        <v/>
      </c>
      <c r="W40" s="68" t="str">
        <f>IF(AND('Mapa de Riesgos'!$Y$39="Baja",'Mapa de Riesgos'!$AA$39="Moderado"),CONCATENATE("R5C",'Mapa de Riesgos'!$O$39),"")</f>
        <v/>
      </c>
      <c r="X40" s="68" t="str">
        <f>IF(AND('Mapa de Riesgos'!$Y$40="Baja",'Mapa de Riesgos'!$AA$40="Moderado"),CONCATENATE("R5C",'Mapa de Riesgos'!$O$40),"")</f>
        <v/>
      </c>
      <c r="Y40" s="68" t="str">
        <f>IF(AND('Mapa de Riesgos'!$Y$41="Baja",'Mapa de Riesgos'!$AA$41="Moderado"),CONCATENATE("R5C",'Mapa de Riesgos'!$O$41),"")</f>
        <v/>
      </c>
      <c r="Z40" s="68" t="str">
        <f>IF(AND('Mapa de Riesgos'!$Y$42="Baja",'Mapa de Riesgos'!$AA$42="Moderado"),CONCATENATE("R5C",'Mapa de Riesgos'!$O$42),"")</f>
        <v/>
      </c>
      <c r="AA40" s="69"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3" t="str">
        <f>IF(AND('Mapa de Riesgos'!$Y$40="Baja",'Mapa de Riesgos'!$AA$40="Mayor"),CONCATENATE("R5C",'Mapa de Riesgos'!$O$40),"")</f>
        <v/>
      </c>
      <c r="AE40" s="53" t="str">
        <f>IF(AND('Mapa de Riesgos'!$Y$41="Baja",'Mapa de Riesgos'!$AA$41="Mayor"),CONCATENATE("R5C",'Mapa de Riesgos'!$O$41),"")</f>
        <v/>
      </c>
      <c r="AF40" s="53"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3"/>
      <c r="AO40" s="608"/>
      <c r="AP40" s="609"/>
      <c r="AQ40" s="609"/>
      <c r="AR40" s="609"/>
      <c r="AS40" s="609"/>
      <c r="AT40" s="61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9"/>
      <c r="C41" s="489"/>
      <c r="D41" s="490"/>
      <c r="E41" s="588"/>
      <c r="F41" s="587"/>
      <c r="G41" s="587"/>
      <c r="H41" s="587"/>
      <c r="I41" s="587"/>
      <c r="J41" s="76" t="str">
        <f>IF(AND('Mapa de Riesgos'!$Y$44="Baja",'Mapa de Riesgos'!$AA$44="Leve"),CONCATENATE("R6C",'Mapa de Riesgos'!$O$44),"")</f>
        <v/>
      </c>
      <c r="K41" s="77" t="str">
        <f>IF(AND('Mapa de Riesgos'!$Y$45="Baja",'Mapa de Riesgos'!$AA$45="Leve"),CONCATENATE("R6C",'Mapa de Riesgos'!$O$45),"")</f>
        <v/>
      </c>
      <c r="L41" s="77" t="str">
        <f>IF(AND('Mapa de Riesgos'!$Y$46="Baja",'Mapa de Riesgos'!$AA$46="Leve"),CONCATENATE("R6C",'Mapa de Riesgos'!$O$46),"")</f>
        <v/>
      </c>
      <c r="M41" s="77" t="str">
        <f>IF(AND('Mapa de Riesgos'!$Y$47="Baja",'Mapa de Riesgos'!$AA$47="Leve"),CONCATENATE("R6C",'Mapa de Riesgos'!$O$47),"")</f>
        <v/>
      </c>
      <c r="N41" s="77" t="str">
        <f>IF(AND('Mapa de Riesgos'!$Y$48="Baja",'Mapa de Riesgos'!$AA$48="Leve"),CONCATENATE("R6C",'Mapa de Riesgos'!$O$48),"")</f>
        <v/>
      </c>
      <c r="O41" s="78" t="str">
        <f>IF(AND('Mapa de Riesgos'!$Y$49="Baja",'Mapa de Riesgos'!$AA$49="Leve"),CONCATENATE("R6C",'Mapa de Riesgos'!$O$49),"")</f>
        <v/>
      </c>
      <c r="P41" s="67" t="str">
        <f>IF(AND('Mapa de Riesgos'!$Y$44="Baja",'Mapa de Riesgos'!$AA$44="Menor"),CONCATENATE("R6C",'Mapa de Riesgos'!$O$44),"")</f>
        <v/>
      </c>
      <c r="Q41" s="68" t="str">
        <f>IF(AND('Mapa de Riesgos'!$Y$45="Baja",'Mapa de Riesgos'!$AA$45="Menor"),CONCATENATE("R6C",'Mapa de Riesgos'!$O$45),"")</f>
        <v/>
      </c>
      <c r="R41" s="68" t="str">
        <f>IF(AND('Mapa de Riesgos'!$Y$46="Baja",'Mapa de Riesgos'!$AA$46="Menor"),CONCATENATE("R6C",'Mapa de Riesgos'!$O$46),"")</f>
        <v/>
      </c>
      <c r="S41" s="68" t="str">
        <f>IF(AND('Mapa de Riesgos'!$Y$47="Baja",'Mapa de Riesgos'!$AA$47="Menor"),CONCATENATE("R6C",'Mapa de Riesgos'!$O$47),"")</f>
        <v/>
      </c>
      <c r="T41" s="68" t="str">
        <f>IF(AND('Mapa de Riesgos'!$Y$48="Baja",'Mapa de Riesgos'!$AA$48="Menor"),CONCATENATE("R6C",'Mapa de Riesgos'!$O$48),"")</f>
        <v/>
      </c>
      <c r="U41" s="69" t="str">
        <f>IF(AND('Mapa de Riesgos'!$Y$49="Baja",'Mapa de Riesgos'!$AA$49="Menor"),CONCATENATE("R6C",'Mapa de Riesgos'!$O$49),"")</f>
        <v/>
      </c>
      <c r="V41" s="67" t="str">
        <f>IF(AND('Mapa de Riesgos'!$Y$44="Baja",'Mapa de Riesgos'!$AA$44="Moderado"),CONCATENATE("R6C",'Mapa de Riesgos'!$O$44),"")</f>
        <v>R6C1</v>
      </c>
      <c r="W41" s="68" t="str">
        <f>IF(AND('Mapa de Riesgos'!$Y$45="Baja",'Mapa de Riesgos'!$AA$45="Moderado"),CONCATENATE("R6C",'Mapa de Riesgos'!$O$45),"")</f>
        <v>R6C2</v>
      </c>
      <c r="X41" s="68" t="str">
        <f>IF(AND('Mapa de Riesgos'!$Y$46="Baja",'Mapa de Riesgos'!$AA$46="Moderado"),CONCATENATE("R6C",'Mapa de Riesgos'!$O$46),"")</f>
        <v/>
      </c>
      <c r="Y41" s="68" t="str">
        <f>IF(AND('Mapa de Riesgos'!$Y$47="Baja",'Mapa de Riesgos'!$AA$47="Moderado"),CONCATENATE("R6C",'Mapa de Riesgos'!$O$47),"")</f>
        <v/>
      </c>
      <c r="Z41" s="68" t="str">
        <f>IF(AND('Mapa de Riesgos'!$Y$48="Baja",'Mapa de Riesgos'!$AA$48="Moderado"),CONCATENATE("R6C",'Mapa de Riesgos'!$O$48),"")</f>
        <v/>
      </c>
      <c r="AA41" s="69" t="str">
        <f>IF(AND('Mapa de Riesgos'!$Y$49="Baja",'Mapa de Riesgos'!$AA$49="Moderado"),CONCATENATE("R6C",'Mapa de Riesgos'!$O$49),"")</f>
        <v/>
      </c>
      <c r="AB41" s="52" t="str">
        <f>IF(AND('Mapa de Riesgos'!$Y$44="Baja",'Mapa de Riesgos'!$AA$44="Mayor"),CONCATENATE("R6C",'Mapa de Riesgos'!$O$44),"")</f>
        <v/>
      </c>
      <c r="AC41" s="53" t="str">
        <f>IF(AND('Mapa de Riesgos'!$Y$45="Baja",'Mapa de Riesgos'!$AA$45="Mayor"),CONCATENATE("R6C",'Mapa de Riesgos'!$O$45),"")</f>
        <v/>
      </c>
      <c r="AD41" s="53" t="str">
        <f>IF(AND('Mapa de Riesgos'!$Y$46="Baja",'Mapa de Riesgos'!$AA$46="Mayor"),CONCATENATE("R6C",'Mapa de Riesgos'!$O$46),"")</f>
        <v/>
      </c>
      <c r="AE41" s="53" t="str">
        <f>IF(AND('Mapa de Riesgos'!$Y$47="Baja",'Mapa de Riesgos'!$AA$47="Mayor"),CONCATENATE("R6C",'Mapa de Riesgos'!$O$47),"")</f>
        <v/>
      </c>
      <c r="AF41" s="53"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3"/>
      <c r="AO41" s="608"/>
      <c r="AP41" s="609"/>
      <c r="AQ41" s="609"/>
      <c r="AR41" s="609"/>
      <c r="AS41" s="609"/>
      <c r="AT41" s="61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9"/>
      <c r="C42" s="489"/>
      <c r="D42" s="490"/>
      <c r="E42" s="588"/>
      <c r="F42" s="587"/>
      <c r="G42" s="587"/>
      <c r="H42" s="587"/>
      <c r="I42" s="587"/>
      <c r="J42" s="76" t="str">
        <f>IF(AND('Mapa de Riesgos'!$Y$50="Baja",'Mapa de Riesgos'!$AA$50="Leve"),CONCATENATE("R7C",'Mapa de Riesgos'!$O$50),"")</f>
        <v/>
      </c>
      <c r="K42" s="77" t="str">
        <f>IF(AND('Mapa de Riesgos'!$Y$51="Baja",'Mapa de Riesgos'!$AA$51="Leve"),CONCATENATE("R7C",'Mapa de Riesgos'!$O$51),"")</f>
        <v/>
      </c>
      <c r="L42" s="77" t="str">
        <f>IF(AND('Mapa de Riesgos'!$Y$52="Baja",'Mapa de Riesgos'!$AA$52="Leve"),CONCATENATE("R7C",'Mapa de Riesgos'!$O$52),"")</f>
        <v/>
      </c>
      <c r="M42" s="77" t="str">
        <f>IF(AND('Mapa de Riesgos'!$Y$53="Baja",'Mapa de Riesgos'!$AA$53="Leve"),CONCATENATE("R7C",'Mapa de Riesgos'!$O$53),"")</f>
        <v/>
      </c>
      <c r="N42" s="77" t="str">
        <f>IF(AND('Mapa de Riesgos'!$Y$54="Baja",'Mapa de Riesgos'!$AA$54="Leve"),CONCATENATE("R7C",'Mapa de Riesgos'!$O$54),"")</f>
        <v/>
      </c>
      <c r="O42" s="78" t="str">
        <f>IF(AND('Mapa de Riesgos'!$Y$55="Baja",'Mapa de Riesgos'!$AA$55="Leve"),CONCATENATE("R7C",'Mapa de Riesgos'!$O$55),"")</f>
        <v/>
      </c>
      <c r="P42" s="67" t="str">
        <f>IF(AND('Mapa de Riesgos'!$Y$50="Baja",'Mapa de Riesgos'!$AA$50="Menor"),CONCATENATE("R7C",'Mapa de Riesgos'!$O$50),"")</f>
        <v/>
      </c>
      <c r="Q42" s="68" t="str">
        <f>IF(AND('Mapa de Riesgos'!$Y$51="Baja",'Mapa de Riesgos'!$AA$51="Menor"),CONCATENATE("R7C",'Mapa de Riesgos'!$O$51),"")</f>
        <v/>
      </c>
      <c r="R42" s="68" t="str">
        <f>IF(AND('Mapa de Riesgos'!$Y$52="Baja",'Mapa de Riesgos'!$AA$52="Menor"),CONCATENATE("R7C",'Mapa de Riesgos'!$O$52),"")</f>
        <v/>
      </c>
      <c r="S42" s="68" t="str">
        <f>IF(AND('Mapa de Riesgos'!$Y$53="Baja",'Mapa de Riesgos'!$AA$53="Menor"),CONCATENATE("R7C",'Mapa de Riesgos'!$O$53),"")</f>
        <v/>
      </c>
      <c r="T42" s="68" t="str">
        <f>IF(AND('Mapa de Riesgos'!$Y$54="Baja",'Mapa de Riesgos'!$AA$54="Menor"),CONCATENATE("R7C",'Mapa de Riesgos'!$O$54),"")</f>
        <v/>
      </c>
      <c r="U42" s="69" t="str">
        <f>IF(AND('Mapa de Riesgos'!$Y$55="Baja",'Mapa de Riesgos'!$AA$55="Menor"),CONCATENATE("R7C",'Mapa de Riesgos'!$O$55),"")</f>
        <v/>
      </c>
      <c r="V42" s="67" t="str">
        <f>IF(AND('Mapa de Riesgos'!$Y$50="Baja",'Mapa de Riesgos'!$AA$50="Moderado"),CONCATENATE("R7C",'Mapa de Riesgos'!$O$50),"")</f>
        <v/>
      </c>
      <c r="W42" s="68" t="str">
        <f>IF(AND('Mapa de Riesgos'!$Y$51="Baja",'Mapa de Riesgos'!$AA$51="Moderado"),CONCATENATE("R7C",'Mapa de Riesgos'!$O$51),"")</f>
        <v/>
      </c>
      <c r="X42" s="68" t="str">
        <f>IF(AND('Mapa de Riesgos'!$Y$52="Baja",'Mapa de Riesgos'!$AA$52="Moderado"),CONCATENATE("R7C",'Mapa de Riesgos'!$O$52),"")</f>
        <v/>
      </c>
      <c r="Y42" s="68" t="str">
        <f>IF(AND('Mapa de Riesgos'!$Y$53="Baja",'Mapa de Riesgos'!$AA$53="Moderado"),CONCATENATE("R7C",'Mapa de Riesgos'!$O$53),"")</f>
        <v/>
      </c>
      <c r="Z42" s="68" t="str">
        <f>IF(AND('Mapa de Riesgos'!$Y$54="Baja",'Mapa de Riesgos'!$AA$54="Moderado"),CONCATENATE("R7C",'Mapa de Riesgos'!$O$54),"")</f>
        <v/>
      </c>
      <c r="AA42" s="69"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3" t="str">
        <f>IF(AND('Mapa de Riesgos'!$Y$52="Baja",'Mapa de Riesgos'!$AA$52="Mayor"),CONCATENATE("R7C",'Mapa de Riesgos'!$O$52),"")</f>
        <v/>
      </c>
      <c r="AE42" s="53" t="str">
        <f>IF(AND('Mapa de Riesgos'!$Y$53="Baja",'Mapa de Riesgos'!$AA$53="Mayor"),CONCATENATE("R7C",'Mapa de Riesgos'!$O$53),"")</f>
        <v/>
      </c>
      <c r="AF42" s="53"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3"/>
      <c r="AO42" s="608"/>
      <c r="AP42" s="609"/>
      <c r="AQ42" s="609"/>
      <c r="AR42" s="609"/>
      <c r="AS42" s="609"/>
      <c r="AT42" s="61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9"/>
      <c r="C43" s="489"/>
      <c r="D43" s="490"/>
      <c r="E43" s="588"/>
      <c r="F43" s="587"/>
      <c r="G43" s="587"/>
      <c r="H43" s="587"/>
      <c r="I43" s="587"/>
      <c r="J43" s="76" t="str">
        <f>IF(AND('Mapa de Riesgos'!$Y$56="Baja",'Mapa de Riesgos'!$AA$56="Leve"),CONCATENATE("R8C",'Mapa de Riesgos'!$O$56),"")</f>
        <v/>
      </c>
      <c r="K43" s="77" t="str">
        <f>IF(AND('Mapa de Riesgos'!$Y$57="Baja",'Mapa de Riesgos'!$AA$57="Leve"),CONCATENATE("R8C",'Mapa de Riesgos'!$O$57),"")</f>
        <v/>
      </c>
      <c r="L43" s="77" t="str">
        <f>IF(AND('Mapa de Riesgos'!$Y$58="Baja",'Mapa de Riesgos'!$AA$58="Leve"),CONCATENATE("R8C",'Mapa de Riesgos'!$O$58),"")</f>
        <v/>
      </c>
      <c r="M43" s="77" t="str">
        <f>IF(AND('Mapa de Riesgos'!$Y$59="Baja",'Mapa de Riesgos'!$AA$59="Leve"),CONCATENATE("R8C",'Mapa de Riesgos'!$O$59),"")</f>
        <v/>
      </c>
      <c r="N43" s="77" t="str">
        <f>IF(AND('Mapa de Riesgos'!$Y$60="Baja",'Mapa de Riesgos'!$AA$60="Leve"),CONCATENATE("R8C",'Mapa de Riesgos'!$O$60),"")</f>
        <v/>
      </c>
      <c r="O43" s="78" t="str">
        <f>IF(AND('Mapa de Riesgos'!$Y$61="Baja",'Mapa de Riesgos'!$AA$61="Leve"),CONCATENATE("R8C",'Mapa de Riesgos'!$O$61),"")</f>
        <v/>
      </c>
      <c r="P43" s="67" t="str">
        <f>IF(AND('Mapa de Riesgos'!$Y$56="Baja",'Mapa de Riesgos'!$AA$56="Menor"),CONCATENATE("R8C",'Mapa de Riesgos'!$O$56),"")</f>
        <v/>
      </c>
      <c r="Q43" s="68" t="str">
        <f>IF(AND('Mapa de Riesgos'!$Y$57="Baja",'Mapa de Riesgos'!$AA$57="Menor"),CONCATENATE("R8C",'Mapa de Riesgos'!$O$57),"")</f>
        <v/>
      </c>
      <c r="R43" s="68" t="str">
        <f>IF(AND('Mapa de Riesgos'!$Y$58="Baja",'Mapa de Riesgos'!$AA$58="Menor"),CONCATENATE("R8C",'Mapa de Riesgos'!$O$58),"")</f>
        <v/>
      </c>
      <c r="S43" s="68" t="str">
        <f>IF(AND('Mapa de Riesgos'!$Y$59="Baja",'Mapa de Riesgos'!$AA$59="Menor"),CONCATENATE("R8C",'Mapa de Riesgos'!$O$59),"")</f>
        <v/>
      </c>
      <c r="T43" s="68" t="str">
        <f>IF(AND('Mapa de Riesgos'!$Y$60="Baja",'Mapa de Riesgos'!$AA$60="Menor"),CONCATENATE("R8C",'Mapa de Riesgos'!$O$60),"")</f>
        <v/>
      </c>
      <c r="U43" s="69" t="str">
        <f>IF(AND('Mapa de Riesgos'!$Y$61="Baja",'Mapa de Riesgos'!$AA$61="Menor"),CONCATENATE("R8C",'Mapa de Riesgos'!$O$61),"")</f>
        <v/>
      </c>
      <c r="V43" s="67" t="str">
        <f>IF(AND('Mapa de Riesgos'!$Y$56="Baja",'Mapa de Riesgos'!$AA$56="Moderado"),CONCATENATE("R8C",'Mapa de Riesgos'!$O$56),"")</f>
        <v/>
      </c>
      <c r="W43" s="68" t="str">
        <f>IF(AND('Mapa de Riesgos'!$Y$57="Baja",'Mapa de Riesgos'!$AA$57="Moderado"),CONCATENATE("R8C",'Mapa de Riesgos'!$O$57),"")</f>
        <v/>
      </c>
      <c r="X43" s="68" t="str">
        <f>IF(AND('Mapa de Riesgos'!$Y$58="Baja",'Mapa de Riesgos'!$AA$58="Moderado"),CONCATENATE("R8C",'Mapa de Riesgos'!$O$58),"")</f>
        <v/>
      </c>
      <c r="Y43" s="68" t="str">
        <f>IF(AND('Mapa de Riesgos'!$Y$59="Baja",'Mapa de Riesgos'!$AA$59="Moderado"),CONCATENATE("R8C",'Mapa de Riesgos'!$O$59),"")</f>
        <v/>
      </c>
      <c r="Z43" s="68" t="str">
        <f>IF(AND('Mapa de Riesgos'!$Y$60="Baja",'Mapa de Riesgos'!$AA$60="Moderado"),CONCATENATE("R8C",'Mapa de Riesgos'!$O$60),"")</f>
        <v/>
      </c>
      <c r="AA43" s="69"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3" t="str">
        <f>IF(AND('Mapa de Riesgos'!$Y$58="Baja",'Mapa de Riesgos'!$AA$58="Mayor"),CONCATENATE("R8C",'Mapa de Riesgos'!$O$58),"")</f>
        <v/>
      </c>
      <c r="AE43" s="53" t="str">
        <f>IF(AND('Mapa de Riesgos'!$Y$59="Baja",'Mapa de Riesgos'!$AA$59="Mayor"),CONCATENATE("R8C",'Mapa de Riesgos'!$O$59),"")</f>
        <v/>
      </c>
      <c r="AF43" s="53"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3"/>
      <c r="AO43" s="608"/>
      <c r="AP43" s="609"/>
      <c r="AQ43" s="609"/>
      <c r="AR43" s="609"/>
      <c r="AS43" s="609"/>
      <c r="AT43" s="61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9"/>
      <c r="C44" s="489"/>
      <c r="D44" s="490"/>
      <c r="E44" s="588"/>
      <c r="F44" s="587"/>
      <c r="G44" s="587"/>
      <c r="H44" s="587"/>
      <c r="I44" s="587"/>
      <c r="J44" s="76" t="str">
        <f>IF(AND('Mapa de Riesgos'!$Y$62="Baja",'Mapa de Riesgos'!$AA$62="Leve"),CONCATENATE("R9C",'Mapa de Riesgos'!$O$62),"")</f>
        <v/>
      </c>
      <c r="K44" s="77" t="str">
        <f>IF(AND('Mapa de Riesgos'!$Y$63="Baja",'Mapa de Riesgos'!$AA$63="Leve"),CONCATENATE("R9C",'Mapa de Riesgos'!$O$63),"")</f>
        <v/>
      </c>
      <c r="L44" s="77" t="str">
        <f>IF(AND('Mapa de Riesgos'!$Y$64="Baja",'Mapa de Riesgos'!$AA$64="Leve"),CONCATENATE("R9C",'Mapa de Riesgos'!$O$64),"")</f>
        <v/>
      </c>
      <c r="M44" s="77" t="str">
        <f>IF(AND('Mapa de Riesgos'!$Y$65="Baja",'Mapa de Riesgos'!$AA$65="Leve"),CONCATENATE("R9C",'Mapa de Riesgos'!$O$65),"")</f>
        <v/>
      </c>
      <c r="N44" s="77" t="str">
        <f>IF(AND('Mapa de Riesgos'!$Y$66="Baja",'Mapa de Riesgos'!$AA$66="Leve"),CONCATENATE("R9C",'Mapa de Riesgos'!$O$66),"")</f>
        <v/>
      </c>
      <c r="O44" s="78" t="str">
        <f>IF(AND('Mapa de Riesgos'!$Y$67="Baja",'Mapa de Riesgos'!$AA$67="Leve"),CONCATENATE("R9C",'Mapa de Riesgos'!$O$67),"")</f>
        <v/>
      </c>
      <c r="P44" s="67" t="str">
        <f>IF(AND('Mapa de Riesgos'!$Y$62="Baja",'Mapa de Riesgos'!$AA$62="Menor"),CONCATENATE("R9C",'Mapa de Riesgos'!$O$62),"")</f>
        <v/>
      </c>
      <c r="Q44" s="68" t="str">
        <f>IF(AND('Mapa de Riesgos'!$Y$63="Baja",'Mapa de Riesgos'!$AA$63="Menor"),CONCATENATE("R9C",'Mapa de Riesgos'!$O$63),"")</f>
        <v/>
      </c>
      <c r="R44" s="68" t="str">
        <f>IF(AND('Mapa de Riesgos'!$Y$64="Baja",'Mapa de Riesgos'!$AA$64="Menor"),CONCATENATE("R9C",'Mapa de Riesgos'!$O$64),"")</f>
        <v/>
      </c>
      <c r="S44" s="68" t="str">
        <f>IF(AND('Mapa de Riesgos'!$Y$65="Baja",'Mapa de Riesgos'!$AA$65="Menor"),CONCATENATE("R9C",'Mapa de Riesgos'!$O$65),"")</f>
        <v/>
      </c>
      <c r="T44" s="68" t="str">
        <f>IF(AND('Mapa de Riesgos'!$Y$66="Baja",'Mapa de Riesgos'!$AA$66="Menor"),CONCATENATE("R9C",'Mapa de Riesgos'!$O$66),"")</f>
        <v/>
      </c>
      <c r="U44" s="69" t="str">
        <f>IF(AND('Mapa de Riesgos'!$Y$67="Baja",'Mapa de Riesgos'!$AA$67="Menor"),CONCATENATE("R9C",'Mapa de Riesgos'!$O$67),"")</f>
        <v/>
      </c>
      <c r="V44" s="67" t="str">
        <f>IF(AND('Mapa de Riesgos'!$Y$62="Baja",'Mapa de Riesgos'!$AA$62="Moderado"),CONCATENATE("R9C",'Mapa de Riesgos'!$O$62),"")</f>
        <v/>
      </c>
      <c r="W44" s="68" t="str">
        <f>IF(AND('Mapa de Riesgos'!$Y$63="Baja",'Mapa de Riesgos'!$AA$63="Moderado"),CONCATENATE("R9C",'Mapa de Riesgos'!$O$63),"")</f>
        <v/>
      </c>
      <c r="X44" s="68" t="str">
        <f>IF(AND('Mapa de Riesgos'!$Y$64="Baja",'Mapa de Riesgos'!$AA$64="Moderado"),CONCATENATE("R9C",'Mapa de Riesgos'!$O$64),"")</f>
        <v/>
      </c>
      <c r="Y44" s="68" t="str">
        <f>IF(AND('Mapa de Riesgos'!$Y$65="Baja",'Mapa de Riesgos'!$AA$65="Moderado"),CONCATENATE("R9C",'Mapa de Riesgos'!$O$65),"")</f>
        <v/>
      </c>
      <c r="Z44" s="68" t="str">
        <f>IF(AND('Mapa de Riesgos'!$Y$66="Baja",'Mapa de Riesgos'!$AA$66="Moderado"),CONCATENATE("R9C",'Mapa de Riesgos'!$O$66),"")</f>
        <v/>
      </c>
      <c r="AA44" s="69"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3" t="str">
        <f>IF(AND('Mapa de Riesgos'!$Y$64="Baja",'Mapa de Riesgos'!$AA$64="Mayor"),CONCATENATE("R9C",'Mapa de Riesgos'!$O$64),"")</f>
        <v/>
      </c>
      <c r="AE44" s="53" t="str">
        <f>IF(AND('Mapa de Riesgos'!$Y$65="Baja",'Mapa de Riesgos'!$AA$65="Mayor"),CONCATENATE("R9C",'Mapa de Riesgos'!$O$65),"")</f>
        <v/>
      </c>
      <c r="AF44" s="53"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3"/>
      <c r="AO44" s="608"/>
      <c r="AP44" s="609"/>
      <c r="AQ44" s="609"/>
      <c r="AR44" s="609"/>
      <c r="AS44" s="609"/>
      <c r="AT44" s="61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9"/>
      <c r="C45" s="489"/>
      <c r="D45" s="490"/>
      <c r="E45" s="589"/>
      <c r="F45" s="590"/>
      <c r="G45" s="590"/>
      <c r="H45" s="590"/>
      <c r="I45" s="590"/>
      <c r="J45" s="79" t="str">
        <f>IF(AND('Mapa de Riesgos'!$Y$68="Baja",'Mapa de Riesgos'!$AA$68="Leve"),CONCATENATE("R10C",'Mapa de Riesgos'!$O$68),"")</f>
        <v/>
      </c>
      <c r="K45" s="80" t="str">
        <f>IF(AND('Mapa de Riesgos'!$Y$69="Baja",'Mapa de Riesgos'!$AA$69="Leve"),CONCATENATE("R10C",'Mapa de Riesgos'!$O$69),"")</f>
        <v/>
      </c>
      <c r="L45" s="80" t="str">
        <f>IF(AND('Mapa de Riesgos'!$Y$70="Baja",'Mapa de Riesgos'!$AA$70="Leve"),CONCATENATE("R10C",'Mapa de Riesgos'!$O$70),"")</f>
        <v/>
      </c>
      <c r="M45" s="80" t="str">
        <f>IF(AND('Mapa de Riesgos'!$Y$71="Baja",'Mapa de Riesgos'!$AA$71="Leve"),CONCATENATE("R10C",'Mapa de Riesgos'!$O$71),"")</f>
        <v/>
      </c>
      <c r="N45" s="80" t="str">
        <f>IF(AND('Mapa de Riesgos'!$Y$72="Baja",'Mapa de Riesgos'!$AA$72="Leve"),CONCATENATE("R10C",'Mapa de Riesgos'!$O$72),"")</f>
        <v/>
      </c>
      <c r="O45" s="81" t="str">
        <f>IF(AND('Mapa de Riesgos'!$Y$73="Baja",'Mapa de Riesgos'!$AA$73="Leve"),CONCATENATE("R10C",'Mapa de Riesgos'!$O$73),"")</f>
        <v/>
      </c>
      <c r="P45" s="67" t="str">
        <f>IF(AND('Mapa de Riesgos'!$Y$68="Baja",'Mapa de Riesgos'!$AA$68="Menor"),CONCATENATE("R10C",'Mapa de Riesgos'!$O$68),"")</f>
        <v/>
      </c>
      <c r="Q45" s="68" t="str">
        <f>IF(AND('Mapa de Riesgos'!$Y$69="Baja",'Mapa de Riesgos'!$AA$69="Menor"),CONCATENATE("R10C",'Mapa de Riesgos'!$O$69),"")</f>
        <v/>
      </c>
      <c r="R45" s="68" t="str">
        <f>IF(AND('Mapa de Riesgos'!$Y$70="Baja",'Mapa de Riesgos'!$AA$70="Menor"),CONCATENATE("R10C",'Mapa de Riesgos'!$O$70),"")</f>
        <v/>
      </c>
      <c r="S45" s="68" t="str">
        <f>IF(AND('Mapa de Riesgos'!$Y$71="Baja",'Mapa de Riesgos'!$AA$71="Menor"),CONCATENATE("R10C",'Mapa de Riesgos'!$O$71),"")</f>
        <v/>
      </c>
      <c r="T45" s="68" t="str">
        <f>IF(AND('Mapa de Riesgos'!$Y$72="Baja",'Mapa de Riesgos'!$AA$72="Menor"),CONCATENATE("R10C",'Mapa de Riesgos'!$O$72),"")</f>
        <v/>
      </c>
      <c r="U45" s="69" t="str">
        <f>IF(AND('Mapa de Riesgos'!$Y$73="Baja",'Mapa de Riesgos'!$AA$73="Menor"),CONCATENATE("R10C",'Mapa de Riesgos'!$O$73),"")</f>
        <v/>
      </c>
      <c r="V45" s="70" t="str">
        <f>IF(AND('Mapa de Riesgos'!$Y$68="Baja",'Mapa de Riesgos'!$AA$68="Moderado"),CONCATENATE("R10C",'Mapa de Riesgos'!$O$68),"")</f>
        <v/>
      </c>
      <c r="W45" s="71" t="str">
        <f>IF(AND('Mapa de Riesgos'!$Y$69="Baja",'Mapa de Riesgos'!$AA$69="Moderado"),CONCATENATE("R10C",'Mapa de Riesgos'!$O$69),"")</f>
        <v/>
      </c>
      <c r="X45" s="71" t="str">
        <f>IF(AND('Mapa de Riesgos'!$Y$70="Baja",'Mapa de Riesgos'!$AA$70="Moderado"),CONCATENATE("R10C",'Mapa de Riesgos'!$O$70),"")</f>
        <v/>
      </c>
      <c r="Y45" s="71" t="str">
        <f>IF(AND('Mapa de Riesgos'!$Y$71="Baja",'Mapa de Riesgos'!$AA$71="Moderado"),CONCATENATE("R10C",'Mapa de Riesgos'!$O$71),"")</f>
        <v/>
      </c>
      <c r="Z45" s="71" t="str">
        <f>IF(AND('Mapa de Riesgos'!$Y$72="Baja",'Mapa de Riesgos'!$AA$72="Moderado"),CONCATENATE("R10C",'Mapa de Riesgos'!$O$72),"")</f>
        <v/>
      </c>
      <c r="AA45" s="72" t="str">
        <f>IF(AND('Mapa de Riesgos'!$Y$73="Baja",'Mapa de Riesgos'!$AA$73="Moderado"),CONCATENATE("R10C",'Mapa de Riesgos'!$O$73),"")</f>
        <v/>
      </c>
      <c r="AB45" s="58" t="str">
        <f>IF(AND('Mapa de Riesgos'!$Y$68="Baja",'Mapa de Riesgos'!$AA$68="Mayor"),CONCATENATE("R10C",'Mapa de Riesgos'!$O$68),"")</f>
        <v/>
      </c>
      <c r="AC45" s="59" t="str">
        <f>IF(AND('Mapa de Riesgos'!$Y$69="Baja",'Mapa de Riesgos'!$AA$69="Mayor"),CONCATENATE("R10C",'Mapa de Riesgos'!$O$69),"")</f>
        <v/>
      </c>
      <c r="AD45" s="59" t="str">
        <f>IF(AND('Mapa de Riesgos'!$Y$70="Baja",'Mapa de Riesgos'!$AA$70="Mayor"),CONCATENATE("R10C",'Mapa de Riesgos'!$O$70),"")</f>
        <v/>
      </c>
      <c r="AE45" s="59" t="str">
        <f>IF(AND('Mapa de Riesgos'!$Y$71="Baja",'Mapa de Riesgos'!$AA$71="Mayor"),CONCATENATE("R10C",'Mapa de Riesgos'!$O$71),"")</f>
        <v/>
      </c>
      <c r="AF45" s="59" t="str">
        <f>IF(AND('Mapa de Riesgos'!$Y$72="Baja",'Mapa de Riesgos'!$AA$72="Mayor"),CONCATENATE("R10C",'Mapa de Riesgos'!$O$72),"")</f>
        <v/>
      </c>
      <c r="AG45" s="60" t="str">
        <f>IF(AND('Mapa de Riesgos'!$Y$73="Baja",'Mapa de Riesgos'!$AA$73="Mayor"),CONCATENATE("R10C",'Mapa de Riesgos'!$O$73),"")</f>
        <v/>
      </c>
      <c r="AH45" s="61" t="str">
        <f>IF(AND('Mapa de Riesgos'!$Y$68="Baja",'Mapa de Riesgos'!$AA$68="Catastrófico"),CONCATENATE("R10C",'Mapa de Riesgos'!$O$68),"")</f>
        <v/>
      </c>
      <c r="AI45" s="62" t="str">
        <f>IF(AND('Mapa de Riesgos'!$Y$69="Baja",'Mapa de Riesgos'!$AA$69="Catastrófico"),CONCATENATE("R10C",'Mapa de Riesgos'!$O$69),"")</f>
        <v/>
      </c>
      <c r="AJ45" s="62" t="str">
        <f>IF(AND('Mapa de Riesgos'!$Y$70="Baja",'Mapa de Riesgos'!$AA$70="Catastrófico"),CONCATENATE("R10C",'Mapa de Riesgos'!$O$70),"")</f>
        <v/>
      </c>
      <c r="AK45" s="62" t="str">
        <f>IF(AND('Mapa de Riesgos'!$Y$71="Baja",'Mapa de Riesgos'!$AA$71="Catastrófico"),CONCATENATE("R10C",'Mapa de Riesgos'!$O$71),"")</f>
        <v/>
      </c>
      <c r="AL45" s="62" t="str">
        <f>IF(AND('Mapa de Riesgos'!$Y$72="Baja",'Mapa de Riesgos'!$AA$72="Catastrófico"),CONCATENATE("R10C",'Mapa de Riesgos'!$O$72),"")</f>
        <v/>
      </c>
      <c r="AM45" s="63" t="str">
        <f>IF(AND('Mapa de Riesgos'!$Y$73="Baja",'Mapa de Riesgos'!$AA$73="Catastrófico"),CONCATENATE("R10C",'Mapa de Riesgos'!$O$73),"")</f>
        <v/>
      </c>
      <c r="AN45" s="83"/>
      <c r="AO45" s="611"/>
      <c r="AP45" s="612"/>
      <c r="AQ45" s="612"/>
      <c r="AR45" s="612"/>
      <c r="AS45" s="612"/>
      <c r="AT45" s="613"/>
    </row>
    <row r="46" spans="1:80" ht="46.5" customHeight="1" x14ac:dyDescent="0.35">
      <c r="A46" s="83"/>
      <c r="B46" s="489"/>
      <c r="C46" s="489"/>
      <c r="D46" s="490"/>
      <c r="E46" s="584" t="s">
        <v>231</v>
      </c>
      <c r="F46" s="585"/>
      <c r="G46" s="585"/>
      <c r="H46" s="585"/>
      <c r="I46" s="602"/>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9"/>
      <c r="C47" s="489"/>
      <c r="D47" s="490"/>
      <c r="E47" s="586"/>
      <c r="F47" s="587"/>
      <c r="G47" s="587"/>
      <c r="H47" s="587"/>
      <c r="I47" s="603"/>
      <c r="J47" s="76" t="str">
        <f>IF(AND('Mapa de Riesgos'!$Y$20="Muy Baja",'Mapa de Riesgos'!$AA$20="Leve"),CONCATENATE("R2C",'Mapa de Riesgos'!$O$20),"")</f>
        <v/>
      </c>
      <c r="K47" s="77" t="str">
        <f>IF(AND('Mapa de Riesgos'!$Y$21="Muy Baja",'Mapa de Riesgos'!$AA$21="Leve"),CONCATENATE("R2C",'Mapa de Riesgos'!$O$21),"")</f>
        <v/>
      </c>
      <c r="L47" s="77" t="str">
        <f>IF(AND('Mapa de Riesgos'!$Y$22="Muy Baja",'Mapa de Riesgos'!$AA$22="Leve"),CONCATENATE("R2C",'Mapa de Riesgos'!$O$22),"")</f>
        <v/>
      </c>
      <c r="M47" s="77" t="str">
        <f>IF(AND('Mapa de Riesgos'!$Y$23="Muy Baja",'Mapa de Riesgos'!$AA$23="Leve"),CONCATENATE("R2C",'Mapa de Riesgos'!$O$23),"")</f>
        <v/>
      </c>
      <c r="N47" s="77" t="str">
        <f>IF(AND('Mapa de Riesgos'!$Y$24="Muy Baja",'Mapa de Riesgos'!$AA$24="Leve"),CONCATENATE("R2C",'Mapa de Riesgos'!$O$24),"")</f>
        <v/>
      </c>
      <c r="O47" s="78" t="str">
        <f>IF(AND('Mapa de Riesgos'!$Y$25="Muy Baja",'Mapa de Riesgos'!$AA$25="Leve"),CONCATENATE("R2C",'Mapa de Riesgos'!$O$25),"")</f>
        <v/>
      </c>
      <c r="P47" s="76" t="str">
        <f>IF(AND('Mapa de Riesgos'!$Y$20="Muy Baja",'Mapa de Riesgos'!$AA$20="Menor"),CONCATENATE("R2C",'Mapa de Riesgos'!$O$20),"")</f>
        <v/>
      </c>
      <c r="Q47" s="77" t="str">
        <f>IF(AND('Mapa de Riesgos'!$Y$21="Muy Baja",'Mapa de Riesgos'!$AA$21="Menor"),CONCATENATE("R2C",'Mapa de Riesgos'!$O$21),"")</f>
        <v/>
      </c>
      <c r="R47" s="77" t="str">
        <f>IF(AND('Mapa de Riesgos'!$Y$22="Muy Baja",'Mapa de Riesgos'!$AA$22="Menor"),CONCATENATE("R2C",'Mapa de Riesgos'!$O$22),"")</f>
        <v/>
      </c>
      <c r="S47" s="77" t="str">
        <f>IF(AND('Mapa de Riesgos'!$Y$23="Muy Baja",'Mapa de Riesgos'!$AA$23="Menor"),CONCATENATE("R2C",'Mapa de Riesgos'!$O$23),"")</f>
        <v/>
      </c>
      <c r="T47" s="77" t="str">
        <f>IF(AND('Mapa de Riesgos'!$Y$24="Muy Baja",'Mapa de Riesgos'!$AA$24="Menor"),CONCATENATE("R2C",'Mapa de Riesgos'!$O$24),"")</f>
        <v/>
      </c>
      <c r="U47" s="78" t="str">
        <f>IF(AND('Mapa de Riesgos'!$Y$25="Muy Baja",'Mapa de Riesgos'!$AA$25="Menor"),CONCATENATE("R2C",'Mapa de Riesgos'!$O$25),"")</f>
        <v/>
      </c>
      <c r="V47" s="67" t="str">
        <f>IF(AND('Mapa de Riesgos'!$Y$20="Muy Baja",'Mapa de Riesgos'!$AA$20="Moderado"),CONCATENATE("R2C",'Mapa de Riesgos'!$O$20),"")</f>
        <v/>
      </c>
      <c r="W47" s="68" t="str">
        <f>IF(AND('Mapa de Riesgos'!$Y$21="Muy Baja",'Mapa de Riesgos'!$AA$21="Moderado"),CONCATENATE("R2C",'Mapa de Riesgos'!$O$21),"")</f>
        <v/>
      </c>
      <c r="X47" s="68" t="str">
        <f>IF(AND('Mapa de Riesgos'!$Y$22="Muy Baja",'Mapa de Riesgos'!$AA$22="Moderado"),CONCATENATE("R2C",'Mapa de Riesgos'!$O$22),"")</f>
        <v/>
      </c>
      <c r="Y47" s="68" t="str">
        <f>IF(AND('Mapa de Riesgos'!$Y$23="Muy Baja",'Mapa de Riesgos'!$AA$23="Moderado"),CONCATENATE("R2C",'Mapa de Riesgos'!$O$23),"")</f>
        <v/>
      </c>
      <c r="Z47" s="68" t="str">
        <f>IF(AND('Mapa de Riesgos'!$Y$24="Muy Baja",'Mapa de Riesgos'!$AA$24="Moderado"),CONCATENATE("R2C",'Mapa de Riesgos'!$O$24),"")</f>
        <v/>
      </c>
      <c r="AA47" s="69"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R2C2</v>
      </c>
      <c r="AD47" s="53" t="str">
        <f>IF(AND('Mapa de Riesgos'!$Y$22="Muy Baja",'Mapa de Riesgos'!$AA$22="Mayor"),CONCATENATE("R2C",'Mapa de Riesgos'!$O$22),"")</f>
        <v>R2C3</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9"/>
      <c r="C48" s="489"/>
      <c r="D48" s="490"/>
      <c r="E48" s="586"/>
      <c r="F48" s="587"/>
      <c r="G48" s="587"/>
      <c r="H48" s="587"/>
      <c r="I48" s="603"/>
      <c r="J48" s="76" t="str">
        <f>IF(AND('Mapa de Riesgos'!$Y$26="Muy Baja",'Mapa de Riesgos'!$AA$26="Leve"),CONCATENATE("R3C",'Mapa de Riesgos'!$O$26),"")</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Riesgos'!$Y$26="Muy Baja",'Mapa de Riesgos'!$AA$26="Menor"),CONCATENATE("R3C",'Mapa de Riesgos'!$O$26),"")</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Riesgos'!$Y$26="Muy Baja",'Mapa de Riesgos'!$AA$26="Moderado"),CONCATENATE("R3C",'Mapa de Riesgos'!$O$26),"")</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9"/>
      <c r="C49" s="489"/>
      <c r="D49" s="490"/>
      <c r="E49" s="588"/>
      <c r="F49" s="587"/>
      <c r="G49" s="587"/>
      <c r="H49" s="587"/>
      <c r="I49" s="603"/>
      <c r="J49" s="76" t="str">
        <f>IF(AND('Mapa de Riesgos'!$Y$32="Muy Baja",'Mapa de Riesgos'!$AA$32="Leve"),CONCATENATE("R4C",'Mapa de Riesgos'!$O$32),"")</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Riesgos'!$Y$32="Muy Baja",'Mapa de Riesgos'!$AA$32="Menor"),CONCATENATE("R4C",'Mapa de Riesgos'!$O$32),"")</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Riesgos'!$Y$32="Muy Baja",'Mapa de Riesgos'!$AA$32="Moderado"),CONCATENATE("R4C",'Mapa de Riesgos'!$O$32),"")</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9"/>
      <c r="C50" s="489"/>
      <c r="D50" s="490"/>
      <c r="E50" s="588"/>
      <c r="F50" s="587"/>
      <c r="G50" s="587"/>
      <c r="H50" s="587"/>
      <c r="I50" s="603"/>
      <c r="J50" s="76" t="str">
        <f>IF(AND('Mapa de Riesgos'!$Y$38="Muy Baja",'Mapa de Riesgos'!$AA$38="Leve"),CONCATENATE("R5C",'Mapa de Riesgos'!$O$38),"")</f>
        <v/>
      </c>
      <c r="K50" s="77" t="str">
        <f>IF(AND('Mapa de Riesgos'!$Y$39="Muy Baja",'Mapa de Riesgos'!$AA$39="Leve"),CONCATENATE("R5C",'Mapa de Riesgos'!$O$39),"")</f>
        <v/>
      </c>
      <c r="L50" s="77" t="str">
        <f>IF(AND('Mapa de Riesgos'!$Y$40="Muy Baja",'Mapa de Riesgos'!$AA$40="Leve"),CONCATENATE("R5C",'Mapa de Riesgos'!$O$40),"")</f>
        <v/>
      </c>
      <c r="M50" s="77" t="str">
        <f>IF(AND('Mapa de Riesgos'!$Y$41="Muy Baja",'Mapa de Riesgos'!$AA$41="Leve"),CONCATENATE("R5C",'Mapa de Riesgos'!$O$41),"")</f>
        <v/>
      </c>
      <c r="N50" s="77" t="str">
        <f>IF(AND('Mapa de Riesgos'!$Y$42="Muy Baja",'Mapa de Riesgos'!$AA$42="Leve"),CONCATENATE("R5C",'Mapa de Riesgos'!$O$42),"")</f>
        <v/>
      </c>
      <c r="O50" s="78" t="str">
        <f>IF(AND('Mapa de Riesgos'!$Y$43="Muy Baja",'Mapa de Riesgos'!$AA$43="Leve"),CONCATENATE("R5C",'Mapa de Riesgos'!$O$43),"")</f>
        <v/>
      </c>
      <c r="P50" s="76" t="str">
        <f>IF(AND('Mapa de Riesgos'!$Y$38="Muy Baja",'Mapa de Riesgos'!$AA$38="Menor"),CONCATENATE("R5C",'Mapa de Riesgos'!$O$38),"")</f>
        <v/>
      </c>
      <c r="Q50" s="77" t="str">
        <f>IF(AND('Mapa de Riesgos'!$Y$39="Muy Baja",'Mapa de Riesgos'!$AA$39="Menor"),CONCATENATE("R5C",'Mapa de Riesgos'!$O$39),"")</f>
        <v/>
      </c>
      <c r="R50" s="77" t="str">
        <f>IF(AND('Mapa de Riesgos'!$Y$40="Muy Baja",'Mapa de Riesgos'!$AA$40="Menor"),CONCATENATE("R5C",'Mapa de Riesgos'!$O$40),"")</f>
        <v/>
      </c>
      <c r="S50" s="77" t="str">
        <f>IF(AND('Mapa de Riesgos'!$Y$41="Muy Baja",'Mapa de Riesgos'!$AA$41="Menor"),CONCATENATE("R5C",'Mapa de Riesgos'!$O$41),"")</f>
        <v/>
      </c>
      <c r="T50" s="77" t="str">
        <f>IF(AND('Mapa de Riesgos'!$Y$42="Muy Baja",'Mapa de Riesgos'!$AA$42="Menor"),CONCATENATE("R5C",'Mapa de Riesgos'!$O$42),"")</f>
        <v/>
      </c>
      <c r="U50" s="78" t="str">
        <f>IF(AND('Mapa de Riesgos'!$Y$43="Muy Baja",'Mapa de Riesgos'!$AA$43="Menor"),CONCATENATE("R5C",'Mapa de Riesgos'!$O$43),"")</f>
        <v/>
      </c>
      <c r="V50" s="67" t="str">
        <f>IF(AND('Mapa de Riesgos'!$Y$38="Muy Baja",'Mapa de Riesgos'!$AA$38="Moderado"),CONCATENATE("R5C",'Mapa de Riesgos'!$O$38),"")</f>
        <v/>
      </c>
      <c r="W50" s="68" t="str">
        <f>IF(AND('Mapa de Riesgos'!$Y$39="Muy Baja",'Mapa de Riesgos'!$AA$39="Moderado"),CONCATENATE("R5C",'Mapa de Riesgos'!$O$39),"")</f>
        <v/>
      </c>
      <c r="X50" s="68" t="str">
        <f>IF(AND('Mapa de Riesgos'!$Y$40="Muy Baja",'Mapa de Riesgos'!$AA$40="Moderado"),CONCATENATE("R5C",'Mapa de Riesgos'!$O$40),"")</f>
        <v/>
      </c>
      <c r="Y50" s="68" t="str">
        <f>IF(AND('Mapa de Riesgos'!$Y$41="Muy Baja",'Mapa de Riesgos'!$AA$41="Moderado"),CONCATENATE("R5C",'Mapa de Riesgos'!$O$41),"")</f>
        <v/>
      </c>
      <c r="Z50" s="68" t="str">
        <f>IF(AND('Mapa de Riesgos'!$Y$42="Muy Baja",'Mapa de Riesgos'!$AA$42="Moderado"),CONCATENATE("R5C",'Mapa de Riesgos'!$O$42),"")</f>
        <v/>
      </c>
      <c r="AA50" s="69"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3" t="str">
        <f>IF(AND('Mapa de Riesgos'!$Y$40="Muy Baja",'Mapa de Riesgos'!$AA$40="Mayor"),CONCATENATE("R5C",'Mapa de Riesgos'!$O$40),"")</f>
        <v/>
      </c>
      <c r="AE50" s="53" t="str">
        <f>IF(AND('Mapa de Riesgos'!$Y$41="Muy Baja",'Mapa de Riesgos'!$AA$41="Mayor"),CONCATENATE("R5C",'Mapa de Riesgos'!$O$41),"")</f>
        <v/>
      </c>
      <c r="AF50" s="53"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9"/>
      <c r="C51" s="489"/>
      <c r="D51" s="490"/>
      <c r="E51" s="588"/>
      <c r="F51" s="587"/>
      <c r="G51" s="587"/>
      <c r="H51" s="587"/>
      <c r="I51" s="603"/>
      <c r="J51" s="76" t="str">
        <f>IF(AND('Mapa de Riesgos'!$Y$44="Muy Baja",'Mapa de Riesgos'!$AA$44="Leve"),CONCATENATE("R6C",'Mapa de Riesgos'!$O$44),"")</f>
        <v/>
      </c>
      <c r="K51" s="77" t="str">
        <f>IF(AND('Mapa de Riesgos'!$Y$45="Muy Baja",'Mapa de Riesgos'!$AA$45="Leve"),CONCATENATE("R6C",'Mapa de Riesgos'!$O$45),"")</f>
        <v/>
      </c>
      <c r="L51" s="77" t="str">
        <f>IF(AND('Mapa de Riesgos'!$Y$46="Muy Baja",'Mapa de Riesgos'!$AA$46="Leve"),CONCATENATE("R6C",'Mapa de Riesgos'!$O$46),"")</f>
        <v/>
      </c>
      <c r="M51" s="77" t="str">
        <f>IF(AND('Mapa de Riesgos'!$Y$47="Muy Baja",'Mapa de Riesgos'!$AA$47="Leve"),CONCATENATE("R6C",'Mapa de Riesgos'!$O$47),"")</f>
        <v/>
      </c>
      <c r="N51" s="77" t="str">
        <f>IF(AND('Mapa de Riesgos'!$Y$48="Muy Baja",'Mapa de Riesgos'!$AA$48="Leve"),CONCATENATE("R6C",'Mapa de Riesgos'!$O$48),"")</f>
        <v/>
      </c>
      <c r="O51" s="78" t="str">
        <f>IF(AND('Mapa de Riesgos'!$Y$49="Muy Baja",'Mapa de Riesgos'!$AA$49="Leve"),CONCATENATE("R6C",'Mapa de Riesgos'!$O$49),"")</f>
        <v/>
      </c>
      <c r="P51" s="76" t="str">
        <f>IF(AND('Mapa de Riesgos'!$Y$44="Muy Baja",'Mapa de Riesgos'!$AA$44="Menor"),CONCATENATE("R6C",'Mapa de Riesgos'!$O$44),"")</f>
        <v/>
      </c>
      <c r="Q51" s="77" t="str">
        <f>IF(AND('Mapa de Riesgos'!$Y$45="Muy Baja",'Mapa de Riesgos'!$AA$45="Menor"),CONCATENATE("R6C",'Mapa de Riesgos'!$O$45),"")</f>
        <v/>
      </c>
      <c r="R51" s="77" t="str">
        <f>IF(AND('Mapa de Riesgos'!$Y$46="Muy Baja",'Mapa de Riesgos'!$AA$46="Menor"),CONCATENATE("R6C",'Mapa de Riesgos'!$O$46),"")</f>
        <v/>
      </c>
      <c r="S51" s="77" t="str">
        <f>IF(AND('Mapa de Riesgos'!$Y$47="Muy Baja",'Mapa de Riesgos'!$AA$47="Menor"),CONCATENATE("R6C",'Mapa de Riesgos'!$O$47),"")</f>
        <v/>
      </c>
      <c r="T51" s="77" t="str">
        <f>IF(AND('Mapa de Riesgos'!$Y$48="Muy Baja",'Mapa de Riesgos'!$AA$48="Menor"),CONCATENATE("R6C",'Mapa de Riesgos'!$O$48),"")</f>
        <v/>
      </c>
      <c r="U51" s="78" t="str">
        <f>IF(AND('Mapa de Riesgos'!$Y$49="Muy Baja",'Mapa de Riesgos'!$AA$49="Menor"),CONCATENATE("R6C",'Mapa de Riesgos'!$O$49),"")</f>
        <v/>
      </c>
      <c r="V51" s="67" t="str">
        <f>IF(AND('Mapa de Riesgos'!$Y$44="Muy Baja",'Mapa de Riesgos'!$AA$44="Moderado"),CONCATENATE("R6C",'Mapa de Riesgos'!$O$44),"")</f>
        <v/>
      </c>
      <c r="W51" s="68" t="str">
        <f>IF(AND('Mapa de Riesgos'!$Y$45="Muy Baja",'Mapa de Riesgos'!$AA$45="Moderado"),CONCATENATE("R6C",'Mapa de Riesgos'!$O$45),"")</f>
        <v/>
      </c>
      <c r="X51" s="68" t="str">
        <f>IF(AND('Mapa de Riesgos'!$Y$46="Muy Baja",'Mapa de Riesgos'!$AA$46="Moderado"),CONCATENATE("R6C",'Mapa de Riesgos'!$O$46),"")</f>
        <v/>
      </c>
      <c r="Y51" s="68" t="str">
        <f>IF(AND('Mapa de Riesgos'!$Y$47="Muy Baja",'Mapa de Riesgos'!$AA$47="Moderado"),CONCATENATE("R6C",'Mapa de Riesgos'!$O$47),"")</f>
        <v/>
      </c>
      <c r="Z51" s="68" t="str">
        <f>IF(AND('Mapa de Riesgos'!$Y$48="Muy Baja",'Mapa de Riesgos'!$AA$48="Moderado"),CONCATENATE("R6C",'Mapa de Riesgos'!$O$48),"")</f>
        <v/>
      </c>
      <c r="AA51" s="69"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3" t="str">
        <f>IF(AND('Mapa de Riesgos'!$Y$46="Muy Baja",'Mapa de Riesgos'!$AA$46="Mayor"),CONCATENATE("R6C",'Mapa de Riesgos'!$O$46),"")</f>
        <v/>
      </c>
      <c r="AE51" s="53" t="str">
        <f>IF(AND('Mapa de Riesgos'!$Y$47="Muy Baja",'Mapa de Riesgos'!$AA$47="Mayor"),CONCATENATE("R6C",'Mapa de Riesgos'!$O$47),"")</f>
        <v/>
      </c>
      <c r="AF51" s="53"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9"/>
      <c r="C52" s="489"/>
      <c r="D52" s="490"/>
      <c r="E52" s="588"/>
      <c r="F52" s="587"/>
      <c r="G52" s="587"/>
      <c r="H52" s="587"/>
      <c r="I52" s="603"/>
      <c r="J52" s="76" t="str">
        <f>IF(AND('Mapa de Riesgos'!$Y$50="Muy Baja",'Mapa de Riesgos'!$AA$50="Leve"),CONCATENATE("R7C",'Mapa de Riesgos'!$O$50),"")</f>
        <v/>
      </c>
      <c r="K52" s="77" t="str">
        <f>IF(AND('Mapa de Riesgos'!$Y$51="Muy Baja",'Mapa de Riesgos'!$AA$51="Leve"),CONCATENATE("R7C",'Mapa de Riesgos'!$O$51),"")</f>
        <v/>
      </c>
      <c r="L52" s="77" t="str">
        <f>IF(AND('Mapa de Riesgos'!$Y$52="Muy Baja",'Mapa de Riesgos'!$AA$52="Leve"),CONCATENATE("R7C",'Mapa de Riesgos'!$O$52),"")</f>
        <v/>
      </c>
      <c r="M52" s="77" t="str">
        <f>IF(AND('Mapa de Riesgos'!$Y$53="Muy Baja",'Mapa de Riesgos'!$AA$53="Leve"),CONCATENATE("R7C",'Mapa de Riesgos'!$O$53),"")</f>
        <v/>
      </c>
      <c r="N52" s="77" t="str">
        <f>IF(AND('Mapa de Riesgos'!$Y$54="Muy Baja",'Mapa de Riesgos'!$AA$54="Leve"),CONCATENATE("R7C",'Mapa de Riesgos'!$O$54),"")</f>
        <v/>
      </c>
      <c r="O52" s="78" t="str">
        <f>IF(AND('Mapa de Riesgos'!$Y$55="Muy Baja",'Mapa de Riesgos'!$AA$55="Leve"),CONCATENATE("R7C",'Mapa de Riesgos'!$O$55),"")</f>
        <v/>
      </c>
      <c r="P52" s="76" t="str">
        <f>IF(AND('Mapa de Riesgos'!$Y$50="Muy Baja",'Mapa de Riesgos'!$AA$50="Menor"),CONCATENATE("R7C",'Mapa de Riesgos'!$O$50),"")</f>
        <v/>
      </c>
      <c r="Q52" s="77" t="str">
        <f>IF(AND('Mapa de Riesgos'!$Y$51="Muy Baja",'Mapa de Riesgos'!$AA$51="Menor"),CONCATENATE("R7C",'Mapa de Riesgos'!$O$51),"")</f>
        <v/>
      </c>
      <c r="R52" s="77" t="str">
        <f>IF(AND('Mapa de Riesgos'!$Y$52="Muy Baja",'Mapa de Riesgos'!$AA$52="Menor"),CONCATENATE("R7C",'Mapa de Riesgos'!$O$52),"")</f>
        <v/>
      </c>
      <c r="S52" s="77" t="str">
        <f>IF(AND('Mapa de Riesgos'!$Y$53="Muy Baja",'Mapa de Riesgos'!$AA$53="Menor"),CONCATENATE("R7C",'Mapa de Riesgos'!$O$53),"")</f>
        <v/>
      </c>
      <c r="T52" s="77" t="str">
        <f>IF(AND('Mapa de Riesgos'!$Y$54="Muy Baja",'Mapa de Riesgos'!$AA$54="Menor"),CONCATENATE("R7C",'Mapa de Riesgos'!$O$54),"")</f>
        <v/>
      </c>
      <c r="U52" s="78" t="str">
        <f>IF(AND('Mapa de Riesgos'!$Y$55="Muy Baja",'Mapa de Riesgos'!$AA$55="Menor"),CONCATENATE("R7C",'Mapa de Riesgos'!$O$55),"")</f>
        <v/>
      </c>
      <c r="V52" s="67" t="str">
        <f>IF(AND('Mapa de Riesgos'!$Y$50="Muy Baja",'Mapa de Riesgos'!$AA$50="Moderado"),CONCATENATE("R7C",'Mapa de Riesgos'!$O$50),"")</f>
        <v/>
      </c>
      <c r="W52" s="68" t="str">
        <f>IF(AND('Mapa de Riesgos'!$Y$51="Muy Baja",'Mapa de Riesgos'!$AA$51="Moderado"),CONCATENATE("R7C",'Mapa de Riesgos'!$O$51),"")</f>
        <v/>
      </c>
      <c r="X52" s="68" t="str">
        <f>IF(AND('Mapa de Riesgos'!$Y$52="Muy Baja",'Mapa de Riesgos'!$AA$52="Moderado"),CONCATENATE("R7C",'Mapa de Riesgos'!$O$52),"")</f>
        <v/>
      </c>
      <c r="Y52" s="68" t="str">
        <f>IF(AND('Mapa de Riesgos'!$Y$53="Muy Baja",'Mapa de Riesgos'!$AA$53="Moderado"),CONCATENATE("R7C",'Mapa de Riesgos'!$O$53),"")</f>
        <v/>
      </c>
      <c r="Z52" s="68" t="str">
        <f>IF(AND('Mapa de Riesgos'!$Y$54="Muy Baja",'Mapa de Riesgos'!$AA$54="Moderado"),CONCATENATE("R7C",'Mapa de Riesgos'!$O$54),"")</f>
        <v/>
      </c>
      <c r="AA52" s="69"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3" t="str">
        <f>IF(AND('Mapa de Riesgos'!$Y$52="Muy Baja",'Mapa de Riesgos'!$AA$52="Mayor"),CONCATENATE("R7C",'Mapa de Riesgos'!$O$52),"")</f>
        <v/>
      </c>
      <c r="AE52" s="53" t="str">
        <f>IF(AND('Mapa de Riesgos'!$Y$53="Muy Baja",'Mapa de Riesgos'!$AA$53="Mayor"),CONCATENATE("R7C",'Mapa de Riesgos'!$O$53),"")</f>
        <v/>
      </c>
      <c r="AF52" s="53"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9"/>
      <c r="C53" s="489"/>
      <c r="D53" s="490"/>
      <c r="E53" s="588"/>
      <c r="F53" s="587"/>
      <c r="G53" s="587"/>
      <c r="H53" s="587"/>
      <c r="I53" s="603"/>
      <c r="J53" s="76" t="str">
        <f>IF(AND('Mapa de Riesgos'!$Y$56="Muy Baja",'Mapa de Riesgos'!$AA$56="Leve"),CONCATENATE("R8C",'Mapa de Riesgos'!$O$56),"")</f>
        <v/>
      </c>
      <c r="K53" s="77" t="str">
        <f>IF(AND('Mapa de Riesgos'!$Y$57="Muy Baja",'Mapa de Riesgos'!$AA$57="Leve"),CONCATENATE("R8C",'Mapa de Riesgos'!$O$57),"")</f>
        <v/>
      </c>
      <c r="L53" s="77" t="str">
        <f>IF(AND('Mapa de Riesgos'!$Y$58="Muy Baja",'Mapa de Riesgos'!$AA$58="Leve"),CONCATENATE("R8C",'Mapa de Riesgos'!$O$58),"")</f>
        <v/>
      </c>
      <c r="M53" s="77" t="str">
        <f>IF(AND('Mapa de Riesgos'!$Y$59="Muy Baja",'Mapa de Riesgos'!$AA$59="Leve"),CONCATENATE("R8C",'Mapa de Riesgos'!$O$59),"")</f>
        <v/>
      </c>
      <c r="N53" s="77" t="str">
        <f>IF(AND('Mapa de Riesgos'!$Y$60="Muy Baja",'Mapa de Riesgos'!$AA$60="Leve"),CONCATENATE("R8C",'Mapa de Riesgos'!$O$60),"")</f>
        <v/>
      </c>
      <c r="O53" s="78" t="str">
        <f>IF(AND('Mapa de Riesgos'!$Y$61="Muy Baja",'Mapa de Riesgos'!$AA$61="Leve"),CONCATENATE("R8C",'Mapa de Riesgos'!$O$61),"")</f>
        <v/>
      </c>
      <c r="P53" s="76" t="str">
        <f>IF(AND('Mapa de Riesgos'!$Y$56="Muy Baja",'Mapa de Riesgos'!$AA$56="Menor"),CONCATENATE("R8C",'Mapa de Riesgos'!$O$56),"")</f>
        <v/>
      </c>
      <c r="Q53" s="77" t="str">
        <f>IF(AND('Mapa de Riesgos'!$Y$57="Muy Baja",'Mapa de Riesgos'!$AA$57="Menor"),CONCATENATE("R8C",'Mapa de Riesgos'!$O$57),"")</f>
        <v/>
      </c>
      <c r="R53" s="77" t="str">
        <f>IF(AND('Mapa de Riesgos'!$Y$58="Muy Baja",'Mapa de Riesgos'!$AA$58="Menor"),CONCATENATE("R8C",'Mapa de Riesgos'!$O$58),"")</f>
        <v/>
      </c>
      <c r="S53" s="77" t="str">
        <f>IF(AND('Mapa de Riesgos'!$Y$59="Muy Baja",'Mapa de Riesgos'!$AA$59="Menor"),CONCATENATE("R8C",'Mapa de Riesgos'!$O$59),"")</f>
        <v/>
      </c>
      <c r="T53" s="77" t="str">
        <f>IF(AND('Mapa de Riesgos'!$Y$60="Muy Baja",'Mapa de Riesgos'!$AA$60="Menor"),CONCATENATE("R8C",'Mapa de Riesgos'!$O$60),"")</f>
        <v/>
      </c>
      <c r="U53" s="78" t="str">
        <f>IF(AND('Mapa de Riesgos'!$Y$61="Muy Baja",'Mapa de Riesgos'!$AA$61="Menor"),CONCATENATE("R8C",'Mapa de Riesgos'!$O$61),"")</f>
        <v/>
      </c>
      <c r="V53" s="67" t="str">
        <f>IF(AND('Mapa de Riesgos'!$Y$56="Muy Baja",'Mapa de Riesgos'!$AA$56="Moderado"),CONCATENATE("R8C",'Mapa de Riesgos'!$O$56),"")</f>
        <v/>
      </c>
      <c r="W53" s="68" t="str">
        <f>IF(AND('Mapa de Riesgos'!$Y$57="Muy Baja",'Mapa de Riesgos'!$AA$57="Moderado"),CONCATENATE("R8C",'Mapa de Riesgos'!$O$57),"")</f>
        <v/>
      </c>
      <c r="X53" s="68" t="str">
        <f>IF(AND('Mapa de Riesgos'!$Y$58="Muy Baja",'Mapa de Riesgos'!$AA$58="Moderado"),CONCATENATE("R8C",'Mapa de Riesgos'!$O$58),"")</f>
        <v/>
      </c>
      <c r="Y53" s="68" t="str">
        <f>IF(AND('Mapa de Riesgos'!$Y$59="Muy Baja",'Mapa de Riesgos'!$AA$59="Moderado"),CONCATENATE("R8C",'Mapa de Riesgos'!$O$59),"")</f>
        <v/>
      </c>
      <c r="Z53" s="68" t="str">
        <f>IF(AND('Mapa de Riesgos'!$Y$60="Muy Baja",'Mapa de Riesgos'!$AA$60="Moderado"),CONCATENATE("R8C",'Mapa de Riesgos'!$O$60),"")</f>
        <v/>
      </c>
      <c r="AA53" s="69"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3" t="str">
        <f>IF(AND('Mapa de Riesgos'!$Y$58="Muy Baja",'Mapa de Riesgos'!$AA$58="Mayor"),CONCATENATE("R8C",'Mapa de Riesgos'!$O$58),"")</f>
        <v/>
      </c>
      <c r="AE53" s="53" t="str">
        <f>IF(AND('Mapa de Riesgos'!$Y$59="Muy Baja",'Mapa de Riesgos'!$AA$59="Mayor"),CONCATENATE("R8C",'Mapa de Riesgos'!$O$59),"")</f>
        <v/>
      </c>
      <c r="AF53" s="53"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9"/>
      <c r="C54" s="489"/>
      <c r="D54" s="490"/>
      <c r="E54" s="588"/>
      <c r="F54" s="587"/>
      <c r="G54" s="587"/>
      <c r="H54" s="587"/>
      <c r="I54" s="603"/>
      <c r="J54" s="76" t="str">
        <f>IF(AND('Mapa de Riesgos'!$Y$62="Muy Baja",'Mapa de Riesgos'!$AA$62="Leve"),CONCATENATE("R9C",'Mapa de Riesgos'!$O$62),"")</f>
        <v/>
      </c>
      <c r="K54" s="77" t="str">
        <f>IF(AND('Mapa de Riesgos'!$Y$63="Muy Baja",'Mapa de Riesgos'!$AA$63="Leve"),CONCATENATE("R9C",'Mapa de Riesgos'!$O$63),"")</f>
        <v/>
      </c>
      <c r="L54" s="77" t="str">
        <f>IF(AND('Mapa de Riesgos'!$Y$64="Muy Baja",'Mapa de Riesgos'!$AA$64="Leve"),CONCATENATE("R9C",'Mapa de Riesgos'!$O$64),"")</f>
        <v/>
      </c>
      <c r="M54" s="77" t="str">
        <f>IF(AND('Mapa de Riesgos'!$Y$65="Muy Baja",'Mapa de Riesgos'!$AA$65="Leve"),CONCATENATE("R9C",'Mapa de Riesgos'!$O$65),"")</f>
        <v/>
      </c>
      <c r="N54" s="77" t="str">
        <f>IF(AND('Mapa de Riesgos'!$Y$66="Muy Baja",'Mapa de Riesgos'!$AA$66="Leve"),CONCATENATE("R9C",'Mapa de Riesgos'!$O$66),"")</f>
        <v/>
      </c>
      <c r="O54" s="78" t="str">
        <f>IF(AND('Mapa de Riesgos'!$Y$67="Muy Baja",'Mapa de Riesgos'!$AA$67="Leve"),CONCATENATE("R9C",'Mapa de Riesgos'!$O$67),"")</f>
        <v/>
      </c>
      <c r="P54" s="76" t="str">
        <f>IF(AND('Mapa de Riesgos'!$Y$62="Muy Baja",'Mapa de Riesgos'!$AA$62="Menor"),CONCATENATE("R9C",'Mapa de Riesgos'!$O$62),"")</f>
        <v/>
      </c>
      <c r="Q54" s="77" t="str">
        <f>IF(AND('Mapa de Riesgos'!$Y$63="Muy Baja",'Mapa de Riesgos'!$AA$63="Menor"),CONCATENATE("R9C",'Mapa de Riesgos'!$O$63),"")</f>
        <v/>
      </c>
      <c r="R54" s="77" t="str">
        <f>IF(AND('Mapa de Riesgos'!$Y$64="Muy Baja",'Mapa de Riesgos'!$AA$64="Menor"),CONCATENATE("R9C",'Mapa de Riesgos'!$O$64),"")</f>
        <v/>
      </c>
      <c r="S54" s="77" t="str">
        <f>IF(AND('Mapa de Riesgos'!$Y$65="Muy Baja",'Mapa de Riesgos'!$AA$65="Menor"),CONCATENATE("R9C",'Mapa de Riesgos'!$O$65),"")</f>
        <v/>
      </c>
      <c r="T54" s="77" t="str">
        <f>IF(AND('Mapa de Riesgos'!$Y$66="Muy Baja",'Mapa de Riesgos'!$AA$66="Menor"),CONCATENATE("R9C",'Mapa de Riesgos'!$O$66),"")</f>
        <v/>
      </c>
      <c r="U54" s="78" t="str">
        <f>IF(AND('Mapa de Riesgos'!$Y$67="Muy Baja",'Mapa de Riesgos'!$AA$67="Menor"),CONCATENATE("R9C",'Mapa de Riesgos'!$O$67),"")</f>
        <v/>
      </c>
      <c r="V54" s="67" t="str">
        <f>IF(AND('Mapa de Riesgos'!$Y$62="Muy Baja",'Mapa de Riesgos'!$AA$62="Moderado"),CONCATENATE("R9C",'Mapa de Riesgos'!$O$62),"")</f>
        <v/>
      </c>
      <c r="W54" s="68" t="str">
        <f>IF(AND('Mapa de Riesgos'!$Y$63="Muy Baja",'Mapa de Riesgos'!$AA$63="Moderado"),CONCATENATE("R9C",'Mapa de Riesgos'!$O$63),"")</f>
        <v/>
      </c>
      <c r="X54" s="68" t="str">
        <f>IF(AND('Mapa de Riesgos'!$Y$64="Muy Baja",'Mapa de Riesgos'!$AA$64="Moderado"),CONCATENATE("R9C",'Mapa de Riesgos'!$O$64),"")</f>
        <v/>
      </c>
      <c r="Y54" s="68" t="str">
        <f>IF(AND('Mapa de Riesgos'!$Y$65="Muy Baja",'Mapa de Riesgos'!$AA$65="Moderado"),CONCATENATE("R9C",'Mapa de Riesgos'!$O$65),"")</f>
        <v/>
      </c>
      <c r="Z54" s="68" t="str">
        <f>IF(AND('Mapa de Riesgos'!$Y$66="Muy Baja",'Mapa de Riesgos'!$AA$66="Moderado"),CONCATENATE("R9C",'Mapa de Riesgos'!$O$66),"")</f>
        <v/>
      </c>
      <c r="AA54" s="69"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3" t="str">
        <f>IF(AND('Mapa de Riesgos'!$Y$64="Muy Baja",'Mapa de Riesgos'!$AA$64="Mayor"),CONCATENATE("R9C",'Mapa de Riesgos'!$O$64),"")</f>
        <v/>
      </c>
      <c r="AE54" s="53" t="str">
        <f>IF(AND('Mapa de Riesgos'!$Y$65="Muy Baja",'Mapa de Riesgos'!$AA$65="Mayor"),CONCATENATE("R9C",'Mapa de Riesgos'!$O$65),"")</f>
        <v/>
      </c>
      <c r="AF54" s="53"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9"/>
      <c r="C55" s="489"/>
      <c r="D55" s="490"/>
      <c r="E55" s="589"/>
      <c r="F55" s="590"/>
      <c r="G55" s="590"/>
      <c r="H55" s="590"/>
      <c r="I55" s="604"/>
      <c r="J55" s="79" t="str">
        <f>IF(AND('Mapa de Riesgos'!$Y$68="Muy Baja",'Mapa de Riesgos'!$AA$68="Leve"),CONCATENATE("R10C",'Mapa de Riesgos'!$O$68),"")</f>
        <v/>
      </c>
      <c r="K55" s="80" t="str">
        <f>IF(AND('Mapa de Riesgos'!$Y$69="Muy Baja",'Mapa de Riesgos'!$AA$69="Leve"),CONCATENATE("R10C",'Mapa de Riesgos'!$O$69),"")</f>
        <v/>
      </c>
      <c r="L55" s="80" t="str">
        <f>IF(AND('Mapa de Riesgos'!$Y$70="Muy Baja",'Mapa de Riesgos'!$AA$70="Leve"),CONCATENATE("R10C",'Mapa de Riesgos'!$O$70),"")</f>
        <v/>
      </c>
      <c r="M55" s="80" t="str">
        <f>IF(AND('Mapa de Riesgos'!$Y$71="Muy Baja",'Mapa de Riesgos'!$AA$71="Leve"),CONCATENATE("R10C",'Mapa de Riesgos'!$O$71),"")</f>
        <v/>
      </c>
      <c r="N55" s="80" t="str">
        <f>IF(AND('Mapa de Riesgos'!$Y$72="Muy Baja",'Mapa de Riesgos'!$AA$72="Leve"),CONCATENATE("R10C",'Mapa de Riesgos'!$O$72),"")</f>
        <v/>
      </c>
      <c r="O55" s="81" t="str">
        <f>IF(AND('Mapa de Riesgos'!$Y$73="Muy Baja",'Mapa de Riesgos'!$AA$73="Leve"),CONCATENATE("R10C",'Mapa de Riesgos'!$O$73),"")</f>
        <v/>
      </c>
      <c r="P55" s="79" t="str">
        <f>IF(AND('Mapa de Riesgos'!$Y$68="Muy Baja",'Mapa de Riesgos'!$AA$68="Menor"),CONCATENATE("R10C",'Mapa de Riesgos'!$O$68),"")</f>
        <v/>
      </c>
      <c r="Q55" s="80" t="str">
        <f>IF(AND('Mapa de Riesgos'!$Y$69="Muy Baja",'Mapa de Riesgos'!$AA$69="Menor"),CONCATENATE("R10C",'Mapa de Riesgos'!$O$69),"")</f>
        <v/>
      </c>
      <c r="R55" s="80" t="str">
        <f>IF(AND('Mapa de Riesgos'!$Y$70="Muy Baja",'Mapa de Riesgos'!$AA$70="Menor"),CONCATENATE("R10C",'Mapa de Riesgos'!$O$70),"")</f>
        <v/>
      </c>
      <c r="S55" s="80" t="str">
        <f>IF(AND('Mapa de Riesgos'!$Y$71="Muy Baja",'Mapa de Riesgos'!$AA$71="Menor"),CONCATENATE("R10C",'Mapa de Riesgos'!$O$71),"")</f>
        <v/>
      </c>
      <c r="T55" s="80" t="str">
        <f>IF(AND('Mapa de Riesgos'!$Y$72="Muy Baja",'Mapa de Riesgos'!$AA$72="Menor"),CONCATENATE("R10C",'Mapa de Riesgos'!$O$72),"")</f>
        <v/>
      </c>
      <c r="U55" s="81" t="str">
        <f>IF(AND('Mapa de Riesgos'!$Y$73="Muy Baja",'Mapa de Riesgos'!$AA$73="Menor"),CONCATENATE("R10C",'Mapa de Riesgos'!$O$73),"")</f>
        <v/>
      </c>
      <c r="V55" s="70" t="str">
        <f>IF(AND('Mapa de Riesgos'!$Y$68="Muy Baja",'Mapa de Riesgos'!$AA$68="Moderado"),CONCATENATE("R10C",'Mapa de Riesgos'!$O$68),"")</f>
        <v/>
      </c>
      <c r="W55" s="71" t="str">
        <f>IF(AND('Mapa de Riesgos'!$Y$69="Muy Baja",'Mapa de Riesgos'!$AA$69="Moderado"),CONCATENATE("R10C",'Mapa de Riesgos'!$O$69),"")</f>
        <v/>
      </c>
      <c r="X55" s="71" t="str">
        <f>IF(AND('Mapa de Riesgos'!$Y$70="Muy Baja",'Mapa de Riesgos'!$AA$70="Moderado"),CONCATENATE("R10C",'Mapa de Riesgos'!$O$70),"")</f>
        <v/>
      </c>
      <c r="Y55" s="71" t="str">
        <f>IF(AND('Mapa de Riesgos'!$Y$71="Muy Baja",'Mapa de Riesgos'!$AA$71="Moderado"),CONCATENATE("R10C",'Mapa de Riesgos'!$O$71),"")</f>
        <v/>
      </c>
      <c r="Z55" s="71" t="str">
        <f>IF(AND('Mapa de Riesgos'!$Y$72="Muy Baja",'Mapa de Riesgos'!$AA$72="Moderado"),CONCATENATE("R10C",'Mapa de Riesgos'!$O$72),"")</f>
        <v/>
      </c>
      <c r="AA55" s="72" t="str">
        <f>IF(AND('Mapa de Riesgos'!$Y$73="Muy Baja",'Mapa de Riesgos'!$AA$73="Moderado"),CONCATENATE("R10C",'Mapa de Riesgos'!$O$73),"")</f>
        <v/>
      </c>
      <c r="AB55" s="58" t="str">
        <f>IF(AND('Mapa de Riesgos'!$Y$68="Muy Baja",'Mapa de Riesgos'!$AA$68="Mayor"),CONCATENATE("R10C",'Mapa de Riesgos'!$O$68),"")</f>
        <v/>
      </c>
      <c r="AC55" s="59" t="str">
        <f>IF(AND('Mapa de Riesgos'!$Y$69="Muy Baja",'Mapa de Riesgos'!$AA$69="Mayor"),CONCATENATE("R10C",'Mapa de Riesgos'!$O$69),"")</f>
        <v/>
      </c>
      <c r="AD55" s="59" t="str">
        <f>IF(AND('Mapa de Riesgos'!$Y$70="Muy Baja",'Mapa de Riesgos'!$AA$70="Mayor"),CONCATENATE("R10C",'Mapa de Riesgos'!$O$70),"")</f>
        <v/>
      </c>
      <c r="AE55" s="59" t="str">
        <f>IF(AND('Mapa de Riesgos'!$Y$71="Muy Baja",'Mapa de Riesgos'!$AA$71="Mayor"),CONCATENATE("R10C",'Mapa de Riesgos'!$O$71),"")</f>
        <v/>
      </c>
      <c r="AF55" s="59" t="str">
        <f>IF(AND('Mapa de Riesgos'!$Y$72="Muy Baja",'Mapa de Riesgos'!$AA$72="Mayor"),CONCATENATE("R10C",'Mapa de Riesgos'!$O$72),"")</f>
        <v/>
      </c>
      <c r="AG55" s="60" t="str">
        <f>IF(AND('Mapa de Riesgos'!$Y$73="Muy Baja",'Mapa de Riesgos'!$AA$73="Mayor"),CONCATENATE("R10C",'Mapa de Riesgos'!$O$73),"")</f>
        <v/>
      </c>
      <c r="AH55" s="61" t="str">
        <f>IF(AND('Mapa de Riesgos'!$Y$68="Muy Baja",'Mapa de Riesgos'!$AA$68="Catastrófico"),CONCATENATE("R10C",'Mapa de Riesgos'!$O$68),"")</f>
        <v/>
      </c>
      <c r="AI55" s="62" t="str">
        <f>IF(AND('Mapa de Riesgos'!$Y$69="Muy Baja",'Mapa de Riesgos'!$AA$69="Catastrófico"),CONCATENATE("R10C",'Mapa de Riesgos'!$O$69),"")</f>
        <v/>
      </c>
      <c r="AJ55" s="62" t="str">
        <f>IF(AND('Mapa de Riesgos'!$Y$70="Muy Baja",'Mapa de Riesgos'!$AA$70="Catastrófico"),CONCATENATE("R10C",'Mapa de Riesgos'!$O$70),"")</f>
        <v/>
      </c>
      <c r="AK55" s="62" t="str">
        <f>IF(AND('Mapa de Riesgos'!$Y$71="Muy Baja",'Mapa de Riesgos'!$AA$71="Catastrófico"),CONCATENATE("R10C",'Mapa de Riesgos'!$O$71),"")</f>
        <v/>
      </c>
      <c r="AL55" s="62" t="str">
        <f>IF(AND('Mapa de Riesgos'!$Y$72="Muy Baja",'Mapa de Riesgos'!$AA$72="Catastrófico"),CONCATENATE("R10C",'Mapa de Riesgos'!$O$72),"")</f>
        <v/>
      </c>
      <c r="AM55" s="63" t="str">
        <f>IF(AND('Mapa de Riesgos'!$Y$73="Muy Baja",'Mapa de Riesgos'!$AA$73="Catastrófico"),CONCATENATE("R10C",'Mapa de Riesgos'!$O$73),"")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84" t="s">
        <v>232</v>
      </c>
      <c r="K56" s="585"/>
      <c r="L56" s="585"/>
      <c r="M56" s="585"/>
      <c r="N56" s="585"/>
      <c r="O56" s="602"/>
      <c r="P56" s="584" t="s">
        <v>233</v>
      </c>
      <c r="Q56" s="585"/>
      <c r="R56" s="585"/>
      <c r="S56" s="585"/>
      <c r="T56" s="585"/>
      <c r="U56" s="602"/>
      <c r="V56" s="584" t="s">
        <v>234</v>
      </c>
      <c r="W56" s="585"/>
      <c r="X56" s="585"/>
      <c r="Y56" s="585"/>
      <c r="Z56" s="585"/>
      <c r="AA56" s="602"/>
      <c r="AB56" s="584" t="s">
        <v>235</v>
      </c>
      <c r="AC56" s="623"/>
      <c r="AD56" s="585"/>
      <c r="AE56" s="585"/>
      <c r="AF56" s="585"/>
      <c r="AG56" s="602"/>
      <c r="AH56" s="584" t="s">
        <v>236</v>
      </c>
      <c r="AI56" s="585"/>
      <c r="AJ56" s="585"/>
      <c r="AK56" s="585"/>
      <c r="AL56" s="585"/>
      <c r="AM56" s="60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88"/>
      <c r="K57" s="587"/>
      <c r="L57" s="587"/>
      <c r="M57" s="587"/>
      <c r="N57" s="587"/>
      <c r="O57" s="603"/>
      <c r="P57" s="588"/>
      <c r="Q57" s="587"/>
      <c r="R57" s="587"/>
      <c r="S57" s="587"/>
      <c r="T57" s="587"/>
      <c r="U57" s="603"/>
      <c r="V57" s="588"/>
      <c r="W57" s="587"/>
      <c r="X57" s="587"/>
      <c r="Y57" s="587"/>
      <c r="Z57" s="587"/>
      <c r="AA57" s="603"/>
      <c r="AB57" s="588"/>
      <c r="AC57" s="587"/>
      <c r="AD57" s="587"/>
      <c r="AE57" s="587"/>
      <c r="AF57" s="587"/>
      <c r="AG57" s="603"/>
      <c r="AH57" s="588"/>
      <c r="AI57" s="587"/>
      <c r="AJ57" s="587"/>
      <c r="AK57" s="587"/>
      <c r="AL57" s="587"/>
      <c r="AM57" s="60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88"/>
      <c r="K58" s="587"/>
      <c r="L58" s="587"/>
      <c r="M58" s="587"/>
      <c r="N58" s="587"/>
      <c r="O58" s="603"/>
      <c r="P58" s="588"/>
      <c r="Q58" s="587"/>
      <c r="R58" s="587"/>
      <c r="S58" s="587"/>
      <c r="T58" s="587"/>
      <c r="U58" s="603"/>
      <c r="V58" s="588"/>
      <c r="W58" s="587"/>
      <c r="X58" s="587"/>
      <c r="Y58" s="587"/>
      <c r="Z58" s="587"/>
      <c r="AA58" s="603"/>
      <c r="AB58" s="588"/>
      <c r="AC58" s="587"/>
      <c r="AD58" s="587"/>
      <c r="AE58" s="587"/>
      <c r="AF58" s="587"/>
      <c r="AG58" s="603"/>
      <c r="AH58" s="588"/>
      <c r="AI58" s="587"/>
      <c r="AJ58" s="587"/>
      <c r="AK58" s="587"/>
      <c r="AL58" s="587"/>
      <c r="AM58" s="60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88"/>
      <c r="K59" s="587"/>
      <c r="L59" s="587"/>
      <c r="M59" s="587"/>
      <c r="N59" s="587"/>
      <c r="O59" s="603"/>
      <c r="P59" s="588"/>
      <c r="Q59" s="587"/>
      <c r="R59" s="587"/>
      <c r="S59" s="587"/>
      <c r="T59" s="587"/>
      <c r="U59" s="603"/>
      <c r="V59" s="588"/>
      <c r="W59" s="587"/>
      <c r="X59" s="587"/>
      <c r="Y59" s="587"/>
      <c r="Z59" s="587"/>
      <c r="AA59" s="603"/>
      <c r="AB59" s="588"/>
      <c r="AC59" s="587"/>
      <c r="AD59" s="587"/>
      <c r="AE59" s="587"/>
      <c r="AF59" s="587"/>
      <c r="AG59" s="603"/>
      <c r="AH59" s="588"/>
      <c r="AI59" s="587"/>
      <c r="AJ59" s="587"/>
      <c r="AK59" s="587"/>
      <c r="AL59" s="587"/>
      <c r="AM59" s="60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88"/>
      <c r="K60" s="587"/>
      <c r="L60" s="587"/>
      <c r="M60" s="587"/>
      <c r="N60" s="587"/>
      <c r="O60" s="603"/>
      <c r="P60" s="588"/>
      <c r="Q60" s="587"/>
      <c r="R60" s="587"/>
      <c r="S60" s="587"/>
      <c r="T60" s="587"/>
      <c r="U60" s="603"/>
      <c r="V60" s="588"/>
      <c r="W60" s="587"/>
      <c r="X60" s="587"/>
      <c r="Y60" s="587"/>
      <c r="Z60" s="587"/>
      <c r="AA60" s="603"/>
      <c r="AB60" s="588"/>
      <c r="AC60" s="587"/>
      <c r="AD60" s="587"/>
      <c r="AE60" s="587"/>
      <c r="AF60" s="587"/>
      <c r="AG60" s="603"/>
      <c r="AH60" s="588"/>
      <c r="AI60" s="587"/>
      <c r="AJ60" s="587"/>
      <c r="AK60" s="587"/>
      <c r="AL60" s="587"/>
      <c r="AM60" s="60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89"/>
      <c r="K61" s="590"/>
      <c r="L61" s="590"/>
      <c r="M61" s="590"/>
      <c r="N61" s="590"/>
      <c r="O61" s="604"/>
      <c r="P61" s="589"/>
      <c r="Q61" s="590"/>
      <c r="R61" s="590"/>
      <c r="S61" s="590"/>
      <c r="T61" s="590"/>
      <c r="U61" s="604"/>
      <c r="V61" s="589"/>
      <c r="W61" s="590"/>
      <c r="X61" s="590"/>
      <c r="Y61" s="590"/>
      <c r="Z61" s="590"/>
      <c r="AA61" s="604"/>
      <c r="AB61" s="589"/>
      <c r="AC61" s="590"/>
      <c r="AD61" s="590"/>
      <c r="AE61" s="590"/>
      <c r="AF61" s="590"/>
      <c r="AG61" s="604"/>
      <c r="AH61" s="589"/>
      <c r="AI61" s="590"/>
      <c r="AJ61" s="590"/>
      <c r="AK61" s="590"/>
      <c r="AL61" s="590"/>
      <c r="AM61" s="60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624" t="s">
        <v>238</v>
      </c>
      <c r="C1" s="624"/>
      <c r="D1" s="62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239</v>
      </c>
      <c r="D3" s="12" t="s">
        <v>222</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240</v>
      </c>
      <c r="C4" s="14" t="s">
        <v>241</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242</v>
      </c>
      <c r="C5" s="17" t="s">
        <v>243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244</v>
      </c>
      <c r="C6" s="17" t="s">
        <v>245</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246</v>
      </c>
      <c r="C7" s="17" t="s">
        <v>247</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248</v>
      </c>
      <c r="C8" s="17" t="s">
        <v>249</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625" t="s">
        <v>250</v>
      </c>
      <c r="C1" s="625"/>
      <c r="D1" s="62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251</v>
      </c>
      <c r="D3" s="36" t="s">
        <v>252</v>
      </c>
      <c r="E3" s="83"/>
      <c r="F3" s="83"/>
      <c r="G3" s="83"/>
      <c r="H3" s="83"/>
      <c r="I3" s="83"/>
      <c r="J3" s="83"/>
      <c r="K3" s="83"/>
      <c r="L3" s="83"/>
      <c r="M3" s="83"/>
      <c r="N3" s="83"/>
      <c r="O3" s="83"/>
      <c r="P3" s="83"/>
      <c r="Q3" s="83"/>
      <c r="R3" s="83"/>
      <c r="S3" s="83"/>
      <c r="T3" s="83"/>
      <c r="U3" s="83"/>
    </row>
    <row r="4" spans="1:21" ht="33.75" x14ac:dyDescent="0.25">
      <c r="A4" s="100" t="s">
        <v>253</v>
      </c>
      <c r="B4" s="39" t="s">
        <v>254</v>
      </c>
      <c r="C4" s="44" t="s">
        <v>255</v>
      </c>
      <c r="D4" s="37" t="s">
        <v>256</v>
      </c>
      <c r="E4" s="83"/>
      <c r="F4" s="83"/>
      <c r="G4" s="83"/>
      <c r="H4" s="83"/>
      <c r="I4" s="83"/>
      <c r="J4" s="83"/>
      <c r="K4" s="83"/>
      <c r="L4" s="83"/>
      <c r="M4" s="83"/>
      <c r="N4" s="83"/>
      <c r="O4" s="83"/>
      <c r="P4" s="83"/>
      <c r="Q4" s="83"/>
      <c r="R4" s="83"/>
      <c r="S4" s="83"/>
      <c r="T4" s="83"/>
      <c r="U4" s="83"/>
    </row>
    <row r="5" spans="1:21" ht="67.5" x14ac:dyDescent="0.25">
      <c r="A5" s="100" t="s">
        <v>257</v>
      </c>
      <c r="B5" s="40" t="s">
        <v>258</v>
      </c>
      <c r="C5" s="45" t="s">
        <v>259</v>
      </c>
      <c r="D5" s="38" t="s">
        <v>260</v>
      </c>
      <c r="E5" s="83"/>
      <c r="F5" s="83"/>
      <c r="G5" s="83"/>
      <c r="H5" s="83"/>
      <c r="I5" s="83"/>
      <c r="J5" s="83"/>
      <c r="K5" s="83"/>
      <c r="L5" s="83"/>
      <c r="M5" s="83"/>
      <c r="N5" s="83"/>
      <c r="O5" s="83"/>
      <c r="P5" s="83"/>
      <c r="Q5" s="83"/>
      <c r="R5" s="83"/>
      <c r="S5" s="83"/>
      <c r="T5" s="83"/>
      <c r="U5" s="83"/>
    </row>
    <row r="6" spans="1:21" ht="67.5" x14ac:dyDescent="0.25">
      <c r="A6" s="100" t="s">
        <v>228</v>
      </c>
      <c r="B6" s="41" t="s">
        <v>261</v>
      </c>
      <c r="C6" s="45" t="s">
        <v>262</v>
      </c>
      <c r="D6" s="38" t="s">
        <v>263</v>
      </c>
      <c r="E6" s="83"/>
      <c r="F6" s="83"/>
      <c r="G6" s="83"/>
      <c r="H6" s="83"/>
      <c r="I6" s="83"/>
      <c r="J6" s="83"/>
      <c r="K6" s="83"/>
      <c r="L6" s="83"/>
      <c r="M6" s="83"/>
      <c r="N6" s="83"/>
      <c r="O6" s="83"/>
      <c r="P6" s="83"/>
      <c r="Q6" s="83"/>
      <c r="R6" s="83"/>
      <c r="S6" s="83"/>
      <c r="T6" s="83"/>
      <c r="U6" s="83"/>
    </row>
    <row r="7" spans="1:21" ht="101.25" x14ac:dyDescent="0.25">
      <c r="A7" s="100" t="s">
        <v>264</v>
      </c>
      <c r="B7" s="42" t="s">
        <v>265</v>
      </c>
      <c r="C7" s="45" t="s">
        <v>266</v>
      </c>
      <c r="D7" s="38" t="s">
        <v>267</v>
      </c>
      <c r="E7" s="83"/>
      <c r="F7" s="83"/>
      <c r="G7" s="83"/>
      <c r="H7" s="83"/>
      <c r="I7" s="83"/>
      <c r="J7" s="83"/>
      <c r="K7" s="83"/>
      <c r="L7" s="83"/>
      <c r="M7" s="83"/>
      <c r="N7" s="83"/>
      <c r="O7" s="83"/>
      <c r="P7" s="83"/>
      <c r="Q7" s="83"/>
      <c r="R7" s="83"/>
      <c r="S7" s="83"/>
      <c r="T7" s="83"/>
      <c r="U7" s="83"/>
    </row>
    <row r="8" spans="1:21" ht="67.5" x14ac:dyDescent="0.25">
      <c r="A8" s="100" t="s">
        <v>268</v>
      </c>
      <c r="B8" s="43" t="s">
        <v>269</v>
      </c>
      <c r="C8" s="45" t="s">
        <v>270</v>
      </c>
      <c r="D8" s="38" t="s">
        <v>271</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272</v>
      </c>
      <c r="C11" s="100" t="s">
        <v>273</v>
      </c>
      <c r="D11" s="100" t="s">
        <v>274</v>
      </c>
      <c r="E11" s="83"/>
      <c r="F11" s="83"/>
      <c r="G11" s="83"/>
      <c r="H11" s="83"/>
      <c r="I11" s="83"/>
      <c r="J11" s="83"/>
      <c r="K11" s="83"/>
      <c r="L11" s="83"/>
      <c r="M11" s="83"/>
      <c r="N11" s="83"/>
      <c r="O11" s="83"/>
      <c r="P11" s="83"/>
      <c r="Q11" s="83"/>
      <c r="R11" s="83"/>
      <c r="S11" s="83"/>
      <c r="T11" s="83"/>
      <c r="U11" s="83"/>
    </row>
    <row r="12" spans="1:21" x14ac:dyDescent="0.25">
      <c r="A12" s="100"/>
      <c r="B12" s="100" t="s">
        <v>275</v>
      </c>
      <c r="C12" s="100" t="s">
        <v>218</v>
      </c>
      <c r="D12" s="100" t="s">
        <v>207</v>
      </c>
      <c r="E12" s="83"/>
      <c r="F12" s="83"/>
      <c r="G12" s="83"/>
      <c r="H12" s="83"/>
      <c r="I12" s="83"/>
      <c r="J12" s="83"/>
      <c r="K12" s="83"/>
      <c r="L12" s="83"/>
      <c r="M12" s="83"/>
      <c r="N12" s="83"/>
      <c r="O12" s="83"/>
      <c r="P12" s="83"/>
      <c r="Q12" s="83"/>
      <c r="R12" s="83"/>
      <c r="S12" s="83"/>
      <c r="T12" s="83"/>
      <c r="U12" s="83"/>
    </row>
    <row r="13" spans="1:21" x14ac:dyDescent="0.25">
      <c r="A13" s="100"/>
      <c r="B13" s="100"/>
      <c r="C13" s="100" t="s">
        <v>276</v>
      </c>
      <c r="D13" s="100" t="s">
        <v>169</v>
      </c>
      <c r="E13" s="83"/>
      <c r="F13" s="83"/>
      <c r="G13" s="83"/>
      <c r="H13" s="83"/>
      <c r="I13" s="83"/>
      <c r="J13" s="83"/>
      <c r="K13" s="83"/>
      <c r="L13" s="83"/>
      <c r="M13" s="83"/>
      <c r="N13" s="83"/>
      <c r="O13" s="83"/>
      <c r="P13" s="83"/>
      <c r="Q13" s="83"/>
      <c r="R13" s="83"/>
      <c r="S13" s="83"/>
      <c r="T13" s="83"/>
      <c r="U13" s="83"/>
    </row>
    <row r="14" spans="1:21" x14ac:dyDescent="0.25">
      <c r="A14" s="100"/>
      <c r="B14" s="100"/>
      <c r="C14" s="100" t="s">
        <v>277</v>
      </c>
      <c r="D14" s="100" t="s">
        <v>187</v>
      </c>
      <c r="E14" s="83"/>
      <c r="F14" s="83"/>
      <c r="G14" s="83"/>
      <c r="H14" s="83"/>
      <c r="I14" s="83"/>
      <c r="J14" s="83"/>
      <c r="K14" s="83"/>
      <c r="L14" s="83"/>
      <c r="M14" s="83"/>
      <c r="N14" s="83"/>
      <c r="O14" s="83"/>
      <c r="P14" s="83"/>
      <c r="Q14" s="83"/>
      <c r="R14" s="83"/>
      <c r="S14" s="83"/>
      <c r="T14" s="83"/>
      <c r="U14" s="83"/>
    </row>
    <row r="15" spans="1:21" x14ac:dyDescent="0.25">
      <c r="A15" s="100"/>
      <c r="B15" s="100"/>
      <c r="C15" s="100" t="s">
        <v>278</v>
      </c>
      <c r="D15" s="100" t="s">
        <v>279</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280</v>
      </c>
      <c r="C209" s="30" t="s">
        <v>281</v>
      </c>
      <c r="D209" s="33" t="s">
        <v>280</v>
      </c>
      <c r="E209" s="33" t="s">
        <v>281</v>
      </c>
    </row>
    <row r="210" spans="1:8" ht="21" x14ac:dyDescent="0.35">
      <c r="A210" s="83"/>
      <c r="B210" s="31" t="s">
        <v>282</v>
      </c>
      <c r="C210" s="31" t="s">
        <v>283</v>
      </c>
      <c r="D210" t="s">
        <v>282</v>
      </c>
      <c r="F210" t="str">
        <f>IF(NOT(ISBLANK(D210)),D210,IF(NOT(ISBLANK(E210)),"     "&amp;E210,FALSE))</f>
        <v>Afectación Económica o presupuestal</v>
      </c>
      <c r="G210" t="s">
        <v>282</v>
      </c>
      <c r="H210" t="str">
        <f>IF(NOT(ISERROR(MATCH(G210,_xlfn.ANCHORARRAY(B221),0))),F223&amp;"Por favor no seleccionar los criterios de impacto",G210)</f>
        <v>❌Por favor no seleccionar los criterios de impacto</v>
      </c>
    </row>
    <row r="211" spans="1:8" ht="21" x14ac:dyDescent="0.35">
      <c r="A211" s="83"/>
      <c r="B211" s="31" t="s">
        <v>282</v>
      </c>
      <c r="C211" s="31" t="s">
        <v>259</v>
      </c>
      <c r="E211" t="s">
        <v>283</v>
      </c>
      <c r="F211" t="str">
        <f t="shared" ref="F211:F221" si="0">IF(NOT(ISBLANK(D211)),D211,IF(NOT(ISBLANK(E211)),"     "&amp;E211,FALSE))</f>
        <v xml:space="preserve">     Afectación menor a 10 SMLMV .</v>
      </c>
    </row>
    <row r="212" spans="1:8" ht="21" x14ac:dyDescent="0.35">
      <c r="A212" s="83"/>
      <c r="B212" s="31" t="s">
        <v>282</v>
      </c>
      <c r="C212" s="31" t="s">
        <v>262</v>
      </c>
      <c r="E212" t="s">
        <v>259</v>
      </c>
      <c r="F212" t="str">
        <f t="shared" si="0"/>
        <v xml:space="preserve">     Entre 10 y 50 SMLMV </v>
      </c>
    </row>
    <row r="213" spans="1:8" ht="21" x14ac:dyDescent="0.35">
      <c r="A213" s="83"/>
      <c r="B213" s="31" t="s">
        <v>282</v>
      </c>
      <c r="C213" s="31" t="s">
        <v>266</v>
      </c>
      <c r="E213" t="s">
        <v>262</v>
      </c>
      <c r="F213" t="str">
        <f t="shared" si="0"/>
        <v xml:space="preserve">     Entre 50 y 100 SMLMV </v>
      </c>
    </row>
    <row r="214" spans="1:8" ht="21" x14ac:dyDescent="0.35">
      <c r="A214" s="83"/>
      <c r="B214" s="31" t="s">
        <v>282</v>
      </c>
      <c r="C214" s="31" t="s">
        <v>270</v>
      </c>
      <c r="E214" t="s">
        <v>266</v>
      </c>
      <c r="F214" t="str">
        <f t="shared" si="0"/>
        <v xml:space="preserve">     Entre 100 y 500 SMLMV </v>
      </c>
    </row>
    <row r="215" spans="1:8" ht="21" x14ac:dyDescent="0.35">
      <c r="A215" s="83"/>
      <c r="B215" s="31" t="s">
        <v>252</v>
      </c>
      <c r="C215" s="31" t="s">
        <v>256</v>
      </c>
      <c r="E215" t="s">
        <v>270</v>
      </c>
      <c r="F215" t="str">
        <f t="shared" si="0"/>
        <v xml:space="preserve">     Mayor a 500 SMLMV </v>
      </c>
    </row>
    <row r="216" spans="1:8" ht="21" x14ac:dyDescent="0.35">
      <c r="A216" s="83"/>
      <c r="B216" s="31" t="s">
        <v>252</v>
      </c>
      <c r="C216" s="31" t="s">
        <v>260</v>
      </c>
      <c r="D216" t="s">
        <v>252</v>
      </c>
      <c r="F216" t="str">
        <f t="shared" si="0"/>
        <v>Pérdida Reputacional</v>
      </c>
    </row>
    <row r="217" spans="1:8" ht="21" x14ac:dyDescent="0.35">
      <c r="A217" s="83"/>
      <c r="B217" s="31" t="s">
        <v>252</v>
      </c>
      <c r="C217" s="31" t="s">
        <v>263</v>
      </c>
      <c r="E217" t="s">
        <v>256</v>
      </c>
      <c r="F217" t="str">
        <f t="shared" si="0"/>
        <v xml:space="preserve">     El riesgo afecta la imagen de alguna área de la organización</v>
      </c>
    </row>
    <row r="218" spans="1:8" ht="21" x14ac:dyDescent="0.35">
      <c r="A218" s="83"/>
      <c r="B218" s="31" t="s">
        <v>252</v>
      </c>
      <c r="C218" s="31" t="s">
        <v>267</v>
      </c>
      <c r="E218" t="s">
        <v>260</v>
      </c>
      <c r="F218" t="str">
        <f t="shared" si="0"/>
        <v xml:space="preserve">     El riesgo afecta la imagen de la entidad internamente, de conocimiento general, nivel interno, de junta dircetiva y accionistas y/o de provedores</v>
      </c>
    </row>
    <row r="219" spans="1:8" ht="21" x14ac:dyDescent="0.35">
      <c r="A219" s="83"/>
      <c r="B219" s="31" t="s">
        <v>252</v>
      </c>
      <c r="C219" s="31" t="s">
        <v>271</v>
      </c>
      <c r="E219" t="s">
        <v>263</v>
      </c>
      <c r="F219" t="str">
        <f t="shared" si="0"/>
        <v xml:space="preserve">     El riesgo afecta la imagen de la entidad con algunos usuarios de relevancia frente al logro de los objetivos</v>
      </c>
    </row>
    <row r="220" spans="1:8" x14ac:dyDescent="0.25">
      <c r="A220" s="83"/>
      <c r="B220" s="32"/>
      <c r="C220" s="32"/>
      <c r="E220" t="s">
        <v>267</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271</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284</v>
      </c>
    </row>
    <row r="224" spans="1:8" x14ac:dyDescent="0.25">
      <c r="B224" s="22"/>
      <c r="C224" s="22"/>
      <c r="F224" s="35" t="s">
        <v>285</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626" t="s">
        <v>286</v>
      </c>
      <c r="C1" s="627"/>
      <c r="D1" s="627"/>
      <c r="E1" s="627"/>
      <c r="F1" s="628"/>
    </row>
    <row r="2" spans="2:6" ht="16.5" thickBot="1" x14ac:dyDescent="0.3">
      <c r="B2" s="86"/>
      <c r="C2" s="86"/>
      <c r="D2" s="86"/>
      <c r="E2" s="86"/>
      <c r="F2" s="86"/>
    </row>
    <row r="3" spans="2:6" ht="16.5" thickBot="1" x14ac:dyDescent="0.25">
      <c r="B3" s="630" t="s">
        <v>287</v>
      </c>
      <c r="C3" s="631"/>
      <c r="D3" s="631"/>
      <c r="E3" s="98" t="s">
        <v>288</v>
      </c>
      <c r="F3" s="99" t="s">
        <v>289</v>
      </c>
    </row>
    <row r="4" spans="2:6" ht="31.5" x14ac:dyDescent="0.2">
      <c r="B4" s="632" t="s">
        <v>290</v>
      </c>
      <c r="C4" s="634" t="s">
        <v>158</v>
      </c>
      <c r="D4" s="87" t="s">
        <v>171</v>
      </c>
      <c r="E4" s="88" t="s">
        <v>291</v>
      </c>
      <c r="F4" s="89">
        <v>0.25</v>
      </c>
    </row>
    <row r="5" spans="2:6" ht="47.25" x14ac:dyDescent="0.2">
      <c r="B5" s="633"/>
      <c r="C5" s="635"/>
      <c r="D5" s="90" t="s">
        <v>189</v>
      </c>
      <c r="E5" s="91" t="s">
        <v>292</v>
      </c>
      <c r="F5" s="92">
        <v>0.15</v>
      </c>
    </row>
    <row r="6" spans="2:6" ht="47.25" x14ac:dyDescent="0.2">
      <c r="B6" s="633"/>
      <c r="C6" s="635"/>
      <c r="D6" s="90" t="s">
        <v>293</v>
      </c>
      <c r="E6" s="91" t="s">
        <v>294</v>
      </c>
      <c r="F6" s="92">
        <v>0.1</v>
      </c>
    </row>
    <row r="7" spans="2:6" ht="63" x14ac:dyDescent="0.2">
      <c r="B7" s="633"/>
      <c r="C7" s="635" t="s">
        <v>159</v>
      </c>
      <c r="D7" s="90" t="s">
        <v>295</v>
      </c>
      <c r="E7" s="91" t="s">
        <v>296</v>
      </c>
      <c r="F7" s="92">
        <v>0.25</v>
      </c>
    </row>
    <row r="8" spans="2:6" ht="31.5" x14ac:dyDescent="0.2">
      <c r="B8" s="633"/>
      <c r="C8" s="635"/>
      <c r="D8" s="90" t="s">
        <v>172</v>
      </c>
      <c r="E8" s="91" t="s">
        <v>297</v>
      </c>
      <c r="F8" s="92">
        <v>0.15</v>
      </c>
    </row>
    <row r="9" spans="2:6" ht="47.25" x14ac:dyDescent="0.2">
      <c r="B9" s="633" t="s">
        <v>298</v>
      </c>
      <c r="C9" s="635" t="s">
        <v>161</v>
      </c>
      <c r="D9" s="90" t="s">
        <v>173</v>
      </c>
      <c r="E9" s="91" t="s">
        <v>299</v>
      </c>
      <c r="F9" s="93" t="s">
        <v>300</v>
      </c>
    </row>
    <row r="10" spans="2:6" ht="63" x14ac:dyDescent="0.2">
      <c r="B10" s="633"/>
      <c r="C10" s="635"/>
      <c r="D10" s="90" t="s">
        <v>301</v>
      </c>
      <c r="E10" s="91" t="s">
        <v>302</v>
      </c>
      <c r="F10" s="93" t="s">
        <v>300</v>
      </c>
    </row>
    <row r="11" spans="2:6" ht="47.25" x14ac:dyDescent="0.2">
      <c r="B11" s="633"/>
      <c r="C11" s="635" t="s">
        <v>162</v>
      </c>
      <c r="D11" s="90" t="s">
        <v>174</v>
      </c>
      <c r="E11" s="91" t="s">
        <v>303</v>
      </c>
      <c r="F11" s="93" t="s">
        <v>300</v>
      </c>
    </row>
    <row r="12" spans="2:6" ht="47.25" x14ac:dyDescent="0.2">
      <c r="B12" s="633"/>
      <c r="C12" s="635"/>
      <c r="D12" s="90" t="s">
        <v>304</v>
      </c>
      <c r="E12" s="91" t="s">
        <v>305</v>
      </c>
      <c r="F12" s="93" t="s">
        <v>300</v>
      </c>
    </row>
    <row r="13" spans="2:6" ht="31.5" x14ac:dyDescent="0.2">
      <c r="B13" s="633"/>
      <c r="C13" s="635" t="s">
        <v>163</v>
      </c>
      <c r="D13" s="90" t="s">
        <v>175</v>
      </c>
      <c r="E13" s="91" t="s">
        <v>306</v>
      </c>
      <c r="F13" s="93" t="s">
        <v>300</v>
      </c>
    </row>
    <row r="14" spans="2:6" ht="32.25" thickBot="1" x14ac:dyDescent="0.25">
      <c r="B14" s="636"/>
      <c r="C14" s="637"/>
      <c r="D14" s="94" t="s">
        <v>307</v>
      </c>
      <c r="E14" s="95" t="s">
        <v>308</v>
      </c>
      <c r="F14" s="96" t="s">
        <v>300</v>
      </c>
    </row>
    <row r="15" spans="2:6" ht="49.5" customHeight="1" x14ac:dyDescent="0.2">
      <c r="B15" s="629" t="s">
        <v>309</v>
      </c>
      <c r="C15" s="629"/>
      <c r="D15" s="629"/>
      <c r="E15" s="629"/>
      <c r="F15" s="629"/>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310</v>
      </c>
      <c r="E2" t="s">
        <v>311</v>
      </c>
    </row>
    <row r="3" spans="2:5" x14ac:dyDescent="0.25">
      <c r="B3" t="s">
        <v>312</v>
      </c>
      <c r="E3" t="s">
        <v>164</v>
      </c>
    </row>
    <row r="4" spans="2:5" x14ac:dyDescent="0.25">
      <c r="B4" t="s">
        <v>313</v>
      </c>
      <c r="E4" t="s">
        <v>182</v>
      </c>
    </row>
    <row r="5" spans="2:5" x14ac:dyDescent="0.25">
      <c r="B5" t="s">
        <v>176</v>
      </c>
    </row>
    <row r="8" spans="2:5" x14ac:dyDescent="0.25">
      <c r="B8" t="s">
        <v>314</v>
      </c>
    </row>
    <row r="9" spans="2:5" x14ac:dyDescent="0.25">
      <c r="B9" t="s">
        <v>315</v>
      </c>
    </row>
    <row r="10" spans="2:5" x14ac:dyDescent="0.25">
      <c r="B10" t="s">
        <v>316</v>
      </c>
    </row>
    <row r="13" spans="2:5" x14ac:dyDescent="0.25">
      <c r="B13" t="s">
        <v>317</v>
      </c>
    </row>
    <row r="14" spans="2:5" x14ac:dyDescent="0.25">
      <c r="B14" t="s">
        <v>168</v>
      </c>
    </row>
    <row r="15" spans="2:5" x14ac:dyDescent="0.25">
      <c r="B15" t="s">
        <v>318</v>
      </c>
    </row>
    <row r="16" spans="2:5" x14ac:dyDescent="0.25">
      <c r="B16" t="s">
        <v>319</v>
      </c>
    </row>
    <row r="17" spans="2:2" x14ac:dyDescent="0.25">
      <c r="B17" t="s">
        <v>320</v>
      </c>
    </row>
    <row r="18" spans="2:2" x14ac:dyDescent="0.25">
      <c r="B18" t="s">
        <v>321</v>
      </c>
    </row>
    <row r="19" spans="2:2" x14ac:dyDescent="0.25">
      <c r="B19" t="s">
        <v>186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2023-10-09T15:07:04Z</dcterms:modified>
  <cp:category/>
  <cp:contentStatus/>
</cp:coreProperties>
</file>