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6EF80AA3-58CA-4798-9B72-6FCB0D5F896F}" xr6:coauthVersionLast="47" xr6:coauthVersionMax="47" xr10:uidLastSave="{00000000-0000-0000-0000-000000000000}"/>
  <bookViews>
    <workbookView xWindow="-120" yWindow="-120" windowWidth="29040" windowHeight="15720" tabRatio="431" xr2:uid="{00000000-000D-0000-FFFF-FFFF00000000}"/>
  </bookViews>
  <sheets>
    <sheet name="PA 2022" sheetId="14" r:id="rId1"/>
  </sheets>
  <definedNames>
    <definedName name="_xlnm._FilterDatabase" localSheetId="0" hidden="1">'PA 2022'!$A$8:$AE$86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3" i="14" l="1"/>
  <c r="U77" i="14"/>
  <c r="U74" i="14"/>
  <c r="U72" i="14"/>
  <c r="U71" i="14"/>
  <c r="U69" i="14"/>
  <c r="U68" i="14"/>
  <c r="U66" i="14"/>
  <c r="U64" i="14"/>
  <c r="U63" i="14"/>
  <c r="U60" i="14"/>
  <c r="U59" i="14"/>
  <c r="U57" i="14"/>
  <c r="U56" i="14"/>
  <c r="U55" i="14"/>
  <c r="U54" i="14"/>
  <c r="U52" i="14"/>
  <c r="U51" i="14"/>
  <c r="U50" i="14"/>
  <c r="U49" i="14"/>
  <c r="U48" i="14"/>
  <c r="U47" i="14"/>
  <c r="U46" i="14"/>
  <c r="U43" i="14"/>
  <c r="U42" i="14"/>
  <c r="U41" i="14"/>
  <c r="U40" i="14"/>
  <c r="U39" i="14"/>
  <c r="U38" i="14"/>
  <c r="U37" i="14"/>
  <c r="U35" i="14"/>
  <c r="U34" i="14"/>
  <c r="U32" i="14"/>
  <c r="U31" i="14"/>
  <c r="U29" i="14"/>
  <c r="U21" i="14"/>
  <c r="U20" i="14"/>
  <c r="U16" i="14"/>
  <c r="U9" i="14"/>
  <c r="N31" i="14" l="1"/>
  <c r="N83" i="14"/>
  <c r="N79" i="14"/>
  <c r="N77" i="14"/>
  <c r="N74" i="14"/>
  <c r="N72" i="14"/>
  <c r="N71" i="14"/>
  <c r="N69" i="14"/>
  <c r="N68" i="14"/>
  <c r="N66" i="14"/>
  <c r="N64" i="14"/>
  <c r="N63" i="14"/>
  <c r="N60" i="14"/>
  <c r="N59" i="14"/>
  <c r="N57" i="14"/>
  <c r="N56" i="14"/>
  <c r="N55" i="14"/>
  <c r="N54" i="14"/>
  <c r="N52" i="14"/>
  <c r="N48" i="14"/>
  <c r="N47" i="14"/>
  <c r="N46" i="14"/>
  <c r="N43" i="14"/>
  <c r="N42" i="14"/>
  <c r="N41" i="14"/>
  <c r="N40" i="14"/>
  <c r="N39" i="14"/>
  <c r="N38" i="14"/>
  <c r="N36" i="14"/>
  <c r="N35" i="14"/>
  <c r="N34" i="14"/>
  <c r="N33" i="14"/>
  <c r="N32" i="14"/>
  <c r="N29" i="14"/>
  <c r="N27" i="14"/>
  <c r="N22" i="14"/>
  <c r="N21" i="14"/>
  <c r="N20" i="14"/>
  <c r="N19" i="14"/>
  <c r="N18" i="14"/>
  <c r="N16" i="14"/>
  <c r="N15" i="14"/>
  <c r="N14" i="14"/>
  <c r="N13" i="14"/>
  <c r="N11" i="14"/>
  <c r="N10" i="14"/>
  <c r="N9" i="14"/>
  <c r="T11" i="14" l="1"/>
  <c r="U11" i="14" s="1"/>
  <c r="A86" i="14" a="1"/>
  <c r="A86" i="14" s="1"/>
  <c r="P82" i="14"/>
  <c r="U79" i="14" s="1"/>
  <c r="AA83" i="14" l="1"/>
  <c r="AB83" i="14" s="1"/>
  <c r="AA79" i="14"/>
  <c r="AB79" i="14" s="1"/>
  <c r="AA77" i="14"/>
  <c r="AB77" i="14" s="1"/>
  <c r="AA74" i="14"/>
  <c r="AB74" i="14" s="1"/>
  <c r="AA72" i="14"/>
  <c r="AB72" i="14" s="1"/>
  <c r="AA69" i="14"/>
  <c r="AB69" i="14" s="1"/>
  <c r="AA68" i="14"/>
  <c r="AB68" i="14" s="1"/>
  <c r="AA64" i="14"/>
  <c r="AB64" i="14" s="1"/>
  <c r="AA59" i="14"/>
  <c r="AB59" i="14" s="1"/>
  <c r="AA57" i="14"/>
  <c r="AB57" i="14" s="1"/>
  <c r="AA55" i="14"/>
  <c r="AB55" i="14" s="1"/>
  <c r="AA54" i="14"/>
  <c r="AB54" i="14" s="1"/>
  <c r="AA51" i="14"/>
  <c r="AB51" i="14" s="1"/>
  <c r="AA50" i="14"/>
  <c r="AB50" i="14" s="1"/>
  <c r="AA49" i="14"/>
  <c r="AB49" i="14" s="1"/>
  <c r="AA48" i="14"/>
  <c r="AB48" i="14" s="1"/>
  <c r="AA47" i="14"/>
  <c r="AB47" i="14" s="1"/>
  <c r="AA46" i="14"/>
  <c r="AB46" i="14" s="1"/>
  <c r="AA41" i="14"/>
  <c r="AB41" i="14" s="1"/>
  <c r="AA40" i="14"/>
  <c r="AB40" i="14" s="1"/>
  <c r="AA39" i="14"/>
  <c r="AB39" i="14" s="1"/>
  <c r="AA38" i="14"/>
  <c r="AB38" i="14" s="1"/>
  <c r="AA37" i="14"/>
  <c r="AB37" i="14" s="1"/>
  <c r="AA36" i="14"/>
  <c r="AA35" i="14"/>
  <c r="AB35" i="14" s="1"/>
  <c r="AA34" i="14"/>
  <c r="AB34" i="14" s="1"/>
  <c r="AA32" i="14"/>
  <c r="AB32" i="14" s="1"/>
  <c r="AA31" i="14"/>
  <c r="AB31" i="14" s="1"/>
  <c r="AA27" i="14"/>
  <c r="AA21" i="14"/>
  <c r="AB21" i="14" s="1"/>
  <c r="AA20" i="14"/>
  <c r="AB20" i="14" s="1"/>
  <c r="AA16" i="14"/>
  <c r="AB16" i="14" s="1"/>
  <c r="AA15" i="14"/>
  <c r="AA13" i="14"/>
  <c r="AA11" i="14"/>
  <c r="AB11" i="14" s="1"/>
  <c r="AA10" i="14"/>
  <c r="AA9" i="14"/>
  <c r="AB9" i="14" s="1"/>
  <c r="N37" i="14"/>
  <c r="Y86" i="14"/>
  <c r="X86" i="14"/>
  <c r="S86" i="14"/>
  <c r="R86" i="14"/>
  <c r="V71" i="14"/>
  <c r="AA71" i="14" s="1"/>
  <c r="AB71" i="14" s="1"/>
  <c r="V66" i="14"/>
  <c r="AA66" i="14" s="1"/>
  <c r="AB66" i="14" s="1"/>
  <c r="V63" i="14"/>
  <c r="AA63" i="14" s="1"/>
  <c r="AB63" i="14" s="1"/>
  <c r="V61" i="14"/>
  <c r="AA60" i="14" s="1"/>
  <c r="AB60" i="14" s="1"/>
  <c r="V52" i="14"/>
  <c r="AA52" i="14" s="1"/>
  <c r="AB52" i="14" s="1"/>
  <c r="M51" i="14"/>
  <c r="N51" i="14" s="1"/>
  <c r="N50" i="14"/>
  <c r="M49" i="14"/>
  <c r="N49" i="14" s="1"/>
  <c r="W33" i="14"/>
  <c r="AA33" i="14" s="1"/>
  <c r="N86" i="14" l="1"/>
  <c r="T13" i="14"/>
  <c r="U13" i="14" s="1"/>
  <c r="AB13" i="14" s="1"/>
  <c r="Z14" i="14" l="1"/>
  <c r="V56" i="14" l="1"/>
  <c r="AA56" i="14" s="1"/>
  <c r="AB56" i="14" s="1"/>
  <c r="Z30" i="14"/>
  <c r="AA29" i="14" s="1"/>
  <c r="AB29" i="14" s="1"/>
  <c r="W19" i="14"/>
  <c r="AA19" i="14" s="1"/>
  <c r="AA22" i="14" l="1"/>
  <c r="Q19" i="14" l="1"/>
  <c r="U19" i="14" s="1"/>
  <c r="AB19" i="14" s="1"/>
  <c r="Q15" i="14"/>
  <c r="U15" i="14" s="1"/>
  <c r="AB15" i="14" s="1"/>
  <c r="T15" i="14"/>
  <c r="T14" i="14" l="1"/>
  <c r="U14" i="14" s="1"/>
  <c r="Z18" i="14"/>
  <c r="T18" i="14"/>
  <c r="U18" i="14" s="1"/>
  <c r="AA42" i="14"/>
  <c r="AB42" i="14" l="1"/>
  <c r="Z86" i="14"/>
  <c r="AA18" i="14"/>
  <c r="AB18" i="14" s="1"/>
  <c r="W43" i="14"/>
  <c r="V43" i="14"/>
  <c r="V86" i="14" l="1"/>
  <c r="AA43" i="14"/>
  <c r="AB43" i="14" s="1"/>
  <c r="W14" i="14"/>
  <c r="T10" i="14"/>
  <c r="U10" i="14" s="1"/>
  <c r="AB10" i="14" s="1"/>
  <c r="W86" i="14" l="1"/>
  <c r="AA14" i="14"/>
  <c r="T86" i="14"/>
  <c r="Q33" i="14"/>
  <c r="U33" i="14" s="1"/>
  <c r="AB33" i="14" s="1"/>
  <c r="Q36" i="14"/>
  <c r="U36" i="14" s="1"/>
  <c r="AB36" i="14" s="1"/>
  <c r="AB14" i="14" l="1"/>
  <c r="AA86" i="14"/>
  <c r="Q22" i="14"/>
  <c r="Q27" i="14"/>
  <c r="U27" i="14" s="1"/>
  <c r="AB27" i="14" s="1"/>
  <c r="Q86" i="14" l="1"/>
  <c r="P22" i="14" l="1"/>
  <c r="U22" i="14" s="1"/>
  <c r="U86" i="14" l="1"/>
  <c r="AB86" i="14" s="1"/>
  <c r="AB22" i="14"/>
  <c r="P86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<sst xmlns="http://schemas.openxmlformats.org/spreadsheetml/2006/main" count="754" uniqueCount="314">
  <si>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</si>
  <si>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</si>
  <si>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</si>
  <si>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</si>
  <si>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</si>
  <si>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</si>
  <si>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</si>
  <si>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</si>
  <si>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</si>
  <si>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</si>
  <si>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</si>
  <si>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</si>
  <si>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</si>
  <si>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</si>
  <si>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</si>
  <si>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</si>
  <si>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</si>
  <si>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</si>
  <si>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</si>
  <si>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</si>
  <si>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</si>
  <si>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</si>
  <si>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</si>
  <si>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</si>
  <si>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</si>
  <si>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</si>
  <si>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</si>
  <si>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</si>
  <si>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</si>
  <si>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</si>
  <si>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</si>
  <si>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</si>
  <si>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</si>
  <si>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</si>
  <si>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</si>
  <si>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</si>
  <si>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</si>
  <si>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</si>
  <si>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</si>
  <si>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</si>
  <si>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</si>
  <si>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</si>
  <si>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</si>
  <si>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</si>
  <si>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</si>
  <si>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</si>
  <si>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</si>
  <si>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</si>
  <si>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</si>
  <si>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</si>
  <si>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</si>
  <si>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</si>
  <si>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</si>
  <si>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</si>
  <si>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</si>
  <si>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</si>
  <si>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</si>
  <si>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</si>
  <si>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</si>
  <si>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</si>
  <si>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</si>
  <si>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</si>
  <si>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</si>
  <si>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</si>
  <si>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</si>
  <si>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</si>
  <si>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</si>
  <si>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</si>
  <si>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</si>
  <si>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</si>
  <si>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</si>
  <si>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</si>
  <si>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</si>
  <si>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</si>
  <si>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</si>
  <si>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</si>
  <si>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</si>
  <si>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</si>
  <si>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</si>
  <si>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</si>
  <si>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</si>
  <si>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</si>
  <si>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</si>
  <si>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</si>
  <si>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</si>
  <si>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</si>
  <si>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</si>
  <si>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</si>
  <si>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</si>
  <si>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</si>
  <si>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</si>
  <si>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</si>
  <si>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</si>
  <si>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</si>
  <si>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</si>
  <si>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</si>
  <si>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</si>
  <si>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</si>
  <si>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</si>
  <si>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</si>
  <si>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</si>
  <si>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</si>
  <si>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</si>
  <si>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</si>
  <si>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</si>
  <si>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</si>
  <si>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</si>
  <si>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</si>
  <si>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</si>
  <si>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</si>
  <si>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</si>
  <si>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</si>
  <si>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</si>
  <si>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</si>
  <si>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</si>
  <si>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</si>
  <si>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</si>
  <si>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</si>
  <si>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</si>
  <si>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</si>
  <si>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</si>
  <si>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</si>
  <si>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</si>
  <si>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</si>
  <si>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</si>
  <si>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</si>
  <si>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</si>
  <si>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</si>
  <si>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</si>
  <si>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</si>
  <si>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</si>
  <si>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</si>
  <si>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</si>
  <si>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</si>
  <si>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</si>
  <si>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</si>
  <si>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</si>
  <si>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</si>
  <si>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</si>
  <si>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</si>
  <si>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</si>
  <si>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</si>
  <si>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</si>
  <si>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</si>
  <si>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</si>
  <si>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</si>
  <si>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</si>
  <si>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</si>
  <si>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</si>
  <si>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</si>
  <si>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</si>
  <si>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</si>
  <si>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</si>
  <si>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</si>
  <si>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</si>
  <si>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</si>
  <si>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</si>
  <si>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</si>
  <si>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</si>
  <si>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</si>
  <si>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</si>
  <si>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</si>
  <si>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</si>
  <si>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</si>
  <si>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</si>
  <si>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</si>
  <si>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</si>
  <si>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</si>
  <si>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</si>
  <si>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</si>
  <si>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</si>
  <si>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</si>
  <si>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</si>
  <si>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</si>
  <si>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</si>
  <si>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</si>
  <si>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</si>
  <si>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</si>
  <si>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</si>
  <si>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</si>
  <si>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</si>
  <si>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</si>
  <si>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</si>
  <si>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</si>
  <si>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</si>
  <si>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</si>
  <si>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</si>
  <si>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</si>
  <si>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</si>
  <si>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</si>
  <si>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</si>
  <si>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</si>
  <si>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</si>
  <si>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</si>
  <si>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</si>
  <si>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</si>
  <si>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</si>
  <si>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</si>
  <si>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</si>
  <si>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</si>
  <si>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</si>
  <si>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</si>
  <si>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</si>
  <si>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</si>
  <si>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</si>
  <si>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</si>
  <si>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</si>
  <si>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</si>
  <si>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</si>
  <si>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</si>
  <si>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</si>
  <si>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</si>
  <si>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</si>
  <si>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</si>
  <si>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</si>
  <si>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</si>
  <si>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</si>
  <si>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</si>
  <si>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</si>
  <si>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</si>
  <si>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</si>
  <si>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</si>
  <si>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</si>
  <si>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</si>
  <si>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</si>
  <si>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</si>
  <si>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</si>
  <si>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</si>
  <si>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</si>
  <si>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</si>
  <si>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</si>
  <si>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2.3.2.02.02.009.3208010.94900.201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</si>
  <si>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</si>
  <si>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</si>
  <si>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</si>
  <si>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</si>
  <si>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</si>
  <si>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</si>
  <si>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</si>
  <si>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2.3.2.02.02.009.1906029.91122.285
2.3.2.02.02.009.1906029.91122.272
2.3.2.02.02.009.1906029.91122.274
2.3.2.02.02.009.1906029.91122.271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</si>
  <si>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</si>
  <si>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</si>
  <si>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</si>
  <si>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</si>
  <si>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</si>
  <si>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</si>
  <si>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2.3.2.02.02.009.1905019.91122.201
2.3.2.02.02.009.1905019.91122.209</t>
  </si>
  <si>
    <t>2.3.2.02.02.009.1906004.93119.201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</si>
  <si>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</si>
  <si>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</si>
  <si>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2.3.2.02.02.009.1901007.91310.285</t>
  </si>
  <si>
    <t>2.3.2.02.02.009.4501058,54129.201</t>
  </si>
  <si>
    <t>CONSTRUCCION DE LA UNIDAD DE BIENESTAR ANIMAL DEL MUNICIPIO DE BUCARAMANGA</t>
  </si>
  <si>
    <t>Adicional contrato + personal</t>
  </si>
  <si>
    <t>FORTALECIMIENTO DE LAS ACCIONES PARA LA PREVENCIOÓN Y CONTROL DEL DENGUE EN EL MUNICIPIO DE BUCARAMANGA</t>
  </si>
  <si>
    <t>Realizar acciones para la prevención y control del dengue en el Municipio de Bucaramanga</t>
  </si>
  <si>
    <t>2.3.2.02.02.009.1905019.91122.285</t>
  </si>
  <si>
    <t>PROTECCIÓN DE LA FAUNA URBANO RURAL QUE INTEGRA LOS CORREDORES DE CONECTIVIDAD ECOSISTÉMICOS DEL MUNICIPIO DE BUCARAMANGA</t>
  </si>
  <si>
    <t>Realizar atención masiva veterinaria a los caninos y felinos en condiciones de abandono y vulnerabilidad que se encuentren en la Unidad de Bienestar Animal</t>
  </si>
  <si>
    <t>2.3.2.02.02.009.4501054.83510.201</t>
  </si>
  <si>
    <t>2.3.2.02.02.009.1905040.91310.701</t>
  </si>
  <si>
    <t>2.3.2.02.02.009.1903038.91122.701
2.3.2.02.02.009.1903038.91122.585</t>
  </si>
  <si>
    <t>2.3.2.02.02.009.1905021.91122.209
2.3.2.02.02.009.1905019.91122.701</t>
  </si>
  <si>
    <t>2.3.2.02.02.009.1905025.91122.701
2.3.2.02.02.009.1905025.91122.570</t>
  </si>
  <si>
    <t>2.3.2.02.02.009.1905026.91122.209 $492.821.482
2.3.2.02.02.009.1905026.91122.201 $186.076.667</t>
  </si>
  <si>
    <t>PREVENCIÓN Y CONTROL DE LAS ENFERMEDADES TRANSMISIBLES EN EL MUNICIPIO DE BUCARAMANGA</t>
  </si>
  <si>
    <t>2.3.2.02.02.009.1905026.91122.509</t>
  </si>
  <si>
    <t>2.3.2.02.02.009.1905027.91122.509</t>
  </si>
  <si>
    <t>2.3.2.02.02.009.1905022.91122.701
2.3.2.02.02.009.1905022.91122.209</t>
  </si>
  <si>
    <t xml:space="preserve">Seguimiento al Plan Territorial de Salud, formulación de proyectos, acciones de apoyo a la subsecretaría de Salud Pública, informes de calidad, planes de mejoramiento y calibración de equipos de la Secretaría de Salud. </t>
  </si>
  <si>
    <t xml:space="preserve">2.3.2.02.02.009.3208010.94900.201
2.3.2.02.02.009.3208010.94900.580 $3,300,000
</t>
  </si>
  <si>
    <t xml:space="preserve">CUMBRE DE PARAMOS </t>
  </si>
  <si>
    <t>2.3.2.02.02.009.1905019.91122.285
2.3.2.02.02.009.1905019.91122.209
2.3.2.02.02.009.1905019.91122.701
2.3.2.02.02.009.1905019.91122.585</t>
  </si>
  <si>
    <t>2.3.2.02.02.009.1906033.93119.285
2.3.2.02.02.009.1903003,91122,701</t>
  </si>
  <si>
    <t>2.3.2.02.02.009.1905023.91122.209
2.3.2.02.02.009.1905023.91122.701</t>
  </si>
  <si>
    <t>IMPLEMENTACIÓN DE LA ESTRATEGIA "PROMOCIÓN DE LA AFECTIVIDAD COMO FACTOR PROTECTOR DE LA SALUD MENTAL - PROAFECTO" EN LA POBLACIÓN DE BUCARAMANGA</t>
  </si>
  <si>
    <t>Ejecutar la estrategia PROAFECTO en la población de Bucaramanga</t>
  </si>
  <si>
    <t>Implementación de la política de participación social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</si>
  <si>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</si>
  <si>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</si>
  <si>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Realizar Acciones para la preveción en los entornos de trabajo seguro para la población formal e informal del municipio de Bucaramanga</t>
  </si>
  <si>
    <t>Realizar la identificacion y censo de individuos caninos y felinos.</t>
  </si>
  <si>
    <t>Realizar el censo georreferenciado al 100% de los árboles presentes en el área urbana del municipio de Bucaramanga para obtener la información dasométrica y fitosanitaria de cada árbol para su seguimiento y manejo silvicultural.</t>
  </si>
  <si>
    <t>Fortalecer la prestación del servicio público de aseo para la gestión integral de residuos sólidos.,</t>
  </si>
  <si>
    <t xml:space="preserve">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</si>
  <si>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2.3.2.02.02.009.1903031.91122.209
2.3.2.02.02.009.1903031.91122.201
2.3.2.02.02.009.1903031.91122.585
2.3.2.02.02.009.1905019.91122.209
</t>
  </si>
  <si>
    <t>ADQUISICIÓN DE EQUIPOS BIOMÉDICOS PARA LA PRESTACIÓN DE SERVICIOS DE MEDIANA COMPLEJIDAD DE LA SEDE HOSPITAL LOCAL DEL NORTE DE LA E.S.E. INSTITUTO DE SALUD DE BUCARAMANGA.</t>
  </si>
  <si>
    <t>Realizar dotación para el mejoramiento de Hospital Local del Norte de la E.S.E. ISABU</t>
  </si>
  <si>
    <t>2.3.2.02.02.004.1906026.53129.274</t>
  </si>
  <si>
    <t xml:space="preserve">2.3.2.02.02.009.1905030.91122.209
</t>
  </si>
  <si>
    <t>2.3.2.02.02.009.1905030.91122.201
2.3.2.02.02.009.1905030.91122.585</t>
  </si>
  <si>
    <t xml:space="preserve">2.3.2.02.02.009.1906004.91310.208 
2.3.2.02.02.009.1906004.91310.279 
2.3.2.02.02.009.1906004.91310.281
2.3.2.02.02.009.1906004.91310.285 
2.3.2.02.02.009.1903011.91310.279 
2.3.2.02.02.009.1906004.93121.274 </t>
  </si>
  <si>
    <t xml:space="preserve">2.3.2.02.02.009.1903016.91122.285 
2.3.2.02.02.009.1905019.91122.285 
2.3.2.02.02.009.1903003.91122.701 
2.3.2.02.02.009.1903016.91122.585 
2.3.2.02.02.009.1905019.91122.585 </t>
  </si>
  <si>
    <t xml:space="preserve">
2.3.2.02.02.009.1906029.91122.701 </t>
  </si>
  <si>
    <t xml:space="preserve">2.3.2.02.02.009.1905029.91122.272 
2.3.2.02.02.009.1905019.91122.285
2.3.2.02.02.009.1905029.91122.285 
2.3.2.02.02.009.1903003.91122.701 
2.3.2.02.02.009.1905019.91122.585
2.3.2.02.02.009.1905019.91122.585 
2.3.2.02.02.009.1905019.91122.585 
2.3.2.02.02.009.1903003.91122.701 
2.3.2.02.02.009.1903003,91122.572 
2.3.2.02.02.009.1903003.91122.585 
2.3.2.02.02.009.1903003.91122.572 </t>
  </si>
  <si>
    <t xml:space="preserve">2.3.2.02.02.009.1905019.91122.201 
2.3.2.02.02.009.1905019.91122.209 
2.3.2.02.02.009.1905019.91122.270 </t>
  </si>
  <si>
    <t xml:space="preserve">2.3.2.02.02.009.3204046.94900.201
2.3.2.02.02.009.3204046.94900.580 </t>
  </si>
  <si>
    <t xml:space="preserve">2.3.2.02.02.009.3202002.94900.201
2.3.2.02.02.009.3202002.94900.280 
2.3.2.02.02.009.3202002.94900.580 
</t>
  </si>
  <si>
    <t>2.3.2.02.02.009.3202002.94900.201
2.3.2.02.02.009.3202002.94900.280 
2.3.2.02.02.009.3202002.94900.580 
2.3.2.02.02.009.3202002.94900.588</t>
  </si>
  <si>
    <t>2.3.2.02.02.009.4003022.91122.201
2.3.2.02.02.009.4003022.91122.580</t>
  </si>
  <si>
    <t xml:space="preserve">2.3.2.02.02.009.3201009.94900.201 
2.3.2.02.02.009.4003022.91122.201 
2.3.2.02.02.009.3201009.94900.280
2.3.2.02.02.009.4003022.91122.580 </t>
  </si>
  <si>
    <t xml:space="preserve">2.3.2.02.02.009.3201009.94900.201
2.3.2.02.02.009.4003022.91122.580 
2.3.7.06.02.4599002.94900.601 </t>
  </si>
  <si>
    <t>2.3.2.02.02.009.3202042.91122.201
2.3.2.02.02.009.3202002.94900.201
2.3.2.02.02.009.3202002.94900.280</t>
  </si>
  <si>
    <t xml:space="preserve">2.3.2.02.02.009.3202006.94900.201 
2.3.2.02.02.009.3202005.94900.201 </t>
  </si>
  <si>
    <t>2.3.2.02.02.009.1903040.91122.201
2.3.2.02.02.009.1903042.91122.201
2.3.2.02.02.009.1903042.91122.209
2.3.2.02.02.009.1903038.91122.270
2.3.2.02.02.009.1903038.91122.701
2.3.2.02.02.009.1903038.91122.585</t>
  </si>
  <si>
    <t xml:space="preserve">2.3.2.02.02.009.3208010.94900.201
2.3.2.02.02.009.3208010.94900.218
2.3.2.02.02.009.3208010.94900.280
2.3.2.02.02.009.3208010.94900.580 </t>
  </si>
  <si>
    <t>2.3.2.02.02.009.3208008.91122.201
2.3.2.02.02.009.3208010.94900.580</t>
  </si>
  <si>
    <t xml:space="preserve">2.3.2.02.02.009.3202006.94900.201 
2.3.2.02.02.009.3202005.94900.201 
2.3.2.02.02.009.3202005.94900.501 </t>
  </si>
  <si>
    <t xml:space="preserve">2.3.2.02.02.009.3202006.94900.201 
2.3.2.02.02.009.3202005.94900.201 </t>
  </si>
  <si>
    <t>Recursos Reducción Proyecto de Inversión 2021680010019</t>
  </si>
  <si>
    <t>Recursos Reducción Proyecto de Inversión 2021680010002</t>
  </si>
  <si>
    <t>Recursos liberados - RB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</si>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</sst>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0.0%"/>
    <numFmt numFmtId="169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180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top"/>
    </xf>
    <xf numFmtId="0" fontId="6" fillId="0" borderId="0" xfId="0" applyFont="1"/>
    <xf numFmtId="0" fontId="3" fillId="0" borderId="2" xfId="0" applyFont="1" applyBorder="1" applyAlignment="1">
      <alignment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vertical="top"/>
    </xf>
    <xf numFmtId="166" fontId="6" fillId="0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/>
    </xf>
    <xf numFmtId="167" fontId="6" fillId="3" borderId="0" xfId="0" applyNumberFormat="1" applyFont="1" applyFill="1" applyAlignment="1">
      <alignment vertical="top"/>
    </xf>
    <xf numFmtId="167" fontId="7" fillId="2" borderId="2" xfId="0" applyNumberFormat="1" applyFont="1" applyFill="1" applyBorder="1" applyAlignment="1">
      <alignment horizontal="center" vertical="center" wrapText="1"/>
    </xf>
    <xf numFmtId="167" fontId="6" fillId="0" borderId="0" xfId="0" applyNumberFormat="1" applyFont="1"/>
    <xf numFmtId="0" fontId="6" fillId="0" borderId="4" xfId="0" applyFont="1" applyBorder="1" applyAlignment="1">
      <alignment horizontal="justify" vertical="center" wrapText="1"/>
    </xf>
    <xf numFmtId="168" fontId="3" fillId="0" borderId="2" xfId="107" applyNumberFormat="1" applyFont="1" applyBorder="1" applyAlignment="1">
      <alignment horizontal="center" vertical="center"/>
    </xf>
    <xf numFmtId="9" fontId="6" fillId="0" borderId="2" xfId="107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3" borderId="0" xfId="109" applyNumberFormat="1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14" fontId="7" fillId="3" borderId="0" xfId="109" applyNumberFormat="1" applyFont="1" applyFill="1" applyAlignment="1">
      <alignment vertical="center"/>
    </xf>
    <xf numFmtId="0" fontId="6" fillId="3" borderId="0" xfId="0" applyFont="1" applyFill="1"/>
    <xf numFmtId="0" fontId="6" fillId="3" borderId="3" xfId="0" applyFont="1" applyFill="1" applyBorder="1"/>
    <xf numFmtId="0" fontId="6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9" fontId="6" fillId="5" borderId="2" xfId="107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9" fontId="6" fillId="0" borderId="2" xfId="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" fontId="8" fillId="2" borderId="2" xfId="107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vertical="center" wrapText="1"/>
    </xf>
    <xf numFmtId="164" fontId="0" fillId="3" borderId="2" xfId="0" applyNumberForma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166" fontId="6" fillId="0" borderId="0" xfId="111" applyNumberFormat="1" applyFont="1" applyFill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2" borderId="2" xfId="111" applyNumberFormat="1" applyFont="1" applyFill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166" fontId="6" fillId="0" borderId="1" xfId="111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justify" vertical="center"/>
    </xf>
    <xf numFmtId="1" fontId="6" fillId="0" borderId="1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justify" vertical="center"/>
    </xf>
    <xf numFmtId="1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 wrapText="1"/>
    </xf>
    <xf numFmtId="166" fontId="6" fillId="0" borderId="4" xfId="111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/>
    </xf>
    <xf numFmtId="165" fontId="7" fillId="2" borderId="2" xfId="108" applyNumberFormat="1" applyFont="1" applyFill="1" applyBorder="1" applyAlignment="1">
      <alignment vertical="center"/>
    </xf>
    <xf numFmtId="169" fontId="0" fillId="0" borderId="0" xfId="111" applyNumberFormat="1" applyFont="1"/>
    <xf numFmtId="169" fontId="6" fillId="0" borderId="0" xfId="111" applyNumberFormat="1" applyFont="1"/>
    <xf numFmtId="5" fontId="6" fillId="0" borderId="2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7" fontId="6" fillId="0" borderId="1" xfId="108" applyNumberFormat="1" applyFont="1" applyFill="1" applyBorder="1" applyAlignment="1">
      <alignment horizontal="center" vertical="center" wrapText="1"/>
    </xf>
    <xf numFmtId="7" fontId="6" fillId="0" borderId="4" xfId="108" applyNumberFormat="1" applyFont="1" applyFill="1" applyBorder="1" applyAlignment="1">
      <alignment horizontal="center" vertical="center" wrapText="1"/>
    </xf>
    <xf numFmtId="166" fontId="7" fillId="2" borderId="1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166" fontId="7" fillId="2" borderId="5" xfId="111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5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6" fillId="0" borderId="1" xfId="107" applyFont="1" applyBorder="1" applyAlignment="1">
      <alignment horizontal="center" vertical="center"/>
    </xf>
    <xf numFmtId="9" fontId="6" fillId="0" borderId="4" xfId="107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3" fillId="4" borderId="1" xfId="107" applyFont="1" applyFill="1" applyBorder="1" applyAlignment="1">
      <alignment horizontal="center" vertical="center"/>
    </xf>
    <xf numFmtId="9" fontId="3" fillId="4" borderId="4" xfId="107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>
      <alignment horizontal="center" vertical="center" wrapText="1"/>
    </xf>
    <xf numFmtId="3" fontId="6" fillId="2" borderId="4" xfId="0" quotePrefix="1" applyNumberFormat="1" applyFont="1" applyFill="1" applyBorder="1" applyAlignment="1">
      <alignment horizontal="center" vertical="center" wrapText="1"/>
    </xf>
    <xf numFmtId="168" fontId="3" fillId="0" borderId="1" xfId="107" applyNumberFormat="1" applyFont="1" applyBorder="1" applyAlignment="1">
      <alignment horizontal="center" vertical="center"/>
    </xf>
    <xf numFmtId="168" fontId="3" fillId="0" borderId="4" xfId="107" applyNumberFormat="1" applyFont="1" applyBorder="1" applyAlignment="1">
      <alignment horizontal="center" vertical="center"/>
    </xf>
    <xf numFmtId="9" fontId="6" fillId="0" borderId="5" xfId="107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9" fontId="6" fillId="2" borderId="5" xfId="110" applyNumberFormat="1" applyFont="1" applyFill="1" applyBorder="1" applyAlignment="1">
      <alignment horizontal="center" vertical="center" wrapText="1"/>
    </xf>
    <xf numFmtId="9" fontId="6" fillId="2" borderId="4" xfId="11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Border="1" applyAlignment="1">
      <alignment horizontal="center" vertical="center"/>
    </xf>
    <xf numFmtId="166" fontId="7" fillId="2" borderId="2" xfId="111" applyNumberFormat="1" applyFont="1" applyFill="1" applyBorder="1" applyAlignment="1">
      <alignment horizontal="right" vertical="center" wrapText="1"/>
    </xf>
    <xf numFmtId="1" fontId="6" fillId="2" borderId="2" xfId="110" applyNumberFormat="1" applyFont="1" applyFill="1" applyBorder="1" applyAlignment="1">
      <alignment horizontal="center" vertical="center" wrapText="1"/>
    </xf>
    <xf numFmtId="1" fontId="6" fillId="2" borderId="5" xfId="11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6" xfId="112" applyNumberFormat="1" applyFont="1" applyBorder="1" applyAlignment="1">
      <alignment horizontal="left" vertical="center" wrapText="1"/>
    </xf>
    <xf numFmtId="2" fontId="7" fillId="0" borderId="7" xfId="112" applyNumberFormat="1" applyFont="1" applyBorder="1" applyAlignment="1">
      <alignment horizontal="left" vertical="center" wrapText="1"/>
    </xf>
    <xf numFmtId="2" fontId="7" fillId="0" borderId="8" xfId="112" applyNumberFormat="1" applyFont="1" applyBorder="1" applyAlignment="1">
      <alignment horizontal="left" vertical="center" wrapText="1"/>
    </xf>
    <xf numFmtId="2" fontId="7" fillId="0" borderId="2" xfId="112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7" fillId="0" borderId="2" xfId="109" applyNumberFormat="1" applyFont="1" applyBorder="1" applyAlignment="1">
      <alignment horizontal="center" vertical="center"/>
    </xf>
    <xf numFmtId="14" fontId="7" fillId="0" borderId="1" xfId="109" applyNumberFormat="1" applyFont="1" applyBorder="1" applyAlignment="1">
      <alignment horizontal="center" vertical="center"/>
    </xf>
    <xf numFmtId="14" fontId="6" fillId="0" borderId="2" xfId="109" applyNumberFormat="1" applyFont="1" applyBorder="1" applyAlignment="1">
      <alignment horizontal="center" vertical="center"/>
    </xf>
    <xf numFmtId="9" fontId="6" fillId="2" borderId="1" xfId="107" applyFont="1" applyFill="1" applyBorder="1" applyAlignment="1">
      <alignment horizontal="center" vertical="center" wrapText="1"/>
    </xf>
    <xf numFmtId="9" fontId="6" fillId="2" borderId="4" xfId="107" applyFon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illares [0]" xfId="110" builtinId="6"/>
    <cellStyle name="Moneda" xfId="108" builtinId="4"/>
    <cellStyle name="Normal" xfId="0" builtinId="0"/>
    <cellStyle name="Normal 2" xfId="109" xr:uid="{00000000-0005-0000-0000-00006E000000}"/>
    <cellStyle name="Normal 2 2" xfId="112" xr:uid="{A8EA793C-F53C-404C-8144-E58A6178202F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CCCCFF"/>
      <color rgb="FFFFCCCC"/>
      <color rgb="FF66FF99"/>
      <color rgb="FFFFCCFF"/>
      <color rgb="FFFFFFCC"/>
      <color rgb="FFFF714F"/>
      <color rgb="FFFF99F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349720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4"/>
  <sheetViews>
    <sheetView showGridLines="0" tabSelected="1" zoomScale="60" zoomScaleNormal="60" zoomScaleSheetLayoutView="100" workbookViewId="0">
      <selection activeCell="W13" sqref="W13"/>
    </sheetView>
  </sheetViews>
  <sheetFormatPr baseColWidth="10" defaultColWidth="0" defaultRowHeight="14.25" zeroHeight="1" x14ac:dyDescent="0.2"/>
  <cols>
    <col min="1" max="1" width="7.5" style="15" customWidth="1"/>
    <col min="2" max="2" width="28.5" style="15" customWidth="1"/>
    <col min="3" max="4" width="27.5" style="15" customWidth="1"/>
    <col min="5" max="5" width="53" style="15" customWidth="1"/>
    <col min="6" max="6" width="53.75" style="15" customWidth="1"/>
    <col min="7" max="7" width="16.625" style="45" customWidth="1"/>
    <col min="8" max="8" width="47.625" style="15" customWidth="1"/>
    <col min="9" max="9" width="53.25" style="15" customWidth="1"/>
    <col min="10" max="10" width="14.375" style="15" customWidth="1"/>
    <col min="11" max="11" width="16" style="15" customWidth="1"/>
    <col min="12" max="12" width="14.625" style="15" customWidth="1"/>
    <col min="13" max="13" width="12.75" style="15" customWidth="1"/>
    <col min="14" max="14" width="11.25" style="15" customWidth="1"/>
    <col min="15" max="15" width="48.25" style="15" customWidth="1"/>
    <col min="16" max="16" width="23" style="15" customWidth="1"/>
    <col min="17" max="19" width="18.25" style="15" customWidth="1"/>
    <col min="20" max="20" width="23.875" style="15" customWidth="1"/>
    <col min="21" max="21" width="24.875" style="26" customWidth="1"/>
    <col min="22" max="22" width="20" style="15" customWidth="1"/>
    <col min="23" max="23" width="19.5" style="15" customWidth="1"/>
    <col min="24" max="25" width="15.75" style="15" customWidth="1"/>
    <col min="26" max="26" width="18.625" style="15" customWidth="1"/>
    <col min="27" max="27" width="24.375" style="15" customWidth="1"/>
    <col min="28" max="28" width="15.75" style="44" customWidth="1"/>
    <col min="29" max="29" width="19" style="15" customWidth="1"/>
    <col min="30" max="31" width="26.625" style="15" customWidth="1"/>
    <col min="32" max="33" width="11.25" customWidth="1"/>
    <col min="34" max="16384" width="11.25" hidden="1"/>
  </cols>
  <sheetData>
    <row r="1" spans="1:31" ht="15" x14ac:dyDescent="0.2">
      <c r="A1" s="170"/>
      <c r="B1" s="173" t="s">
        <v>37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62" t="s">
        <v>222</v>
      </c>
      <c r="AD1" s="162"/>
      <c r="AE1" s="162"/>
    </row>
    <row r="2" spans="1:31" ht="15" x14ac:dyDescent="0.2">
      <c r="A2" s="170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63" t="s">
        <v>312</v>
      </c>
      <c r="AD2" s="164"/>
      <c r="AE2" s="165"/>
    </row>
    <row r="3" spans="1:31" ht="13.9" customHeight="1" x14ac:dyDescent="0.2">
      <c r="A3" s="170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63" t="s">
        <v>313</v>
      </c>
      <c r="AD3" s="164"/>
      <c r="AE3" s="165"/>
    </row>
    <row r="4" spans="1:31" ht="15" x14ac:dyDescent="0.2">
      <c r="A4" s="170"/>
      <c r="B4" s="173"/>
      <c r="C4" s="173"/>
      <c r="D4" s="173"/>
      <c r="E4" s="173"/>
      <c r="F4" s="173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66" t="s">
        <v>33</v>
      </c>
      <c r="AD4" s="166"/>
      <c r="AE4" s="166"/>
    </row>
    <row r="5" spans="1:31" ht="15" x14ac:dyDescent="0.2">
      <c r="A5" s="171" t="s">
        <v>31</v>
      </c>
      <c r="B5" s="171"/>
      <c r="C5" s="171"/>
      <c r="D5" s="177">
        <v>44957</v>
      </c>
      <c r="E5" s="177"/>
      <c r="F5" s="177"/>
      <c r="G5" s="177"/>
      <c r="H5" s="33"/>
      <c r="I5" s="33"/>
      <c r="J5" s="33"/>
      <c r="K5" s="33"/>
      <c r="L5" s="33"/>
      <c r="M5" s="14"/>
      <c r="N5" s="14"/>
      <c r="O5" s="14"/>
      <c r="P5" s="14"/>
      <c r="Q5" s="14"/>
      <c r="R5" s="14"/>
      <c r="S5" s="14"/>
      <c r="T5" s="21"/>
      <c r="U5" s="24"/>
      <c r="V5" s="14"/>
      <c r="W5" s="14"/>
      <c r="X5" s="14"/>
      <c r="Y5" s="14"/>
      <c r="Z5" s="14"/>
      <c r="AA5" s="14"/>
      <c r="AB5" s="34"/>
      <c r="AC5" s="14"/>
      <c r="AD5" s="14"/>
      <c r="AE5" s="35"/>
    </row>
    <row r="6" spans="1:31" ht="15" x14ac:dyDescent="0.2">
      <c r="A6" s="172" t="s">
        <v>32</v>
      </c>
      <c r="B6" s="172"/>
      <c r="C6" s="172"/>
      <c r="D6" s="175">
        <v>44926</v>
      </c>
      <c r="E6" s="175"/>
      <c r="F6" s="175"/>
      <c r="G6" s="176"/>
      <c r="H6" s="36"/>
      <c r="I6" s="36"/>
      <c r="J6" s="36"/>
      <c r="K6" s="36"/>
      <c r="L6" s="36"/>
      <c r="M6" s="14"/>
      <c r="N6" s="14"/>
      <c r="O6" s="14"/>
      <c r="P6" s="14"/>
      <c r="Q6" s="14"/>
      <c r="R6" s="14"/>
      <c r="S6" s="14"/>
      <c r="T6" s="21"/>
      <c r="U6" s="24"/>
      <c r="V6" s="14"/>
      <c r="W6" s="14"/>
      <c r="X6" s="14"/>
      <c r="Y6" s="14"/>
      <c r="Z6" s="14"/>
      <c r="AA6" s="14"/>
      <c r="AB6" s="34"/>
      <c r="AC6" s="14"/>
      <c r="AD6" s="37"/>
      <c r="AE6" s="38"/>
    </row>
    <row r="7" spans="1:31" ht="15" x14ac:dyDescent="0.2">
      <c r="A7" s="39"/>
      <c r="B7" s="169" t="s">
        <v>10</v>
      </c>
      <c r="C7" s="169"/>
      <c r="D7" s="169"/>
      <c r="E7" s="169"/>
      <c r="F7" s="169"/>
      <c r="G7" s="169" t="s">
        <v>11</v>
      </c>
      <c r="H7" s="169"/>
      <c r="I7" s="169"/>
      <c r="J7" s="169"/>
      <c r="K7" s="169"/>
      <c r="L7" s="169" t="s">
        <v>26</v>
      </c>
      <c r="M7" s="169"/>
      <c r="N7" s="169"/>
      <c r="O7" s="169" t="s">
        <v>24</v>
      </c>
      <c r="P7" s="169"/>
      <c r="Q7" s="169"/>
      <c r="R7" s="169"/>
      <c r="S7" s="169"/>
      <c r="T7" s="169"/>
      <c r="U7" s="169"/>
      <c r="V7" s="169" t="s">
        <v>18</v>
      </c>
      <c r="W7" s="169"/>
      <c r="X7" s="169"/>
      <c r="Y7" s="169"/>
      <c r="Z7" s="169"/>
      <c r="AA7" s="169"/>
      <c r="AB7" s="167" t="s">
        <v>19</v>
      </c>
      <c r="AC7" s="167" t="s">
        <v>27</v>
      </c>
      <c r="AD7" s="167" t="s">
        <v>25</v>
      </c>
      <c r="AE7" s="167"/>
    </row>
    <row r="8" spans="1:31" ht="45" x14ac:dyDescent="0.2">
      <c r="A8" s="1" t="s">
        <v>30</v>
      </c>
      <c r="B8" s="32" t="s">
        <v>1</v>
      </c>
      <c r="C8" s="1" t="s">
        <v>6</v>
      </c>
      <c r="D8" s="1" t="s">
        <v>2</v>
      </c>
      <c r="E8" s="1" t="s">
        <v>7</v>
      </c>
      <c r="F8" s="32" t="s">
        <v>20</v>
      </c>
      <c r="G8" s="31" t="s">
        <v>15</v>
      </c>
      <c r="H8" s="31" t="s">
        <v>3</v>
      </c>
      <c r="I8" s="31" t="s">
        <v>16</v>
      </c>
      <c r="J8" s="31" t="s">
        <v>22</v>
      </c>
      <c r="K8" s="31" t="s">
        <v>23</v>
      </c>
      <c r="L8" s="31" t="s">
        <v>4</v>
      </c>
      <c r="M8" s="31" t="s">
        <v>5</v>
      </c>
      <c r="N8" s="31" t="s">
        <v>0</v>
      </c>
      <c r="O8" s="20" t="s">
        <v>9</v>
      </c>
      <c r="P8" s="31" t="s">
        <v>35</v>
      </c>
      <c r="Q8" s="31" t="s">
        <v>8</v>
      </c>
      <c r="R8" s="31" t="s">
        <v>28</v>
      </c>
      <c r="S8" s="31" t="s">
        <v>34</v>
      </c>
      <c r="T8" s="31" t="s">
        <v>12</v>
      </c>
      <c r="U8" s="25" t="s">
        <v>21</v>
      </c>
      <c r="V8" s="32" t="s">
        <v>35</v>
      </c>
      <c r="W8" s="32" t="s">
        <v>8</v>
      </c>
      <c r="X8" s="32" t="s">
        <v>28</v>
      </c>
      <c r="Y8" s="32" t="s">
        <v>34</v>
      </c>
      <c r="Z8" s="31" t="s">
        <v>12</v>
      </c>
      <c r="AA8" s="32" t="s">
        <v>29</v>
      </c>
      <c r="AB8" s="168"/>
      <c r="AC8" s="168"/>
      <c r="AD8" s="32" t="s">
        <v>13</v>
      </c>
      <c r="AE8" s="32" t="s">
        <v>14</v>
      </c>
    </row>
    <row r="9" spans="1:31" ht="135" customHeight="1" x14ac:dyDescent="0.2">
      <c r="A9" s="20">
        <v>27</v>
      </c>
      <c r="B9" s="19" t="s">
        <v>36</v>
      </c>
      <c r="C9" s="19" t="s">
        <v>38</v>
      </c>
      <c r="D9" s="19" t="s">
        <v>39</v>
      </c>
      <c r="E9" s="6" t="s">
        <v>40</v>
      </c>
      <c r="F9" s="7" t="s">
        <v>41</v>
      </c>
      <c r="G9" s="65">
        <v>2020680010036</v>
      </c>
      <c r="H9" s="7" t="s">
        <v>42</v>
      </c>
      <c r="I9" s="66" t="s">
        <v>43</v>
      </c>
      <c r="J9" s="67">
        <v>44566</v>
      </c>
      <c r="K9" s="67">
        <v>44926</v>
      </c>
      <c r="L9" s="2">
        <v>1</v>
      </c>
      <c r="M9" s="3">
        <v>1</v>
      </c>
      <c r="N9" s="17">
        <f>IFERROR(IF(M9/L9&gt;100%,100%,M9/L9),"-")</f>
        <v>1</v>
      </c>
      <c r="O9" s="51" t="s">
        <v>291</v>
      </c>
      <c r="P9" s="22"/>
      <c r="Q9" s="22">
        <v>85924629838</v>
      </c>
      <c r="R9" s="22"/>
      <c r="S9" s="63"/>
      <c r="T9" s="22">
        <v>198793813271.64001</v>
      </c>
      <c r="U9" s="64">
        <f>SUM(P9:T9)</f>
        <v>284718443109.64001</v>
      </c>
      <c r="V9" s="22"/>
      <c r="W9" s="22">
        <v>85924629838</v>
      </c>
      <c r="X9" s="22"/>
      <c r="Y9" s="63"/>
      <c r="Z9" s="22">
        <v>195450961503.23999</v>
      </c>
      <c r="AA9" s="64">
        <f>SUM(V9:Z9)</f>
        <v>281375591341.23999</v>
      </c>
      <c r="AB9" s="4">
        <f>IFERROR(AA9/U9,"-")</f>
        <v>0.98825909648883281</v>
      </c>
      <c r="AC9" s="5"/>
      <c r="AD9" s="18" t="s">
        <v>44</v>
      </c>
      <c r="AE9" s="18" t="s">
        <v>211</v>
      </c>
    </row>
    <row r="10" spans="1:31" ht="87" customHeight="1" x14ac:dyDescent="0.2">
      <c r="A10" s="20">
        <v>28</v>
      </c>
      <c r="B10" s="19" t="s">
        <v>36</v>
      </c>
      <c r="C10" s="19" t="s">
        <v>38</v>
      </c>
      <c r="D10" s="19" t="s">
        <v>39</v>
      </c>
      <c r="E10" s="6" t="s">
        <v>49</v>
      </c>
      <c r="F10" s="7" t="s">
        <v>50</v>
      </c>
      <c r="G10" s="65">
        <v>2020680010032</v>
      </c>
      <c r="H10" s="7" t="s">
        <v>47</v>
      </c>
      <c r="I10" s="66" t="s">
        <v>51</v>
      </c>
      <c r="J10" s="67">
        <v>44566</v>
      </c>
      <c r="K10" s="67">
        <v>44926</v>
      </c>
      <c r="L10" s="2">
        <v>1</v>
      </c>
      <c r="M10" s="49">
        <v>1</v>
      </c>
      <c r="N10" s="17">
        <f>IFERROR(IF(M10/L10&gt;100%,100%,M10/L10),"-")</f>
        <v>1</v>
      </c>
      <c r="O10" s="51" t="s">
        <v>292</v>
      </c>
      <c r="P10" s="22">
        <v>45000000</v>
      </c>
      <c r="Q10" s="22"/>
      <c r="R10" s="22"/>
      <c r="S10" s="22"/>
      <c r="T10" s="22">
        <f>379091000+291200000</f>
        <v>670291000</v>
      </c>
      <c r="U10" s="64">
        <f>SUM(P10:T10)</f>
        <v>715291000</v>
      </c>
      <c r="V10" s="22">
        <v>41000000</v>
      </c>
      <c r="W10" s="22"/>
      <c r="X10" s="22"/>
      <c r="Y10" s="22"/>
      <c r="Z10" s="22">
        <v>666968033</v>
      </c>
      <c r="AA10" s="64">
        <f>SUM(V10:Z10)</f>
        <v>707968033</v>
      </c>
      <c r="AB10" s="4">
        <f>IFERROR(AA10/U10,"-")</f>
        <v>0.98976225480259084</v>
      </c>
      <c r="AC10" s="5"/>
      <c r="AD10" s="18" t="s">
        <v>44</v>
      </c>
      <c r="AE10" s="18" t="s">
        <v>211</v>
      </c>
    </row>
    <row r="11" spans="1:31" ht="95.25" customHeight="1" x14ac:dyDescent="0.2">
      <c r="A11" s="20">
        <v>29</v>
      </c>
      <c r="B11" s="19" t="s">
        <v>36</v>
      </c>
      <c r="C11" s="19" t="s">
        <v>38</v>
      </c>
      <c r="D11" s="19" t="s">
        <v>39</v>
      </c>
      <c r="E11" s="6" t="s">
        <v>45</v>
      </c>
      <c r="F11" s="7" t="s">
        <v>46</v>
      </c>
      <c r="G11" s="65">
        <v>2021680010144</v>
      </c>
      <c r="H11" s="7" t="s">
        <v>229</v>
      </c>
      <c r="I11" s="66" t="s">
        <v>48</v>
      </c>
      <c r="J11" s="67">
        <v>44566</v>
      </c>
      <c r="K11" s="67">
        <v>44926</v>
      </c>
      <c r="L11" s="130">
        <v>1</v>
      </c>
      <c r="M11" s="128">
        <v>1</v>
      </c>
      <c r="N11" s="125">
        <f>IFERROR(IF(M11/L11&gt;100%,100%,M11/L11),"-")</f>
        <v>1</v>
      </c>
      <c r="O11" s="51" t="s">
        <v>239</v>
      </c>
      <c r="P11" s="22"/>
      <c r="Q11" s="22"/>
      <c r="R11" s="22"/>
      <c r="S11" s="22"/>
      <c r="T11" s="22">
        <f>447368366+50843000+45636438</f>
        <v>543847804</v>
      </c>
      <c r="U11" s="116">
        <f>SUM(P11:T12)</f>
        <v>2843847804</v>
      </c>
      <c r="V11" s="22"/>
      <c r="W11" s="22"/>
      <c r="X11" s="22"/>
      <c r="Y11" s="22"/>
      <c r="Z11" s="22">
        <v>463513501</v>
      </c>
      <c r="AA11" s="116">
        <f>SUM(V11:Z12)</f>
        <v>463513501</v>
      </c>
      <c r="AB11" s="106">
        <f>IFERROR(AA11/U11,"-")</f>
        <v>0.16298815300454805</v>
      </c>
      <c r="AC11" s="107"/>
      <c r="AD11" s="112" t="s">
        <v>44</v>
      </c>
      <c r="AE11" s="109" t="s">
        <v>211</v>
      </c>
    </row>
    <row r="12" spans="1:31" ht="97.5" customHeight="1" x14ac:dyDescent="0.2">
      <c r="A12" s="20">
        <v>29</v>
      </c>
      <c r="B12" s="19" t="s">
        <v>36</v>
      </c>
      <c r="C12" s="19" t="s">
        <v>38</v>
      </c>
      <c r="D12" s="19" t="s">
        <v>39</v>
      </c>
      <c r="E12" s="6" t="s">
        <v>45</v>
      </c>
      <c r="F12" s="7" t="s">
        <v>46</v>
      </c>
      <c r="G12" s="65"/>
      <c r="H12" s="7" t="s">
        <v>311</v>
      </c>
      <c r="I12" s="68"/>
      <c r="J12" s="67"/>
      <c r="K12" s="67"/>
      <c r="L12" s="131"/>
      <c r="M12" s="129"/>
      <c r="N12" s="127"/>
      <c r="O12" s="51" t="s">
        <v>293</v>
      </c>
      <c r="P12" s="22">
        <v>300000000</v>
      </c>
      <c r="Q12" s="22"/>
      <c r="R12" s="22"/>
      <c r="S12" s="22"/>
      <c r="T12" s="94">
        <v>2000000000</v>
      </c>
      <c r="U12" s="117"/>
      <c r="V12" s="22"/>
      <c r="W12" s="22"/>
      <c r="X12" s="22"/>
      <c r="Y12" s="22"/>
      <c r="Z12" s="63"/>
      <c r="AA12" s="117"/>
      <c r="AB12" s="103"/>
      <c r="AC12" s="104"/>
      <c r="AD12" s="113"/>
      <c r="AE12" s="110"/>
    </row>
    <row r="13" spans="1:31" ht="170.25" customHeight="1" x14ac:dyDescent="0.2">
      <c r="A13" s="20">
        <v>30</v>
      </c>
      <c r="B13" s="19" t="s">
        <v>36</v>
      </c>
      <c r="C13" s="19" t="s">
        <v>38</v>
      </c>
      <c r="D13" s="19" t="s">
        <v>39</v>
      </c>
      <c r="E13" s="6" t="s">
        <v>52</v>
      </c>
      <c r="F13" s="7" t="s">
        <v>53</v>
      </c>
      <c r="G13" s="65">
        <v>2020680010032</v>
      </c>
      <c r="H13" s="7" t="s">
        <v>47</v>
      </c>
      <c r="I13" s="68" t="s">
        <v>269</v>
      </c>
      <c r="J13" s="67">
        <v>44566</v>
      </c>
      <c r="K13" s="67">
        <v>44926</v>
      </c>
      <c r="L13" s="2">
        <v>1</v>
      </c>
      <c r="M13" s="3">
        <v>1</v>
      </c>
      <c r="N13" s="17">
        <f>IFERROR(IF(M13/L13&gt;100%,100%,M13/L13),"-")</f>
        <v>1</v>
      </c>
      <c r="O13" s="51" t="s">
        <v>294</v>
      </c>
      <c r="P13" s="22">
        <v>23880996.079999998</v>
      </c>
      <c r="Q13" s="22"/>
      <c r="R13" s="22"/>
      <c r="S13" s="22"/>
      <c r="T13" s="22">
        <f>387795000+391458100+20000000+82400000+126119003.92+1016240013.28</f>
        <v>2024012117.1999998</v>
      </c>
      <c r="U13" s="64">
        <f>SUM(P13:T13)</f>
        <v>2047893113.2799997</v>
      </c>
      <c r="V13" s="22"/>
      <c r="W13" s="22"/>
      <c r="X13" s="22"/>
      <c r="Y13" s="22"/>
      <c r="Z13" s="22">
        <v>863051300.28999996</v>
      </c>
      <c r="AA13" s="64">
        <f>SUM(V13:Z13)</f>
        <v>863051300.28999996</v>
      </c>
      <c r="AB13" s="4">
        <f>IFERROR(AA13/U13,"-")</f>
        <v>0.42143376267704585</v>
      </c>
      <c r="AC13" s="8"/>
      <c r="AD13" s="18" t="s">
        <v>44</v>
      </c>
      <c r="AE13" s="16" t="s">
        <v>211</v>
      </c>
    </row>
    <row r="14" spans="1:31" ht="86.25" customHeight="1" x14ac:dyDescent="0.2">
      <c r="A14" s="20">
        <v>31</v>
      </c>
      <c r="B14" s="19" t="s">
        <v>36</v>
      </c>
      <c r="C14" s="19" t="s">
        <v>38</v>
      </c>
      <c r="D14" s="19" t="s">
        <v>39</v>
      </c>
      <c r="E14" s="6" t="s">
        <v>54</v>
      </c>
      <c r="F14" s="7" t="s">
        <v>55</v>
      </c>
      <c r="G14" s="65">
        <v>2020680010032</v>
      </c>
      <c r="H14" s="7" t="s">
        <v>47</v>
      </c>
      <c r="I14" s="68" t="s">
        <v>277</v>
      </c>
      <c r="J14" s="67">
        <v>44566</v>
      </c>
      <c r="K14" s="67">
        <v>44926</v>
      </c>
      <c r="L14" s="9">
        <v>1</v>
      </c>
      <c r="M14" s="48">
        <v>1</v>
      </c>
      <c r="N14" s="17">
        <f>IFERROR(IF(M14/L14&gt;100%,100%,M14/L14),"-")</f>
        <v>1</v>
      </c>
      <c r="O14" s="51" t="s">
        <v>272</v>
      </c>
      <c r="P14" s="22">
        <v>40000000</v>
      </c>
      <c r="Q14" s="22">
        <v>53251000</v>
      </c>
      <c r="R14" s="22"/>
      <c r="S14" s="22"/>
      <c r="T14" s="22">
        <f>66847000+27346500+40000000</f>
        <v>134193500</v>
      </c>
      <c r="U14" s="64">
        <f>SUM(P14:T14)</f>
        <v>227444500</v>
      </c>
      <c r="V14" s="22">
        <v>40000000</v>
      </c>
      <c r="W14" s="22">
        <f>30000000+21500000</f>
        <v>51500000</v>
      </c>
      <c r="X14" s="22"/>
      <c r="Y14" s="22"/>
      <c r="Z14" s="22">
        <f>36462000+8154167+8926666+29000000</f>
        <v>82542833</v>
      </c>
      <c r="AA14" s="64">
        <f>SUM(V14:Z14)</f>
        <v>174042833</v>
      </c>
      <c r="AB14" s="4">
        <f>IFERROR(AA14/U14,"-")</f>
        <v>0.76521011939176375</v>
      </c>
      <c r="AC14" s="5"/>
      <c r="AD14" s="18" t="s">
        <v>44</v>
      </c>
      <c r="AE14" s="18" t="s">
        <v>211</v>
      </c>
    </row>
    <row r="15" spans="1:31" ht="71.25" x14ac:dyDescent="0.2">
      <c r="A15" s="20">
        <v>32</v>
      </c>
      <c r="B15" s="19" t="s">
        <v>36</v>
      </c>
      <c r="C15" s="19" t="s">
        <v>38</v>
      </c>
      <c r="D15" s="19" t="s">
        <v>39</v>
      </c>
      <c r="E15" s="6" t="s">
        <v>56</v>
      </c>
      <c r="F15" s="7" t="s">
        <v>57</v>
      </c>
      <c r="G15" s="65">
        <v>2020680010032</v>
      </c>
      <c r="H15" s="7" t="s">
        <v>47</v>
      </c>
      <c r="I15" s="66" t="s">
        <v>58</v>
      </c>
      <c r="J15" s="67">
        <v>44566</v>
      </c>
      <c r="K15" s="67">
        <v>44926</v>
      </c>
      <c r="L15" s="2">
        <v>1</v>
      </c>
      <c r="M15" s="3">
        <v>1</v>
      </c>
      <c r="N15" s="17">
        <f>IFERROR(IF(M15/L15&gt;100%,100%,M15/L15),"-")</f>
        <v>1</v>
      </c>
      <c r="O15" s="51" t="s">
        <v>285</v>
      </c>
      <c r="P15" s="22">
        <v>309000000</v>
      </c>
      <c r="Q15" s="22">
        <f>558981000+30000000</f>
        <v>588981000</v>
      </c>
      <c r="R15" s="22"/>
      <c r="S15" s="22"/>
      <c r="T15" s="22">
        <f>15000000</f>
        <v>15000000</v>
      </c>
      <c r="U15" s="64">
        <f>SUM(P15:T15)</f>
        <v>912981000</v>
      </c>
      <c r="V15" s="22">
        <v>309000000</v>
      </c>
      <c r="W15" s="22">
        <v>574773867</v>
      </c>
      <c r="X15" s="22"/>
      <c r="Y15" s="22"/>
      <c r="Z15" s="22"/>
      <c r="AA15" s="64">
        <f>SUM(V15:Z15)</f>
        <v>883773867</v>
      </c>
      <c r="AB15" s="4">
        <f>IFERROR(AA15/U15,"-")</f>
        <v>0.96800904619044648</v>
      </c>
      <c r="AC15" s="5"/>
      <c r="AD15" s="18" t="s">
        <v>44</v>
      </c>
      <c r="AE15" s="18" t="s">
        <v>211</v>
      </c>
    </row>
    <row r="16" spans="1:31" ht="57" x14ac:dyDescent="0.2">
      <c r="A16" s="20">
        <v>33</v>
      </c>
      <c r="B16" s="19" t="s">
        <v>36</v>
      </c>
      <c r="C16" s="19" t="s">
        <v>38</v>
      </c>
      <c r="D16" s="19" t="s">
        <v>39</v>
      </c>
      <c r="E16" s="6" t="s">
        <v>59</v>
      </c>
      <c r="F16" s="7" t="s">
        <v>60</v>
      </c>
      <c r="G16" s="65">
        <v>2021680010145</v>
      </c>
      <c r="H16" s="7" t="s">
        <v>213</v>
      </c>
      <c r="I16" s="69" t="s">
        <v>212</v>
      </c>
      <c r="J16" s="67">
        <v>44566</v>
      </c>
      <c r="K16" s="67">
        <v>44926</v>
      </c>
      <c r="L16" s="138">
        <v>0.25</v>
      </c>
      <c r="M16" s="128">
        <v>0.02</v>
      </c>
      <c r="N16" s="140">
        <f>IFERROR(IF(M16/L16&gt;100%,100%,M16/L16),"-")</f>
        <v>0.08</v>
      </c>
      <c r="O16" s="51" t="s">
        <v>245</v>
      </c>
      <c r="P16" s="22"/>
      <c r="Q16" s="22"/>
      <c r="R16" s="22"/>
      <c r="S16" s="22"/>
      <c r="T16" s="22">
        <v>18287163774.84</v>
      </c>
      <c r="U16" s="116">
        <f>SUM(P16:T17)</f>
        <v>23109172713.720001</v>
      </c>
      <c r="V16" s="22"/>
      <c r="W16" s="22"/>
      <c r="X16" s="22"/>
      <c r="Y16" s="22"/>
      <c r="Z16" s="22"/>
      <c r="AA16" s="116">
        <f>SUM(V16:Z17)</f>
        <v>4822008938.8800001</v>
      </c>
      <c r="AB16" s="106">
        <f>IFERROR(AA16/U16,"-")</f>
        <v>0.20866211865806669</v>
      </c>
      <c r="AC16" s="114"/>
      <c r="AD16" s="109" t="s">
        <v>44</v>
      </c>
      <c r="AE16" s="109" t="s">
        <v>211</v>
      </c>
    </row>
    <row r="17" spans="1:31" ht="102" customHeight="1" x14ac:dyDescent="0.2">
      <c r="A17" s="20">
        <v>33</v>
      </c>
      <c r="B17" s="19" t="s">
        <v>36</v>
      </c>
      <c r="C17" s="19" t="s">
        <v>38</v>
      </c>
      <c r="D17" s="19" t="s">
        <v>39</v>
      </c>
      <c r="E17" s="6" t="s">
        <v>59</v>
      </c>
      <c r="F17" s="7" t="s">
        <v>60</v>
      </c>
      <c r="G17" s="65">
        <v>2022680010122</v>
      </c>
      <c r="H17" s="7" t="s">
        <v>286</v>
      </c>
      <c r="I17" s="69" t="s">
        <v>287</v>
      </c>
      <c r="J17" s="67">
        <v>44883</v>
      </c>
      <c r="K17" s="67">
        <v>44926</v>
      </c>
      <c r="L17" s="139"/>
      <c r="M17" s="129"/>
      <c r="N17" s="141"/>
      <c r="O17" s="51" t="s">
        <v>288</v>
      </c>
      <c r="P17" s="22"/>
      <c r="Q17" s="22"/>
      <c r="R17" s="22"/>
      <c r="S17" s="22"/>
      <c r="T17" s="22">
        <v>4822008938.8800001</v>
      </c>
      <c r="U17" s="117"/>
      <c r="V17" s="22"/>
      <c r="W17" s="22"/>
      <c r="X17" s="22"/>
      <c r="Y17" s="22"/>
      <c r="Z17" s="22">
        <v>4822008938.8800001</v>
      </c>
      <c r="AA17" s="117"/>
      <c r="AB17" s="103"/>
      <c r="AC17" s="115"/>
      <c r="AD17" s="110"/>
      <c r="AE17" s="110"/>
    </row>
    <row r="18" spans="1:31" ht="66.75" customHeight="1" x14ac:dyDescent="0.2">
      <c r="A18" s="20">
        <v>34</v>
      </c>
      <c r="B18" s="19" t="s">
        <v>36</v>
      </c>
      <c r="C18" s="19" t="s">
        <v>38</v>
      </c>
      <c r="D18" s="19" t="s">
        <v>39</v>
      </c>
      <c r="E18" s="6" t="s">
        <v>61</v>
      </c>
      <c r="F18" s="7" t="s">
        <v>62</v>
      </c>
      <c r="G18" s="65">
        <v>2021680010105</v>
      </c>
      <c r="H18" s="7" t="s">
        <v>214</v>
      </c>
      <c r="I18" s="66" t="s">
        <v>215</v>
      </c>
      <c r="J18" s="67">
        <v>44566</v>
      </c>
      <c r="K18" s="67">
        <v>44926</v>
      </c>
      <c r="L18" s="9">
        <v>2</v>
      </c>
      <c r="M18" s="10">
        <v>1</v>
      </c>
      <c r="N18" s="17">
        <f>IFERROR(IF(M18/L18&gt;100%,100%,M18/L18),"-")</f>
        <v>0.5</v>
      </c>
      <c r="O18" s="52" t="s">
        <v>273</v>
      </c>
      <c r="P18" s="22"/>
      <c r="Q18" s="22"/>
      <c r="R18" s="22"/>
      <c r="S18" s="22"/>
      <c r="T18" s="22">
        <f>600000000+40000000</f>
        <v>640000000</v>
      </c>
      <c r="U18" s="64">
        <f>SUM(P18:T18)</f>
        <v>640000000</v>
      </c>
      <c r="V18" s="22"/>
      <c r="W18" s="22"/>
      <c r="X18" s="22"/>
      <c r="Y18" s="22"/>
      <c r="Z18" s="22">
        <f>600000000+40000000</f>
        <v>640000000</v>
      </c>
      <c r="AA18" s="64">
        <f>SUM(V18:Z18)</f>
        <v>640000000</v>
      </c>
      <c r="AB18" s="4">
        <f>IFERROR(AA18/U18,"-")</f>
        <v>1</v>
      </c>
      <c r="AC18" s="5"/>
      <c r="AD18" s="18" t="s">
        <v>44</v>
      </c>
      <c r="AE18" s="18" t="s">
        <v>211</v>
      </c>
    </row>
    <row r="19" spans="1:31" ht="63.75" customHeight="1" x14ac:dyDescent="0.2">
      <c r="A19" s="20">
        <v>35</v>
      </c>
      <c r="B19" s="19" t="s">
        <v>36</v>
      </c>
      <c r="C19" s="19" t="s">
        <v>38</v>
      </c>
      <c r="D19" s="19" t="s">
        <v>39</v>
      </c>
      <c r="E19" s="6" t="s">
        <v>63</v>
      </c>
      <c r="F19" s="7" t="s">
        <v>64</v>
      </c>
      <c r="G19" s="65">
        <v>2020680010130</v>
      </c>
      <c r="H19" s="7" t="s">
        <v>230</v>
      </c>
      <c r="I19" s="66" t="s">
        <v>65</v>
      </c>
      <c r="J19" s="67">
        <v>44566</v>
      </c>
      <c r="K19" s="67">
        <v>44926</v>
      </c>
      <c r="L19" s="9">
        <v>1</v>
      </c>
      <c r="M19" s="10">
        <v>1</v>
      </c>
      <c r="N19" s="17">
        <f>IFERROR(IF(M19/L19&gt;100%,100%,M19/L19),"-")</f>
        <v>1</v>
      </c>
      <c r="O19" s="51" t="s">
        <v>295</v>
      </c>
      <c r="P19" s="22">
        <v>430739965</v>
      </c>
      <c r="Q19" s="22">
        <f>119260035+270587827</f>
        <v>389847862</v>
      </c>
      <c r="R19" s="22"/>
      <c r="S19" s="22"/>
      <c r="T19" s="22">
        <v>50000000</v>
      </c>
      <c r="U19" s="64">
        <f>SUM(P19:T19)</f>
        <v>870587827</v>
      </c>
      <c r="V19" s="22">
        <v>426239965</v>
      </c>
      <c r="W19" s="22">
        <f>191760000+119260035+3021333.33</f>
        <v>314041368.32999998</v>
      </c>
      <c r="X19" s="22"/>
      <c r="Y19" s="22"/>
      <c r="Z19" s="22">
        <v>50000000</v>
      </c>
      <c r="AA19" s="64">
        <f>SUM(V19:Z19)</f>
        <v>790281333.32999992</v>
      </c>
      <c r="AB19" s="4">
        <f>IFERROR(AA19/U19,"-")</f>
        <v>0.90775601130705896</v>
      </c>
      <c r="AC19" s="5"/>
      <c r="AD19" s="18" t="s">
        <v>44</v>
      </c>
      <c r="AE19" s="18" t="s">
        <v>211</v>
      </c>
    </row>
    <row r="20" spans="1:31" ht="79.5" customHeight="1" x14ac:dyDescent="0.2">
      <c r="A20" s="20">
        <v>38</v>
      </c>
      <c r="B20" s="19" t="s">
        <v>36</v>
      </c>
      <c r="C20" s="19" t="s">
        <v>66</v>
      </c>
      <c r="D20" s="19" t="s">
        <v>67</v>
      </c>
      <c r="E20" s="6" t="s">
        <v>68</v>
      </c>
      <c r="F20" s="7" t="s">
        <v>69</v>
      </c>
      <c r="G20" s="65">
        <v>2020680010101</v>
      </c>
      <c r="H20" s="7" t="s">
        <v>70</v>
      </c>
      <c r="I20" s="66" t="s">
        <v>71</v>
      </c>
      <c r="J20" s="67">
        <v>44566</v>
      </c>
      <c r="K20" s="67">
        <v>44926</v>
      </c>
      <c r="L20" s="9">
        <v>15</v>
      </c>
      <c r="M20" s="10">
        <v>45</v>
      </c>
      <c r="N20" s="17">
        <f>IFERROR(IF(M20/L20&gt;100%,100%,M20/L20),"-")</f>
        <v>1</v>
      </c>
      <c r="O20" s="51" t="s">
        <v>274</v>
      </c>
      <c r="P20" s="22">
        <v>30000000</v>
      </c>
      <c r="Q20" s="22">
        <v>139000000</v>
      </c>
      <c r="R20" s="22"/>
      <c r="S20" s="22"/>
      <c r="T20" s="22"/>
      <c r="U20" s="64">
        <f>SUM(P20:T20)</f>
        <v>169000000</v>
      </c>
      <c r="V20" s="22">
        <v>28613333.329999998</v>
      </c>
      <c r="W20" s="22">
        <v>139000000</v>
      </c>
      <c r="X20" s="22"/>
      <c r="Y20" s="22"/>
      <c r="Z20" s="22"/>
      <c r="AA20" s="64">
        <f>SUM(V20:Z20)</f>
        <v>167613333.32999998</v>
      </c>
      <c r="AB20" s="4">
        <f>IFERROR(AA20/U20,"-")</f>
        <v>0.9917948717751478</v>
      </c>
      <c r="AC20" s="5"/>
      <c r="AD20" s="18" t="s">
        <v>44</v>
      </c>
      <c r="AE20" s="18" t="s">
        <v>211</v>
      </c>
    </row>
    <row r="21" spans="1:31" ht="77.25" customHeight="1" x14ac:dyDescent="0.2">
      <c r="A21" s="20">
        <v>39</v>
      </c>
      <c r="B21" s="19" t="s">
        <v>36</v>
      </c>
      <c r="C21" s="19" t="s">
        <v>66</v>
      </c>
      <c r="D21" s="19" t="s">
        <v>67</v>
      </c>
      <c r="E21" s="6" t="s">
        <v>72</v>
      </c>
      <c r="F21" s="7" t="s">
        <v>73</v>
      </c>
      <c r="G21" s="65">
        <v>2020680010101</v>
      </c>
      <c r="H21" s="7" t="s">
        <v>70</v>
      </c>
      <c r="I21" s="66" t="s">
        <v>74</v>
      </c>
      <c r="J21" s="67">
        <v>44566</v>
      </c>
      <c r="K21" s="67">
        <v>44926</v>
      </c>
      <c r="L21" s="9">
        <v>4</v>
      </c>
      <c r="M21" s="10">
        <v>4</v>
      </c>
      <c r="N21" s="17">
        <f>IFERROR(IF(M21/L21&gt;100%,100%,M21/L21),"-")</f>
        <v>1</v>
      </c>
      <c r="O21" s="51" t="s">
        <v>240</v>
      </c>
      <c r="P21" s="22"/>
      <c r="Q21" s="22">
        <v>290960000</v>
      </c>
      <c r="R21" s="22"/>
      <c r="S21" s="22"/>
      <c r="T21" s="22"/>
      <c r="U21" s="64">
        <f>SUM(P21:T21)</f>
        <v>290960000</v>
      </c>
      <c r="V21" s="22"/>
      <c r="W21" s="22">
        <v>289998666.31999999</v>
      </c>
      <c r="X21" s="22"/>
      <c r="Y21" s="22"/>
      <c r="Z21" s="22"/>
      <c r="AA21" s="64">
        <f>SUM(V21:Z21)</f>
        <v>289998666.31999999</v>
      </c>
      <c r="AB21" s="4">
        <f>IFERROR(AA21/U21,"-")</f>
        <v>0.99669599367610662</v>
      </c>
      <c r="AC21" s="5"/>
      <c r="AD21" s="18" t="s">
        <v>44</v>
      </c>
      <c r="AE21" s="18" t="s">
        <v>211</v>
      </c>
    </row>
    <row r="22" spans="1:31" ht="60" x14ac:dyDescent="0.2">
      <c r="A22" s="20">
        <v>40</v>
      </c>
      <c r="B22" s="7" t="s">
        <v>36</v>
      </c>
      <c r="C22" s="7" t="s">
        <v>66</v>
      </c>
      <c r="D22" s="7" t="s">
        <v>75</v>
      </c>
      <c r="E22" s="6" t="s">
        <v>80</v>
      </c>
      <c r="F22" s="7" t="s">
        <v>81</v>
      </c>
      <c r="G22" s="65">
        <v>2020680010047</v>
      </c>
      <c r="H22" s="7" t="s">
        <v>78</v>
      </c>
      <c r="I22" s="68" t="s">
        <v>82</v>
      </c>
      <c r="J22" s="67">
        <v>44566</v>
      </c>
      <c r="K22" s="67">
        <v>44926</v>
      </c>
      <c r="L22" s="119">
        <v>2</v>
      </c>
      <c r="M22" s="122">
        <v>2</v>
      </c>
      <c r="N22" s="125">
        <f>IFERROR(IF(M22/L22&gt;100%,100%,M22/L22),"-")</f>
        <v>1</v>
      </c>
      <c r="O22" s="75" t="s">
        <v>264</v>
      </c>
      <c r="P22" s="22">
        <f>186076667</f>
        <v>186076667</v>
      </c>
      <c r="Q22" s="22">
        <f>319928815+172892667</f>
        <v>492821482</v>
      </c>
      <c r="R22" s="22"/>
      <c r="S22" s="22"/>
      <c r="T22" s="22"/>
      <c r="U22" s="116">
        <f>SUM(P22:T26)</f>
        <v>4337831645</v>
      </c>
      <c r="V22" s="22">
        <v>179391967</v>
      </c>
      <c r="W22" s="22">
        <v>458383047.67000002</v>
      </c>
      <c r="X22" s="22"/>
      <c r="Y22" s="22"/>
      <c r="Z22" s="22"/>
      <c r="AA22" s="116">
        <f>SUM(V22:Z26)</f>
        <v>3593769599.98</v>
      </c>
      <c r="AB22" s="106">
        <f>IFERROR(AA22/U22,"-")</f>
        <v>0.82847143321533867</v>
      </c>
      <c r="AC22" s="107"/>
      <c r="AD22" s="109" t="s">
        <v>44</v>
      </c>
      <c r="AE22" s="109" t="s">
        <v>211</v>
      </c>
    </row>
    <row r="23" spans="1:31" ht="65.25" customHeight="1" x14ac:dyDescent="0.2">
      <c r="A23" s="20">
        <v>40</v>
      </c>
      <c r="B23" s="7" t="s">
        <v>36</v>
      </c>
      <c r="C23" s="7" t="s">
        <v>66</v>
      </c>
      <c r="D23" s="7" t="s">
        <v>75</v>
      </c>
      <c r="E23" s="6" t="s">
        <v>80</v>
      </c>
      <c r="F23" s="7" t="s">
        <v>81</v>
      </c>
      <c r="G23" s="65">
        <v>2022680010019</v>
      </c>
      <c r="H23" s="7" t="s">
        <v>265</v>
      </c>
      <c r="I23" s="66" t="s">
        <v>82</v>
      </c>
      <c r="J23" s="67">
        <v>44729</v>
      </c>
      <c r="K23" s="67">
        <v>44926</v>
      </c>
      <c r="L23" s="120"/>
      <c r="M23" s="123"/>
      <c r="N23" s="126"/>
      <c r="O23" s="75" t="s">
        <v>266</v>
      </c>
      <c r="P23" s="22"/>
      <c r="Q23" s="22">
        <v>1040000000</v>
      </c>
      <c r="R23" s="22"/>
      <c r="S23" s="22"/>
      <c r="T23" s="22"/>
      <c r="U23" s="118"/>
      <c r="V23" s="22"/>
      <c r="W23" s="22">
        <v>653832167.00999999</v>
      </c>
      <c r="X23" s="22"/>
      <c r="Y23" s="22"/>
      <c r="Z23" s="22"/>
      <c r="AA23" s="118"/>
      <c r="AB23" s="102"/>
      <c r="AC23" s="99"/>
      <c r="AD23" s="111"/>
      <c r="AE23" s="111"/>
    </row>
    <row r="24" spans="1:31" ht="71.25" x14ac:dyDescent="0.2">
      <c r="A24" s="20">
        <v>40</v>
      </c>
      <c r="B24" s="7" t="s">
        <v>36</v>
      </c>
      <c r="C24" s="7" t="s">
        <v>66</v>
      </c>
      <c r="D24" s="7" t="s">
        <v>75</v>
      </c>
      <c r="E24" s="6" t="s">
        <v>80</v>
      </c>
      <c r="F24" s="7" t="s">
        <v>81</v>
      </c>
      <c r="G24" s="65">
        <v>2021680010005</v>
      </c>
      <c r="H24" s="7" t="s">
        <v>83</v>
      </c>
      <c r="I24" s="66" t="s">
        <v>84</v>
      </c>
      <c r="J24" s="67">
        <v>44566</v>
      </c>
      <c r="K24" s="67">
        <v>44926</v>
      </c>
      <c r="L24" s="120"/>
      <c r="M24" s="123"/>
      <c r="N24" s="126"/>
      <c r="O24" s="75" t="s">
        <v>228</v>
      </c>
      <c r="P24" s="22"/>
      <c r="Q24" s="22"/>
      <c r="R24" s="22"/>
      <c r="S24" s="22"/>
      <c r="T24" s="22">
        <v>1900933496</v>
      </c>
      <c r="U24" s="118"/>
      <c r="V24" s="22"/>
      <c r="W24" s="22"/>
      <c r="X24" s="22"/>
      <c r="Y24" s="22"/>
      <c r="Z24" s="22">
        <v>1621308533.3</v>
      </c>
      <c r="AA24" s="118"/>
      <c r="AB24" s="102"/>
      <c r="AC24" s="99"/>
      <c r="AD24" s="111"/>
      <c r="AE24" s="111"/>
    </row>
    <row r="25" spans="1:31" ht="84" customHeight="1" x14ac:dyDescent="0.2">
      <c r="A25" s="20">
        <v>40</v>
      </c>
      <c r="B25" s="7" t="s">
        <v>36</v>
      </c>
      <c r="C25" s="7" t="s">
        <v>66</v>
      </c>
      <c r="D25" s="7" t="s">
        <v>75</v>
      </c>
      <c r="E25" s="6" t="s">
        <v>80</v>
      </c>
      <c r="F25" s="7" t="s">
        <v>81</v>
      </c>
      <c r="G25" s="65">
        <v>2021680010104</v>
      </c>
      <c r="H25" s="7" t="s">
        <v>218</v>
      </c>
      <c r="I25" s="66" t="s">
        <v>85</v>
      </c>
      <c r="J25" s="67">
        <v>44566</v>
      </c>
      <c r="K25" s="67">
        <v>44926</v>
      </c>
      <c r="L25" s="120"/>
      <c r="M25" s="123"/>
      <c r="N25" s="126"/>
      <c r="O25" s="76" t="s">
        <v>247</v>
      </c>
      <c r="P25" s="22">
        <v>500000000</v>
      </c>
      <c r="Q25" s="22"/>
      <c r="R25" s="22"/>
      <c r="S25" s="22"/>
      <c r="T25" s="22"/>
      <c r="U25" s="118"/>
      <c r="V25" s="22">
        <v>499868885</v>
      </c>
      <c r="W25" s="22"/>
      <c r="X25" s="22"/>
      <c r="Y25" s="22"/>
      <c r="Z25" s="22"/>
      <c r="AA25" s="118"/>
      <c r="AB25" s="102"/>
      <c r="AC25" s="99"/>
      <c r="AD25" s="111"/>
      <c r="AE25" s="111"/>
    </row>
    <row r="26" spans="1:31" ht="84" customHeight="1" x14ac:dyDescent="0.2">
      <c r="A26" s="20">
        <v>40</v>
      </c>
      <c r="B26" s="7" t="s">
        <v>36</v>
      </c>
      <c r="C26" s="7" t="s">
        <v>66</v>
      </c>
      <c r="D26" s="7" t="s">
        <v>75</v>
      </c>
      <c r="E26" s="6" t="s">
        <v>80</v>
      </c>
      <c r="F26" s="7" t="s">
        <v>81</v>
      </c>
      <c r="G26" s="65">
        <v>2022680010012</v>
      </c>
      <c r="H26" s="7" t="s">
        <v>254</v>
      </c>
      <c r="I26" s="68" t="s">
        <v>255</v>
      </c>
      <c r="J26" s="67">
        <v>44697</v>
      </c>
      <c r="K26" s="67">
        <v>44926</v>
      </c>
      <c r="L26" s="121"/>
      <c r="M26" s="124"/>
      <c r="N26" s="127"/>
      <c r="O26" s="77" t="s">
        <v>256</v>
      </c>
      <c r="P26" s="22"/>
      <c r="Q26" s="22"/>
      <c r="R26" s="22"/>
      <c r="S26" s="22"/>
      <c r="T26" s="22">
        <v>218000000</v>
      </c>
      <c r="U26" s="117"/>
      <c r="V26" s="22"/>
      <c r="W26" s="22"/>
      <c r="X26" s="22"/>
      <c r="Y26" s="22"/>
      <c r="Z26" s="22">
        <v>180985000</v>
      </c>
      <c r="AA26" s="117"/>
      <c r="AB26" s="103"/>
      <c r="AC26" s="104"/>
      <c r="AD26" s="110"/>
      <c r="AE26" s="110"/>
    </row>
    <row r="27" spans="1:31" ht="66" customHeight="1" x14ac:dyDescent="0.2">
      <c r="A27" s="20">
        <v>41</v>
      </c>
      <c r="B27" s="19" t="s">
        <v>36</v>
      </c>
      <c r="C27" s="19" t="s">
        <v>66</v>
      </c>
      <c r="D27" s="19" t="s">
        <v>75</v>
      </c>
      <c r="E27" s="6" t="s">
        <v>76</v>
      </c>
      <c r="F27" s="7" t="s">
        <v>77</v>
      </c>
      <c r="G27" s="65">
        <v>2020680010047</v>
      </c>
      <c r="H27" s="7" t="s">
        <v>78</v>
      </c>
      <c r="I27" s="66" t="s">
        <v>79</v>
      </c>
      <c r="J27" s="67">
        <v>44566</v>
      </c>
      <c r="K27" s="67">
        <v>44926</v>
      </c>
      <c r="L27" s="130">
        <v>0.95</v>
      </c>
      <c r="M27" s="178">
        <v>0.8286</v>
      </c>
      <c r="N27" s="125">
        <f>IFERROR(IF(M27/L27&gt;100%,100%,M27/L27),"-")</f>
        <v>0.87221052631578955</v>
      </c>
      <c r="O27" s="52" t="s">
        <v>232</v>
      </c>
      <c r="P27" s="22"/>
      <c r="Q27" s="22">
        <f>116305000+80000000</f>
        <v>196305000</v>
      </c>
      <c r="R27" s="22"/>
      <c r="S27" s="22"/>
      <c r="T27" s="22"/>
      <c r="U27" s="116">
        <f>SUM(P27:T28)</f>
        <v>652029248</v>
      </c>
      <c r="V27" s="22"/>
      <c r="W27" s="22">
        <v>195704166.66999999</v>
      </c>
      <c r="X27" s="22"/>
      <c r="Y27" s="22"/>
      <c r="Z27" s="22"/>
      <c r="AA27" s="116">
        <f>SUM(V27:Z28)</f>
        <v>324590866.64999998</v>
      </c>
      <c r="AB27" s="106">
        <f>IFERROR(AA27/U27,"-")</f>
        <v>0.49781642103576307</v>
      </c>
      <c r="AC27" s="107"/>
      <c r="AD27" s="109" t="s">
        <v>44</v>
      </c>
      <c r="AE27" s="109" t="s">
        <v>211</v>
      </c>
    </row>
    <row r="28" spans="1:31" ht="77.25" customHeight="1" x14ac:dyDescent="0.2">
      <c r="A28" s="20">
        <v>41</v>
      </c>
      <c r="B28" s="19" t="s">
        <v>36</v>
      </c>
      <c r="C28" s="19" t="s">
        <v>66</v>
      </c>
      <c r="D28" s="19" t="s">
        <v>75</v>
      </c>
      <c r="E28" s="6" t="s">
        <v>76</v>
      </c>
      <c r="F28" s="7" t="s">
        <v>77</v>
      </c>
      <c r="G28" s="65">
        <v>2022680010019</v>
      </c>
      <c r="H28" s="7" t="s">
        <v>265</v>
      </c>
      <c r="I28" s="66" t="s">
        <v>79</v>
      </c>
      <c r="J28" s="67">
        <v>44729</v>
      </c>
      <c r="K28" s="67">
        <v>44926</v>
      </c>
      <c r="L28" s="131"/>
      <c r="M28" s="179"/>
      <c r="N28" s="127"/>
      <c r="O28" s="52" t="s">
        <v>267</v>
      </c>
      <c r="P28" s="22"/>
      <c r="Q28" s="22">
        <v>455724248</v>
      </c>
      <c r="R28" s="22"/>
      <c r="S28" s="22"/>
      <c r="T28" s="22"/>
      <c r="U28" s="117"/>
      <c r="V28" s="22"/>
      <c r="W28" s="22">
        <v>128886699.98</v>
      </c>
      <c r="X28" s="22"/>
      <c r="Y28" s="22"/>
      <c r="Z28" s="22"/>
      <c r="AA28" s="117"/>
      <c r="AB28" s="103"/>
      <c r="AC28" s="104"/>
      <c r="AD28" s="110"/>
      <c r="AE28" s="110"/>
    </row>
    <row r="29" spans="1:31" ht="59.25" customHeight="1" x14ac:dyDescent="0.2">
      <c r="A29" s="20">
        <v>42</v>
      </c>
      <c r="B29" s="19" t="s">
        <v>36</v>
      </c>
      <c r="C29" s="19" t="s">
        <v>66</v>
      </c>
      <c r="D29" s="19" t="s">
        <v>86</v>
      </c>
      <c r="E29" s="6" t="s">
        <v>87</v>
      </c>
      <c r="F29" s="7" t="s">
        <v>88</v>
      </c>
      <c r="G29" s="65">
        <v>2020680010111</v>
      </c>
      <c r="H29" s="7" t="s">
        <v>89</v>
      </c>
      <c r="I29" s="66" t="s">
        <v>90</v>
      </c>
      <c r="J29" s="67">
        <v>44566</v>
      </c>
      <c r="K29" s="67">
        <v>44926</v>
      </c>
      <c r="L29" s="119">
        <v>1</v>
      </c>
      <c r="M29" s="122">
        <v>1</v>
      </c>
      <c r="N29" s="125">
        <f>IFERROR(IF(M29/L29&gt;100%,100%,M29/L29),"-")</f>
        <v>1</v>
      </c>
      <c r="O29" s="52" t="s">
        <v>238</v>
      </c>
      <c r="P29" s="22"/>
      <c r="Q29" s="22">
        <v>203108000</v>
      </c>
      <c r="R29" s="22"/>
      <c r="S29" s="22"/>
      <c r="T29" s="22"/>
      <c r="U29" s="116">
        <f>SUM(P29:T30)</f>
        <v>1934676595.28</v>
      </c>
      <c r="V29" s="22"/>
      <c r="W29" s="22">
        <v>194977866.66</v>
      </c>
      <c r="X29" s="22"/>
      <c r="Y29" s="22"/>
      <c r="Z29" s="22"/>
      <c r="AA29" s="116">
        <f>SUM(V29:Z30)</f>
        <v>1405222124.6299999</v>
      </c>
      <c r="AB29" s="106">
        <f>IFERROR(AA29/U29,"-")</f>
        <v>0.72633437963652336</v>
      </c>
      <c r="AC29" s="107"/>
      <c r="AD29" s="109" t="s">
        <v>44</v>
      </c>
      <c r="AE29" s="109" t="s">
        <v>211</v>
      </c>
    </row>
    <row r="30" spans="1:31" ht="78" customHeight="1" x14ac:dyDescent="0.2">
      <c r="A30" s="20">
        <v>42</v>
      </c>
      <c r="B30" s="19" t="s">
        <v>36</v>
      </c>
      <c r="C30" s="19" t="s">
        <v>66</v>
      </c>
      <c r="D30" s="19" t="s">
        <v>86</v>
      </c>
      <c r="E30" s="6" t="s">
        <v>87</v>
      </c>
      <c r="F30" s="7" t="s">
        <v>88</v>
      </c>
      <c r="G30" s="65">
        <v>2022680010028</v>
      </c>
      <c r="H30" s="7" t="s">
        <v>275</v>
      </c>
      <c r="I30" s="68" t="s">
        <v>276</v>
      </c>
      <c r="J30" s="67">
        <v>44757</v>
      </c>
      <c r="K30" s="67">
        <v>44926</v>
      </c>
      <c r="L30" s="121"/>
      <c r="M30" s="124"/>
      <c r="N30" s="127"/>
      <c r="O30" s="52" t="s">
        <v>268</v>
      </c>
      <c r="P30" s="63"/>
      <c r="Q30" s="22">
        <v>573202425</v>
      </c>
      <c r="R30" s="22"/>
      <c r="S30" s="22"/>
      <c r="T30" s="22">
        <v>1158366170.28</v>
      </c>
      <c r="U30" s="117"/>
      <c r="V30" s="63"/>
      <c r="W30" s="22">
        <v>573202425</v>
      </c>
      <c r="X30" s="22"/>
      <c r="Y30" s="22"/>
      <c r="Z30" s="22">
        <f>633883166.31+3158666.66</f>
        <v>637041832.96999991</v>
      </c>
      <c r="AA30" s="117"/>
      <c r="AB30" s="103"/>
      <c r="AC30" s="104"/>
      <c r="AD30" s="110"/>
      <c r="AE30" s="110"/>
    </row>
    <row r="31" spans="1:31" ht="57.75" customHeight="1" x14ac:dyDescent="0.2">
      <c r="A31" s="20">
        <v>43</v>
      </c>
      <c r="B31" s="19" t="s">
        <v>36</v>
      </c>
      <c r="C31" s="19" t="s">
        <v>66</v>
      </c>
      <c r="D31" s="19" t="s">
        <v>91</v>
      </c>
      <c r="E31" s="6" t="s">
        <v>92</v>
      </c>
      <c r="F31" s="7" t="s">
        <v>93</v>
      </c>
      <c r="G31" s="65">
        <v>2020680010109</v>
      </c>
      <c r="H31" s="7" t="s">
        <v>94</v>
      </c>
      <c r="I31" s="66" t="s">
        <v>95</v>
      </c>
      <c r="J31" s="67">
        <v>44566</v>
      </c>
      <c r="K31" s="67">
        <v>44926</v>
      </c>
      <c r="L31" s="9">
        <v>1</v>
      </c>
      <c r="M31" s="10">
        <v>1</v>
      </c>
      <c r="N31" s="17">
        <f t="shared" ref="N31:N43" si="0">IFERROR(IF(M31/L31&gt;100%,100%,M31/L31),"-")</f>
        <v>1</v>
      </c>
      <c r="O31" s="52" t="s">
        <v>237</v>
      </c>
      <c r="P31" s="22"/>
      <c r="Q31" s="22">
        <v>103897142</v>
      </c>
      <c r="R31" s="22"/>
      <c r="S31" s="22"/>
      <c r="T31" s="22">
        <v>50000000</v>
      </c>
      <c r="U31" s="64">
        <f t="shared" ref="U31:U42" si="1">SUM(P31:T31)</f>
        <v>153897142</v>
      </c>
      <c r="V31" s="22"/>
      <c r="W31" s="22">
        <v>101464380</v>
      </c>
      <c r="X31" s="22"/>
      <c r="Y31" s="22"/>
      <c r="Z31" s="22">
        <v>50000000</v>
      </c>
      <c r="AA31" s="64">
        <f t="shared" ref="AA31:AA42" si="2">SUM(V31:Z31)</f>
        <v>151464380</v>
      </c>
      <c r="AB31" s="4">
        <f t="shared" ref="AB31:AB43" si="3">IFERROR(AA31/U31,"-")</f>
        <v>0.98419228603998377</v>
      </c>
      <c r="AC31" s="5"/>
      <c r="AD31" s="18" t="s">
        <v>44</v>
      </c>
      <c r="AE31" s="18" t="s">
        <v>211</v>
      </c>
    </row>
    <row r="32" spans="1:31" ht="55.5" customHeight="1" x14ac:dyDescent="0.2">
      <c r="A32" s="20">
        <v>44</v>
      </c>
      <c r="B32" s="19" t="s">
        <v>36</v>
      </c>
      <c r="C32" s="19" t="s">
        <v>66</v>
      </c>
      <c r="D32" s="19" t="s">
        <v>91</v>
      </c>
      <c r="E32" s="6" t="s">
        <v>96</v>
      </c>
      <c r="F32" s="7" t="s">
        <v>97</v>
      </c>
      <c r="G32" s="65">
        <v>2020680010109</v>
      </c>
      <c r="H32" s="7" t="s">
        <v>94</v>
      </c>
      <c r="I32" s="66" t="s">
        <v>98</v>
      </c>
      <c r="J32" s="67">
        <v>44566</v>
      </c>
      <c r="K32" s="67">
        <v>44926</v>
      </c>
      <c r="L32" s="9">
        <v>1</v>
      </c>
      <c r="M32" s="10">
        <v>1</v>
      </c>
      <c r="N32" s="17">
        <f t="shared" si="0"/>
        <v>1</v>
      </c>
      <c r="O32" s="53" t="s">
        <v>237</v>
      </c>
      <c r="P32" s="22"/>
      <c r="Q32" s="22">
        <v>64742858</v>
      </c>
      <c r="R32" s="22"/>
      <c r="S32" s="22"/>
      <c r="T32" s="22"/>
      <c r="U32" s="64">
        <f t="shared" si="1"/>
        <v>64742858</v>
      </c>
      <c r="V32" s="22"/>
      <c r="W32" s="22">
        <v>58660953.329999998</v>
      </c>
      <c r="X32" s="22"/>
      <c r="Y32" s="22"/>
      <c r="Z32" s="22"/>
      <c r="AA32" s="64">
        <f t="shared" si="2"/>
        <v>58660953.329999998</v>
      </c>
      <c r="AB32" s="4">
        <f t="shared" si="3"/>
        <v>0.90606060872382244</v>
      </c>
      <c r="AC32" s="8"/>
      <c r="AD32" s="16" t="s">
        <v>44</v>
      </c>
      <c r="AE32" s="16" t="s">
        <v>211</v>
      </c>
    </row>
    <row r="33" spans="1:31" ht="128.25" customHeight="1" x14ac:dyDescent="0.2">
      <c r="A33" s="20">
        <v>45</v>
      </c>
      <c r="B33" s="19" t="s">
        <v>36</v>
      </c>
      <c r="C33" s="19" t="s">
        <v>66</v>
      </c>
      <c r="D33" s="19" t="s">
        <v>99</v>
      </c>
      <c r="E33" s="6" t="s">
        <v>100</v>
      </c>
      <c r="F33" s="7" t="s">
        <v>101</v>
      </c>
      <c r="G33" s="65">
        <v>2020680010102</v>
      </c>
      <c r="H33" s="7" t="s">
        <v>102</v>
      </c>
      <c r="I33" s="66" t="s">
        <v>103</v>
      </c>
      <c r="J33" s="67">
        <v>44566</v>
      </c>
      <c r="K33" s="67">
        <v>44926</v>
      </c>
      <c r="L33" s="9">
        <v>1</v>
      </c>
      <c r="M33" s="48">
        <v>1</v>
      </c>
      <c r="N33" s="17">
        <f t="shared" si="0"/>
        <v>1</v>
      </c>
      <c r="O33" s="52" t="s">
        <v>262</v>
      </c>
      <c r="P33" s="63"/>
      <c r="Q33" s="22">
        <f>130000000+16428500</f>
        <v>146428500</v>
      </c>
      <c r="R33" s="22"/>
      <c r="S33" s="22"/>
      <c r="T33" s="22">
        <v>40000000</v>
      </c>
      <c r="U33" s="64">
        <f t="shared" si="1"/>
        <v>186428500</v>
      </c>
      <c r="V33" s="63"/>
      <c r="W33" s="22">
        <f>130000000+14093411</f>
        <v>144093411</v>
      </c>
      <c r="X33" s="22"/>
      <c r="Y33" s="22"/>
      <c r="Z33" s="22">
        <v>40000000</v>
      </c>
      <c r="AA33" s="64">
        <f t="shared" si="2"/>
        <v>184093411</v>
      </c>
      <c r="AB33" s="4">
        <f t="shared" si="3"/>
        <v>0.98747461359180599</v>
      </c>
      <c r="AC33" s="5"/>
      <c r="AD33" s="18" t="s">
        <v>44</v>
      </c>
      <c r="AE33" s="18" t="s">
        <v>211</v>
      </c>
    </row>
    <row r="34" spans="1:31" ht="57" x14ac:dyDescent="0.2">
      <c r="A34" s="20">
        <v>46</v>
      </c>
      <c r="B34" s="19" t="s">
        <v>36</v>
      </c>
      <c r="C34" s="19" t="s">
        <v>66</v>
      </c>
      <c r="D34" s="19" t="s">
        <v>99</v>
      </c>
      <c r="E34" s="6" t="s">
        <v>104</v>
      </c>
      <c r="F34" s="7" t="s">
        <v>105</v>
      </c>
      <c r="G34" s="65">
        <v>2020680010102</v>
      </c>
      <c r="H34" s="7" t="s">
        <v>102</v>
      </c>
      <c r="I34" s="66" t="s">
        <v>106</v>
      </c>
      <c r="J34" s="67">
        <v>44566</v>
      </c>
      <c r="K34" s="67">
        <v>44926</v>
      </c>
      <c r="L34" s="9">
        <v>1</v>
      </c>
      <c r="M34" s="48">
        <v>1</v>
      </c>
      <c r="N34" s="17">
        <f t="shared" si="0"/>
        <v>1</v>
      </c>
      <c r="O34" s="53" t="s">
        <v>234</v>
      </c>
      <c r="P34" s="22"/>
      <c r="Q34" s="22">
        <v>10000000</v>
      </c>
      <c r="R34" s="22"/>
      <c r="S34" s="22"/>
      <c r="T34" s="22"/>
      <c r="U34" s="64">
        <f t="shared" si="1"/>
        <v>10000000</v>
      </c>
      <c r="V34" s="22"/>
      <c r="W34" s="22">
        <v>10000000</v>
      </c>
      <c r="X34" s="22"/>
      <c r="Y34" s="22"/>
      <c r="Z34" s="22"/>
      <c r="AA34" s="64">
        <f t="shared" si="2"/>
        <v>10000000</v>
      </c>
      <c r="AB34" s="4">
        <f t="shared" si="3"/>
        <v>1</v>
      </c>
      <c r="AC34" s="5"/>
      <c r="AD34" s="18" t="s">
        <v>44</v>
      </c>
      <c r="AE34" s="18" t="s">
        <v>211</v>
      </c>
    </row>
    <row r="35" spans="1:31" ht="57" x14ac:dyDescent="0.2">
      <c r="A35" s="20">
        <v>47</v>
      </c>
      <c r="B35" s="19" t="s">
        <v>36</v>
      </c>
      <c r="C35" s="19" t="s">
        <v>66</v>
      </c>
      <c r="D35" s="19" t="s">
        <v>99</v>
      </c>
      <c r="E35" s="6" t="s">
        <v>107</v>
      </c>
      <c r="F35" s="7" t="s">
        <v>108</v>
      </c>
      <c r="G35" s="65">
        <v>2020680010102</v>
      </c>
      <c r="H35" s="7" t="s">
        <v>102</v>
      </c>
      <c r="I35" s="66" t="s">
        <v>109</v>
      </c>
      <c r="J35" s="67">
        <v>44566</v>
      </c>
      <c r="K35" s="67">
        <v>44926</v>
      </c>
      <c r="L35" s="9">
        <v>1</v>
      </c>
      <c r="M35" s="48">
        <v>1</v>
      </c>
      <c r="N35" s="17">
        <f t="shared" si="0"/>
        <v>1</v>
      </c>
      <c r="O35" s="53" t="s">
        <v>234</v>
      </c>
      <c r="P35" s="22"/>
      <c r="Q35" s="22">
        <v>171285500</v>
      </c>
      <c r="R35" s="22"/>
      <c r="S35" s="22"/>
      <c r="T35" s="22"/>
      <c r="U35" s="64">
        <f t="shared" si="1"/>
        <v>171285500</v>
      </c>
      <c r="V35" s="22"/>
      <c r="W35" s="22">
        <v>164280233.66999999</v>
      </c>
      <c r="X35" s="22"/>
      <c r="Y35" s="22"/>
      <c r="Z35" s="22"/>
      <c r="AA35" s="64">
        <f t="shared" si="2"/>
        <v>164280233.66999999</v>
      </c>
      <c r="AB35" s="4">
        <f t="shared" si="3"/>
        <v>0.95910181346348633</v>
      </c>
      <c r="AC35" s="5"/>
      <c r="AD35" s="18" t="s">
        <v>44</v>
      </c>
      <c r="AE35" s="18" t="s">
        <v>211</v>
      </c>
    </row>
    <row r="36" spans="1:31" ht="57" x14ac:dyDescent="0.2">
      <c r="A36" s="20">
        <v>48</v>
      </c>
      <c r="B36" s="19" t="s">
        <v>36</v>
      </c>
      <c r="C36" s="19" t="s">
        <v>66</v>
      </c>
      <c r="D36" s="19" t="s">
        <v>99</v>
      </c>
      <c r="E36" s="6" t="s">
        <v>110</v>
      </c>
      <c r="F36" s="7" t="s">
        <v>111</v>
      </c>
      <c r="G36" s="65">
        <v>2020680010102</v>
      </c>
      <c r="H36" s="7" t="s">
        <v>102</v>
      </c>
      <c r="I36" s="66" t="s">
        <v>112</v>
      </c>
      <c r="J36" s="67">
        <v>44566</v>
      </c>
      <c r="K36" s="67">
        <v>44926</v>
      </c>
      <c r="L36" s="9">
        <v>1</v>
      </c>
      <c r="M36" s="48">
        <v>1</v>
      </c>
      <c r="N36" s="17">
        <f t="shared" si="0"/>
        <v>1</v>
      </c>
      <c r="O36" s="53" t="s">
        <v>234</v>
      </c>
      <c r="P36" s="22"/>
      <c r="Q36" s="22">
        <f>16428500+57050000</f>
        <v>73478500</v>
      </c>
      <c r="R36" s="22"/>
      <c r="S36" s="22"/>
      <c r="T36" s="22"/>
      <c r="U36" s="64">
        <f t="shared" si="1"/>
        <v>73478500</v>
      </c>
      <c r="V36" s="22"/>
      <c r="W36" s="22">
        <v>71143411</v>
      </c>
      <c r="X36" s="22"/>
      <c r="Y36" s="22"/>
      <c r="Z36" s="22"/>
      <c r="AA36" s="64">
        <f t="shared" si="2"/>
        <v>71143411</v>
      </c>
      <c r="AB36" s="4">
        <f t="shared" si="3"/>
        <v>0.96822078567199932</v>
      </c>
      <c r="AC36" s="5"/>
      <c r="AD36" s="18" t="s">
        <v>44</v>
      </c>
      <c r="AE36" s="18" t="s">
        <v>211</v>
      </c>
    </row>
    <row r="37" spans="1:31" ht="57" x14ac:dyDescent="0.2">
      <c r="A37" s="20">
        <v>49</v>
      </c>
      <c r="B37" s="19" t="s">
        <v>36</v>
      </c>
      <c r="C37" s="19" t="s">
        <v>66</v>
      </c>
      <c r="D37" s="19" t="s">
        <v>99</v>
      </c>
      <c r="E37" s="6" t="s">
        <v>113</v>
      </c>
      <c r="F37" s="7" t="s">
        <v>114</v>
      </c>
      <c r="G37" s="65">
        <v>2020680010102</v>
      </c>
      <c r="H37" s="7" t="s">
        <v>102</v>
      </c>
      <c r="I37" s="66" t="s">
        <v>113</v>
      </c>
      <c r="J37" s="67">
        <v>44566</v>
      </c>
      <c r="K37" s="67">
        <v>44926</v>
      </c>
      <c r="L37" s="2">
        <v>1</v>
      </c>
      <c r="M37" s="49">
        <v>1</v>
      </c>
      <c r="N37" s="28">
        <f t="shared" si="0"/>
        <v>1</v>
      </c>
      <c r="O37" s="53" t="s">
        <v>234</v>
      </c>
      <c r="P37" s="22"/>
      <c r="Q37" s="22">
        <v>31428500</v>
      </c>
      <c r="R37" s="22"/>
      <c r="S37" s="22"/>
      <c r="T37" s="22"/>
      <c r="U37" s="64">
        <f t="shared" si="1"/>
        <v>31428500</v>
      </c>
      <c r="V37" s="22"/>
      <c r="W37" s="22">
        <v>29093411</v>
      </c>
      <c r="X37" s="22"/>
      <c r="Y37" s="22"/>
      <c r="Z37" s="22"/>
      <c r="AA37" s="64">
        <f t="shared" si="2"/>
        <v>29093411</v>
      </c>
      <c r="AB37" s="4">
        <f t="shared" si="3"/>
        <v>0.92570154477623812</v>
      </c>
      <c r="AC37" s="5"/>
      <c r="AD37" s="18" t="s">
        <v>44</v>
      </c>
      <c r="AE37" s="18" t="s">
        <v>211</v>
      </c>
    </row>
    <row r="38" spans="1:31" ht="57" x14ac:dyDescent="0.2">
      <c r="A38" s="20">
        <v>50</v>
      </c>
      <c r="B38" s="19" t="s">
        <v>36</v>
      </c>
      <c r="C38" s="19" t="s">
        <v>66</v>
      </c>
      <c r="D38" s="19" t="s">
        <v>115</v>
      </c>
      <c r="E38" s="6" t="s">
        <v>116</v>
      </c>
      <c r="F38" s="7" t="s">
        <v>117</v>
      </c>
      <c r="G38" s="70">
        <v>2021680010044</v>
      </c>
      <c r="H38" s="7" t="s">
        <v>118</v>
      </c>
      <c r="I38" s="66" t="s">
        <v>119</v>
      </c>
      <c r="J38" s="67">
        <v>44566</v>
      </c>
      <c r="K38" s="67">
        <v>44926</v>
      </c>
      <c r="L38" s="9">
        <v>1</v>
      </c>
      <c r="M38" s="50">
        <v>1</v>
      </c>
      <c r="N38" s="28">
        <f t="shared" si="0"/>
        <v>1</v>
      </c>
      <c r="O38" s="53" t="s">
        <v>233</v>
      </c>
      <c r="P38" s="22"/>
      <c r="Q38" s="22">
        <v>538175000</v>
      </c>
      <c r="R38" s="22"/>
      <c r="S38" s="22"/>
      <c r="T38" s="22"/>
      <c r="U38" s="64">
        <f t="shared" si="1"/>
        <v>538175000</v>
      </c>
      <c r="V38" s="22"/>
      <c r="W38" s="22">
        <v>492833333.36000001</v>
      </c>
      <c r="X38" s="22"/>
      <c r="Y38" s="22"/>
      <c r="Z38" s="22"/>
      <c r="AA38" s="64">
        <f t="shared" si="2"/>
        <v>492833333.36000001</v>
      </c>
      <c r="AB38" s="4">
        <f t="shared" si="3"/>
        <v>0.91574921421470712</v>
      </c>
      <c r="AC38" s="5"/>
      <c r="AD38" s="18" t="s">
        <v>44</v>
      </c>
      <c r="AE38" s="18" t="s">
        <v>211</v>
      </c>
    </row>
    <row r="39" spans="1:31" ht="57" x14ac:dyDescent="0.2">
      <c r="A39" s="20">
        <v>51</v>
      </c>
      <c r="B39" s="19" t="s">
        <v>36</v>
      </c>
      <c r="C39" s="19" t="s">
        <v>66</v>
      </c>
      <c r="D39" s="19" t="s">
        <v>115</v>
      </c>
      <c r="E39" s="6" t="s">
        <v>120</v>
      </c>
      <c r="F39" s="7" t="s">
        <v>121</v>
      </c>
      <c r="G39" s="65">
        <v>2020680010091</v>
      </c>
      <c r="H39" s="7" t="s">
        <v>122</v>
      </c>
      <c r="I39" s="66" t="s">
        <v>123</v>
      </c>
      <c r="J39" s="67">
        <v>44566</v>
      </c>
      <c r="K39" s="67">
        <v>44926</v>
      </c>
      <c r="L39" s="9">
        <v>1</v>
      </c>
      <c r="M39" s="50">
        <v>1</v>
      </c>
      <c r="N39" s="28">
        <f t="shared" si="0"/>
        <v>1</v>
      </c>
      <c r="O39" s="53" t="s">
        <v>233</v>
      </c>
      <c r="P39" s="22"/>
      <c r="Q39" s="22">
        <v>346600000</v>
      </c>
      <c r="R39" s="22"/>
      <c r="S39" s="22"/>
      <c r="T39" s="22"/>
      <c r="U39" s="64">
        <f t="shared" si="1"/>
        <v>346600000</v>
      </c>
      <c r="V39" s="22"/>
      <c r="W39" s="22">
        <v>316593333</v>
      </c>
      <c r="X39" s="22"/>
      <c r="Y39" s="22"/>
      <c r="Z39" s="22"/>
      <c r="AA39" s="64">
        <f t="shared" si="2"/>
        <v>316593333</v>
      </c>
      <c r="AB39" s="4">
        <f t="shared" si="3"/>
        <v>0.91342565781881135</v>
      </c>
      <c r="AC39" s="5"/>
      <c r="AD39" s="18" t="s">
        <v>44</v>
      </c>
      <c r="AE39" s="18" t="s">
        <v>211</v>
      </c>
    </row>
    <row r="40" spans="1:31" ht="57" x14ac:dyDescent="0.2">
      <c r="A40" s="20">
        <v>52</v>
      </c>
      <c r="B40" s="19" t="s">
        <v>36</v>
      </c>
      <c r="C40" s="19" t="s">
        <v>66</v>
      </c>
      <c r="D40" s="19" t="s">
        <v>115</v>
      </c>
      <c r="E40" s="6" t="s">
        <v>124</v>
      </c>
      <c r="F40" s="7" t="s">
        <v>125</v>
      </c>
      <c r="G40" s="65">
        <v>2020680010091</v>
      </c>
      <c r="H40" s="7" t="s">
        <v>122</v>
      </c>
      <c r="I40" s="66" t="s">
        <v>123</v>
      </c>
      <c r="J40" s="67">
        <v>44566</v>
      </c>
      <c r="K40" s="67">
        <v>44926</v>
      </c>
      <c r="L40" s="2">
        <v>1</v>
      </c>
      <c r="M40" s="49">
        <v>1</v>
      </c>
      <c r="N40" s="28">
        <f t="shared" si="0"/>
        <v>1</v>
      </c>
      <c r="O40" s="53" t="s">
        <v>233</v>
      </c>
      <c r="P40" s="22"/>
      <c r="Q40" s="22">
        <v>111712000</v>
      </c>
      <c r="R40" s="22"/>
      <c r="S40" s="22"/>
      <c r="T40" s="22"/>
      <c r="U40" s="64">
        <f t="shared" si="1"/>
        <v>111712000</v>
      </c>
      <c r="V40" s="22"/>
      <c r="W40" s="22">
        <v>109811200</v>
      </c>
      <c r="X40" s="22"/>
      <c r="Y40" s="22"/>
      <c r="Z40" s="22"/>
      <c r="AA40" s="64">
        <f t="shared" si="2"/>
        <v>109811200</v>
      </c>
      <c r="AB40" s="4">
        <f t="shared" si="3"/>
        <v>0.9829848181036952</v>
      </c>
      <c r="AC40" s="5"/>
      <c r="AD40" s="18" t="s">
        <v>44</v>
      </c>
      <c r="AE40" s="18" t="s">
        <v>211</v>
      </c>
    </row>
    <row r="41" spans="1:31" ht="57" x14ac:dyDescent="0.2">
      <c r="A41" s="20">
        <v>53</v>
      </c>
      <c r="B41" s="19" t="s">
        <v>36</v>
      </c>
      <c r="C41" s="19" t="s">
        <v>66</v>
      </c>
      <c r="D41" s="19" t="s">
        <v>115</v>
      </c>
      <c r="E41" s="6" t="s">
        <v>126</v>
      </c>
      <c r="F41" s="7" t="s">
        <v>127</v>
      </c>
      <c r="G41" s="65">
        <v>2020680010091</v>
      </c>
      <c r="H41" s="7" t="s">
        <v>122</v>
      </c>
      <c r="I41" s="66" t="s">
        <v>123</v>
      </c>
      <c r="J41" s="67">
        <v>44566</v>
      </c>
      <c r="K41" s="67">
        <v>44926</v>
      </c>
      <c r="L41" s="9">
        <v>1</v>
      </c>
      <c r="M41" s="48">
        <v>1</v>
      </c>
      <c r="N41" s="28">
        <f t="shared" si="0"/>
        <v>1</v>
      </c>
      <c r="O41" s="53" t="s">
        <v>233</v>
      </c>
      <c r="P41" s="22"/>
      <c r="Q41" s="22">
        <v>149354167</v>
      </c>
      <c r="R41" s="22"/>
      <c r="S41" s="22"/>
      <c r="T41" s="22"/>
      <c r="U41" s="64">
        <f t="shared" si="1"/>
        <v>149354167</v>
      </c>
      <c r="V41" s="22"/>
      <c r="W41" s="22">
        <v>140513333.66999999</v>
      </c>
      <c r="X41" s="22"/>
      <c r="Y41" s="22"/>
      <c r="Z41" s="22"/>
      <c r="AA41" s="64">
        <f t="shared" si="2"/>
        <v>140513333.66999999</v>
      </c>
      <c r="AB41" s="4">
        <f t="shared" si="3"/>
        <v>0.94080624928261958</v>
      </c>
      <c r="AC41" s="5"/>
      <c r="AD41" s="18" t="s">
        <v>44</v>
      </c>
      <c r="AE41" s="18" t="s">
        <v>211</v>
      </c>
    </row>
    <row r="42" spans="1:31" ht="57" x14ac:dyDescent="0.2">
      <c r="A42" s="20">
        <v>54</v>
      </c>
      <c r="B42" s="19" t="s">
        <v>36</v>
      </c>
      <c r="C42" s="19" t="s">
        <v>66</v>
      </c>
      <c r="D42" s="19" t="s">
        <v>115</v>
      </c>
      <c r="E42" s="11" t="s">
        <v>128</v>
      </c>
      <c r="F42" s="7" t="s">
        <v>129</v>
      </c>
      <c r="G42" s="65">
        <v>2020680010091</v>
      </c>
      <c r="H42" s="7" t="s">
        <v>122</v>
      </c>
      <c r="I42" s="66" t="s">
        <v>123</v>
      </c>
      <c r="J42" s="67">
        <v>44566</v>
      </c>
      <c r="K42" s="67">
        <v>44926</v>
      </c>
      <c r="L42" s="9">
        <v>5</v>
      </c>
      <c r="M42" s="10">
        <v>5</v>
      </c>
      <c r="N42" s="17">
        <f t="shared" si="0"/>
        <v>1</v>
      </c>
      <c r="O42" s="53" t="s">
        <v>233</v>
      </c>
      <c r="P42" s="22"/>
      <c r="Q42" s="22">
        <v>16050833</v>
      </c>
      <c r="R42" s="22"/>
      <c r="S42" s="22"/>
      <c r="T42" s="22"/>
      <c r="U42" s="64">
        <f t="shared" si="1"/>
        <v>16050833</v>
      </c>
      <c r="V42" s="22"/>
      <c r="W42" s="22">
        <v>16050833</v>
      </c>
      <c r="X42" s="22"/>
      <c r="Y42" s="22"/>
      <c r="Z42" s="22"/>
      <c r="AA42" s="64">
        <f t="shared" si="2"/>
        <v>16050833</v>
      </c>
      <c r="AB42" s="4">
        <f t="shared" si="3"/>
        <v>1</v>
      </c>
      <c r="AC42" s="5"/>
      <c r="AD42" s="18" t="s">
        <v>44</v>
      </c>
      <c r="AE42" s="18" t="s">
        <v>211</v>
      </c>
    </row>
    <row r="43" spans="1:31" ht="57" x14ac:dyDescent="0.2">
      <c r="A43" s="20">
        <v>55</v>
      </c>
      <c r="B43" s="19" t="s">
        <v>36</v>
      </c>
      <c r="C43" s="19" t="s">
        <v>66</v>
      </c>
      <c r="D43" s="19" t="s">
        <v>115</v>
      </c>
      <c r="E43" s="12" t="s">
        <v>130</v>
      </c>
      <c r="F43" s="71" t="s">
        <v>131</v>
      </c>
      <c r="G43" s="65">
        <v>2020680010091</v>
      </c>
      <c r="H43" s="7" t="s">
        <v>122</v>
      </c>
      <c r="I43" s="66" t="s">
        <v>123</v>
      </c>
      <c r="J43" s="67">
        <v>44566</v>
      </c>
      <c r="K43" s="67">
        <v>44926</v>
      </c>
      <c r="L43" s="119">
        <v>1</v>
      </c>
      <c r="M43" s="122">
        <v>1</v>
      </c>
      <c r="N43" s="125">
        <f t="shared" si="0"/>
        <v>1</v>
      </c>
      <c r="O43" s="51" t="s">
        <v>246</v>
      </c>
      <c r="P43" s="22">
        <v>21527000</v>
      </c>
      <c r="Q43" s="22">
        <v>135320000</v>
      </c>
      <c r="R43" s="22"/>
      <c r="S43" s="22"/>
      <c r="T43" s="62"/>
      <c r="U43" s="116">
        <f>SUM(P43:T45)</f>
        <v>396847000</v>
      </c>
      <c r="V43" s="22">
        <f>11742000+8480333.33</f>
        <v>20222333.329999998</v>
      </c>
      <c r="W43" s="22">
        <f>24720000+90000000+18265333.33</f>
        <v>132985333.33</v>
      </c>
      <c r="X43" s="22"/>
      <c r="Y43" s="22"/>
      <c r="Z43" s="62"/>
      <c r="AA43" s="116">
        <f>SUM(V43:Z45)</f>
        <v>278177466.65999997</v>
      </c>
      <c r="AB43" s="106">
        <f t="shared" si="3"/>
        <v>0.70096905522783326</v>
      </c>
      <c r="AC43" s="107"/>
      <c r="AD43" s="109" t="s">
        <v>44</v>
      </c>
      <c r="AE43" s="109" t="s">
        <v>211</v>
      </c>
    </row>
    <row r="44" spans="1:31" ht="85.5" x14ac:dyDescent="0.2">
      <c r="A44" s="20">
        <v>55</v>
      </c>
      <c r="B44" s="19" t="s">
        <v>36</v>
      </c>
      <c r="C44" s="19" t="s">
        <v>66</v>
      </c>
      <c r="D44" s="19" t="s">
        <v>115</v>
      </c>
      <c r="E44" s="12" t="s">
        <v>130</v>
      </c>
      <c r="F44" s="71" t="s">
        <v>131</v>
      </c>
      <c r="G44" s="65">
        <v>2021680010200</v>
      </c>
      <c r="H44" s="7" t="s">
        <v>248</v>
      </c>
      <c r="I44" s="66" t="s">
        <v>249</v>
      </c>
      <c r="J44" s="67">
        <v>44650</v>
      </c>
      <c r="K44" s="67">
        <v>44926</v>
      </c>
      <c r="L44" s="120"/>
      <c r="M44" s="123"/>
      <c r="N44" s="126"/>
      <c r="O44" s="52" t="s">
        <v>250</v>
      </c>
      <c r="P44" s="22"/>
      <c r="Q44" s="22"/>
      <c r="R44" s="22"/>
      <c r="S44" s="22"/>
      <c r="T44" s="22">
        <v>40000000</v>
      </c>
      <c r="U44" s="118"/>
      <c r="V44" s="22"/>
      <c r="W44" s="22"/>
      <c r="X44" s="22"/>
      <c r="Y44" s="22"/>
      <c r="Z44" s="22">
        <v>39969800</v>
      </c>
      <c r="AA44" s="118"/>
      <c r="AB44" s="102"/>
      <c r="AC44" s="99"/>
      <c r="AD44" s="111"/>
      <c r="AE44" s="111"/>
    </row>
    <row r="45" spans="1:31" ht="91.5" customHeight="1" x14ac:dyDescent="0.2">
      <c r="A45" s="20">
        <v>55</v>
      </c>
      <c r="B45" s="19" t="s">
        <v>36</v>
      </c>
      <c r="C45" s="19" t="s">
        <v>66</v>
      </c>
      <c r="D45" s="19" t="s">
        <v>115</v>
      </c>
      <c r="E45" s="12" t="s">
        <v>130</v>
      </c>
      <c r="F45" s="71" t="s">
        <v>131</v>
      </c>
      <c r="G45" s="65">
        <v>2022680010063</v>
      </c>
      <c r="H45" s="7" t="s">
        <v>278</v>
      </c>
      <c r="I45" s="66" t="s">
        <v>249</v>
      </c>
      <c r="J45" s="67">
        <v>44804</v>
      </c>
      <c r="K45" s="67">
        <v>44926</v>
      </c>
      <c r="L45" s="121"/>
      <c r="M45" s="124"/>
      <c r="N45" s="127"/>
      <c r="O45" s="52" t="s">
        <v>260</v>
      </c>
      <c r="P45" s="63"/>
      <c r="Q45" s="22"/>
      <c r="R45" s="22"/>
      <c r="S45" s="22"/>
      <c r="T45" s="22">
        <v>200000000</v>
      </c>
      <c r="U45" s="117"/>
      <c r="V45" s="63"/>
      <c r="W45" s="22"/>
      <c r="X45" s="22"/>
      <c r="Y45" s="22"/>
      <c r="Z45" s="22">
        <v>85000000</v>
      </c>
      <c r="AA45" s="117"/>
      <c r="AB45" s="103"/>
      <c r="AC45" s="104"/>
      <c r="AD45" s="110"/>
      <c r="AE45" s="110"/>
    </row>
    <row r="46" spans="1:31" ht="88.5" customHeight="1" x14ac:dyDescent="0.2">
      <c r="A46" s="20">
        <v>56</v>
      </c>
      <c r="B46" s="19" t="s">
        <v>36</v>
      </c>
      <c r="C46" s="19" t="s">
        <v>66</v>
      </c>
      <c r="D46" s="19" t="s">
        <v>115</v>
      </c>
      <c r="E46" s="12" t="s">
        <v>132</v>
      </c>
      <c r="F46" s="71" t="s">
        <v>133</v>
      </c>
      <c r="G46" s="65">
        <v>2020680010091</v>
      </c>
      <c r="H46" s="7" t="s">
        <v>122</v>
      </c>
      <c r="I46" s="66" t="s">
        <v>123</v>
      </c>
      <c r="J46" s="67">
        <v>44566</v>
      </c>
      <c r="K46" s="67">
        <v>44926</v>
      </c>
      <c r="L46" s="9">
        <v>1</v>
      </c>
      <c r="M46" s="10">
        <v>1</v>
      </c>
      <c r="N46" s="17">
        <f t="shared" ref="N46:N52" si="4">IFERROR(IF(M46/L46&gt;100%,100%,M46/L46),"-")</f>
        <v>1</v>
      </c>
      <c r="O46" s="53" t="s">
        <v>233</v>
      </c>
      <c r="P46" s="22"/>
      <c r="Q46" s="22">
        <v>39200000</v>
      </c>
      <c r="R46" s="22"/>
      <c r="S46" s="22"/>
      <c r="T46" s="22"/>
      <c r="U46" s="64">
        <f t="shared" ref="U46:U51" si="5">SUM(P46:T46)</f>
        <v>39200000</v>
      </c>
      <c r="V46" s="22"/>
      <c r="W46" s="22">
        <v>39200000</v>
      </c>
      <c r="X46" s="22"/>
      <c r="Y46" s="22"/>
      <c r="Z46" s="22"/>
      <c r="AA46" s="64">
        <f t="shared" ref="AA46:AA51" si="6">SUM(V46:Z46)</f>
        <v>39200000</v>
      </c>
      <c r="AB46" s="4">
        <f t="shared" ref="AB46:AB52" si="7">IFERROR(AA46/U46,"-")</f>
        <v>1</v>
      </c>
      <c r="AC46" s="5"/>
      <c r="AD46" s="18" t="s">
        <v>44</v>
      </c>
      <c r="AE46" s="18" t="s">
        <v>211</v>
      </c>
    </row>
    <row r="47" spans="1:31" ht="90.75" customHeight="1" x14ac:dyDescent="0.2">
      <c r="A47" s="20">
        <v>57</v>
      </c>
      <c r="B47" s="19" t="s">
        <v>36</v>
      </c>
      <c r="C47" s="19" t="s">
        <v>66</v>
      </c>
      <c r="D47" s="19" t="s">
        <v>115</v>
      </c>
      <c r="E47" s="12" t="s">
        <v>134</v>
      </c>
      <c r="F47" s="71" t="s">
        <v>135</v>
      </c>
      <c r="G47" s="65">
        <v>2020680010091</v>
      </c>
      <c r="H47" s="7" t="s">
        <v>122</v>
      </c>
      <c r="I47" s="66" t="s">
        <v>123</v>
      </c>
      <c r="J47" s="67">
        <v>44566</v>
      </c>
      <c r="K47" s="67">
        <v>44926</v>
      </c>
      <c r="L47" s="9">
        <v>1</v>
      </c>
      <c r="M47" s="10">
        <v>1</v>
      </c>
      <c r="N47" s="17">
        <f t="shared" si="4"/>
        <v>1</v>
      </c>
      <c r="O47" s="52" t="s">
        <v>233</v>
      </c>
      <c r="P47" s="22"/>
      <c r="Q47" s="22">
        <v>37728000</v>
      </c>
      <c r="R47" s="22"/>
      <c r="S47" s="22"/>
      <c r="T47" s="22"/>
      <c r="U47" s="64">
        <f t="shared" si="5"/>
        <v>37728000</v>
      </c>
      <c r="V47" s="22"/>
      <c r="W47" s="22">
        <v>37252800</v>
      </c>
      <c r="X47" s="22"/>
      <c r="Y47" s="22"/>
      <c r="Z47" s="22"/>
      <c r="AA47" s="64">
        <f t="shared" si="6"/>
        <v>37252800</v>
      </c>
      <c r="AB47" s="4">
        <f t="shared" si="7"/>
        <v>0.98740458015267174</v>
      </c>
      <c r="AC47" s="5"/>
      <c r="AD47" s="18" t="s">
        <v>44</v>
      </c>
      <c r="AE47" s="18" t="s">
        <v>211</v>
      </c>
    </row>
    <row r="48" spans="1:31" ht="76.5" customHeight="1" x14ac:dyDescent="0.2">
      <c r="A48" s="20">
        <v>58</v>
      </c>
      <c r="B48" s="7" t="s">
        <v>36</v>
      </c>
      <c r="C48" s="7" t="s">
        <v>66</v>
      </c>
      <c r="D48" s="7" t="s">
        <v>136</v>
      </c>
      <c r="E48" s="6" t="s">
        <v>137</v>
      </c>
      <c r="F48" s="7" t="s">
        <v>138</v>
      </c>
      <c r="G48" s="65">
        <v>2020680010138</v>
      </c>
      <c r="H48" s="27" t="s">
        <v>141</v>
      </c>
      <c r="I48" s="69" t="s">
        <v>281</v>
      </c>
      <c r="J48" s="72">
        <v>44805</v>
      </c>
      <c r="K48" s="72">
        <v>44926</v>
      </c>
      <c r="L48" s="13">
        <v>0</v>
      </c>
      <c r="M48" s="40">
        <v>0</v>
      </c>
      <c r="N48" s="29" t="str">
        <f t="shared" si="4"/>
        <v>-</v>
      </c>
      <c r="O48" s="51" t="s">
        <v>261</v>
      </c>
      <c r="P48" s="22"/>
      <c r="Q48" s="22"/>
      <c r="R48" s="22"/>
      <c r="S48" s="22"/>
      <c r="T48" s="22"/>
      <c r="U48" s="64">
        <f t="shared" si="5"/>
        <v>0</v>
      </c>
      <c r="V48" s="22"/>
      <c r="W48" s="22"/>
      <c r="X48" s="22"/>
      <c r="Y48" s="22"/>
      <c r="Z48" s="22"/>
      <c r="AA48" s="64">
        <f t="shared" si="6"/>
        <v>0</v>
      </c>
      <c r="AB48" s="4" t="str">
        <f t="shared" si="7"/>
        <v>-</v>
      </c>
      <c r="AC48" s="5"/>
      <c r="AD48" s="30" t="s">
        <v>44</v>
      </c>
      <c r="AE48" s="30" t="s">
        <v>211</v>
      </c>
    </row>
    <row r="49" spans="1:31" ht="114" x14ac:dyDescent="0.2">
      <c r="A49" s="20">
        <v>59</v>
      </c>
      <c r="B49" s="7" t="s">
        <v>36</v>
      </c>
      <c r="C49" s="7" t="s">
        <v>66</v>
      </c>
      <c r="D49" s="7" t="s">
        <v>136</v>
      </c>
      <c r="E49" s="6" t="s">
        <v>139</v>
      </c>
      <c r="F49" s="7" t="s">
        <v>140</v>
      </c>
      <c r="G49" s="65">
        <v>2020680010138</v>
      </c>
      <c r="H49" s="7" t="s">
        <v>141</v>
      </c>
      <c r="I49" s="69" t="s">
        <v>142</v>
      </c>
      <c r="J49" s="72">
        <v>44566</v>
      </c>
      <c r="K49" s="72">
        <v>44926</v>
      </c>
      <c r="L49" s="13">
        <v>28000</v>
      </c>
      <c r="M49" s="40">
        <f>5+2886+3226+1875+2290+2595+2892+753+3323+2249+4554+3517</f>
        <v>30165</v>
      </c>
      <c r="N49" s="41">
        <f t="shared" si="4"/>
        <v>1</v>
      </c>
      <c r="O49" s="51" t="s">
        <v>242</v>
      </c>
      <c r="P49" s="22">
        <v>360311700.67000002</v>
      </c>
      <c r="Q49" s="22">
        <v>20000000</v>
      </c>
      <c r="R49" s="22"/>
      <c r="S49" s="22"/>
      <c r="T49" s="22"/>
      <c r="U49" s="64">
        <f t="shared" si="5"/>
        <v>380311700.67000002</v>
      </c>
      <c r="V49" s="22">
        <v>360311700.67000002</v>
      </c>
      <c r="W49" s="22">
        <v>20000000</v>
      </c>
      <c r="X49" s="22"/>
      <c r="Y49" s="22"/>
      <c r="Z49" s="22"/>
      <c r="AA49" s="64">
        <f t="shared" si="6"/>
        <v>380311700.67000002</v>
      </c>
      <c r="AB49" s="4">
        <f t="shared" si="7"/>
        <v>1</v>
      </c>
      <c r="AC49" s="8"/>
      <c r="AD49" s="42" t="s">
        <v>44</v>
      </c>
      <c r="AE49" s="42" t="s">
        <v>211</v>
      </c>
    </row>
    <row r="50" spans="1:31" ht="56.25" customHeight="1" x14ac:dyDescent="0.2">
      <c r="A50" s="20">
        <v>60</v>
      </c>
      <c r="B50" s="7" t="s">
        <v>36</v>
      </c>
      <c r="C50" s="7" t="s">
        <v>66</v>
      </c>
      <c r="D50" s="7" t="s">
        <v>136</v>
      </c>
      <c r="E50" s="6" t="s">
        <v>143</v>
      </c>
      <c r="F50" s="7" t="s">
        <v>144</v>
      </c>
      <c r="G50" s="65">
        <v>2020680010138</v>
      </c>
      <c r="H50" s="7" t="s">
        <v>141</v>
      </c>
      <c r="I50" s="69" t="s">
        <v>145</v>
      </c>
      <c r="J50" s="72">
        <v>44566</v>
      </c>
      <c r="K50" s="72">
        <v>44926</v>
      </c>
      <c r="L50" s="13">
        <v>7200</v>
      </c>
      <c r="M50" s="40">
        <v>9508</v>
      </c>
      <c r="N50" s="29">
        <f t="shared" si="4"/>
        <v>1</v>
      </c>
      <c r="O50" s="51" t="s">
        <v>243</v>
      </c>
      <c r="P50" s="22">
        <v>505723919</v>
      </c>
      <c r="Q50" s="22"/>
      <c r="R50" s="22"/>
      <c r="S50" s="22"/>
      <c r="T50" s="22">
        <v>8441876.0600000005</v>
      </c>
      <c r="U50" s="64">
        <f t="shared" si="5"/>
        <v>514165795.06</v>
      </c>
      <c r="V50" s="22">
        <v>505723919</v>
      </c>
      <c r="W50" s="22"/>
      <c r="X50" s="22"/>
      <c r="Y50" s="22"/>
      <c r="Z50" s="22">
        <v>8441876.0600000005</v>
      </c>
      <c r="AA50" s="64">
        <f t="shared" si="6"/>
        <v>514165795.06</v>
      </c>
      <c r="AB50" s="4">
        <f t="shared" si="7"/>
        <v>1</v>
      </c>
      <c r="AC50" s="8"/>
      <c r="AD50" s="42" t="s">
        <v>44</v>
      </c>
      <c r="AE50" s="30" t="s">
        <v>211</v>
      </c>
    </row>
    <row r="51" spans="1:31" ht="57" x14ac:dyDescent="0.2">
      <c r="A51" s="20">
        <v>61</v>
      </c>
      <c r="B51" s="7" t="s">
        <v>36</v>
      </c>
      <c r="C51" s="7" t="s">
        <v>66</v>
      </c>
      <c r="D51" s="7" t="s">
        <v>136</v>
      </c>
      <c r="E51" s="6" t="s">
        <v>146</v>
      </c>
      <c r="F51" s="7" t="s">
        <v>147</v>
      </c>
      <c r="G51" s="65">
        <v>2020680010138</v>
      </c>
      <c r="H51" s="7" t="s">
        <v>141</v>
      </c>
      <c r="I51" s="69" t="s">
        <v>148</v>
      </c>
      <c r="J51" s="72">
        <v>44566</v>
      </c>
      <c r="K51" s="72">
        <v>44926</v>
      </c>
      <c r="L51" s="13">
        <v>12000</v>
      </c>
      <c r="M51" s="10">
        <f>8863+673+445+294+649+514+402+453+690+264</f>
        <v>13247</v>
      </c>
      <c r="N51" s="29">
        <f t="shared" si="4"/>
        <v>1</v>
      </c>
      <c r="O51" s="51" t="s">
        <v>244</v>
      </c>
      <c r="P51" s="22">
        <v>179470000</v>
      </c>
      <c r="Q51" s="22">
        <v>90000000</v>
      </c>
      <c r="R51" s="22"/>
      <c r="S51" s="22"/>
      <c r="T51" s="22"/>
      <c r="U51" s="64">
        <f t="shared" si="5"/>
        <v>269470000</v>
      </c>
      <c r="V51" s="22">
        <v>179363333</v>
      </c>
      <c r="W51" s="22">
        <v>90000000</v>
      </c>
      <c r="X51" s="22"/>
      <c r="Y51" s="22"/>
      <c r="Z51" s="22"/>
      <c r="AA51" s="64">
        <f t="shared" si="6"/>
        <v>269363333</v>
      </c>
      <c r="AB51" s="4">
        <f t="shared" si="7"/>
        <v>0.99960416001781272</v>
      </c>
      <c r="AC51" s="5"/>
      <c r="AD51" s="30" t="s">
        <v>44</v>
      </c>
      <c r="AE51" s="30" t="s">
        <v>211</v>
      </c>
    </row>
    <row r="52" spans="1:31" ht="76.5" customHeight="1" x14ac:dyDescent="0.2">
      <c r="A52" s="20">
        <v>62</v>
      </c>
      <c r="B52" s="7" t="s">
        <v>36</v>
      </c>
      <c r="C52" s="7" t="s">
        <v>66</v>
      </c>
      <c r="D52" s="7" t="s">
        <v>136</v>
      </c>
      <c r="E52" s="6" t="s">
        <v>149</v>
      </c>
      <c r="F52" s="7" t="s">
        <v>150</v>
      </c>
      <c r="G52" s="65">
        <v>2020680010138</v>
      </c>
      <c r="H52" s="7" t="s">
        <v>141</v>
      </c>
      <c r="I52" s="69" t="s">
        <v>284</v>
      </c>
      <c r="J52" s="72">
        <v>44566</v>
      </c>
      <c r="K52" s="72">
        <v>44926</v>
      </c>
      <c r="L52" s="136">
        <v>1</v>
      </c>
      <c r="M52" s="134">
        <v>1</v>
      </c>
      <c r="N52" s="132">
        <f t="shared" si="4"/>
        <v>1</v>
      </c>
      <c r="O52" s="51" t="s">
        <v>244</v>
      </c>
      <c r="P52" s="22">
        <v>79653333.329999998</v>
      </c>
      <c r="Q52" s="22">
        <v>100000000</v>
      </c>
      <c r="R52" s="22"/>
      <c r="S52" s="22"/>
      <c r="T52" s="22"/>
      <c r="U52" s="116">
        <f>SUM(P52:T53)</f>
        <v>434359974.26999998</v>
      </c>
      <c r="V52" s="22">
        <f>49440000+16480000+13733333.33</f>
        <v>79653333.329999998</v>
      </c>
      <c r="W52" s="22">
        <v>100000000</v>
      </c>
      <c r="X52" s="22"/>
      <c r="Y52" s="22"/>
      <c r="Z52" s="22"/>
      <c r="AA52" s="116">
        <f>SUM(V52:Z53)</f>
        <v>179653333.32999998</v>
      </c>
      <c r="AB52" s="106">
        <f t="shared" si="7"/>
        <v>0.41360471491861428</v>
      </c>
      <c r="AC52" s="107"/>
      <c r="AD52" s="108" t="s">
        <v>44</v>
      </c>
      <c r="AE52" s="108" t="s">
        <v>211</v>
      </c>
    </row>
    <row r="53" spans="1:31" ht="93.95" customHeight="1" x14ac:dyDescent="0.2">
      <c r="A53" s="20">
        <v>62</v>
      </c>
      <c r="B53" s="7" t="s">
        <v>36</v>
      </c>
      <c r="C53" s="7" t="s">
        <v>66</v>
      </c>
      <c r="D53" s="7" t="s">
        <v>136</v>
      </c>
      <c r="E53" s="6" t="s">
        <v>149</v>
      </c>
      <c r="F53" s="7"/>
      <c r="G53" s="65"/>
      <c r="H53" s="7" t="s">
        <v>311</v>
      </c>
      <c r="I53" s="69"/>
      <c r="J53" s="72"/>
      <c r="K53" s="72"/>
      <c r="L53" s="137"/>
      <c r="M53" s="135"/>
      <c r="N53" s="133"/>
      <c r="O53" s="51" t="s">
        <v>304</v>
      </c>
      <c r="P53" s="22">
        <v>254706640.94000003</v>
      </c>
      <c r="Q53" s="22"/>
      <c r="R53" s="22"/>
      <c r="S53" s="22"/>
      <c r="T53" s="22"/>
      <c r="U53" s="117"/>
      <c r="V53" s="22"/>
      <c r="W53" s="22"/>
      <c r="X53" s="22"/>
      <c r="Y53" s="22"/>
      <c r="Z53" s="22"/>
      <c r="AA53" s="117"/>
      <c r="AB53" s="103"/>
      <c r="AC53" s="104"/>
      <c r="AD53" s="105"/>
      <c r="AE53" s="105"/>
    </row>
    <row r="54" spans="1:31" ht="66" customHeight="1" x14ac:dyDescent="0.2">
      <c r="A54" s="20">
        <v>63</v>
      </c>
      <c r="B54" s="7" t="s">
        <v>36</v>
      </c>
      <c r="C54" s="7" t="s">
        <v>66</v>
      </c>
      <c r="D54" s="7" t="s">
        <v>136</v>
      </c>
      <c r="E54" s="6" t="s">
        <v>151</v>
      </c>
      <c r="F54" s="7" t="s">
        <v>152</v>
      </c>
      <c r="G54" s="65">
        <v>2021680010186</v>
      </c>
      <c r="H54" s="7" t="s">
        <v>252</v>
      </c>
      <c r="I54" s="69" t="s">
        <v>253</v>
      </c>
      <c r="J54" s="72">
        <v>44566</v>
      </c>
      <c r="K54" s="72">
        <v>44742</v>
      </c>
      <c r="L54" s="46">
        <v>0</v>
      </c>
      <c r="M54" s="47">
        <v>0.17</v>
      </c>
      <c r="N54" s="29" t="str">
        <f>IFERROR(IF(M54/L54&gt;100%,100%,M54/L54),"-")</f>
        <v>-</v>
      </c>
      <c r="O54" s="51" t="s">
        <v>251</v>
      </c>
      <c r="P54" s="22">
        <v>149870193</v>
      </c>
      <c r="Q54" s="22"/>
      <c r="R54" s="22"/>
      <c r="S54" s="22"/>
      <c r="T54" s="22"/>
      <c r="U54" s="64">
        <f>SUM(P54:T54)</f>
        <v>149870193</v>
      </c>
      <c r="V54" s="22">
        <v>149870193</v>
      </c>
      <c r="W54" s="22"/>
      <c r="X54" s="22"/>
      <c r="Y54" s="22"/>
      <c r="Z54" s="22"/>
      <c r="AA54" s="64">
        <f>SUM(V54:Z54)</f>
        <v>149870193</v>
      </c>
      <c r="AB54" s="4">
        <f>IFERROR(AA54/U54,"-")</f>
        <v>1</v>
      </c>
      <c r="AC54" s="5"/>
      <c r="AD54" s="30" t="s">
        <v>44</v>
      </c>
      <c r="AE54" s="30" t="s">
        <v>211</v>
      </c>
    </row>
    <row r="55" spans="1:31" ht="56.25" customHeight="1" x14ac:dyDescent="0.2">
      <c r="A55" s="20">
        <v>64</v>
      </c>
      <c r="B55" s="19" t="s">
        <v>36</v>
      </c>
      <c r="C55" s="19" t="s">
        <v>66</v>
      </c>
      <c r="D55" s="19" t="s">
        <v>153</v>
      </c>
      <c r="E55" s="12" t="s">
        <v>154</v>
      </c>
      <c r="F55" s="71" t="s">
        <v>155</v>
      </c>
      <c r="G55" s="65">
        <v>2020680010103</v>
      </c>
      <c r="H55" s="7" t="s">
        <v>156</v>
      </c>
      <c r="I55" s="66" t="s">
        <v>157</v>
      </c>
      <c r="J55" s="67">
        <v>44566</v>
      </c>
      <c r="K55" s="67">
        <v>44926</v>
      </c>
      <c r="L55" s="9">
        <v>2</v>
      </c>
      <c r="M55" s="10">
        <v>2</v>
      </c>
      <c r="N55" s="17">
        <f>IFERROR(IF(M55/L55&gt;100%,100%,M55/L55),"-")</f>
        <v>1</v>
      </c>
      <c r="O55" s="53" t="s">
        <v>289</v>
      </c>
      <c r="P55" s="23"/>
      <c r="Q55" s="22">
        <v>95275000</v>
      </c>
      <c r="R55" s="22"/>
      <c r="S55" s="22"/>
      <c r="T55" s="63"/>
      <c r="U55" s="64">
        <f>SUM(P55:T55)</f>
        <v>95275000</v>
      </c>
      <c r="V55" s="23"/>
      <c r="W55" s="22">
        <v>94906946.670000002</v>
      </c>
      <c r="X55" s="22"/>
      <c r="Y55" s="22"/>
      <c r="Z55" s="63"/>
      <c r="AA55" s="64">
        <f>SUM(V55:Z55)</f>
        <v>94906946.670000002</v>
      </c>
      <c r="AB55" s="4">
        <f>IFERROR(AA55/U55,"-")</f>
        <v>0.9961369369719234</v>
      </c>
      <c r="AC55" s="5"/>
      <c r="AD55" s="18" t="s">
        <v>44</v>
      </c>
      <c r="AE55" s="18" t="s">
        <v>211</v>
      </c>
    </row>
    <row r="56" spans="1:31" ht="63.75" customHeight="1" x14ac:dyDescent="0.2">
      <c r="A56" s="20">
        <v>65</v>
      </c>
      <c r="B56" s="19" t="s">
        <v>36</v>
      </c>
      <c r="C56" s="19" t="s">
        <v>66</v>
      </c>
      <c r="D56" s="19" t="s">
        <v>153</v>
      </c>
      <c r="E56" s="12" t="s">
        <v>158</v>
      </c>
      <c r="F56" s="71" t="s">
        <v>159</v>
      </c>
      <c r="G56" s="65">
        <v>2020680010103</v>
      </c>
      <c r="H56" s="7" t="s">
        <v>156</v>
      </c>
      <c r="I56" s="66" t="s">
        <v>160</v>
      </c>
      <c r="J56" s="67">
        <v>44566</v>
      </c>
      <c r="K56" s="67">
        <v>44926</v>
      </c>
      <c r="L56" s="9">
        <v>1</v>
      </c>
      <c r="M56" s="10">
        <v>1</v>
      </c>
      <c r="N56" s="17">
        <f>IFERROR(IF(M56/L56&gt;100%,100%,M56/L56),"-")</f>
        <v>1</v>
      </c>
      <c r="O56" s="53" t="s">
        <v>290</v>
      </c>
      <c r="P56" s="22">
        <v>197760000</v>
      </c>
      <c r="Q56" s="23"/>
      <c r="R56" s="22"/>
      <c r="S56" s="22"/>
      <c r="T56" s="22">
        <v>53000000</v>
      </c>
      <c r="U56" s="64">
        <f>SUM(P56:T56)</f>
        <v>250760000</v>
      </c>
      <c r="V56" s="22">
        <f>180593333.33+961333+961333</f>
        <v>182515999.33000001</v>
      </c>
      <c r="W56" s="23"/>
      <c r="X56" s="22"/>
      <c r="Y56" s="22"/>
      <c r="Z56" s="22">
        <v>4532000</v>
      </c>
      <c r="AA56" s="64">
        <f>SUM(V56:Z56)</f>
        <v>187047999.33000001</v>
      </c>
      <c r="AB56" s="4">
        <f>IFERROR(AA56/U56,"-")</f>
        <v>0.74592438718296383</v>
      </c>
      <c r="AC56" s="5"/>
      <c r="AD56" s="18" t="s">
        <v>44</v>
      </c>
      <c r="AE56" s="18" t="s">
        <v>211</v>
      </c>
    </row>
    <row r="57" spans="1:31" ht="57" x14ac:dyDescent="0.2">
      <c r="A57" s="20">
        <v>66</v>
      </c>
      <c r="B57" s="19" t="s">
        <v>36</v>
      </c>
      <c r="C57" s="19" t="s">
        <v>66</v>
      </c>
      <c r="D57" s="19" t="s">
        <v>161</v>
      </c>
      <c r="E57" s="12" t="s">
        <v>162</v>
      </c>
      <c r="F57" s="71" t="s">
        <v>163</v>
      </c>
      <c r="G57" s="70">
        <v>2020680010142</v>
      </c>
      <c r="H57" s="7" t="s">
        <v>164</v>
      </c>
      <c r="I57" s="66" t="s">
        <v>165</v>
      </c>
      <c r="J57" s="67">
        <v>44566</v>
      </c>
      <c r="K57" s="67">
        <v>44926</v>
      </c>
      <c r="L57" s="130">
        <v>1</v>
      </c>
      <c r="M57" s="128">
        <v>1</v>
      </c>
      <c r="N57" s="146">
        <f>IFERROR(IF(M57/L57&gt;100%,100%,M57/L57),"-")</f>
        <v>1</v>
      </c>
      <c r="O57" s="52" t="s">
        <v>236</v>
      </c>
      <c r="P57" s="22"/>
      <c r="Q57" s="22">
        <v>72512000</v>
      </c>
      <c r="R57" s="22"/>
      <c r="S57" s="22"/>
      <c r="T57" s="22"/>
      <c r="U57" s="116">
        <f>SUM(P57:T58)</f>
        <v>372512000</v>
      </c>
      <c r="V57" s="22"/>
      <c r="W57" s="22">
        <v>67482166.670000002</v>
      </c>
      <c r="X57" s="22"/>
      <c r="Y57" s="22"/>
      <c r="Z57" s="22"/>
      <c r="AA57" s="116">
        <f>SUM(V57:Z58)</f>
        <v>247578833.63999999</v>
      </c>
      <c r="AB57" s="106">
        <f>IFERROR(AA57/U57,"-")</f>
        <v>0.66461975356498582</v>
      </c>
      <c r="AC57" s="107"/>
      <c r="AD57" s="109" t="s">
        <v>44</v>
      </c>
      <c r="AE57" s="109" t="s">
        <v>211</v>
      </c>
    </row>
    <row r="58" spans="1:31" ht="90" customHeight="1" x14ac:dyDescent="0.2">
      <c r="A58" s="20">
        <v>66</v>
      </c>
      <c r="B58" s="19" t="s">
        <v>36</v>
      </c>
      <c r="C58" s="19" t="s">
        <v>66</v>
      </c>
      <c r="D58" s="19" t="s">
        <v>161</v>
      </c>
      <c r="E58" s="12" t="s">
        <v>162</v>
      </c>
      <c r="F58" s="71" t="s">
        <v>163</v>
      </c>
      <c r="G58" s="70">
        <v>2022680010065</v>
      </c>
      <c r="H58" s="7" t="s">
        <v>279</v>
      </c>
      <c r="I58" s="68" t="s">
        <v>280</v>
      </c>
      <c r="J58" s="67">
        <v>44804</v>
      </c>
      <c r="K58" s="67">
        <v>44926</v>
      </c>
      <c r="L58" s="131"/>
      <c r="M58" s="129"/>
      <c r="N58" s="147"/>
      <c r="O58" s="52" t="s">
        <v>263</v>
      </c>
      <c r="P58" s="22">
        <v>256849016.47</v>
      </c>
      <c r="Q58" s="22"/>
      <c r="R58" s="22"/>
      <c r="S58" s="22"/>
      <c r="T58" s="22">
        <v>43150983.530000001</v>
      </c>
      <c r="U58" s="117"/>
      <c r="V58" s="22">
        <v>160045999.97999999</v>
      </c>
      <c r="W58" s="22"/>
      <c r="X58" s="22"/>
      <c r="Y58" s="22"/>
      <c r="Z58" s="22">
        <v>20050666.989999998</v>
      </c>
      <c r="AA58" s="117"/>
      <c r="AB58" s="103"/>
      <c r="AC58" s="104"/>
      <c r="AD58" s="110"/>
      <c r="AE58" s="110"/>
    </row>
    <row r="59" spans="1:31" ht="57" x14ac:dyDescent="0.2">
      <c r="A59" s="20">
        <v>151</v>
      </c>
      <c r="B59" s="7" t="s">
        <v>166</v>
      </c>
      <c r="C59" s="7" t="s">
        <v>167</v>
      </c>
      <c r="D59" s="7" t="s">
        <v>168</v>
      </c>
      <c r="E59" s="6" t="s">
        <v>169</v>
      </c>
      <c r="F59" s="7" t="s">
        <v>170</v>
      </c>
      <c r="G59" s="65">
        <v>2020680010112</v>
      </c>
      <c r="H59" s="7" t="s">
        <v>171</v>
      </c>
      <c r="I59" s="69" t="s">
        <v>172</v>
      </c>
      <c r="J59" s="72">
        <v>44566</v>
      </c>
      <c r="K59" s="72">
        <v>44926</v>
      </c>
      <c r="L59" s="13">
        <v>1</v>
      </c>
      <c r="M59" s="40">
        <v>1</v>
      </c>
      <c r="N59" s="29">
        <f>IFERROR(IF(M59/L59&gt;100%,100%,M59/L59),"-")</f>
        <v>1</v>
      </c>
      <c r="O59" s="51" t="s">
        <v>231</v>
      </c>
      <c r="P59" s="22">
        <v>224683333.32499996</v>
      </c>
      <c r="Q59" s="22"/>
      <c r="R59" s="22"/>
      <c r="S59" s="22"/>
      <c r="T59" s="22"/>
      <c r="U59" s="64">
        <f>SUM(P59:T59)</f>
        <v>224683333.32499996</v>
      </c>
      <c r="V59" s="22">
        <v>224333333.32499999</v>
      </c>
      <c r="W59" s="22"/>
      <c r="X59" s="22"/>
      <c r="Y59" s="22"/>
      <c r="Z59" s="22"/>
      <c r="AA59" s="64">
        <f>SUM(V59:Z59)</f>
        <v>224333333.32499999</v>
      </c>
      <c r="AB59" s="4">
        <f>IFERROR(AA59/U59,"-")</f>
        <v>0.99844225205839499</v>
      </c>
      <c r="AC59" s="5"/>
      <c r="AD59" s="30" t="s">
        <v>44</v>
      </c>
      <c r="AE59" s="30" t="s">
        <v>211</v>
      </c>
    </row>
    <row r="60" spans="1:31" ht="57" x14ac:dyDescent="0.2">
      <c r="A60" s="20">
        <v>152</v>
      </c>
      <c r="B60" s="7" t="s">
        <v>166</v>
      </c>
      <c r="C60" s="7" t="s">
        <v>167</v>
      </c>
      <c r="D60" s="7" t="s">
        <v>168</v>
      </c>
      <c r="E60" s="6" t="s">
        <v>173</v>
      </c>
      <c r="F60" s="7" t="s">
        <v>174</v>
      </c>
      <c r="G60" s="65">
        <v>2020680010112</v>
      </c>
      <c r="H60" s="7" t="s">
        <v>171</v>
      </c>
      <c r="I60" s="69" t="s">
        <v>175</v>
      </c>
      <c r="J60" s="72">
        <v>44566</v>
      </c>
      <c r="K60" s="72">
        <v>44926</v>
      </c>
      <c r="L60" s="136">
        <v>1</v>
      </c>
      <c r="M60" s="134">
        <v>1</v>
      </c>
      <c r="N60" s="132">
        <f>IFERROR(IF(M60/L60&gt;100%,100%,M60/L60),"-")</f>
        <v>1</v>
      </c>
      <c r="O60" s="51" t="s">
        <v>305</v>
      </c>
      <c r="P60" s="22">
        <v>144116666.662</v>
      </c>
      <c r="Q60" s="22"/>
      <c r="R60" s="22"/>
      <c r="S60" s="22"/>
      <c r="T60" s="22">
        <v>23470405</v>
      </c>
      <c r="U60" s="116">
        <f>SUM(P60:T62)</f>
        <v>551237071.66199994</v>
      </c>
      <c r="V60" s="22">
        <v>142616666.66</v>
      </c>
      <c r="W60" s="22"/>
      <c r="X60" s="22"/>
      <c r="Y60" s="22"/>
      <c r="Z60" s="22">
        <v>23470405</v>
      </c>
      <c r="AA60" s="116">
        <f>SUM(V60:Z62)</f>
        <v>449737071.65999997</v>
      </c>
      <c r="AB60" s="106">
        <f>IFERROR(AA60/U60,"-")</f>
        <v>0.8158686974807885</v>
      </c>
      <c r="AC60" s="107"/>
      <c r="AD60" s="109" t="s">
        <v>44</v>
      </c>
      <c r="AE60" s="109" t="s">
        <v>211</v>
      </c>
    </row>
    <row r="61" spans="1:31" ht="57" x14ac:dyDescent="0.2">
      <c r="A61" s="20">
        <v>152</v>
      </c>
      <c r="B61" s="7" t="s">
        <v>166</v>
      </c>
      <c r="C61" s="7" t="s">
        <v>167</v>
      </c>
      <c r="D61" s="7" t="s">
        <v>168</v>
      </c>
      <c r="E61" s="6" t="s">
        <v>173</v>
      </c>
      <c r="F61" s="7" t="s">
        <v>174</v>
      </c>
      <c r="G61" s="65">
        <v>2021680010216</v>
      </c>
      <c r="H61" s="7" t="s">
        <v>223</v>
      </c>
      <c r="I61" s="69" t="s">
        <v>175</v>
      </c>
      <c r="J61" s="72">
        <v>44566</v>
      </c>
      <c r="K61" s="72">
        <v>44926</v>
      </c>
      <c r="L61" s="150"/>
      <c r="M61" s="149"/>
      <c r="N61" s="148"/>
      <c r="O61" s="51" t="s">
        <v>306</v>
      </c>
      <c r="P61" s="22">
        <v>283650000</v>
      </c>
      <c r="Q61" s="22"/>
      <c r="R61" s="22"/>
      <c r="S61" s="22"/>
      <c r="T61" s="22"/>
      <c r="U61" s="118"/>
      <c r="V61" s="22">
        <f>22800000+15200000+245650000</f>
        <v>283650000</v>
      </c>
      <c r="W61" s="22"/>
      <c r="X61" s="22"/>
      <c r="Y61" s="22"/>
      <c r="Z61" s="22"/>
      <c r="AA61" s="118"/>
      <c r="AB61" s="102"/>
      <c r="AC61" s="99"/>
      <c r="AD61" s="111"/>
      <c r="AE61" s="111"/>
    </row>
    <row r="62" spans="1:31" ht="78.75" customHeight="1" x14ac:dyDescent="0.2">
      <c r="A62" s="20">
        <v>152</v>
      </c>
      <c r="B62" s="7" t="s">
        <v>166</v>
      </c>
      <c r="C62" s="7" t="s">
        <v>167</v>
      </c>
      <c r="D62" s="7" t="s">
        <v>168</v>
      </c>
      <c r="E62" s="6" t="s">
        <v>173</v>
      </c>
      <c r="F62" s="7" t="s">
        <v>174</v>
      </c>
      <c r="G62" s="65"/>
      <c r="H62" s="7" t="s">
        <v>311</v>
      </c>
      <c r="I62" s="69"/>
      <c r="J62" s="72"/>
      <c r="K62" s="72"/>
      <c r="L62" s="137"/>
      <c r="M62" s="135"/>
      <c r="N62" s="133"/>
      <c r="O62" s="51" t="s">
        <v>306</v>
      </c>
      <c r="P62" s="22">
        <v>100000000</v>
      </c>
      <c r="Q62" s="22"/>
      <c r="R62" s="22"/>
      <c r="S62" s="22"/>
      <c r="T62" s="22"/>
      <c r="U62" s="117"/>
      <c r="V62" s="22"/>
      <c r="W62" s="22"/>
      <c r="X62" s="22"/>
      <c r="Y62" s="22"/>
      <c r="Z62" s="22"/>
      <c r="AA62" s="117"/>
      <c r="AB62" s="103"/>
      <c r="AC62" s="104"/>
      <c r="AD62" s="110"/>
      <c r="AE62" s="110"/>
    </row>
    <row r="63" spans="1:31" ht="79.900000000000006" customHeight="1" x14ac:dyDescent="0.2">
      <c r="A63" s="20">
        <v>153</v>
      </c>
      <c r="B63" s="7" t="s">
        <v>166</v>
      </c>
      <c r="C63" s="7" t="s">
        <v>167</v>
      </c>
      <c r="D63" s="7" t="s">
        <v>168</v>
      </c>
      <c r="E63" s="6" t="s">
        <v>176</v>
      </c>
      <c r="F63" s="7" t="s">
        <v>177</v>
      </c>
      <c r="G63" s="65">
        <v>2020680010112</v>
      </c>
      <c r="H63" s="7" t="s">
        <v>171</v>
      </c>
      <c r="I63" s="69" t="s">
        <v>178</v>
      </c>
      <c r="J63" s="72">
        <v>44566</v>
      </c>
      <c r="K63" s="72">
        <v>44926</v>
      </c>
      <c r="L63" s="13">
        <v>1</v>
      </c>
      <c r="M63" s="40">
        <v>1</v>
      </c>
      <c r="N63" s="29">
        <f>IFERROR(IF(M63/L63&gt;100%,100%,M63/L63),"-")</f>
        <v>1</v>
      </c>
      <c r="O63" s="51" t="s">
        <v>231</v>
      </c>
      <c r="P63" s="22">
        <v>28500000</v>
      </c>
      <c r="Q63" s="22"/>
      <c r="R63" s="22"/>
      <c r="S63" s="22"/>
      <c r="T63" s="22"/>
      <c r="U63" s="64">
        <f>SUM(P63:T63)</f>
        <v>28500000</v>
      </c>
      <c r="V63" s="22">
        <f>18000000+10500000</f>
        <v>28500000</v>
      </c>
      <c r="W63" s="22"/>
      <c r="X63" s="22"/>
      <c r="Y63" s="22"/>
      <c r="Z63" s="22"/>
      <c r="AA63" s="64">
        <f>SUM(V63:Z63)</f>
        <v>28500000</v>
      </c>
      <c r="AB63" s="4">
        <f>IFERROR(AA63/U63,"-")</f>
        <v>1</v>
      </c>
      <c r="AC63" s="5"/>
      <c r="AD63" s="30" t="s">
        <v>44</v>
      </c>
      <c r="AE63" s="30" t="s">
        <v>211</v>
      </c>
    </row>
    <row r="64" spans="1:31" ht="120" customHeight="1" x14ac:dyDescent="0.2">
      <c r="A64" s="20">
        <v>154</v>
      </c>
      <c r="B64" s="7" t="s">
        <v>166</v>
      </c>
      <c r="C64" s="7" t="s">
        <v>167</v>
      </c>
      <c r="D64" s="7" t="s">
        <v>168</v>
      </c>
      <c r="E64" s="6" t="s">
        <v>179</v>
      </c>
      <c r="F64" s="7" t="s">
        <v>180</v>
      </c>
      <c r="G64" s="65">
        <v>2020680010112</v>
      </c>
      <c r="H64" s="7" t="s">
        <v>171</v>
      </c>
      <c r="I64" s="69" t="s">
        <v>181</v>
      </c>
      <c r="J64" s="72">
        <v>44566</v>
      </c>
      <c r="K64" s="72">
        <v>44926</v>
      </c>
      <c r="L64" s="136">
        <v>1</v>
      </c>
      <c r="M64" s="142">
        <v>0.1</v>
      </c>
      <c r="N64" s="132">
        <f>IFERROR(IF(M64/L64&gt;100%,100%,M64/L64),"-")</f>
        <v>0.1</v>
      </c>
      <c r="O64" s="51" t="s">
        <v>270</v>
      </c>
      <c r="P64" s="22">
        <v>150766666.66299999</v>
      </c>
      <c r="Q64" s="22"/>
      <c r="R64" s="22"/>
      <c r="S64" s="22"/>
      <c r="T64" s="22"/>
      <c r="U64" s="116">
        <f>SUM(P64:T65)</f>
        <v>187929595.01300001</v>
      </c>
      <c r="V64" s="22">
        <v>150616666.66299999</v>
      </c>
      <c r="W64" s="22"/>
      <c r="X64" s="22"/>
      <c r="Y64" s="22"/>
      <c r="Z64" s="22"/>
      <c r="AA64" s="116">
        <f>SUM(V64:Z65)</f>
        <v>150616666.66299999</v>
      </c>
      <c r="AB64" s="106">
        <f>IFERROR(AA64/U64,"-")</f>
        <v>0.80145262193845035</v>
      </c>
      <c r="AC64" s="107"/>
      <c r="AD64" s="108" t="s">
        <v>44</v>
      </c>
      <c r="AE64" s="108" t="s">
        <v>211</v>
      </c>
    </row>
    <row r="65" spans="1:31" ht="57" x14ac:dyDescent="0.2">
      <c r="A65" s="20">
        <v>154</v>
      </c>
      <c r="B65" s="7" t="s">
        <v>166</v>
      </c>
      <c r="C65" s="7" t="s">
        <v>167</v>
      </c>
      <c r="D65" s="7" t="s">
        <v>168</v>
      </c>
      <c r="E65" s="6" t="s">
        <v>179</v>
      </c>
      <c r="F65" s="7" t="s">
        <v>180</v>
      </c>
      <c r="G65" s="65"/>
      <c r="H65" s="7" t="s">
        <v>311</v>
      </c>
      <c r="I65" s="69"/>
      <c r="J65" s="72"/>
      <c r="K65" s="72"/>
      <c r="L65" s="137"/>
      <c r="M65" s="143"/>
      <c r="N65" s="133"/>
      <c r="O65" s="51" t="s">
        <v>305</v>
      </c>
      <c r="P65" s="22">
        <v>30633333.350000024</v>
      </c>
      <c r="Q65" s="22"/>
      <c r="R65" s="22"/>
      <c r="S65" s="22"/>
      <c r="T65" s="22">
        <v>6529595</v>
      </c>
      <c r="U65" s="117"/>
      <c r="V65" s="22"/>
      <c r="W65" s="22"/>
      <c r="X65" s="22"/>
      <c r="Y65" s="22"/>
      <c r="Z65" s="22"/>
      <c r="AA65" s="117"/>
      <c r="AB65" s="103"/>
      <c r="AC65" s="104"/>
      <c r="AD65" s="105"/>
      <c r="AE65" s="105"/>
    </row>
    <row r="66" spans="1:31" ht="156" customHeight="1" x14ac:dyDescent="0.2">
      <c r="A66" s="20">
        <v>155</v>
      </c>
      <c r="B66" s="7" t="s">
        <v>166</v>
      </c>
      <c r="C66" s="7" t="s">
        <v>167</v>
      </c>
      <c r="D66" s="7" t="s">
        <v>182</v>
      </c>
      <c r="E66" s="6" t="s">
        <v>183</v>
      </c>
      <c r="F66" s="7" t="s">
        <v>184</v>
      </c>
      <c r="G66" s="73">
        <v>2021680010014</v>
      </c>
      <c r="H66" s="7" t="s">
        <v>185</v>
      </c>
      <c r="I66" s="7" t="s">
        <v>186</v>
      </c>
      <c r="J66" s="72">
        <v>44566</v>
      </c>
      <c r="K66" s="72">
        <v>44926</v>
      </c>
      <c r="L66" s="136">
        <v>1</v>
      </c>
      <c r="M66" s="144">
        <v>1</v>
      </c>
      <c r="N66" s="132">
        <f>IFERROR(IF(M66/L66&gt;100%,100%,M66/L66),"-")</f>
        <v>1</v>
      </c>
      <c r="O66" s="51" t="s">
        <v>296</v>
      </c>
      <c r="P66" s="22">
        <v>266281300</v>
      </c>
      <c r="Q66" s="22"/>
      <c r="R66" s="22"/>
      <c r="S66" s="22"/>
      <c r="T66" s="22"/>
      <c r="U66" s="116">
        <f>SUM(P66:T67)</f>
        <v>287131084</v>
      </c>
      <c r="V66" s="22">
        <f>100800000+60250000+105231300</f>
        <v>266281300</v>
      </c>
      <c r="W66" s="22"/>
      <c r="X66" s="22"/>
      <c r="Y66" s="22"/>
      <c r="Z66" s="22"/>
      <c r="AA66" s="116">
        <f>SUM(V66:Z67)</f>
        <v>266281300</v>
      </c>
      <c r="AB66" s="106">
        <f>IFERROR(AA66/U66,"-")</f>
        <v>0.92738583468726776</v>
      </c>
      <c r="AC66" s="107"/>
      <c r="AD66" s="108" t="s">
        <v>44</v>
      </c>
      <c r="AE66" s="108" t="s">
        <v>211</v>
      </c>
    </row>
    <row r="67" spans="1:31" ht="188.25" customHeight="1" x14ac:dyDescent="0.2">
      <c r="A67" s="20">
        <v>155</v>
      </c>
      <c r="B67" s="7" t="s">
        <v>166</v>
      </c>
      <c r="C67" s="7" t="s">
        <v>167</v>
      </c>
      <c r="D67" s="7" t="s">
        <v>182</v>
      </c>
      <c r="E67" s="6" t="s">
        <v>183</v>
      </c>
      <c r="F67" s="7" t="s">
        <v>184</v>
      </c>
      <c r="G67" s="73"/>
      <c r="H67" s="7" t="s">
        <v>311</v>
      </c>
      <c r="I67" s="69"/>
      <c r="J67" s="72"/>
      <c r="K67" s="72"/>
      <c r="L67" s="137"/>
      <c r="M67" s="145"/>
      <c r="N67" s="133"/>
      <c r="O67" s="51" t="s">
        <v>296</v>
      </c>
      <c r="P67" s="22">
        <v>20849784</v>
      </c>
      <c r="Q67" s="22"/>
      <c r="R67" s="22"/>
      <c r="S67" s="22"/>
      <c r="T67" s="22"/>
      <c r="U67" s="117"/>
      <c r="V67" s="22"/>
      <c r="W67" s="22"/>
      <c r="X67" s="22"/>
      <c r="Y67" s="22"/>
      <c r="Z67" s="22"/>
      <c r="AA67" s="117"/>
      <c r="AB67" s="103"/>
      <c r="AC67" s="104"/>
      <c r="AD67" s="105"/>
      <c r="AE67" s="105"/>
    </row>
    <row r="68" spans="1:31" ht="99.75" customHeight="1" x14ac:dyDescent="0.2">
      <c r="A68" s="20">
        <v>156</v>
      </c>
      <c r="B68" s="7" t="s">
        <v>166</v>
      </c>
      <c r="C68" s="7" t="s">
        <v>187</v>
      </c>
      <c r="D68" s="7" t="s">
        <v>188</v>
      </c>
      <c r="E68" s="6" t="s">
        <v>189</v>
      </c>
      <c r="F68" s="7" t="s">
        <v>190</v>
      </c>
      <c r="G68" s="65">
        <v>2021680010007</v>
      </c>
      <c r="H68" s="69" t="s">
        <v>191</v>
      </c>
      <c r="I68" s="69" t="s">
        <v>192</v>
      </c>
      <c r="J68" s="72">
        <v>44566</v>
      </c>
      <c r="K68" s="72">
        <v>44926</v>
      </c>
      <c r="L68" s="13">
        <v>1</v>
      </c>
      <c r="M68" s="40">
        <v>1</v>
      </c>
      <c r="N68" s="29">
        <f>IFERROR(IF(M68/L68&gt;100%,100%,M68/L68),"-")</f>
        <v>1</v>
      </c>
      <c r="O68" s="51" t="s">
        <v>307</v>
      </c>
      <c r="P68" s="22">
        <v>1466539127.73</v>
      </c>
      <c r="Q68" s="22"/>
      <c r="R68" s="22"/>
      <c r="S68" s="22"/>
      <c r="T68" s="22"/>
      <c r="U68" s="64">
        <f>SUM(P68:T68)</f>
        <v>1466539127.73</v>
      </c>
      <c r="V68" s="22">
        <v>1466539127.73</v>
      </c>
      <c r="W68" s="22"/>
      <c r="X68" s="22"/>
      <c r="Y68" s="22"/>
      <c r="Z68" s="22"/>
      <c r="AA68" s="64">
        <f>SUM(V68:Z68)</f>
        <v>1466539127.73</v>
      </c>
      <c r="AB68" s="4">
        <f>IFERROR(AA68/U68,"-")</f>
        <v>1</v>
      </c>
      <c r="AC68" s="5"/>
      <c r="AD68" s="30" t="s">
        <v>44</v>
      </c>
      <c r="AE68" s="30" t="s">
        <v>211</v>
      </c>
    </row>
    <row r="69" spans="1:31" ht="135" x14ac:dyDescent="0.2">
      <c r="A69" s="20">
        <v>157</v>
      </c>
      <c r="B69" s="7" t="s">
        <v>166</v>
      </c>
      <c r="C69" s="7" t="s">
        <v>187</v>
      </c>
      <c r="D69" s="7" t="s">
        <v>188</v>
      </c>
      <c r="E69" s="6" t="s">
        <v>193</v>
      </c>
      <c r="F69" s="7" t="s">
        <v>194</v>
      </c>
      <c r="G69" s="65">
        <v>2021680010007</v>
      </c>
      <c r="H69" s="69" t="s">
        <v>191</v>
      </c>
      <c r="I69" s="69" t="s">
        <v>192</v>
      </c>
      <c r="J69" s="72">
        <v>44566</v>
      </c>
      <c r="K69" s="72">
        <v>44926</v>
      </c>
      <c r="L69" s="155">
        <v>1</v>
      </c>
      <c r="M69" s="156">
        <v>1</v>
      </c>
      <c r="N69" s="157">
        <f>IFERROR(IF(M69/L69&gt;100%,100%,M69/L69),"-")</f>
        <v>1</v>
      </c>
      <c r="O69" s="51" t="s">
        <v>235</v>
      </c>
      <c r="P69" s="22">
        <v>103839999.80000001</v>
      </c>
      <c r="Q69" s="22"/>
      <c r="R69" s="22"/>
      <c r="S69" s="22"/>
      <c r="T69" s="22"/>
      <c r="U69" s="158">
        <f>SUM(P69:T70)</f>
        <v>703839999.79999995</v>
      </c>
      <c r="V69" s="22">
        <v>103839999.8</v>
      </c>
      <c r="W69" s="22"/>
      <c r="X69" s="22"/>
      <c r="Y69" s="22"/>
      <c r="Z69" s="22"/>
      <c r="AA69" s="158">
        <f>SUM(V69:Z70)</f>
        <v>703839999.79999995</v>
      </c>
      <c r="AB69" s="154">
        <f>IFERROR(AA69/U69,"-")</f>
        <v>1</v>
      </c>
      <c r="AC69" s="98"/>
      <c r="AD69" s="100" t="s">
        <v>44</v>
      </c>
      <c r="AE69" s="100" t="s">
        <v>211</v>
      </c>
    </row>
    <row r="70" spans="1:31" ht="135" x14ac:dyDescent="0.2">
      <c r="A70" s="20">
        <v>157</v>
      </c>
      <c r="B70" s="7" t="s">
        <v>166</v>
      </c>
      <c r="C70" s="7" t="s">
        <v>187</v>
      </c>
      <c r="D70" s="7" t="s">
        <v>188</v>
      </c>
      <c r="E70" s="6" t="s">
        <v>193</v>
      </c>
      <c r="F70" s="7" t="s">
        <v>194</v>
      </c>
      <c r="G70" s="65">
        <v>2021680010216</v>
      </c>
      <c r="H70" s="69" t="s">
        <v>223</v>
      </c>
      <c r="I70" s="69" t="s">
        <v>271</v>
      </c>
      <c r="J70" s="72">
        <v>44566</v>
      </c>
      <c r="K70" s="72">
        <v>44926</v>
      </c>
      <c r="L70" s="155"/>
      <c r="M70" s="156"/>
      <c r="N70" s="157"/>
      <c r="O70" s="51" t="s">
        <v>241</v>
      </c>
      <c r="P70" s="22">
        <v>600000000</v>
      </c>
      <c r="Q70" s="22"/>
      <c r="R70" s="22"/>
      <c r="S70" s="22"/>
      <c r="T70" s="22"/>
      <c r="U70" s="158"/>
      <c r="V70" s="22">
        <v>600000000</v>
      </c>
      <c r="W70" s="22"/>
      <c r="X70" s="22"/>
      <c r="Y70" s="22"/>
      <c r="Z70" s="22"/>
      <c r="AA70" s="158"/>
      <c r="AB70" s="154"/>
      <c r="AC70" s="98"/>
      <c r="AD70" s="100"/>
      <c r="AE70" s="100"/>
    </row>
    <row r="71" spans="1:31" ht="82.5" customHeight="1" x14ac:dyDescent="0.2">
      <c r="A71" s="20">
        <v>158</v>
      </c>
      <c r="B71" s="7" t="s">
        <v>166</v>
      </c>
      <c r="C71" s="7" t="s">
        <v>187</v>
      </c>
      <c r="D71" s="7" t="s">
        <v>188</v>
      </c>
      <c r="E71" s="6" t="s">
        <v>195</v>
      </c>
      <c r="F71" s="7" t="s">
        <v>196</v>
      </c>
      <c r="G71" s="65">
        <v>2021680010007</v>
      </c>
      <c r="H71" s="69" t="s">
        <v>191</v>
      </c>
      <c r="I71" s="69" t="s">
        <v>192</v>
      </c>
      <c r="J71" s="72">
        <v>44566</v>
      </c>
      <c r="K71" s="72">
        <v>44926</v>
      </c>
      <c r="L71" s="13">
        <v>1</v>
      </c>
      <c r="M71" s="40">
        <v>1</v>
      </c>
      <c r="N71" s="29">
        <f>IFERROR(IF(M71/L71&gt;100%,100%,M71/L71),"-")</f>
        <v>1</v>
      </c>
      <c r="O71" s="51" t="s">
        <v>303</v>
      </c>
      <c r="P71" s="22">
        <v>83866667</v>
      </c>
      <c r="Q71" s="22"/>
      <c r="R71" s="22"/>
      <c r="S71" s="22"/>
      <c r="T71" s="22"/>
      <c r="U71" s="64">
        <f>SUM(P71:T71)</f>
        <v>83866667</v>
      </c>
      <c r="V71" s="22">
        <f>54000000+36200000-6333333</f>
        <v>83866667</v>
      </c>
      <c r="W71" s="22"/>
      <c r="X71" s="22"/>
      <c r="Y71" s="22"/>
      <c r="Z71" s="22"/>
      <c r="AA71" s="64">
        <f>SUM(V71:Z71)</f>
        <v>83866667</v>
      </c>
      <c r="AB71" s="4">
        <f>IFERROR(AA71/U71,"-")</f>
        <v>1</v>
      </c>
      <c r="AC71" s="5"/>
      <c r="AD71" s="30" t="s">
        <v>44</v>
      </c>
      <c r="AE71" s="30" t="s">
        <v>211</v>
      </c>
    </row>
    <row r="72" spans="1:31" ht="77.25" customHeight="1" x14ac:dyDescent="0.2">
      <c r="A72" s="20">
        <v>159</v>
      </c>
      <c r="B72" s="7" t="s">
        <v>166</v>
      </c>
      <c r="C72" s="7" t="s">
        <v>187</v>
      </c>
      <c r="D72" s="7" t="s">
        <v>188</v>
      </c>
      <c r="E72" s="6" t="s">
        <v>197</v>
      </c>
      <c r="F72" s="7" t="s">
        <v>198</v>
      </c>
      <c r="G72" s="65">
        <v>2021680010007</v>
      </c>
      <c r="H72" s="69" t="s">
        <v>191</v>
      </c>
      <c r="I72" s="69" t="s">
        <v>192</v>
      </c>
      <c r="J72" s="72">
        <v>44566</v>
      </c>
      <c r="K72" s="72">
        <v>44926</v>
      </c>
      <c r="L72" s="136">
        <v>1</v>
      </c>
      <c r="M72" s="134">
        <v>1</v>
      </c>
      <c r="N72" s="132">
        <f>IFERROR(IF(M72/L72&gt;100%,100%,M72/L72),"-")</f>
        <v>1</v>
      </c>
      <c r="O72" s="54" t="s">
        <v>235</v>
      </c>
      <c r="P72" s="22">
        <v>74046666.530000001</v>
      </c>
      <c r="Q72" s="22"/>
      <c r="R72" s="22"/>
      <c r="S72" s="22"/>
      <c r="T72" s="22"/>
      <c r="U72" s="116">
        <f>SUM(P72:T73)</f>
        <v>5081042660.1199999</v>
      </c>
      <c r="V72" s="22">
        <v>74046666.530000001</v>
      </c>
      <c r="W72" s="22"/>
      <c r="X72" s="22"/>
      <c r="Y72" s="22"/>
      <c r="Z72" s="22"/>
      <c r="AA72" s="116">
        <f>SUM(V72:Z73)</f>
        <v>74046666.530000001</v>
      </c>
      <c r="AB72" s="106">
        <f>IFERROR(AA72/U72,"-")</f>
        <v>1.4573124353230923E-2</v>
      </c>
      <c r="AC72" s="107"/>
      <c r="AD72" s="108" t="s">
        <v>44</v>
      </c>
      <c r="AE72" s="108" t="s">
        <v>211</v>
      </c>
    </row>
    <row r="73" spans="1:31" ht="80.25" customHeight="1" x14ac:dyDescent="0.2">
      <c r="A73" s="20">
        <v>159</v>
      </c>
      <c r="B73" s="7" t="s">
        <v>166</v>
      </c>
      <c r="C73" s="7" t="s">
        <v>187</v>
      </c>
      <c r="D73" s="7" t="s">
        <v>188</v>
      </c>
      <c r="E73" s="6" t="s">
        <v>197</v>
      </c>
      <c r="F73" s="7" t="s">
        <v>198</v>
      </c>
      <c r="G73" s="65"/>
      <c r="H73" s="7" t="s">
        <v>311</v>
      </c>
      <c r="I73" s="69"/>
      <c r="J73" s="72"/>
      <c r="K73" s="72"/>
      <c r="L73" s="137"/>
      <c r="M73" s="135"/>
      <c r="N73" s="133"/>
      <c r="O73" s="51" t="s">
        <v>308</v>
      </c>
      <c r="P73" s="22">
        <v>5006995993.5900002</v>
      </c>
      <c r="Q73" s="22"/>
      <c r="R73" s="22"/>
      <c r="S73" s="22"/>
      <c r="T73" s="22"/>
      <c r="U73" s="117"/>
      <c r="V73" s="22"/>
      <c r="W73" s="22"/>
      <c r="X73" s="22"/>
      <c r="Y73" s="22"/>
      <c r="Z73" s="22"/>
      <c r="AA73" s="117"/>
      <c r="AB73" s="103"/>
      <c r="AC73" s="104"/>
      <c r="AD73" s="105"/>
      <c r="AE73" s="105"/>
    </row>
    <row r="74" spans="1:31" ht="114" x14ac:dyDescent="0.2">
      <c r="A74" s="20">
        <v>162</v>
      </c>
      <c r="B74" s="7" t="s">
        <v>166</v>
      </c>
      <c r="C74" s="7" t="s">
        <v>187</v>
      </c>
      <c r="D74" s="7" t="s">
        <v>199</v>
      </c>
      <c r="E74" s="6" t="s">
        <v>200</v>
      </c>
      <c r="F74" s="7" t="s">
        <v>201</v>
      </c>
      <c r="G74" s="73">
        <v>2021680010019</v>
      </c>
      <c r="H74" s="7" t="s">
        <v>202</v>
      </c>
      <c r="I74" s="69" t="s">
        <v>203</v>
      </c>
      <c r="J74" s="72">
        <v>44566</v>
      </c>
      <c r="K74" s="72">
        <v>44926</v>
      </c>
      <c r="L74" s="136">
        <v>1</v>
      </c>
      <c r="M74" s="142">
        <v>0.95</v>
      </c>
      <c r="N74" s="132">
        <f>IFERROR(IF(M74/L74&gt;100%,100%,M74/L74),"-")</f>
        <v>0.95</v>
      </c>
      <c r="O74" s="51" t="s">
        <v>297</v>
      </c>
      <c r="P74" s="22">
        <v>299170000.00633323</v>
      </c>
      <c r="Q74" s="22"/>
      <c r="R74" s="22"/>
      <c r="S74" s="22"/>
      <c r="T74" s="22"/>
      <c r="U74" s="116">
        <f>SUM(P74:T76)</f>
        <v>1794381000.0063334</v>
      </c>
      <c r="V74" s="22">
        <v>299169999.67000002</v>
      </c>
      <c r="W74" s="22"/>
      <c r="X74" s="22"/>
      <c r="Y74" s="22"/>
      <c r="Z74" s="22"/>
      <c r="AA74" s="116">
        <f>SUM(V74:Z76)</f>
        <v>1396001845.3299999</v>
      </c>
      <c r="AB74" s="106">
        <f>IFERROR(AA74/U74,"-")</f>
        <v>0.77798519117460152</v>
      </c>
      <c r="AC74" s="107"/>
      <c r="AD74" s="108" t="s">
        <v>44</v>
      </c>
      <c r="AE74" s="108" t="s">
        <v>211</v>
      </c>
    </row>
    <row r="75" spans="1:31" ht="97.5" customHeight="1" x14ac:dyDescent="0.2">
      <c r="A75" s="20">
        <v>162</v>
      </c>
      <c r="B75" s="7" t="s">
        <v>166</v>
      </c>
      <c r="C75" s="7" t="s">
        <v>187</v>
      </c>
      <c r="D75" s="7" t="s">
        <v>199</v>
      </c>
      <c r="E75" s="6" t="s">
        <v>200</v>
      </c>
      <c r="F75" s="7" t="s">
        <v>201</v>
      </c>
      <c r="G75" s="73">
        <v>2021680010214</v>
      </c>
      <c r="H75" s="7" t="s">
        <v>224</v>
      </c>
      <c r="I75" s="69" t="s">
        <v>282</v>
      </c>
      <c r="J75" s="72">
        <v>44566</v>
      </c>
      <c r="K75" s="72">
        <v>44926</v>
      </c>
      <c r="L75" s="150"/>
      <c r="M75" s="161"/>
      <c r="N75" s="148"/>
      <c r="O75" s="51" t="s">
        <v>302</v>
      </c>
      <c r="P75" s="22">
        <v>1062011845.66</v>
      </c>
      <c r="Q75" s="22"/>
      <c r="R75" s="22"/>
      <c r="S75" s="22"/>
      <c r="T75" s="22">
        <v>36000000</v>
      </c>
      <c r="U75" s="118"/>
      <c r="V75" s="22">
        <v>1060831845.66</v>
      </c>
      <c r="W75" s="22"/>
      <c r="X75" s="22"/>
      <c r="Y75" s="22"/>
      <c r="Z75" s="22">
        <v>36000000</v>
      </c>
      <c r="AA75" s="118"/>
      <c r="AB75" s="102"/>
      <c r="AC75" s="99"/>
      <c r="AD75" s="101"/>
      <c r="AE75" s="101"/>
    </row>
    <row r="76" spans="1:31" ht="93.75" customHeight="1" x14ac:dyDescent="0.2">
      <c r="A76" s="20">
        <v>162</v>
      </c>
      <c r="B76" s="7" t="s">
        <v>166</v>
      </c>
      <c r="C76" s="7" t="s">
        <v>187</v>
      </c>
      <c r="D76" s="7" t="s">
        <v>199</v>
      </c>
      <c r="E76" s="6" t="s">
        <v>200</v>
      </c>
      <c r="F76" s="7" t="s">
        <v>201</v>
      </c>
      <c r="G76" s="73"/>
      <c r="H76" s="7" t="s">
        <v>311</v>
      </c>
      <c r="I76" s="69"/>
      <c r="J76" s="72"/>
      <c r="K76" s="72"/>
      <c r="L76" s="137"/>
      <c r="M76" s="143"/>
      <c r="N76" s="133"/>
      <c r="O76" s="51" t="s">
        <v>302</v>
      </c>
      <c r="P76" s="22">
        <v>397199154.34000003</v>
      </c>
      <c r="Q76" s="22"/>
      <c r="R76" s="22"/>
      <c r="S76" s="22"/>
      <c r="T76" s="22"/>
      <c r="U76" s="117"/>
      <c r="V76" s="22"/>
      <c r="W76" s="22"/>
      <c r="X76" s="22"/>
      <c r="Y76" s="22"/>
      <c r="Z76" s="22"/>
      <c r="AA76" s="117"/>
      <c r="AB76" s="103"/>
      <c r="AC76" s="104"/>
      <c r="AD76" s="105"/>
      <c r="AE76" s="105"/>
    </row>
    <row r="77" spans="1:31" ht="78" customHeight="1" x14ac:dyDescent="0.2">
      <c r="A77" s="20">
        <v>163</v>
      </c>
      <c r="B77" s="7" t="s">
        <v>166</v>
      </c>
      <c r="C77" s="7" t="s">
        <v>187</v>
      </c>
      <c r="D77" s="7" t="s">
        <v>199</v>
      </c>
      <c r="E77" s="6" t="s">
        <v>204</v>
      </c>
      <c r="F77" s="7" t="s">
        <v>205</v>
      </c>
      <c r="G77" s="73">
        <v>2021680010019</v>
      </c>
      <c r="H77" s="7" t="s">
        <v>202</v>
      </c>
      <c r="I77" s="69" t="s">
        <v>203</v>
      </c>
      <c r="J77" s="72">
        <v>44566</v>
      </c>
      <c r="K77" s="72">
        <v>44926</v>
      </c>
      <c r="L77" s="136">
        <v>1</v>
      </c>
      <c r="M77" s="134">
        <v>1</v>
      </c>
      <c r="N77" s="132">
        <f>IFERROR(IF(M77/L77&gt;100%,100%,M77/L77),"-")</f>
        <v>1</v>
      </c>
      <c r="O77" s="51" t="s">
        <v>298</v>
      </c>
      <c r="P77" s="22">
        <v>102935907.99700001</v>
      </c>
      <c r="Q77" s="22"/>
      <c r="R77" s="22"/>
      <c r="S77" s="22"/>
      <c r="T77" s="22"/>
      <c r="U77" s="116">
        <f>SUM(P77:T78)</f>
        <v>107058402.29700001</v>
      </c>
      <c r="V77" s="22">
        <v>102869241.33</v>
      </c>
      <c r="W77" s="22"/>
      <c r="X77" s="22"/>
      <c r="Y77" s="22"/>
      <c r="Z77" s="22"/>
      <c r="AA77" s="116">
        <f>SUM(V77:Z78)</f>
        <v>102869241.33</v>
      </c>
      <c r="AB77" s="106">
        <f>IFERROR(AA77/U77,"-")</f>
        <v>0.96087032052488053</v>
      </c>
      <c r="AC77" s="107"/>
      <c r="AD77" s="108" t="s">
        <v>44</v>
      </c>
      <c r="AE77" s="108" t="s">
        <v>211</v>
      </c>
    </row>
    <row r="78" spans="1:31" ht="37.5" customHeight="1" x14ac:dyDescent="0.2">
      <c r="A78" s="1">
        <v>163</v>
      </c>
      <c r="B78" s="78" t="s">
        <v>166</v>
      </c>
      <c r="C78" s="78" t="s">
        <v>187</v>
      </c>
      <c r="D78" s="78" t="s">
        <v>199</v>
      </c>
      <c r="E78" s="79" t="s">
        <v>204</v>
      </c>
      <c r="F78" s="78" t="s">
        <v>205</v>
      </c>
      <c r="G78" s="80">
        <v>2021680010019</v>
      </c>
      <c r="H78" s="78" t="s">
        <v>311</v>
      </c>
      <c r="I78" s="81" t="s">
        <v>309</v>
      </c>
      <c r="J78" s="82"/>
      <c r="K78" s="82"/>
      <c r="L78" s="150"/>
      <c r="M78" s="149"/>
      <c r="N78" s="148"/>
      <c r="O78" s="83" t="s">
        <v>298</v>
      </c>
      <c r="P78" s="84">
        <v>4122494.299999997</v>
      </c>
      <c r="Q78" s="84"/>
      <c r="R78" s="84"/>
      <c r="S78" s="84"/>
      <c r="T78" s="84"/>
      <c r="U78" s="118"/>
      <c r="V78" s="84"/>
      <c r="W78" s="84"/>
      <c r="X78" s="84"/>
      <c r="Y78" s="84"/>
      <c r="Z78" s="84"/>
      <c r="AA78" s="118"/>
      <c r="AB78" s="102"/>
      <c r="AC78" s="99"/>
      <c r="AD78" s="101"/>
      <c r="AE78" s="101"/>
    </row>
    <row r="79" spans="1:31" ht="57" x14ac:dyDescent="0.2">
      <c r="A79" s="20">
        <v>168</v>
      </c>
      <c r="B79" s="7" t="s">
        <v>166</v>
      </c>
      <c r="C79" s="7" t="s">
        <v>187</v>
      </c>
      <c r="D79" s="7" t="s">
        <v>206</v>
      </c>
      <c r="E79" s="43" t="s">
        <v>207</v>
      </c>
      <c r="F79" s="7" t="s">
        <v>208</v>
      </c>
      <c r="G79" s="65">
        <v>2021680010002</v>
      </c>
      <c r="H79" s="7" t="s">
        <v>209</v>
      </c>
      <c r="I79" s="69" t="s">
        <v>210</v>
      </c>
      <c r="J79" s="72">
        <v>44566</v>
      </c>
      <c r="K79" s="72">
        <v>44926</v>
      </c>
      <c r="L79" s="155">
        <v>1</v>
      </c>
      <c r="M79" s="159">
        <v>1</v>
      </c>
      <c r="N79" s="157">
        <f>IFERROR(IF(M79/L79&gt;100%,100%,M79/L79),"-")</f>
        <v>1</v>
      </c>
      <c r="O79" s="51" t="s">
        <v>300</v>
      </c>
      <c r="P79" s="22">
        <v>1048760967.99</v>
      </c>
      <c r="Q79" s="22"/>
      <c r="R79" s="22"/>
      <c r="S79" s="22"/>
      <c r="T79" s="22"/>
      <c r="U79" s="158">
        <f>SUM(P79:T82)</f>
        <v>4746992191.5500002</v>
      </c>
      <c r="V79" s="22">
        <v>1046630967.99</v>
      </c>
      <c r="W79" s="22"/>
      <c r="X79" s="22"/>
      <c r="Y79" s="22"/>
      <c r="Z79" s="22"/>
      <c r="AA79" s="158">
        <f>SUM(V79:Z82)</f>
        <v>3825177374.9700003</v>
      </c>
      <c r="AB79" s="154">
        <f>IFERROR(AA79/U79,"-")</f>
        <v>0.80581075776343192</v>
      </c>
      <c r="AC79" s="98"/>
      <c r="AD79" s="100" t="s">
        <v>44</v>
      </c>
      <c r="AE79" s="100" t="s">
        <v>211</v>
      </c>
    </row>
    <row r="80" spans="1:31" ht="66.75" customHeight="1" x14ac:dyDescent="0.2">
      <c r="A80" s="87">
        <v>168</v>
      </c>
      <c r="B80" s="27" t="s">
        <v>166</v>
      </c>
      <c r="C80" s="27" t="s">
        <v>187</v>
      </c>
      <c r="D80" s="27" t="s">
        <v>206</v>
      </c>
      <c r="E80" s="88" t="s">
        <v>207</v>
      </c>
      <c r="F80" s="27" t="s">
        <v>208</v>
      </c>
      <c r="G80" s="89">
        <v>2021680010215</v>
      </c>
      <c r="H80" s="27" t="s">
        <v>225</v>
      </c>
      <c r="I80" s="90" t="s">
        <v>283</v>
      </c>
      <c r="J80" s="91">
        <v>44566</v>
      </c>
      <c r="K80" s="91">
        <v>44926</v>
      </c>
      <c r="L80" s="150"/>
      <c r="M80" s="160"/>
      <c r="N80" s="148"/>
      <c r="O80" s="92" t="s">
        <v>299</v>
      </c>
      <c r="P80" s="93">
        <v>985292562.28999996</v>
      </c>
      <c r="Q80" s="93"/>
      <c r="R80" s="93"/>
      <c r="S80" s="93"/>
      <c r="T80" s="93"/>
      <c r="U80" s="118"/>
      <c r="V80" s="93">
        <v>979245895.62</v>
      </c>
      <c r="W80" s="93"/>
      <c r="X80" s="93"/>
      <c r="Y80" s="93"/>
      <c r="Z80" s="93"/>
      <c r="AA80" s="118"/>
      <c r="AB80" s="102"/>
      <c r="AC80" s="99"/>
      <c r="AD80" s="101"/>
      <c r="AE80" s="101"/>
    </row>
    <row r="81" spans="1:31" ht="93.75" customHeight="1" x14ac:dyDescent="0.2">
      <c r="A81" s="1">
        <v>168</v>
      </c>
      <c r="B81" s="78" t="s">
        <v>166</v>
      </c>
      <c r="C81" s="78" t="s">
        <v>187</v>
      </c>
      <c r="D81" s="78" t="s">
        <v>206</v>
      </c>
      <c r="E81" s="85" t="s">
        <v>207</v>
      </c>
      <c r="F81" s="78" t="s">
        <v>208</v>
      </c>
      <c r="G81" s="86">
        <v>2021680010142</v>
      </c>
      <c r="H81" s="78" t="s">
        <v>216</v>
      </c>
      <c r="I81" s="81" t="s">
        <v>217</v>
      </c>
      <c r="J81" s="82">
        <v>44566</v>
      </c>
      <c r="K81" s="82">
        <v>44926</v>
      </c>
      <c r="L81" s="150"/>
      <c r="M81" s="160"/>
      <c r="N81" s="148"/>
      <c r="O81" s="83" t="s">
        <v>301</v>
      </c>
      <c r="P81" s="84">
        <v>1799300511.3599999</v>
      </c>
      <c r="Q81" s="84"/>
      <c r="R81" s="84"/>
      <c r="S81" s="84"/>
      <c r="T81" s="84"/>
      <c r="U81" s="118"/>
      <c r="V81" s="84">
        <v>1799300511.3599999</v>
      </c>
      <c r="W81" s="84"/>
      <c r="X81" s="84"/>
      <c r="Y81" s="84"/>
      <c r="Z81" s="84"/>
      <c r="AA81" s="118"/>
      <c r="AB81" s="102"/>
      <c r="AC81" s="99"/>
      <c r="AD81" s="101"/>
      <c r="AE81" s="101"/>
    </row>
    <row r="82" spans="1:31" ht="57" x14ac:dyDescent="0.2">
      <c r="A82" s="20">
        <v>168</v>
      </c>
      <c r="B82" s="7" t="s">
        <v>166</v>
      </c>
      <c r="C82" s="7" t="s">
        <v>187</v>
      </c>
      <c r="D82" s="7" t="s">
        <v>206</v>
      </c>
      <c r="E82" s="43" t="s">
        <v>207</v>
      </c>
      <c r="F82" s="7" t="s">
        <v>208</v>
      </c>
      <c r="G82" s="65"/>
      <c r="H82" s="7" t="s">
        <v>311</v>
      </c>
      <c r="I82" s="69" t="s">
        <v>310</v>
      </c>
      <c r="J82" s="72"/>
      <c r="K82" s="72"/>
      <c r="L82" s="155"/>
      <c r="M82" s="159"/>
      <c r="N82" s="157"/>
      <c r="O82" s="51" t="s">
        <v>300</v>
      </c>
      <c r="P82" s="22">
        <f>597835305.35+315707437.56+95407</f>
        <v>913638149.91000009</v>
      </c>
      <c r="Q82" s="22"/>
      <c r="R82" s="22"/>
      <c r="S82" s="22"/>
      <c r="T82" s="22"/>
      <c r="U82" s="158"/>
      <c r="V82" s="22"/>
      <c r="W82" s="22"/>
      <c r="X82" s="22"/>
      <c r="Y82" s="22"/>
      <c r="Z82" s="22"/>
      <c r="AA82" s="158"/>
      <c r="AB82" s="154"/>
      <c r="AC82" s="98"/>
      <c r="AD82" s="100"/>
      <c r="AE82" s="100"/>
    </row>
    <row r="83" spans="1:31" ht="42" customHeight="1" x14ac:dyDescent="0.2">
      <c r="A83" s="87">
        <v>218</v>
      </c>
      <c r="B83" s="27" t="s">
        <v>220</v>
      </c>
      <c r="C83" s="27" t="s">
        <v>226</v>
      </c>
      <c r="D83" s="27" t="s">
        <v>227</v>
      </c>
      <c r="E83" s="88" t="s">
        <v>219</v>
      </c>
      <c r="F83" s="27" t="s">
        <v>221</v>
      </c>
      <c r="G83" s="89">
        <v>2021680010186</v>
      </c>
      <c r="H83" s="27" t="s">
        <v>252</v>
      </c>
      <c r="I83" s="90" t="s">
        <v>253</v>
      </c>
      <c r="J83" s="91">
        <v>44566</v>
      </c>
      <c r="K83" s="91">
        <v>44742</v>
      </c>
      <c r="L83" s="153">
        <v>0</v>
      </c>
      <c r="M83" s="151">
        <v>0.1</v>
      </c>
      <c r="N83" s="148" t="str">
        <f>IFERROR(IF(M83/L83&gt;100%,100%,M83/L83),"-")</f>
        <v>-</v>
      </c>
      <c r="O83" s="92" t="s">
        <v>251</v>
      </c>
      <c r="P83" s="93">
        <v>188666497</v>
      </c>
      <c r="Q83" s="93"/>
      <c r="R83" s="93"/>
      <c r="S83" s="93"/>
      <c r="T83" s="93"/>
      <c r="U83" s="118">
        <f>SUM(P83:T85)</f>
        <v>835720143</v>
      </c>
      <c r="V83" s="93">
        <v>188666497</v>
      </c>
      <c r="W83" s="93"/>
      <c r="X83" s="93"/>
      <c r="Y83" s="93"/>
      <c r="Z83" s="93"/>
      <c r="AA83" s="118">
        <f>SUM(V83:Z85)</f>
        <v>755578741.11000001</v>
      </c>
      <c r="AB83" s="102">
        <f>IFERROR(AA83/U83,"-")</f>
        <v>0.90410497753193442</v>
      </c>
      <c r="AC83" s="99"/>
      <c r="AD83" s="101" t="s">
        <v>44</v>
      </c>
      <c r="AE83" s="101" t="s">
        <v>211</v>
      </c>
    </row>
    <row r="84" spans="1:31" ht="57" x14ac:dyDescent="0.2">
      <c r="A84" s="20">
        <v>218</v>
      </c>
      <c r="B84" s="7" t="s">
        <v>220</v>
      </c>
      <c r="C84" s="7" t="s">
        <v>226</v>
      </c>
      <c r="D84" s="7" t="s">
        <v>227</v>
      </c>
      <c r="E84" s="43" t="s">
        <v>219</v>
      </c>
      <c r="F84" s="7" t="s">
        <v>221</v>
      </c>
      <c r="G84" s="65">
        <v>2022680010011</v>
      </c>
      <c r="H84" s="7" t="s">
        <v>257</v>
      </c>
      <c r="I84" s="69" t="s">
        <v>258</v>
      </c>
      <c r="J84" s="74">
        <v>44713</v>
      </c>
      <c r="K84" s="74">
        <v>44926</v>
      </c>
      <c r="L84" s="153"/>
      <c r="M84" s="151"/>
      <c r="N84" s="148"/>
      <c r="O84" s="51" t="s">
        <v>259</v>
      </c>
      <c r="P84" s="22">
        <v>577346356.09000003</v>
      </c>
      <c r="Q84" s="22"/>
      <c r="R84" s="22"/>
      <c r="S84" s="22"/>
      <c r="T84" s="22"/>
      <c r="U84" s="118"/>
      <c r="V84" s="22">
        <v>566912244.11000001</v>
      </c>
      <c r="W84" s="22"/>
      <c r="X84" s="22"/>
      <c r="Y84" s="22"/>
      <c r="Z84" s="22"/>
      <c r="AA84" s="118"/>
      <c r="AB84" s="102"/>
      <c r="AC84" s="99"/>
      <c r="AD84" s="101"/>
      <c r="AE84" s="101"/>
    </row>
    <row r="85" spans="1:31" ht="28.5" x14ac:dyDescent="0.2">
      <c r="A85" s="20">
        <v>218</v>
      </c>
      <c r="B85" s="7" t="s">
        <v>220</v>
      </c>
      <c r="C85" s="7" t="s">
        <v>226</v>
      </c>
      <c r="D85" s="7" t="s">
        <v>227</v>
      </c>
      <c r="E85" s="43" t="s">
        <v>219</v>
      </c>
      <c r="F85" s="7" t="s">
        <v>221</v>
      </c>
      <c r="G85" s="65"/>
      <c r="H85" s="7" t="s">
        <v>311</v>
      </c>
      <c r="I85" s="69"/>
      <c r="J85" s="74"/>
      <c r="K85" s="74"/>
      <c r="L85" s="139"/>
      <c r="M85" s="152"/>
      <c r="N85" s="133"/>
      <c r="O85" s="51" t="s">
        <v>259</v>
      </c>
      <c r="P85" s="22">
        <v>69707289.909999967</v>
      </c>
      <c r="Q85" s="22"/>
      <c r="R85" s="22"/>
      <c r="S85" s="22"/>
      <c r="T85" s="22"/>
      <c r="U85" s="117"/>
      <c r="V85" s="22"/>
      <c r="W85" s="22"/>
      <c r="X85" s="22"/>
      <c r="Y85" s="22"/>
      <c r="Z85" s="22"/>
      <c r="AA85" s="117"/>
      <c r="AB85" s="103"/>
      <c r="AC85" s="104"/>
      <c r="AD85" s="105"/>
      <c r="AE85" s="105"/>
    </row>
    <row r="86" spans="1:31" ht="15" x14ac:dyDescent="0.2">
      <c r="A86" s="20" cm="1">
        <f t="array" ref="A86">SUM(--(FREQUENCY(A9:A85,A9:A85)&gt;0))</f>
        <v>51</v>
      </c>
      <c r="B86" s="55"/>
      <c r="C86" s="56"/>
      <c r="D86" s="56"/>
      <c r="E86" s="56"/>
      <c r="F86" s="56"/>
      <c r="G86" s="57"/>
      <c r="H86" s="56"/>
      <c r="I86" s="56"/>
      <c r="J86" s="56"/>
      <c r="K86" s="58"/>
      <c r="L86" s="58"/>
      <c r="M86" s="59" t="s">
        <v>17</v>
      </c>
      <c r="N86" s="58">
        <f>IFERROR(AVERAGE(N9:N85),"-")</f>
        <v>0.94796271929824572</v>
      </c>
      <c r="O86" s="39"/>
      <c r="P86" s="60">
        <f>SUM(P9:P85)</f>
        <v>19903490706.993332</v>
      </c>
      <c r="Q86" s="60">
        <f t="shared" ref="Q86:Z86" si="8">SUM(Q9:Q85)</f>
        <v>92701018855</v>
      </c>
      <c r="R86" s="60">
        <f t="shared" si="8"/>
        <v>0</v>
      </c>
      <c r="S86" s="60">
        <f t="shared" si="8"/>
        <v>0</v>
      </c>
      <c r="T86" s="60">
        <f t="shared" si="8"/>
        <v>231758222932.43002</v>
      </c>
      <c r="U86" s="95">
        <f>SUM(U9:U85)</f>
        <v>344362732494.42334</v>
      </c>
      <c r="V86" s="60">
        <f t="shared" si="8"/>
        <v>12629738592.418001</v>
      </c>
      <c r="W86" s="60">
        <f t="shared" si="8"/>
        <v>91735295192.339996</v>
      </c>
      <c r="X86" s="60">
        <f t="shared" si="8"/>
        <v>0</v>
      </c>
      <c r="Y86" s="60">
        <f t="shared" si="8"/>
        <v>0</v>
      </c>
      <c r="Z86" s="60">
        <f t="shared" si="8"/>
        <v>205785846223.72998</v>
      </c>
      <c r="AA86" s="95">
        <f>SUM(AA9:AA85)</f>
        <v>310150880008.48798</v>
      </c>
      <c r="AB86" s="61">
        <f>IFERROR(AA86/U86,"-")</f>
        <v>0.90065169875346662</v>
      </c>
      <c r="AC86" s="39"/>
      <c r="AD86" s="39"/>
      <c r="AE86" s="39"/>
    </row>
    <row r="87" spans="1:31" x14ac:dyDescent="0.2">
      <c r="V87" s="26"/>
    </row>
    <row r="88" spans="1:31" x14ac:dyDescent="0.2">
      <c r="U88"/>
      <c r="V88"/>
      <c r="W88"/>
      <c r="X88"/>
      <c r="Y88"/>
      <c r="Z88"/>
      <c r="AA88"/>
    </row>
    <row r="89" spans="1:31" x14ac:dyDescent="0.2">
      <c r="U89" s="96"/>
      <c r="V89" s="97"/>
      <c r="W89" s="96"/>
      <c r="X89" s="96"/>
      <c r="Y89" s="96"/>
      <c r="Z89" s="96"/>
      <c r="AA89" s="96"/>
    </row>
    <row r="90" spans="1:31" hidden="1" x14ac:dyDescent="0.2">
      <c r="U90" s="96"/>
      <c r="V90" s="96"/>
      <c r="W90" s="96"/>
      <c r="X90" s="96"/>
      <c r="Y90" s="96"/>
      <c r="Z90" s="96"/>
      <c r="AA90" s="96"/>
    </row>
    <row r="91" spans="1:31" hidden="1" x14ac:dyDescent="0.2">
      <c r="U91" s="96"/>
      <c r="V91" s="96"/>
      <c r="W91" s="96"/>
      <c r="X91" s="96"/>
      <c r="Y91" s="96"/>
      <c r="Z91" s="96"/>
      <c r="AA91" s="96"/>
    </row>
    <row r="92" spans="1:31" hidden="1" x14ac:dyDescent="0.2">
      <c r="U92" s="96"/>
      <c r="V92" s="96"/>
      <c r="W92" s="96"/>
      <c r="X92" s="96"/>
      <c r="Y92" s="96"/>
      <c r="Z92" s="96"/>
      <c r="AA92" s="96"/>
    </row>
    <row r="93" spans="1:31" hidden="1" x14ac:dyDescent="0.2">
      <c r="U93"/>
      <c r="V93"/>
      <c r="W93"/>
      <c r="X93"/>
      <c r="Y93"/>
      <c r="Z93"/>
      <c r="AA93"/>
    </row>
    <row r="94" spans="1:31" hidden="1" x14ac:dyDescent="0.2">
      <c r="U94"/>
      <c r="V94"/>
      <c r="W94"/>
      <c r="X94"/>
      <c r="Y94"/>
      <c r="Z94"/>
      <c r="AA94"/>
    </row>
  </sheetData>
  <mergeCells count="171">
    <mergeCell ref="AA43:AA45"/>
    <mergeCell ref="A1:A4"/>
    <mergeCell ref="A5:C5"/>
    <mergeCell ref="A6:C6"/>
    <mergeCell ref="B1:AB4"/>
    <mergeCell ref="D6:G6"/>
    <mergeCell ref="D5:G5"/>
    <mergeCell ref="L22:L26"/>
    <mergeCell ref="M22:M26"/>
    <mergeCell ref="L27:L28"/>
    <mergeCell ref="M27:M28"/>
    <mergeCell ref="N27:N28"/>
    <mergeCell ref="N22:N26"/>
    <mergeCell ref="AA11:AA12"/>
    <mergeCell ref="AA16:AA17"/>
    <mergeCell ref="AA22:AA26"/>
    <mergeCell ref="AA27:AA28"/>
    <mergeCell ref="AA29:AA30"/>
    <mergeCell ref="AB22:AB26"/>
    <mergeCell ref="U11:U12"/>
    <mergeCell ref="U16:U17"/>
    <mergeCell ref="U22:U26"/>
    <mergeCell ref="U27:U28"/>
    <mergeCell ref="U29:U30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7:N7"/>
    <mergeCell ref="O7:U7"/>
    <mergeCell ref="U74:U76"/>
    <mergeCell ref="U77:U78"/>
    <mergeCell ref="U79:U82"/>
    <mergeCell ref="AA72:AA73"/>
    <mergeCell ref="AA74:AA76"/>
    <mergeCell ref="AA77:AA78"/>
    <mergeCell ref="AA79:AA82"/>
    <mergeCell ref="AA83:AA85"/>
    <mergeCell ref="AB74:AB76"/>
    <mergeCell ref="AB60:AB62"/>
    <mergeCell ref="AC60:AC62"/>
    <mergeCell ref="AD60:AD62"/>
    <mergeCell ref="AE60:AE62"/>
    <mergeCell ref="AB64:AB65"/>
    <mergeCell ref="AC64:AC65"/>
    <mergeCell ref="AD64:AD65"/>
    <mergeCell ref="AE64:AE65"/>
    <mergeCell ref="AB66:AB67"/>
    <mergeCell ref="AC66:AC67"/>
    <mergeCell ref="N83:N85"/>
    <mergeCell ref="M83:M85"/>
    <mergeCell ref="L83:L85"/>
    <mergeCell ref="AB79:AB82"/>
    <mergeCell ref="L69:L70"/>
    <mergeCell ref="M69:M70"/>
    <mergeCell ref="N69:N70"/>
    <mergeCell ref="U69:U70"/>
    <mergeCell ref="AA69:AA70"/>
    <mergeCell ref="AB69:AB70"/>
    <mergeCell ref="N77:N78"/>
    <mergeCell ref="M77:M78"/>
    <mergeCell ref="L77:L78"/>
    <mergeCell ref="N79:N82"/>
    <mergeCell ref="M79:M82"/>
    <mergeCell ref="L79:L82"/>
    <mergeCell ref="N72:N73"/>
    <mergeCell ref="M72:M73"/>
    <mergeCell ref="L72:L73"/>
    <mergeCell ref="N74:N76"/>
    <mergeCell ref="M74:M76"/>
    <mergeCell ref="L74:L76"/>
    <mergeCell ref="U83:U85"/>
    <mergeCell ref="U72:U73"/>
    <mergeCell ref="N64:N65"/>
    <mergeCell ref="M64:M65"/>
    <mergeCell ref="L64:L65"/>
    <mergeCell ref="N66:N67"/>
    <mergeCell ref="M66:M67"/>
    <mergeCell ref="L66:L67"/>
    <mergeCell ref="L57:L58"/>
    <mergeCell ref="M57:M58"/>
    <mergeCell ref="N57:N58"/>
    <mergeCell ref="N60:N62"/>
    <mergeCell ref="M60:M62"/>
    <mergeCell ref="L60:L62"/>
    <mergeCell ref="L43:L45"/>
    <mergeCell ref="M43:M45"/>
    <mergeCell ref="N43:N45"/>
    <mergeCell ref="U43:U45"/>
    <mergeCell ref="N11:N12"/>
    <mergeCell ref="M11:M12"/>
    <mergeCell ref="L11:L12"/>
    <mergeCell ref="N52:N53"/>
    <mergeCell ref="M52:M53"/>
    <mergeCell ref="L52:L53"/>
    <mergeCell ref="L16:L17"/>
    <mergeCell ref="M16:M17"/>
    <mergeCell ref="N16:N17"/>
    <mergeCell ref="L29:L30"/>
    <mergeCell ref="M29:M30"/>
    <mergeCell ref="N29:N30"/>
    <mergeCell ref="AA52:AA53"/>
    <mergeCell ref="AA57:AA58"/>
    <mergeCell ref="AA60:AA62"/>
    <mergeCell ref="AA64:AA65"/>
    <mergeCell ref="AA66:AA67"/>
    <mergeCell ref="U52:U53"/>
    <mergeCell ref="U57:U58"/>
    <mergeCell ref="U60:U62"/>
    <mergeCell ref="U64:U65"/>
    <mergeCell ref="U66:U67"/>
    <mergeCell ref="AC22:AC26"/>
    <mergeCell ref="AD22:AD26"/>
    <mergeCell ref="AE22:AE26"/>
    <mergeCell ref="AB27:AB28"/>
    <mergeCell ref="AC27:AC28"/>
    <mergeCell ref="AD27:AD28"/>
    <mergeCell ref="AE27:AE28"/>
    <mergeCell ref="AB11:AB12"/>
    <mergeCell ref="AC11:AC12"/>
    <mergeCell ref="AD11:AD12"/>
    <mergeCell ref="AE11:AE12"/>
    <mergeCell ref="AB16:AB17"/>
    <mergeCell ref="AC16:AC17"/>
    <mergeCell ref="AD16:AD17"/>
    <mergeCell ref="AE16:AE17"/>
    <mergeCell ref="AB52:AB53"/>
    <mergeCell ref="AC52:AC53"/>
    <mergeCell ref="AD52:AD53"/>
    <mergeCell ref="AE52:AE53"/>
    <mergeCell ref="AB57:AB58"/>
    <mergeCell ref="AC57:AC58"/>
    <mergeCell ref="AD57:AD58"/>
    <mergeCell ref="AE57:AE58"/>
    <mergeCell ref="AB29:AB30"/>
    <mergeCell ref="AC29:AC30"/>
    <mergeCell ref="AD29:AD30"/>
    <mergeCell ref="AE29:AE30"/>
    <mergeCell ref="AB43:AB45"/>
    <mergeCell ref="AC43:AC45"/>
    <mergeCell ref="AD43:AD45"/>
    <mergeCell ref="AE43:AE45"/>
    <mergeCell ref="AC74:AC76"/>
    <mergeCell ref="AD74:AD76"/>
    <mergeCell ref="AE74:AE76"/>
    <mergeCell ref="AD66:AD67"/>
    <mergeCell ref="AE66:AE67"/>
    <mergeCell ref="AB72:AB73"/>
    <mergeCell ref="AC72:AC73"/>
    <mergeCell ref="AD72:AD73"/>
    <mergeCell ref="AE72:AE73"/>
    <mergeCell ref="AC69:AC70"/>
    <mergeCell ref="AD69:AD70"/>
    <mergeCell ref="AE69:AE70"/>
    <mergeCell ref="AC79:AC82"/>
    <mergeCell ref="AD79:AD82"/>
    <mergeCell ref="AE79:AE82"/>
    <mergeCell ref="AB83:AB85"/>
    <mergeCell ref="AC83:AC85"/>
    <mergeCell ref="AD83:AD85"/>
    <mergeCell ref="AE83:AE85"/>
    <mergeCell ref="AB77:AB78"/>
    <mergeCell ref="AC77:AC78"/>
    <mergeCell ref="AD77:AD78"/>
    <mergeCell ref="AE77:AE78"/>
  </mergeCells>
  <conditionalFormatting sqref="N29 N9:N11 N18:N22 N55:N57 N31:N43 N46:N52 N13:N16">
    <cfRule type="cellIs" dxfId="11" priority="19" operator="between">
      <formula>0.67</formula>
      <formula>1</formula>
    </cfRule>
    <cfRule type="cellIs" dxfId="10" priority="20" operator="between">
      <formula>0.34</formula>
      <formula>0.66</formula>
    </cfRule>
    <cfRule type="cellIs" dxfId="9" priority="21" operator="between">
      <formula>0</formula>
      <formula>0.33</formula>
    </cfRule>
  </conditionalFormatting>
  <conditionalFormatting sqref="N27">
    <cfRule type="cellIs" dxfId="8" priority="13" operator="between">
      <formula>0.67</formula>
      <formula>1</formula>
    </cfRule>
    <cfRule type="cellIs" dxfId="7" priority="14" operator="between">
      <formula>0.34</formula>
      <formula>0.66</formula>
    </cfRule>
    <cfRule type="cellIs" dxfId="6" priority="15" operator="between">
      <formula>0</formula>
      <formula>0.33</formula>
    </cfRule>
  </conditionalFormatting>
  <conditionalFormatting sqref="N54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63:N64 N71:N72 N59:N60 N77 N66 N68:N69 N74 N79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2023-03-27T23:29:29Z</dcterms:modified>
</cp:coreProperties>
</file>