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B2752AE9-2836-4B53-BDB2-409B7B83D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2" r:id="rId1"/>
  </sheets>
  <definedNames>
    <definedName name="_xlnm._FilterDatabase" localSheetId="0" hidden="1">'PA 2022'!$A$8:$AG$76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2" l="1"/>
  <c r="Z35" i="2" l="1"/>
  <c r="A76" i="2" l="1"/>
  <c r="U66" i="2" l="1"/>
  <c r="U65" i="2"/>
  <c r="AA73" i="2"/>
  <c r="AA71" i="2"/>
  <c r="AA56" i="2"/>
  <c r="AA40" i="2"/>
  <c r="AA11" i="2"/>
  <c r="P58" i="2"/>
  <c r="U71" i="2"/>
  <c r="U70" i="2"/>
  <c r="U69" i="2"/>
  <c r="U60" i="2"/>
  <c r="U50" i="2"/>
  <c r="U47" i="2"/>
  <c r="U40" i="2"/>
  <c r="N74" i="2" l="1"/>
  <c r="N73" i="2"/>
  <c r="N72" i="2"/>
  <c r="N71" i="2"/>
  <c r="N70" i="2"/>
  <c r="N69" i="2"/>
  <c r="N66" i="2"/>
  <c r="N65" i="2"/>
  <c r="N63" i="2"/>
  <c r="N62" i="2"/>
  <c r="N61" i="2"/>
  <c r="N60" i="2"/>
  <c r="N57" i="2"/>
  <c r="N56" i="2"/>
  <c r="N55" i="2"/>
  <c r="N52" i="2"/>
  <c r="N50" i="2"/>
  <c r="N49" i="2"/>
  <c r="N48" i="2"/>
  <c r="N47" i="2"/>
  <c r="N44" i="2"/>
  <c r="N41" i="2"/>
  <c r="N42" i="2"/>
  <c r="N40" i="2"/>
  <c r="N36" i="2"/>
  <c r="N20" i="2"/>
  <c r="N18" i="2"/>
  <c r="N17" i="2"/>
  <c r="N16" i="2"/>
  <c r="N13" i="2"/>
  <c r="N11" i="2"/>
  <c r="N10" i="2"/>
  <c r="N9" i="2"/>
  <c r="P25" i="2" l="1"/>
  <c r="T43" i="2"/>
  <c r="U42" i="2" s="1"/>
  <c r="V42" i="2"/>
  <c r="AA42" i="2" s="1"/>
  <c r="Z36" i="2"/>
  <c r="V36" i="2"/>
  <c r="AA52" i="2" l="1"/>
  <c r="AB42" i="2"/>
  <c r="V58" i="2" l="1"/>
  <c r="V57" i="2"/>
  <c r="AA57" i="2" s="1"/>
  <c r="P57" i="2"/>
  <c r="U57" i="2" s="1"/>
  <c r="V33" i="2"/>
  <c r="Q76" i="2" l="1"/>
  <c r="R76" i="2"/>
  <c r="S76" i="2"/>
  <c r="AA63" i="2" l="1"/>
  <c r="AA69" i="2"/>
  <c r="AA66" i="2"/>
  <c r="V65" i="2"/>
  <c r="AA65" i="2" s="1"/>
  <c r="AA74" i="2"/>
  <c r="V25" i="2"/>
  <c r="V60" i="2"/>
  <c r="AA60" i="2" s="1"/>
  <c r="AA49" i="2"/>
  <c r="AA55" i="2" l="1"/>
  <c r="Z47" i="2"/>
  <c r="AA17" i="2"/>
  <c r="AA70" i="2" l="1"/>
  <c r="V10" i="2"/>
  <c r="AA10" i="2" s="1"/>
  <c r="V16" i="2"/>
  <c r="AA16" i="2" s="1"/>
  <c r="V38" i="2"/>
  <c r="AA36" i="2" s="1"/>
  <c r="Z30" i="2"/>
  <c r="V30" i="2"/>
  <c r="V34" i="2"/>
  <c r="T17" i="2" l="1"/>
  <c r="U9" i="2"/>
  <c r="Z9" i="2"/>
  <c r="AA9" i="2" s="1"/>
  <c r="P10" i="2"/>
  <c r="P11" i="2"/>
  <c r="U11" i="2" s="1"/>
  <c r="AB11" i="2" s="1"/>
  <c r="P14" i="2"/>
  <c r="V14" i="2"/>
  <c r="P15" i="2"/>
  <c r="V15" i="2"/>
  <c r="U16" i="2"/>
  <c r="P18" i="2"/>
  <c r="U18" i="2" s="1"/>
  <c r="AA18" i="2"/>
  <c r="P20" i="2"/>
  <c r="P26" i="2"/>
  <c r="T26" i="2"/>
  <c r="Z26" i="2"/>
  <c r="AA20" i="2" s="1"/>
  <c r="P32" i="2"/>
  <c r="P24" i="2"/>
  <c r="T37" i="2"/>
  <c r="P38" i="2"/>
  <c r="P41" i="2"/>
  <c r="U41" i="2" s="1"/>
  <c r="V41" i="2"/>
  <c r="AA41" i="2" s="1"/>
  <c r="P46" i="2"/>
  <c r="U44" i="2" s="1"/>
  <c r="V47" i="2"/>
  <c r="AA47" i="2" s="1"/>
  <c r="P48" i="2"/>
  <c r="U48" i="2" s="1"/>
  <c r="AA48" i="2"/>
  <c r="P49" i="2"/>
  <c r="AA50" i="2"/>
  <c r="P52" i="2"/>
  <c r="U52" i="2" s="1"/>
  <c r="P55" i="2"/>
  <c r="P56" i="2"/>
  <c r="U56" i="2" s="1"/>
  <c r="AB57" i="2"/>
  <c r="AB60" i="2"/>
  <c r="P61" i="2"/>
  <c r="U61" i="2" s="1"/>
  <c r="AA61" i="2"/>
  <c r="P62" i="2"/>
  <c r="U62" i="2" s="1"/>
  <c r="AA62" i="2"/>
  <c r="P63" i="2"/>
  <c r="P64" i="2"/>
  <c r="N67" i="2"/>
  <c r="N76" i="2" s="1"/>
  <c r="P67" i="2"/>
  <c r="P68" i="2"/>
  <c r="P72" i="2"/>
  <c r="U72" i="2" s="1"/>
  <c r="V72" i="2"/>
  <c r="AA72" i="2" s="1"/>
  <c r="P73" i="2"/>
  <c r="U73" i="2" s="1"/>
  <c r="P74" i="2"/>
  <c r="U74" i="2" s="1"/>
  <c r="W76" i="2"/>
  <c r="X76" i="2"/>
  <c r="Y76" i="2"/>
  <c r="AC76" i="2"/>
  <c r="U63" i="2" l="1"/>
  <c r="AA67" i="2"/>
  <c r="U49" i="2"/>
  <c r="AB49" i="2" s="1"/>
  <c r="AB66" i="2"/>
  <c r="U67" i="2"/>
  <c r="AA13" i="2"/>
  <c r="U36" i="2"/>
  <c r="AA44" i="2"/>
  <c r="AB44" i="2" s="1"/>
  <c r="U20" i="2"/>
  <c r="U55" i="2"/>
  <c r="AB55" i="2" s="1"/>
  <c r="AB40" i="2"/>
  <c r="AB36" i="2"/>
  <c r="AB63" i="2"/>
  <c r="AB56" i="2"/>
  <c r="AB61" i="2"/>
  <c r="AB41" i="2"/>
  <c r="U10" i="2"/>
  <c r="AB10" i="2" s="1"/>
  <c r="P76" i="2"/>
  <c r="U17" i="2"/>
  <c r="AB17" i="2" s="1"/>
  <c r="T76" i="2"/>
  <c r="AB48" i="2"/>
  <c r="AB50" i="2"/>
  <c r="AB62" i="2"/>
  <c r="AB18" i="2"/>
  <c r="AB9" i="2"/>
  <c r="AB16" i="2"/>
  <c r="AB47" i="2"/>
  <c r="AB72" i="2"/>
  <c r="AB70" i="2"/>
  <c r="AB69" i="2"/>
  <c r="AB71" i="2"/>
  <c r="AB65" i="2"/>
  <c r="V76" i="2"/>
  <c r="AB73" i="2"/>
  <c r="U13" i="2"/>
  <c r="Z76" i="2"/>
  <c r="AB74" i="2"/>
  <c r="U76" i="2" l="1"/>
  <c r="AB52" i="2"/>
  <c r="AB20" i="2"/>
  <c r="AB67" i="2"/>
  <c r="AB13" i="2"/>
  <c r="AA76" i="2"/>
  <c r="AB76" i="2" l="1"/>
</calcChain>
</file>

<file path=xl/sharedStrings.xml><?xml version="1.0" encoding="utf-8"?>
<sst xmlns="http://schemas.openxmlformats.org/spreadsheetml/2006/main" count="616" uniqueCount="262">
  <si>
    <t>TOTALES</t>
  </si>
  <si>
    <t>2.3.2.02.02.008.4502001.83990.201 - $ 10.000.000</t>
  </si>
  <si>
    <t>MEJORAMIENTO A LAS ACCIONES REALIZADAS POR EL COMITÉ DE DISCAPACIDAD, COMITÉ DE BIENESTAR ANIMAL Y CONSEJO DE PAZ DEL MUNICIPIO DE BUCARAMANGA</t>
  </si>
  <si>
    <t>Porcentaje de programas que desarrolla la Administración Central mantenidos.</t>
  </si>
  <si>
    <t>Mantener el 100% de los programas que desarrolla la Administración Central.</t>
  </si>
  <si>
    <t>Gobierno Fortalecido Para Ser Y Hacer</t>
  </si>
  <si>
    <t>Administración Pública Moderna E Innovadora</t>
  </si>
  <si>
    <t>BUCARAMANGA TERRITORIO LIBRE DE CORRUPCIÓN: INSTITUCIONES SÓLIDAS Y CONFIABLES</t>
  </si>
  <si>
    <t>Sec. Interior</t>
  </si>
  <si>
    <t>2.3.2.02.02.008.4502017.82199.201 - $ 364.200.000 - CPS
2.3.2.02.02.008.4502022.83990.201 - $ 256.200.000 - CPS
2.3.2.02.02.008.4502017.82199.501 - $ 337.820.000
2.3.2.02.02.008.4502022.83990.501 - $ 308.680.000</t>
  </si>
  <si>
    <t>Mejorar la capacidad y eficiencia en la prestación de los servicios ofertados por la Secretaría del Interior para la ciudadanía del municipio de Bucaramanga.</t>
  </si>
  <si>
    <t>FORTALECIMIENTO A LA GESTIÓN OPERATIVA PARA LA EFICIENCIA DE LA PRESTACIÓN DE SERVICIOS DE LA SECRETARÍA DEL INTERIOR DIRIGIDOS A LA CIUDADANÍA DEL MUNICIPIO DE BUCARAMANGA</t>
  </si>
  <si>
    <t>2.3.2.02.01.003.4501004.3899997.201 - $ 16.200.000
2.3.2.02.02.008.4501004.83990.501 - $ 13.140.000</t>
  </si>
  <si>
    <t xml:space="preserve">Promover la resolución pacífica de conflictos sociales  a través de acciones para la sana convivencia de las diferentes comunas y corregimientos de la ciudad de Bucaramanga. </t>
  </si>
  <si>
    <t>IMPLEMENTACIÓN DE ACCIONES E INICIATIVAS SOCIALES PARA LA CONSERVACIÓN DE LA SANA CONVIVENCIA, GESTIÓN DE CONFLICTOS COMUNITARIOS Y USO ADECUADO DEL ESPACIO PÚBLICO EN EL MUNICIPIO DE BUCARAMANGA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</si>
  <si>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</si>
  <si>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Diseñar e implementar 1 programa que promuevan las acciones para el reconocimiento y participación de las formas asociativas de la sociedad civil basadas en los principios de libertad religiosa de cultos y conciencia.</t>
  </si>
  <si>
    <t>Asuntos Religiosos</t>
  </si>
  <si>
    <t>En Bucaramanga Construimos Un Territorio De Paz</t>
  </si>
  <si>
    <t>BUCARAMANGA CIUDAD VITAL: LA VIDA ES SAGRADA</t>
  </si>
  <si>
    <t xml:space="preserve">2.3.2.02.02.008.1206007.82199.201 - $ 54.000.000 
2.3.2.02.02.008.1206007.83990.201 - $ 110.000.000
2.3.2.02.02.008.1206007.88215.201 - $ 20.000.000
2.3.2.02.02.008.1206007.64119.201 - $ 10.000.000 
2.3.2.02.01.003.1206007.3899711.201 - $ 5.000.000 
2.3.2.02.01.003.1206007.3899998.201 - $ 1.000.000 
2.3.2.02.02.008.1206007.83990.501 - $ 110.000.000 </t>
  </si>
  <si>
    <t>Fortalecer los servicios de apoyo psicosocial, jurídico y educativo de la población privada de la libertad en el municipio de Bucaramanga.</t>
  </si>
  <si>
    <t>APOYO A LA POBLACIÓN CARCELARIA DEL MUNICIPIO DE BUCARAMANGA</t>
  </si>
  <si>
    <t>Número de jornadas desarrolladas tendientes a garantizar los derechos humanos para la población carcelaria.</t>
  </si>
  <si>
    <t>Desarrollar 4 jornadas tendientes a garantizar los derechos humanos para la población carcelaria.</t>
  </si>
  <si>
    <t>Sistema Penitenciario Carcelario En El Marco De Los Derechos Humanos</t>
  </si>
  <si>
    <t>DESARROLLO DEL PROGRAMA CASA LIBERTAD EN LA CIUDAD DE BUCARAMANGA</t>
  </si>
  <si>
    <t>Número de planes de acción formulados e implementados con el Instituto Nacional Penitenciario y Carcelario - INPEC para construir la red de apoyo intersectorial de la casa de libertad.</t>
  </si>
  <si>
    <t>Formular e implementar 1 plan de acción con el Instituto Nacional Penitenciario y Carcelario - INPEC para construir la red de apoyo intersectorial de la casa de libertad.</t>
  </si>
  <si>
    <t>2.3.2.02.02.006.4101031.63391.201 - $ 40.000.000
2.3.2.02.02.008.4101031.83990.201 - $ 50.000.000</t>
  </si>
  <si>
    <t xml:space="preserve">Alcanzar en el CAIV altos niveles de atención, asistencia y reparación integral  a la población víctima del conflicto armado reubicadas en el municipio de Bucaramanga. </t>
  </si>
  <si>
    <t>FORTALECIMIENTO A LA ATENCIÓN INTEGRAL DE LA POBLACIÓN VICTIMA DEL CONFLICTO ARMADO EN EL MUNICIPIO DE BUCARAMANGA</t>
  </si>
  <si>
    <t>Número de iniciativas realizadas encaminadas a generar garantías de no repetición, memoria histórica y medidas de satisfacción a víctimas del conflicto interno armado.</t>
  </si>
  <si>
    <t>Realizar 4 iniciativas encaminadas a generar garantías de no repetición, memoria histórica y medidas de satisfacción a víctimas del conflicto interno armado.</t>
  </si>
  <si>
    <t>Atención A Víctimas Del Conflicto Armado</t>
  </si>
  <si>
    <t>2.3.2.02.02.009.4101031.97990.201 - $ 80.000.000
2.3.2.02.02.008.4101031.83990.201 - $ 30.000.000</t>
  </si>
  <si>
    <t>Porcentaje de espacios de participación de las víctimas del conflicto establecidos por la ley en la implementación de la política pública de víctimas mantenidos.</t>
  </si>
  <si>
    <t>Mantener el 100% de los espacios de participación de las víctimas del conflicto establecidos por la ley en la implementación de la política pública de víctimas.</t>
  </si>
  <si>
    <t>2.3.2.02.02.008.4101021.83990.201 - $ 300.000.000
2.3.2.02.02.008.4101021.83990.501 - $ 150.000.000</t>
  </si>
  <si>
    <t>MEJORAMIENTO A LA ATENCIÓN Y PRESTACIÓN DEL SERVICIO A LA POBLACIÓN VÍCTIMA.</t>
  </si>
  <si>
    <t>Número de Centros de Atención Integral para las Víctimas del conflicto interno mantenidos.</t>
  </si>
  <si>
    <t>Mantener el Centro de Atención Integral a Víctimas del conflicto interno - CAIV.</t>
  </si>
  <si>
    <t>2.3.2.02.02.008.4101031.83990.201 - $ 260.500.000</t>
  </si>
  <si>
    <t>2.3.2.02.02.009.4101031.97990.201 - $ 20.000.000</t>
  </si>
  <si>
    <t>Porcentaje de solicitudes que cumplan con los requisitos de ley con medidas de protección mantenidas para prevenir riesgos y proteger a víctimas del conflicto interno armado.</t>
  </si>
  <si>
    <t>Mantener las medidas de protección para prevenir riesgos y proteger a víctimas del conflicto interno armado al 100% de las solicitudes que cumplan con los requisitos de ley.</t>
  </si>
  <si>
    <t>2.3.2.02.02.009.4101031.97321.201 - $ 80.000.000</t>
  </si>
  <si>
    <t>Porcentaje de población víctima del conflicto que cumpla con los requisitos de ley con asistencia funeraria.</t>
  </si>
  <si>
    <t>Mantener la asistencia funeraria al 100% de la población víctima del conflicto que cumpla con los requisitos de ley.</t>
  </si>
  <si>
    <t>2.3.2.02.02.009.4101031.97990.501 - $ 301.000.000</t>
  </si>
  <si>
    <t>Porcentaje de población víctima del conflicto interno armado que cumpla con los requisitos de ley con ayuda humanitaria de emergencia y en transición .</t>
  </si>
  <si>
    <t>Mantener la ayuda y atención humanitaria de emergencia y en transición al 100% de la población víctima del conflicto interno armado que cumpla con los requisitos de ley.</t>
  </si>
  <si>
    <t>2.3.2.02.02.009.4101031.97990.201 - $ 270.000.000
2.3.2.02.02.009.4101031.97990.201 - $ 284.206.076
2.3.2.02.02.009.4101031.97990.501 - $ 80.000.000</t>
  </si>
  <si>
    <t>2.3.2.02.02.008.4101031.83990.201 - $ 20.000.000</t>
  </si>
  <si>
    <t>Número de Planes Integrales de prevención de violaciones a derechos humanos e infracciones al derecho internacional humanitario formulados e implementados.</t>
  </si>
  <si>
    <t>Formular e implementar el Plan Integral de prevención de violaciones a derechos humanos e infracciones al derecho internacional humanitario.</t>
  </si>
  <si>
    <t>2.3.2.02.02.008.4101031.82199.201 - $ 33.000.000
2.3.2.02.02.008.4101031.83990.201 - $ 16.500.000</t>
  </si>
  <si>
    <t>Número de Planes de Acción Territorial formulados e implementados.</t>
  </si>
  <si>
    <t>Formular e implementar el Plan de Acción Territorial.</t>
  </si>
  <si>
    <t>2.3.2.02.02.008.4501029.83619.201 - $ 4.000.000
2.3.2.02.02.006.4501029.64220.201 - $ 16.000.000
2.3.2.02.02.006.4501029.64220.501 - $ 30.000.000</t>
  </si>
  <si>
    <t>IMPLEMENTACION DE ACCIONES DE ASISTENCIA, PROTECCION Y PREVENCION A VICTIMAS DEL DELITO DE TRATA DE PERSONAS DEL MUNICIPIO DE BUCARAMANGA</t>
  </si>
  <si>
    <t>Número de iniciativas desarrolladas para la prevención de la trata de personas y explotación sexual comercial en niñas, niños y adolescentes.</t>
  </si>
  <si>
    <t>Desarrollar 4 iniciativas para la prevención de la trata de personas y explotación sexual comercial de niñas, niños y adolescentes.</t>
  </si>
  <si>
    <t>Transformando Vidas</t>
  </si>
  <si>
    <t>2.3.2.02.02.008.4102046.53290.501 - $ 140.000.000</t>
  </si>
  <si>
    <t>APOYO AL SISTEMA DE RESPONSABILIDAD PENAL ADOLESCENTE EN EL MUNICIPIO DE BUCARAMANGA</t>
  </si>
  <si>
    <t>Porcentaje de población adolescente en conflicto con la ley penal mantenidos con atención integal.</t>
  </si>
  <si>
    <t xml:space="preserve">Mantener la atención integral al 100% de la población adolescente en conflicto con la ley penal. </t>
  </si>
  <si>
    <t>2.3.2.02.02.008.4501029.83990.201 - $ 10.000.000
2.3.2.02.02.008.4501029.83990.501 - $ 10.000.000</t>
  </si>
  <si>
    <t>Aumentar la oferta institucional de programas dirigidos a las personas en proceso de  reincorporación y reintegración del municipio de Bucaramanga.</t>
  </si>
  <si>
    <t xml:space="preserve">APOYO INSTITUCIONAL PARA LA REINCORPORACIÓN Y REINTEGRACIÓN DE DESMOVILIZADOS Y PERSONAS EN DEJACIÓN DE ARMAS EN LA CIUDAD DE BUCARAMANGA. </t>
  </si>
  <si>
    <t xml:space="preserve">Número de planes de acción formulados e implementados concon la Agencia para la Reincorporación y la Normalización - ARN. </t>
  </si>
  <si>
    <t>Formular e implementar 1 plan de acción con la Agencia para la Reincorporación y la Normalización - ARN.</t>
  </si>
  <si>
    <t>2.3.2.02.02.008.4501004.83990.201 - $ 54.000.000
2.3.2.02.02.008.4501004.82199.501 - $ 35.930.000
2.3.2.02.02.008.4501004.83990.501 - $ 6.470.000</t>
  </si>
  <si>
    <t>Número de estrategias de  promoción comunitaria de los mecanismos alternativos de solución de conflictos y de aplicación de la justicia restaurativa formuladas e implementadas.</t>
  </si>
  <si>
    <t>Formular e implementar 1 estrategia de promoción comunitaria de los mecanismos alternativos de solución de conflictos y  aplicación de la justicia restaurativa.</t>
  </si>
  <si>
    <t>Promoción De Los Métodos De Resolución De Conflictos, Acceso A La Justicia Y Aplicación De La Justicia Restaurativa</t>
  </si>
  <si>
    <t>Bucaramanga Segura</t>
  </si>
  <si>
    <t>2.3.2.02.02.008.4502021.83990.204 - $ 116.750.898,20</t>
  </si>
  <si>
    <t xml:space="preserve">MANTENIMIENTO Y MEJORAMIENTO DE LA INFRAESTRUCTURA EXISTENTE DE LA COMISARIA DE LA FAMILIA LA JOYA EN EL MUNICIPIO DE BUCARAMANGA </t>
  </si>
  <si>
    <t>Número de comisarías de familia mantenidas con la prestación integral del servicio para prevenir la violencia intrafamiliar.</t>
  </si>
  <si>
    <t>Mantener y fortalecer la prestación integral del servicio en las 3 comisarías de familia para prevenir la violencia intrafamiliar.</t>
  </si>
  <si>
    <t xml:space="preserve">2.3.2.01.01.004.01.01.02.4599034.4516099.201 - $ 40.569.431
</t>
  </si>
  <si>
    <t>2.3.2.02.02.008.1202034.82199.201 - $ 54.600.000
2.3.2.02.02.008.1202002.83990.201 - $ 161.400.000
2.3.2.02.02.008.1202002.83990.501 - $ 103.478.667
2.3.2.02.02.008.1202034.82199.501 - $ 95.588.332,34</t>
  </si>
  <si>
    <t>Mejorar la capacidad operativa para la descongestión y atención de los procesos policivo de las Inspecciones y Comisarías del municipio de Bucaramanga.</t>
  </si>
  <si>
    <t>FORTALECIMIENTO DE LA CAPACIDAD INSTITUCIONAL A INSPECCIONES Y COMISARIAS DEL MUNICIPIO DE BUCARAMANGA</t>
  </si>
  <si>
    <t>2.3.2.02.02.008.4501004.83990.204 - $ 36.497.500
2.3.2.02.02.008.4501029.83990.536 - $ 369.500.000</t>
  </si>
  <si>
    <t xml:space="preserve">Número de estrategias formuladas e implementadas de promoción y efectividad del Código Nacional de Seguridad y Convivencia Ciudadana. </t>
  </si>
  <si>
    <t xml:space="preserve">Formular e implementar 1 estrategia de promoción y efectividad del Código Nacional de Seguridad y Convivencia Ciudadana. </t>
  </si>
  <si>
    <t>Promoción De La Seguridad Ciudadana, El Orden Público Y La Convivencia</t>
  </si>
  <si>
    <t>2.3.2.02.02.008.4502001.83990.201 - $ 25.000.000</t>
  </si>
  <si>
    <t>Reducir los índices de inseguridad ciudadana e intolerancia social en el municipio de Bucaramanga.</t>
  </si>
  <si>
    <t>2.3.2.02.02.008.4501004.83990.204 - $ 18.481.865</t>
  </si>
  <si>
    <t>Número de casas de justicia mantenidas como espacio de atención y descongestión de los servicios de justicia garantizando la asesoría de las personas que solicitan el servicio.</t>
  </si>
  <si>
    <t>Mantener la casa de justicia como espacio de atención y descongestión de los servicios de justicia garantizando la asesoría de las personas que solicitan el servicio.</t>
  </si>
  <si>
    <t>2.3.2.02.02.008.4502038.83990.201 - $ 93.500.000
2.3.2.01.01.003.03.01.4502038.3814091.201 - $ 11.250.000
2.3.2.01.01.004.01.01.02.4502038.3812299.201 - $ 31.077.435
2.3.2.01.01.004.01.01.04.4502038.45250.201 - $ 14.172.565</t>
  </si>
  <si>
    <t xml:space="preserve">FORTALECIMIENTO PROGRAMA CASA DE JUSTICIA EN EL MUNICIPIO DE BUCARAMANGA </t>
  </si>
  <si>
    <t>2.3.2.02.02.008.4501004.83990.201 - $ 36.000.000
2.3.2.02.02.008.4501004.83990.501 - $ 28.800.000</t>
  </si>
  <si>
    <t>Número de estrategias de diagnóstico y abordaje de las conflictividades sociales formuladas e implementadas.</t>
  </si>
  <si>
    <t>Formular 1 estrategia de diagnóstico y abordaje de las conflictividades sociales.</t>
  </si>
  <si>
    <t>2.3.2.02.02.008.4501004.83990.201 - $ 58.800.000
2.3.2.02.02.008.4501004.82199.201 - $ 21.000.000
2.3.2.02.02.008.4501004.82199.501 $ 48.853.332</t>
  </si>
  <si>
    <t>Número de protocolos desarrollados e implementados para la coordinación de acciones de respeto y garantía a la protesta pacífica.</t>
  </si>
  <si>
    <t>Desarrollar e implementar 1 protocolo para la coordinación de acciones de respeto y garantía a la protesta pacífica.</t>
  </si>
  <si>
    <t>2.3.2.02.02.008.4501004.83990.204 - $ 187.000.000
2.3.2.02.02.008.4501004.83990.501 - $ 13.500.000</t>
  </si>
  <si>
    <t>Mejorar la capacidad operativa para la consolidación y reporte de los datos de criminalidad del observatorio de seguridad y convivencia ciudadana del municipio de Bucaramanga.</t>
  </si>
  <si>
    <t>IMPLEMENTACIÓN DE ACCIONES PARA EL MEJORAMIENTO DE LA CONSOLIDACIÓN Y MANEJO DE DATOS DEL OBSERVATORIO DE LA INFORMACIÓN ASOCIADA A LA SEGURIDAD Y CONVIVENCIA CIUDADANA EN EL MUNICIPIO DE BUCARAMANGA</t>
  </si>
  <si>
    <t>Número de observatorios de convivencia y seguridad ciudadana creados y mantenidos.</t>
  </si>
  <si>
    <t>Crear y mantener 1 observatorio de convivencia y seguridad ciudadana.</t>
  </si>
  <si>
    <t>2.3.2.02.02.008.1202034.82199.201 - $ 406.200.000
2.3.2.02.02.008.1202002.83990.201 - $ 180.600.000
2.3.2.02.02.008.1202002.8715999.201 - $ 7.792.000
2.3.2.02.02.008.1202002.8715999.598 - $ 58.383.667,46
2.3.7.06.02.4599025.82199.601 - $ 8.249.999,99
2.3.2.02.02.008.1202034.82199.501 - $ 340.725.000
2.3.2.02.02.008.1202002.83990.501 - $ 141.658.000</t>
  </si>
  <si>
    <t>Número de estrategias formuladas e implementadas para mejorar la prestación del servicio de las inspecciones de policía y el seguimiento a los procesos policivos.</t>
  </si>
  <si>
    <t>Formular e implementar 1 estrategia para mejorar la prestación del servicio de las inspecciones de policía y el seguimiento a los procesos policivos.</t>
  </si>
  <si>
    <t xml:space="preserve">
2.3.2.01.01.004.01.01.04.4501018.45250.201 - $ 23.801.169
</t>
  </si>
  <si>
    <t>2.3.2.01.01.004.01.01.04.4501004.45150.204 - $ 44.950.840
2.3.2.01.01.004.01.01.04.4501004.45250.204 - $ 5.753.215
2.3.2.01.01.004.01.01.04.4501004.3899998.204 - $ 8.033.629
2.3.2.02.02.008.4501004.83990.204 - $ 550.589.041</t>
  </si>
  <si>
    <t>MEJORAMIENTO EN LA PRESTACIÓN DEL SERVICIO PARA LA ATENCIÓN AL CIUDADANO EN LAS COMISARÍAS E INSPECCIONES DEL MUNICIPIO DE BUCARAMANGA</t>
  </si>
  <si>
    <t>2.3.2.02.02.008.4501004.82199.201 - $ 21.000.000
2.3.2.02.02.008.4501004.83990.501 - $ 15.750.000</t>
  </si>
  <si>
    <t>Número de planes de acción formulados e implementados para la habilitación  del Centro de Traslado por Protección - CTP en cumplimiento por el Código Nacional de Seguridad y Convicencia Ciudadana.</t>
  </si>
  <si>
    <t>Formular e implementar el plan de acción para la habilitación  del Centro de Traslado por Protección - CTP en cumplimiento por el Código Nacional de Seguridad y Convicencia Ciudadana.</t>
  </si>
  <si>
    <t>Fortalecimiento Institucional A Los Organismos De Seguridad</t>
  </si>
  <si>
    <t>2.3.2.02.02.008.4501056.8715999.204 - $ 400.000.000
2.3.2.02.02.008.4501056.8715999.501 - $ 200.000.000</t>
  </si>
  <si>
    <t>Mantener en óptimas condiciones el CCTV para la vigilancia, control y seguimiento de la inseguridad en el municipio de Bucaramanga.</t>
  </si>
  <si>
    <t>MANTENIMIENTO AL CIRCUITO CERRADO DE TELEVISIÓN CCTV PARA LAS ACCIONES DE VIGILANCIA EN EL MUNICIPIO DE BUCARAMANGA</t>
  </si>
  <si>
    <t>Número de Circuitos Cerrados de Televisión en funcionamiento.</t>
  </si>
  <si>
    <t>Mantener en funcionamiento el Circuito Cerrado de Televisión.</t>
  </si>
  <si>
    <t>2.3.2.01.01.003.03.02.4599007.45250.501 - $ 265.000.000</t>
  </si>
  <si>
    <t>MEJORAR LA EFICIENCIA EN EL ANÁLISIS Y PROCESAMIENTO DE LA INFORMACIÓN DE LOS PROCESOS DE INVESTIGACIÓN JUDICIAL Y EN EL MANEJO DE LOS ELEMENTOS MATERIALES PROBATORIOS (EMP) Y EVIDENCIA FÍSICA (EF) QUE ADELANTA LA FISCALÍA GENERAL DE LA NACIÓN SEDE BUCARAMANGA.</t>
  </si>
  <si>
    <t xml:space="preserve">IMPLEMENTACIÓN DE ACCIONES PARA LA RENOVACIÓN DE LOS EQUIPOS TECNOLOGICOS Y SISTEMAS DE INFORMACIÓN PARA LAS DIFERENTES AREAS DE INVESTIGACIÓN DE LA FISCALIA GENERAL DE LA NACIÓN - SEDE BUCARAMANGA </t>
  </si>
  <si>
    <t>Porcentaje de herramientas de innovación, ciencia y tecnología adquiridas aprobadas a los organismos de orden público en marco de una ciudad inteligente.</t>
  </si>
  <si>
    <t>Mantener la adquisición del 100% las herramientas de innovación, ciencia y tecnología aprobadas a los organismos de orden público en marco de una ciudad inteligente.</t>
  </si>
  <si>
    <t>FONDO VIGILANCIA
2.3.2.01.01.004.01.01.04.4501032.45250.501 - $146.106.102
2.3.2.01.01.004.01.01.02.4501032.4516099.501 - $123.321.000
FONSET
2.3.2.01.01.004.01.01.04.4501032.45250.501 - $1.720.901.280
2.3.2.01.01.004.01.01.02.4501032.4516099.501 - $279.098.720</t>
  </si>
  <si>
    <t>Aumentar la capacidad operativa de en los sistemas tecnológicos y de información para el desarrollo de actividades de vigilancia y atención de Emergencias y Seguridad SIES, de la Policía Metropolitana de Bucaramanga</t>
  </si>
  <si>
    <t>RENOVACIÓN DE LA PLATAFORMA TECNOLÓGICA Y SISTEMAS DE INFORMACION DEL SISTEMA INTEGRADO DE EMERGENCIAS Y SEGURIDAD SIES DE LA MEBUC EN EL MUNICIPIO DE BUCARAMANGA</t>
  </si>
  <si>
    <t xml:space="preserve">
2.3.2.01.01.003.03.02.4501029.45250.504 - $361.352.604</t>
  </si>
  <si>
    <t>DOTACION DE EQUIPOS TECNOLÓGICOS INTEROPERABLES CON EL SISTEMA DE IDENTIFICACIÓN BIOMÉTRICA AUTOMATIZADO – ABIS PARA LA UNIDAD SECCIONAL DE INVESTIGACION CRIMINAL DE LA POLICIA METROPOLITANA DE BUCARAMANGA</t>
  </si>
  <si>
    <t>2.3.2.01.01.003.07.07.01.4501029.4991201.204 - $ 946.407.704
2.3.2.01.01.003.07.07.01.4501029.4991201.236 - $ 523.655.898
2.3.2.01.01.003.07.07.01.4501029.4991201.504 - $ 1.102.124.492
2.3.2.01.01.003.07.07.01.4501029.4991201.501 - $ 206.000.000</t>
  </si>
  <si>
    <t>FORTALECIMIENTO DE LA MOVILIDAD Y TRANSPORTE DE PERSONAL DE LOS ORGANISMOS DE SEGURIDAD DEL MUNICIPIO DE BUCARAMANGA</t>
  </si>
  <si>
    <t>Formular e implementar el Plan Integral de Seguridad y Convivencia Ciudadana (PISCC) en conjunto con las entidades pertinentes.</t>
  </si>
  <si>
    <t>2.3.2.01.01.003.03.02.4501029.45250.504 - $ 721.147.396
2.3.2.01.01.003.03.02.4501029.45250.204 - $ 534.315.938
2.3.2.01.01.003.03.02.4501029.45250.501 - $ 99.401.075
2.3.2.01.01.003.03.02.4501029.45250.536 - $ 790.759.472
2.3.2.01.01.003.03.02.4501029.45250.264 - $ 54.376.119</t>
  </si>
  <si>
    <t>OPTIMIZACIÓN DE LA RED DE COMUNICACIONES DE LA POLICIA METROPOLITANA  DE BUCARAMANGA</t>
  </si>
  <si>
    <t>Número de Planes Integral de Seguridad y Convivencia Ciudadana (PISCC) formulados e implementados en conjunto con las entidades pertinentes.</t>
  </si>
  <si>
    <t>2.3.2.01.01.003.03.02.4599007.45250.501 - $ 1.233.050.296
2.3.2.01.01.003.03.02.4599007.45250.204 - $ 576.266.680</t>
  </si>
  <si>
    <t xml:space="preserve">Fortalecer los frentes de seguridad del municipio a través del mejoramiento de los sistemas de alarma comunitarias en el Municipio de Bucaramanga </t>
  </si>
  <si>
    <t xml:space="preserve">DOTACIÓN Y MANTENIMIENTO DE LOS SISTEMAS DE ALARMA COMUNITARIAS EN EL MUNICIPIO DE BUCARAMANGA </t>
  </si>
  <si>
    <t>2.3.2.02.02.006.4501029.63399.201 - $ 296.395.848
2.3.2.01.01.003.05.03.4501052.4731101.201  - $ 431.640.000
2.3.2.01.01.003.07.01.4501029.4911301.201 - $ 496.051.514
2.3.2.02.02.006.4501029.63399.501 $ 148.000.000
2.3.2.01.01.003.05.03.4501052.4731101.501 $215.820.000</t>
  </si>
  <si>
    <t>FORTALECIMIENTO A LA OPERATIVIDAD DE LAS ACCIONES Y ESTRATEGIAS DE SEGURIDAD Y CONVIVENCIA CIUDADANA EJERCIDAS POR LA POLICIA METROPOLITANA DE BUCARAMANGA</t>
  </si>
  <si>
    <t>2.3.2.02.02.006.4501029.63399.201 - $ 62.639.111
2.3.2.02.02.006.4501029.63399.501 - $ 9.558.813	
2.3.2.02.01.003.4501029.3331101.501 - $ 85.000.000
2.3.2.02.02.008.4501029.8714102.501- 	$ 85.000.000</t>
  </si>
  <si>
    <t>FORTALECIMIENTO A LA POLICÍA METROPOLITANA PARA LA OPERATIVIDAD DE LAS ESTRATEGIAS DE SEGURIDAD Y CONVIVENCIA CIUDADANA DE BUCARAMANGA</t>
  </si>
  <si>
    <t>2.3.2.02.02.008.4501004.83990.204 - $ 267.119.537</t>
  </si>
  <si>
    <t>FORTALECIMIENTO INSTITUCIONAL DEL EJERCITO NACIONAL EN LA CIUDAD DE BUCARAMANGA</t>
  </si>
  <si>
    <t>2.3.2.01.01.004.01.01.02.4599034.3812299.204 - $ 267.119.536
2.3.2.01.01.004.01.01.02.4599034.3812299.504 - $ 117.350.604
2.3.2.01.01.004.01.01.02.4599034.3812299.501 - $ 191.572.105</t>
  </si>
  <si>
    <t xml:space="preserve">Aumentar el nivel de protección y seguridad de la integridad física de los miembros de la policía metropolitana de Bucaramanga </t>
  </si>
  <si>
    <t>DOTACIÓN DE MOBILIARIO Y ELEMENTOS PARA MEJORAR LA CAPACIDAD OPERATIVA EN INSTALACIONES DE LOS ORGANISMOS DE SEGURIDAD DEL MUNICIPIO DE BUCARAMANGA</t>
  </si>
  <si>
    <t>2.3.2.02.02.008.4501004.83990.204 - $ 267.119.538
2.3.2.02.02.008.4501004.83990.501 - $148.000.000</t>
  </si>
  <si>
    <t>Promover la reducción de los índices de violencia ocasionados por los barristas en el municipio de Bucaramanga.</t>
  </si>
  <si>
    <t>CONSOLIDACIÓN DE LA ESTRATEGIA DENOMINADA "AGUANTE LA BARRA: BARRISMO TOLERANTE, APORTAR, CONVIVIR Y ALENTAR"</t>
  </si>
  <si>
    <t>2.3.2.02.02.008.4599016.83990.204 - $ 163.509.428</t>
  </si>
  <si>
    <t xml:space="preserve">MEJORAMIENTO Y OBRAS COMPLEMENTARIAS PARA ALOJAMIENTO DEL BATALLON DE INGENIEROS NO. 5 CORONEL FRANCISCO JOSÉ DE CALDAS DEL MUNICIPIO DE BUCARAMANGA </t>
  </si>
  <si>
    <t>2.3.2.02.02.008.4599016.83990.204 - $ 196.811.537,16</t>
  </si>
  <si>
    <t xml:space="preserve">MEJORAMIENTO Y OBRAS COMPLEMENTARIAS A LAS INSTALACIONES DE LA SEDE FUERTE NORTE PERTENECIENTE AL DISTRITO DE LA POLICIA METROPOLITANA DEL MUNICIPIO DE BUCARAMANGA </t>
  </si>
  <si>
    <t>2.3.2.02.01.003.4501029.3899997.504 - $ 145.656.000
2.3.2.01.01.003.08.04.4501029.2823614.504 - $ 238.750.991
2.3.2.01.01.003.05.03.4501029.4740299.264 -  $ 85.000.000
2.3.2.02.01.003.4501029.219999.501 - $ 210.024.786
2.3.2.02.01.003.4501029.3331101.204 - $ 44.000.000
2.3.2.02.01.003.4501029.3331101.264 - $ 26.000.000</t>
  </si>
  <si>
    <t xml:space="preserve">FORTALECIMIENTO DE LOS ORGANISMOS DE SEGURIDAD CON LOS ELEMENTOS NECESARIOS PARA LA REALIZACION DE LAS FUNCIONES EN EL MUNICIPIO DE BUCARAMANGA  </t>
  </si>
  <si>
    <t>2.3.2.02.01.003.4501029.3824004.201 - $ 11.259.724
2.3.2.02.02.008.4501029.83990.201 - $ 7.013.803
2.3.2.02.02.008.4501029.83990.261 - $ 7.986.197</t>
  </si>
  <si>
    <t>Implementar acciones que permitan la  mejorar prestación del servicio integral a la comunidad por parte de la Policia Nacional en 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</si>
  <si>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</si>
  <si>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2.3.2.02.02.006.4501029.63399.204 - $ 274.741.412</t>
  </si>
  <si>
    <t>Adquisición de vehículos para el transporte de tropa del batallón de servicios n° 5 “Mercedes Abrego” del municipio de Bucaramanga.</t>
  </si>
  <si>
    <t>FORTALECIMIENTO A LAS ESTRATEGIAS DE ORDEN PÚBLICO EN EL MARCO DEL PLAN INTEGRAL DE SEGURIDAD Y CONVIVENCIA CIUDADANA PISCC DEL MUNICIPIO DE BUCARAMANGA.</t>
  </si>
  <si>
    <t>2.3.2.02.02.005.4599016.53290.204 - $ 101.895.142,12</t>
  </si>
  <si>
    <t>APOYO AL PAGO DE LA OBRA E INTERVENTORÍA DEL PROYECTO DE SALAS DE PASO, ATENCIÓN AL USUARIO Y UNIDAD DE REACCIÓN INMEDIATA DE LA SEDE PRINCIPAL DE LA FISCALÍA GENERAL DE LA NACIÓN EN BUCARAMANGA</t>
  </si>
  <si>
    <t>2.3.2.02.02.008.4501004.83990.204 - $ 85.046.000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</si>
  <si>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</si>
  <si>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2.3.2.02.02.008.4501004.83990.201 - $ 107.400.000
2.3.2.02.02.008.4501004.82199.201 - $ 21.000.000
'2.3.2.02.02.008.4501004.83990.501 - $ 98.906.667</t>
  </si>
  <si>
    <t>Disminuir la prevalencia de conflictos sociales derivados de la frágil convivencia ciudadana en el municipio de Bucaramanga.</t>
  </si>
  <si>
    <t>2.3.2.02.02.008.4501004.83990.204 - $ 6.757.348</t>
  </si>
  <si>
    <t>Número de puntos críticos de criminalidad intervenidos con acciones integrales.</t>
  </si>
  <si>
    <t>Intervenir 10 puntos críticos de criminalidad con acciones integrales.</t>
  </si>
  <si>
    <t>Prevención Del Delito</t>
  </si>
  <si>
    <t>2.3.2.02.02.008.4501004.83990.201 - $ 123.000.000
2.3.2.02.02.008.4501004.83990.501 - $ 83.610.000</t>
  </si>
  <si>
    <t>2.3.2.02.02.008.4501004.83990.204 - $ 1.122.034.723</t>
  </si>
  <si>
    <t>Número de Programas de Tolerancia en Movimiento mantenidos con el objetivo de fortalecer la convivencia y seguridad ciudadana.</t>
  </si>
  <si>
    <t>Mantener el Programa de Tolerancia en Movimiento con el objetivo de fortalecer la convivencia y seguridad ciudadana.</t>
  </si>
  <si>
    <t>2.3.2.02.02.006.4102037.63290.201 - $ 460.000.000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</si>
  <si>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</si>
  <si>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FORTALECIMIENTO DEL HOGAR DE PASO PARA PROTECCIÓN DE NIÑOS, NIÑAS Y ADOLESCENTES DEL MUNICIPIO DE BUCARAMANGA</t>
  </si>
  <si>
    <t>Número de hogares de paso para las niñas y niños en riesgo y/o vulnerabilidad mantenidos.</t>
  </si>
  <si>
    <t>Mantener 1 hogar de paso para la protección de niños y niñas en riesgo y/o vulnerabilidad.</t>
  </si>
  <si>
    <t>2.3.2.02.02.008.4501029.83990.201 - $ 20.000.000
2.3.2.02.02.008.4501029.83990.501 - $ 20.000.000</t>
  </si>
  <si>
    <t>Articular los programas para la prevención y protección de lideres sociales del municipio de Bucaramanga.</t>
  </si>
  <si>
    <t>DISEÑO E IMPLEMENTACIÓN DE LA RUTA DE ATENCIÓN DE PREVENCIÓN Y PROTECCION DE LIDERES SOCIALES EN LA CIUDAD DE BUCARAMANGA.</t>
  </si>
  <si>
    <t>Número de estrategias formuladas e implementadas orientadas a erradicar la violencia y fortalecer la protección en niños, niñas y adolescentes, mujeres, líderes sociales y personas mayores en entornos de violencia.</t>
  </si>
  <si>
    <t>Formular e implementar 1 estrategia orientada a erradicar la violencia y fortalecer la protección en niños, niñas y adolescentes, mujeres, líderes sociales y personas mayores en entornos de violencia.</t>
  </si>
  <si>
    <t>2.3.2.02.02.008.1202002.83990.501 $ 46.743.332,34
2.3.2.02.02.008.1202034.82199.501 - $ 3.256.667,66</t>
  </si>
  <si>
    <t>MEJORAMIENTO DE LAS ESTRATEGIAS ORIENTADAS A LA PROTECCIÓN, PREVENCIÓN Y MITIGACIÓN DE LA VIOLENCIA INTRAFAMILIAR Y DE GÉNERO PARA POBLACIÓN VULNERABLE EN EL MUNICIPIO DE BUCARAMANGA</t>
  </si>
  <si>
    <t>2.3.2.02.02.008.1202034.82199.201 - $ 60.000.000</t>
  </si>
  <si>
    <t>2.3.2.01.01.004.01.01.04.4501004.4911402.201 - $ 142.191.531</t>
  </si>
  <si>
    <t xml:space="preserve">Disponer de medios de transporte en la intervención y control del espacio público </t>
  </si>
  <si>
    <t>DOTACIÓN DE VEHICULO DE CARGA PARA REALIZAR INTERVENCIONES DEL ESPACIO PUBLICO EN LA CIUDAD DE BUCARAMANGA.</t>
  </si>
  <si>
    <t>Número de programas de gestores de convivencia formulados e implementados.</t>
  </si>
  <si>
    <t>Formular e implementar 1 programa de gestores de convivencia.</t>
  </si>
  <si>
    <t>2.3.2.02.02.008.4501004.83990.201 - $ 1.274.400.000
2.3.2.02.02.008.4501004.82199.201 - $ 24.823.181
2.3.2.02.01.003.4002017.3899997.201 - $ 50.000.000
2.3.2.02.01.003.4501004.3899997.201 $ 36.182.287
2.3.2.02.02.008.4501004.83990.501 - $ 1.159.840.002</t>
  </si>
  <si>
    <t>Reducir la invasión y el uso inadecuado del espacio público en la ciudad de Bucaramanga.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</si>
  <si>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
2.3.2.02.02.008.4002031.82199.501 - $ 15.870.000
2.3.2.02.02.008.4002031.83990.501 - $ 97.130.000</t>
  </si>
  <si>
    <t>Garantizar una eficaz gestión y funcionamiento de las plazas de mercado que se encuentran bajo la administración de la Alcaldía de Bucaramanga.</t>
  </si>
  <si>
    <t>FORTALECIMIENTO A LA OPERATIVIDAD DE LOS CENTROS DE ACOPIO A CARGO DEL MUNICIPIO DE BUCARAMANGA</t>
  </si>
  <si>
    <t>Número de plazas de mercado administradas por el Municipio mantenidas.</t>
  </si>
  <si>
    <t>Mantener las 4 Plazas de Mercado administradas por el Municipio.</t>
  </si>
  <si>
    <t>Equipamiento Comunitario</t>
  </si>
  <si>
    <t>Espacio Público Vital</t>
  </si>
  <si>
    <t>2.3.2.02.02.008.4501004.83990.204 - $ 27.500.000</t>
  </si>
  <si>
    <t>Número de estrategias formuladas e implementadas para brindar asistencia social a la población afectada por las diferentes emergencias y particularmente COVID-19.</t>
  </si>
  <si>
    <t>Formular e implementar 1 estrategia para brindar asistencia social a la población afectada por las diferentes emergencias y particularmente COVID-19.</t>
  </si>
  <si>
    <t>Aceleradores De Desarrollo Social</t>
  </si>
  <si>
    <t>Capacidades Y Oportunidades Para Superar Brechas Sociales</t>
  </si>
  <si>
    <t>BUCARAMANGA EQUITATIVA E INCLUYENTE: UNA CIUDAD DE BIENESTAR</t>
  </si>
  <si>
    <t>Responsable</t>
  </si>
  <si>
    <t>Dependencia</t>
  </si>
  <si>
    <t>TOTAL EJECUTADO</t>
  </si>
  <si>
    <t>OTROS</t>
  </si>
  <si>
    <t>RECURSOS PROPIOS INSTITUTOS</t>
  </si>
  <si>
    <t>SGR</t>
  </si>
  <si>
    <t>SGP</t>
  </si>
  <si>
    <t>RECURSOS PROPIOS MUNICIPIO</t>
  </si>
  <si>
    <t>TOTAL PROGRAMADO</t>
  </si>
  <si>
    <t>AVANCE</t>
  </si>
  <si>
    <t>Meta ejecutada</t>
  </si>
  <si>
    <t>Meta programada</t>
  </si>
  <si>
    <t>Fecha de terminación</t>
  </si>
  <si>
    <t>Fecha inicio</t>
  </si>
  <si>
    <t>Actividades</t>
  </si>
  <si>
    <t>Nombre del Proyecto</t>
  </si>
  <si>
    <t>Código BPIN</t>
  </si>
  <si>
    <t>Indicador de producto</t>
  </si>
  <si>
    <t>Meta PDM</t>
  </si>
  <si>
    <t xml:space="preserve">Programa </t>
  </si>
  <si>
    <t>Componente</t>
  </si>
  <si>
    <t>Línea estratégica</t>
  </si>
  <si>
    <t>No.</t>
  </si>
  <si>
    <t>RESPONSABLES</t>
  </si>
  <si>
    <t>RECURSOS GESTIONADOS</t>
  </si>
  <si>
    <t>EJECUCIÓN PPTAL</t>
  </si>
  <si>
    <t>RECURSOS EJECUTADOS</t>
  </si>
  <si>
    <t>RECURSOS PROGRAMADOS</t>
  </si>
  <si>
    <t>CUMPLIMIENTO DE META</t>
  </si>
  <si>
    <t>PROYECTOS DE INVERSIÓN</t>
  </si>
  <si>
    <t>PDM 2020-2023</t>
  </si>
  <si>
    <t>FECHA DE CORTE:</t>
  </si>
  <si>
    <t xml:space="preserve">FECHA DE SUSCRIPCIÓN:  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</si>
  <si>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</si>
  <si>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</si>
  <si>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SECRETARÍA DEL INTERIOR</t>
  </si>
  <si>
    <t>Manuel Antonio Vasquez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</si>
  <si>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</si>
  <si>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</si>
  <si>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Rubro</t>
  </si>
  <si>
    <t>FORTALECIMIENTO DEL PLAN DE BIENESTAR DE LA POLICIA METROPOLITANA DE BUCARAMANGA</t>
  </si>
  <si>
    <t>FORTALECIMIENTO PARA LA PROMOCIÓN, RESPETO, GARANTÍA Y RESTABLECIMIENTO DE LOS DERECHOS HUMANOS A LA POBLACIÓN VINCULADA AL SRPA, TANTO EN MEDIDAS PRIVATIVAS Y NO PRIVATIVAS DE LA LIBERTAD EN EL DEPARTAMENTO DE SANTANDER</t>
  </si>
  <si>
    <t>2.3.2.02.02.006.4102046.63290.201 - $ 22.713.843</t>
  </si>
  <si>
    <t>2.3.2.02.02.006.4102046.63290.901 - $ 1.106.552.323
2.3.2.02.02.006.4102046.63290.501 - $ 3.422.667.539</t>
  </si>
  <si>
    <t>Recursos liberados - RB</t>
  </si>
  <si>
    <t>DESARROLLO DE ESTRATEGIAS PARA LA PREVENCIÓN DE DELITOS EN NIÑOS, NIÑAS, ADOLESCENTES Y JÓVENES EN LA CIUDAD DE BUCARAMANGA</t>
  </si>
  <si>
    <t>DESARROLLO DE ACCIONES PARA LA IDENTIFICACIÓN Y PREVENCIÓN DE CASOS DE NIÑOS, NIÑAS Y ADOLESCENTES VINCULADOS A DELITOS Y CONTRAVENCIONES DENTRO Y FUERA DE LAS INSTITUCIONES EDUCATIVAS DEL MUNICIPIO DE BUCARAMANGA</t>
  </si>
  <si>
    <t>APOYO A LAS INSPECCIONES DE POLICÍA Y LAS COMISARIAS DE FAMILIA CON LOS ELEMENTOS NECESARIOS PARA LA OPERATIVIDAD Y CAPACIDAD DE RESPUESTA EN EL MUNICIPIO BUCARAMANGA</t>
  </si>
  <si>
    <t>2.3.2.02.02.008.4501004.83990.204 - $ 50.000.000
2.3.2.01.01.003.03.02.4599007.45250.501 - $ 120.000.000
2.3.2.02.02.008.4501004.83990.204 - $ 107.833.858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</si>
</sst>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_);_(@_)"/>
    <numFmt numFmtId="168" formatCode="dd/mm/yyyy;@"/>
    <numFmt numFmtId="169" formatCode="#,##0.0"/>
    <numFmt numFmtId="170" formatCode="_-* #,##0_-;\-* #,##0_-;_-* &quot;-&quot;??_-;_-@_-"/>
    <numFmt numFmtId="171" formatCode="_-&quot;$&quot;\ * #,##0.00000_-;\-&quot;$&quot;\ * #,##0.000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9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1" applyFont="1"/>
    <xf numFmtId="164" fontId="1" fillId="0" borderId="0" xfId="2" applyFont="1" applyBorder="1"/>
    <xf numFmtId="164" fontId="1" fillId="0" borderId="0" xfId="2" applyFont="1"/>
    <xf numFmtId="166" fontId="1" fillId="0" borderId="0" xfId="4" applyNumberFormat="1" applyFont="1" applyBorder="1"/>
    <xf numFmtId="0" fontId="2" fillId="3" borderId="1" xfId="1" applyFont="1" applyFill="1" applyBorder="1" applyAlignment="1">
      <alignment horizontal="center" vertical="center"/>
    </xf>
    <xf numFmtId="165" fontId="3" fillId="3" borderId="1" xfId="4" applyNumberFormat="1" applyFont="1" applyFill="1" applyBorder="1" applyAlignment="1">
      <alignment horizontal="center" vertical="center"/>
    </xf>
    <xf numFmtId="9" fontId="3" fillId="3" borderId="1" xfId="5" applyFont="1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vertical="center"/>
    </xf>
    <xf numFmtId="165" fontId="2" fillId="3" borderId="1" xfId="4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9" fontId="3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horizontal="justify"/>
    </xf>
    <xf numFmtId="0" fontId="2" fillId="3" borderId="2" xfId="1" applyFont="1" applyFill="1" applyBorder="1" applyAlignment="1">
      <alignment horizontal="justify"/>
    </xf>
    <xf numFmtId="5" fontId="2" fillId="0" borderId="1" xfId="4" applyNumberFormat="1" applyFont="1" applyFill="1" applyBorder="1" applyAlignment="1">
      <alignment horizontal="center" vertical="center" wrapText="1"/>
    </xf>
    <xf numFmtId="166" fontId="2" fillId="0" borderId="1" xfId="4" applyNumberFormat="1" applyFont="1" applyFill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/>
    </xf>
    <xf numFmtId="166" fontId="1" fillId="0" borderId="1" xfId="4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justify" vertical="center" wrapText="1"/>
    </xf>
    <xf numFmtId="0" fontId="5" fillId="2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5" fontId="2" fillId="0" borderId="4" xfId="4" applyNumberFormat="1" applyFont="1" applyFill="1" applyBorder="1" applyAlignment="1">
      <alignment horizontal="center" vertical="center" wrapText="1"/>
    </xf>
    <xf numFmtId="9" fontId="2" fillId="0" borderId="4" xfId="5" applyFont="1" applyFill="1" applyBorder="1" applyAlignment="1">
      <alignment horizontal="center" vertical="center" wrapText="1"/>
    </xf>
    <xf numFmtId="166" fontId="1" fillId="0" borderId="3" xfId="4" applyNumberFormat="1" applyFont="1" applyFill="1" applyBorder="1" applyAlignment="1">
      <alignment horizontal="right" vertical="center" wrapText="1"/>
    </xf>
    <xf numFmtId="166" fontId="2" fillId="0" borderId="3" xfId="4" applyNumberFormat="1" applyFont="1" applyFill="1" applyBorder="1" applyAlignment="1">
      <alignment horizontal="right" vertical="center" wrapText="1"/>
    </xf>
    <xf numFmtId="9" fontId="5" fillId="0" borderId="4" xfId="1" applyNumberFormat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justify" vertical="center" wrapText="1"/>
    </xf>
    <xf numFmtId="0" fontId="4" fillId="0" borderId="3" xfId="1" applyFont="1" applyBorder="1" applyAlignment="1">
      <alignment horizontal="center" vertical="center" wrapText="1"/>
    </xf>
    <xf numFmtId="5" fontId="2" fillId="0" borderId="3" xfId="4" applyNumberFormat="1" applyFont="1" applyFill="1" applyBorder="1" applyAlignment="1">
      <alignment horizontal="center" vertical="center" wrapText="1"/>
    </xf>
    <xf numFmtId="166" fontId="3" fillId="3" borderId="3" xfId="4" applyNumberFormat="1" applyFont="1" applyFill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9" fontId="2" fillId="0" borderId="3" xfId="5" applyFont="1" applyFill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right"/>
    </xf>
    <xf numFmtId="3" fontId="5" fillId="0" borderId="3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166" fontId="7" fillId="0" borderId="3" xfId="4" applyNumberFormat="1" applyFont="1" applyFill="1" applyBorder="1" applyAlignment="1">
      <alignment horizontal="right" vertical="center" wrapText="1"/>
    </xf>
    <xf numFmtId="9" fontId="5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justify" vertical="center"/>
    </xf>
    <xf numFmtId="168" fontId="2" fillId="0" borderId="3" xfId="1" applyNumberFormat="1" applyFont="1" applyBorder="1" applyAlignment="1">
      <alignment vertical="center" wrapText="1"/>
    </xf>
    <xf numFmtId="166" fontId="7" fillId="0" borderId="3" xfId="1" applyNumberFormat="1" applyFont="1" applyBorder="1" applyAlignment="1">
      <alignment horizontal="right"/>
    </xf>
    <xf numFmtId="166" fontId="2" fillId="0" borderId="3" xfId="1" applyNumberFormat="1" applyFont="1" applyBorder="1" applyAlignment="1">
      <alignment horizontal="right" vertical="center"/>
    </xf>
    <xf numFmtId="0" fontId="5" fillId="2" borderId="3" xfId="1" applyFont="1" applyFill="1" applyBorder="1" applyAlignment="1">
      <alignment horizontal="justify" vertical="center"/>
    </xf>
    <xf numFmtId="3" fontId="2" fillId="2" borderId="3" xfId="1" applyNumberFormat="1" applyFont="1" applyFill="1" applyBorder="1" applyAlignment="1">
      <alignment horizontal="justify" vertical="center" wrapText="1"/>
    </xf>
    <xf numFmtId="0" fontId="5" fillId="0" borderId="3" xfId="1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justify" vertical="center" wrapText="1"/>
    </xf>
    <xf numFmtId="0" fontId="5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justify" vertical="center" wrapText="1"/>
    </xf>
    <xf numFmtId="168" fontId="2" fillId="0" borderId="1" xfId="1" applyNumberFormat="1" applyFont="1" applyBorder="1" applyAlignment="1">
      <alignment vertical="center" wrapText="1"/>
    </xf>
    <xf numFmtId="0" fontId="5" fillId="2" borderId="4" xfId="1" applyFont="1" applyFill="1" applyBorder="1" applyAlignment="1">
      <alignment horizontal="justify" vertical="center" wrapText="1"/>
    </xf>
    <xf numFmtId="0" fontId="6" fillId="3" borderId="6" xfId="1" applyFont="1" applyFill="1" applyBorder="1" applyAlignment="1">
      <alignment horizontal="justify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vertical="center" wrapText="1"/>
    </xf>
    <xf numFmtId="0" fontId="2" fillId="2" borderId="0" xfId="1" applyFont="1" applyFill="1" applyAlignment="1">
      <alignment vertical="top"/>
    </xf>
    <xf numFmtId="0" fontId="6" fillId="3" borderId="3" xfId="1" applyFont="1" applyFill="1" applyBorder="1" applyAlignment="1">
      <alignment horizontal="justify" vertical="center" wrapText="1"/>
    </xf>
    <xf numFmtId="166" fontId="3" fillId="3" borderId="4" xfId="4" applyNumberFormat="1" applyFont="1" applyFill="1" applyBorder="1" applyAlignment="1">
      <alignment horizontal="right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right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9" fontId="2" fillId="3" borderId="4" xfId="1" applyNumberFormat="1" applyFont="1" applyFill="1" applyBorder="1" applyAlignment="1">
      <alignment horizontal="center" vertical="center" wrapText="1"/>
    </xf>
    <xf numFmtId="169" fontId="2" fillId="3" borderId="3" xfId="1" applyNumberFormat="1" applyFont="1" applyFill="1" applyBorder="1" applyAlignment="1">
      <alignment horizontal="center" vertical="center" wrapText="1"/>
    </xf>
    <xf numFmtId="9" fontId="2" fillId="3" borderId="3" xfId="1" applyNumberFormat="1" applyFont="1" applyFill="1" applyBorder="1" applyAlignment="1">
      <alignment horizontal="center" vertical="center" wrapText="1"/>
    </xf>
    <xf numFmtId="166" fontId="3" fillId="3" borderId="4" xfId="4" applyNumberFormat="1" applyFont="1" applyFill="1" applyBorder="1" applyAlignment="1">
      <alignment vertical="center" wrapText="1"/>
    </xf>
    <xf numFmtId="5" fontId="2" fillId="0" borderId="3" xfId="4" applyNumberFormat="1" applyFont="1" applyFill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70" fontId="1" fillId="2" borderId="0" xfId="8" applyNumberFormat="1" applyFont="1" applyFill="1"/>
    <xf numFmtId="170" fontId="0" fillId="0" borderId="0" xfId="8" applyNumberFormat="1" applyFont="1"/>
    <xf numFmtId="0" fontId="1" fillId="2" borderId="0" xfId="1" applyFont="1" applyFill="1"/>
    <xf numFmtId="0" fontId="1" fillId="0" borderId="0" xfId="1" applyFont="1"/>
    <xf numFmtId="14" fontId="1" fillId="2" borderId="0" xfId="1" applyNumberFormat="1" applyFont="1" applyFill="1" applyAlignment="1">
      <alignment vertical="top"/>
    </xf>
    <xf numFmtId="0" fontId="1" fillId="2" borderId="0" xfId="1" applyFont="1" applyFill="1" applyAlignment="1">
      <alignment horizontal="center" vertical="top"/>
    </xf>
    <xf numFmtId="0" fontId="1" fillId="2" borderId="0" xfId="1" applyFont="1" applyFill="1" applyAlignment="1">
      <alignment vertical="top"/>
    </xf>
    <xf numFmtId="166" fontId="1" fillId="2" borderId="0" xfId="1" applyNumberFormat="1" applyFont="1" applyFill="1" applyAlignment="1">
      <alignment vertical="top"/>
    </xf>
    <xf numFmtId="0" fontId="1" fillId="2" borderId="0" xfId="1" applyFont="1" applyFill="1" applyAlignment="1">
      <alignment horizontal="center" vertical="center"/>
    </xf>
    <xf numFmtId="0" fontId="1" fillId="0" borderId="0" xfId="1" applyFont="1" applyAlignment="1">
      <alignment vertical="top"/>
    </xf>
    <xf numFmtId="0" fontId="1" fillId="3" borderId="3" xfId="1" applyFont="1" applyFill="1" applyBorder="1" applyAlignment="1">
      <alignment vertical="center"/>
    </xf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3" xfId="1" applyFont="1" applyBorder="1" applyAlignment="1">
      <alignment horizontal="left" vertical="center" wrapText="1"/>
    </xf>
    <xf numFmtId="1" fontId="1" fillId="0" borderId="3" xfId="1" applyNumberFormat="1" applyFont="1" applyBorder="1" applyAlignment="1">
      <alignment horizontal="right" vertical="center" wrapText="1"/>
    </xf>
    <xf numFmtId="0" fontId="1" fillId="2" borderId="3" xfId="1" applyFont="1" applyFill="1" applyBorder="1" applyAlignment="1">
      <alignment horizontal="justify" wrapText="1"/>
    </xf>
    <xf numFmtId="168" fontId="1" fillId="0" borderId="3" xfId="1" applyNumberFormat="1" applyFont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168" fontId="1" fillId="0" borderId="3" xfId="1" applyNumberFormat="1" applyFont="1" applyBorder="1" applyAlignment="1">
      <alignment horizontal="justify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9" fontId="1" fillId="0" borderId="4" xfId="1" applyNumberFormat="1" applyFont="1" applyBorder="1" applyAlignment="1">
      <alignment horizontal="center" vertical="center" wrapText="1"/>
    </xf>
    <xf numFmtId="168" fontId="1" fillId="0" borderId="3" xfId="1" applyNumberFormat="1" applyFont="1" applyBorder="1" applyAlignment="1">
      <alignment vertical="center" wrapText="1"/>
    </xf>
    <xf numFmtId="168" fontId="1" fillId="0" borderId="1" xfId="1" applyNumberFormat="1" applyFont="1" applyBorder="1" applyAlignment="1">
      <alignment vertical="center" wrapText="1"/>
    </xf>
    <xf numFmtId="166" fontId="1" fillId="0" borderId="3" xfId="1" applyNumberFormat="1" applyFont="1" applyBorder="1" applyAlignment="1">
      <alignment horizontal="right"/>
    </xf>
    <xf numFmtId="0" fontId="1" fillId="2" borderId="3" xfId="1" applyFont="1" applyFill="1" applyBorder="1" applyAlignment="1">
      <alignment horizontal="justify" vertical="center" wrapText="1"/>
    </xf>
    <xf numFmtId="168" fontId="1" fillId="0" borderId="4" xfId="1" applyNumberFormat="1" applyFont="1" applyBorder="1" applyAlignment="1">
      <alignment vertical="center" wrapText="1"/>
    </xf>
    <xf numFmtId="168" fontId="1" fillId="0" borderId="3" xfId="1" quotePrefix="1" applyNumberFormat="1" applyFont="1" applyBorder="1" applyAlignment="1">
      <alignment vertical="center" wrapText="1"/>
    </xf>
    <xf numFmtId="170" fontId="1" fillId="2" borderId="0" xfId="1" applyNumberFormat="1" applyFont="1" applyFill="1"/>
    <xf numFmtId="166" fontId="1" fillId="0" borderId="3" xfId="3" applyNumberFormat="1" applyFont="1" applyFill="1" applyBorder="1" applyAlignment="1">
      <alignment horizontal="right" vertical="center"/>
    </xf>
    <xf numFmtId="168" fontId="1" fillId="0" borderId="4" xfId="1" applyNumberFormat="1" applyFont="1" applyBorder="1" applyAlignment="1">
      <alignment horizontal="left" vertical="center" wrapText="1"/>
    </xf>
    <xf numFmtId="168" fontId="1" fillId="0" borderId="4" xfId="1" applyNumberFormat="1" applyFont="1" applyBorder="1" applyAlignment="1">
      <alignment horizontal="justify" vertical="center" wrapText="1"/>
    </xf>
    <xf numFmtId="168" fontId="1" fillId="0" borderId="1" xfId="1" applyNumberFormat="1" applyFont="1" applyBorder="1" applyAlignment="1">
      <alignment horizontal="justify" vertical="center" wrapText="1"/>
    </xf>
    <xf numFmtId="168" fontId="1" fillId="0" borderId="1" xfId="1" applyNumberFormat="1" applyFont="1" applyBorder="1" applyAlignment="1">
      <alignment horizontal="center" vertical="center" wrapText="1"/>
    </xf>
    <xf numFmtId="166" fontId="1" fillId="2" borderId="0" xfId="1" applyNumberFormat="1" applyFont="1" applyFill="1"/>
    <xf numFmtId="168" fontId="1" fillId="0" borderId="3" xfId="1" applyNumberFormat="1" applyFont="1" applyBorder="1" applyAlignment="1">
      <alignment horizontal="left" vertical="center" wrapText="1"/>
    </xf>
    <xf numFmtId="0" fontId="1" fillId="0" borderId="4" xfId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right"/>
    </xf>
    <xf numFmtId="0" fontId="1" fillId="0" borderId="0" xfId="1" applyFont="1" applyAlignment="1">
      <alignment horizontal="justify"/>
    </xf>
    <xf numFmtId="0" fontId="1" fillId="0" borderId="0" xfId="1" applyFont="1" applyAlignment="1">
      <alignment horizontal="right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166" fontId="1" fillId="0" borderId="0" xfId="1" applyNumberFormat="1" applyFont="1"/>
    <xf numFmtId="0" fontId="1" fillId="0" borderId="0" xfId="0" applyFont="1"/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/>
    <xf numFmtId="167" fontId="1" fillId="0" borderId="0" xfId="1" applyNumberFormat="1" applyFont="1"/>
    <xf numFmtId="167" fontId="2" fillId="0" borderId="0" xfId="3" applyNumberFormat="1" applyFont="1" applyFill="1" applyBorder="1" applyAlignment="1">
      <alignment vertical="center"/>
    </xf>
    <xf numFmtId="44" fontId="1" fillId="0" borderId="0" xfId="2" applyNumberFormat="1" applyFont="1"/>
    <xf numFmtId="44" fontId="1" fillId="0" borderId="0" xfId="0" applyNumberFormat="1" applyFont="1"/>
    <xf numFmtId="166" fontId="1" fillId="0" borderId="3" xfId="1" applyNumberFormat="1" applyFont="1" applyFill="1" applyBorder="1" applyAlignment="1">
      <alignment horizontal="right"/>
    </xf>
    <xf numFmtId="166" fontId="2" fillId="0" borderId="3" xfId="1" applyNumberFormat="1" applyFont="1" applyFill="1" applyBorder="1" applyAlignment="1">
      <alignment horizontal="right"/>
    </xf>
    <xf numFmtId="166" fontId="1" fillId="0" borderId="0" xfId="0" applyNumberFormat="1" applyFont="1"/>
    <xf numFmtId="171" fontId="0" fillId="0" borderId="0" xfId="0" applyNumberFormat="1"/>
    <xf numFmtId="165" fontId="0" fillId="0" borderId="0" xfId="0" applyNumberFormat="1"/>
    <xf numFmtId="5" fontId="2" fillId="0" borderId="3" xfId="4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9" fontId="5" fillId="0" borderId="3" xfId="1" applyNumberFormat="1" applyFont="1" applyBorder="1" applyAlignment="1">
      <alignment horizontal="center" vertical="center" wrapText="1"/>
    </xf>
    <xf numFmtId="9" fontId="2" fillId="3" borderId="3" xfId="1" applyNumberFormat="1" applyFont="1" applyFill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166" fontId="3" fillId="3" borderId="3" xfId="4" applyNumberFormat="1" applyFont="1" applyFill="1" applyBorder="1" applyAlignment="1">
      <alignment horizontal="right" vertical="center" wrapText="1"/>
    </xf>
    <xf numFmtId="166" fontId="3" fillId="3" borderId="4" xfId="4" applyNumberFormat="1" applyFont="1" applyFill="1" applyBorder="1" applyAlignment="1">
      <alignment horizontal="right" vertical="center" wrapText="1"/>
    </xf>
    <xf numFmtId="166" fontId="3" fillId="3" borderId="5" xfId="4" applyNumberFormat="1" applyFont="1" applyFill="1" applyBorder="1" applyAlignment="1">
      <alignment horizontal="right" vertical="center" wrapText="1"/>
    </xf>
    <xf numFmtId="166" fontId="3" fillId="3" borderId="1" xfId="4" applyNumberFormat="1" applyFont="1" applyFill="1" applyBorder="1" applyAlignment="1">
      <alignment horizontal="right" vertical="center" wrapText="1"/>
    </xf>
    <xf numFmtId="5" fontId="2" fillId="0" borderId="4" xfId="4" applyNumberFormat="1" applyFont="1" applyFill="1" applyBorder="1" applyAlignment="1">
      <alignment horizontal="center" vertical="center" wrapText="1"/>
    </xf>
    <xf numFmtId="5" fontId="2" fillId="0" borderId="5" xfId="4" applyNumberFormat="1" applyFont="1" applyFill="1" applyBorder="1" applyAlignment="1">
      <alignment horizontal="center" vertical="center" wrapText="1"/>
    </xf>
    <xf numFmtId="5" fontId="2" fillId="0" borderId="1" xfId="4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9" fontId="2" fillId="0" borderId="4" xfId="5" applyFont="1" applyFill="1" applyBorder="1" applyAlignment="1">
      <alignment horizontal="center" vertical="center" wrapText="1"/>
    </xf>
    <xf numFmtId="9" fontId="2" fillId="0" borderId="5" xfId="5" applyFont="1" applyFill="1" applyBorder="1" applyAlignment="1">
      <alignment horizontal="center" vertical="center" wrapText="1"/>
    </xf>
    <xf numFmtId="9" fontId="2" fillId="0" borderId="1" xfId="5" applyFont="1" applyFill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9" fontId="1" fillId="0" borderId="4" xfId="1" applyNumberFormat="1" applyFont="1" applyBorder="1" applyAlignment="1">
      <alignment horizontal="center" vertical="center" wrapText="1"/>
    </xf>
    <xf numFmtId="9" fontId="2" fillId="0" borderId="3" xfId="5" applyFont="1" applyFill="1" applyBorder="1" applyAlignment="1">
      <alignment horizontal="center" vertical="center" wrapText="1"/>
    </xf>
    <xf numFmtId="9" fontId="5" fillId="0" borderId="4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9" fontId="2" fillId="3" borderId="4" xfId="1" applyNumberFormat="1" applyFont="1" applyFill="1" applyBorder="1" applyAlignment="1">
      <alignment horizontal="center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9" fontId="5" fillId="0" borderId="5" xfId="1" applyNumberFormat="1" applyFont="1" applyBorder="1" applyAlignment="1">
      <alignment horizontal="center" vertical="center" wrapText="1"/>
    </xf>
    <xf numFmtId="9" fontId="2" fillId="3" borderId="5" xfId="1" applyNumberFormat="1" applyFont="1" applyFill="1" applyBorder="1" applyAlignment="1">
      <alignment horizontal="center" vertical="center" wrapText="1"/>
    </xf>
    <xf numFmtId="9" fontId="1" fillId="0" borderId="5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2" fillId="2" borderId="4" xfId="6" applyNumberFormat="1" applyFont="1" applyFill="1" applyBorder="1" applyAlignment="1">
      <alignment horizontal="center" vertical="center" wrapText="1"/>
    </xf>
    <xf numFmtId="2" fontId="2" fillId="2" borderId="5" xfId="6" applyNumberFormat="1" applyFont="1" applyFill="1" applyBorder="1" applyAlignment="1">
      <alignment horizontal="center" vertical="center" wrapText="1"/>
    </xf>
    <xf numFmtId="2" fontId="2" fillId="2" borderId="1" xfId="6" applyNumberFormat="1" applyFont="1" applyFill="1" applyBorder="1" applyAlignment="1">
      <alignment horizontal="center" vertical="center" wrapText="1"/>
    </xf>
    <xf numFmtId="2" fontId="3" fillId="0" borderId="14" xfId="6" applyNumberFormat="1" applyFont="1" applyBorder="1" applyAlignment="1">
      <alignment horizontal="center" vertical="center" wrapText="1"/>
    </xf>
    <xf numFmtId="2" fontId="3" fillId="0" borderId="13" xfId="6" applyNumberFormat="1" applyFont="1" applyBorder="1" applyAlignment="1">
      <alignment horizontal="center" vertical="center" wrapText="1"/>
    </xf>
    <xf numFmtId="2" fontId="3" fillId="0" borderId="12" xfId="6" applyNumberFormat="1" applyFont="1" applyBorder="1" applyAlignment="1">
      <alignment horizontal="center" vertical="center" wrapText="1"/>
    </xf>
    <xf numFmtId="2" fontId="3" fillId="0" borderId="11" xfId="6" applyNumberFormat="1" applyFont="1" applyBorder="1" applyAlignment="1">
      <alignment horizontal="center" vertical="center" wrapText="1"/>
    </xf>
    <xf numFmtId="2" fontId="3" fillId="0" borderId="0" xfId="6" applyNumberFormat="1" applyFont="1" applyAlignment="1">
      <alignment horizontal="center" vertical="center" wrapText="1"/>
    </xf>
    <xf numFmtId="2" fontId="3" fillId="0" borderId="9" xfId="6" applyNumberFormat="1" applyFont="1" applyBorder="1" applyAlignment="1">
      <alignment horizontal="center" vertical="center" wrapText="1"/>
    </xf>
    <xf numFmtId="2" fontId="3" fillId="0" borderId="2" xfId="6" applyNumberFormat="1" applyFont="1" applyBorder="1" applyAlignment="1">
      <alignment horizontal="center" vertical="center" wrapText="1"/>
    </xf>
    <xf numFmtId="2" fontId="3" fillId="0" borderId="10" xfId="6" applyNumberFormat="1" applyFont="1" applyBorder="1" applyAlignment="1">
      <alignment horizontal="center" vertical="center" wrapText="1"/>
    </xf>
    <xf numFmtId="2" fontId="3" fillId="0" borderId="3" xfId="6" applyNumberFormat="1" applyFont="1" applyBorder="1" applyAlignment="1">
      <alignment horizontal="left" vertical="center" wrapText="1"/>
    </xf>
    <xf numFmtId="2" fontId="3" fillId="0" borderId="6" xfId="6" applyNumberFormat="1" applyFont="1" applyBorder="1" applyAlignment="1">
      <alignment horizontal="left" vertical="center" wrapText="1"/>
    </xf>
    <xf numFmtId="2" fontId="3" fillId="0" borderId="8" xfId="6" applyNumberFormat="1" applyFont="1" applyBorder="1" applyAlignment="1">
      <alignment horizontal="left" vertical="center" wrapText="1"/>
    </xf>
    <xf numFmtId="2" fontId="3" fillId="0" borderId="7" xfId="6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14" fontId="1" fillId="0" borderId="3" xfId="1" applyNumberFormat="1" applyFont="1" applyBorder="1" applyAlignment="1">
      <alignment horizontal="center" vertical="top"/>
    </xf>
    <xf numFmtId="14" fontId="4" fillId="0" borderId="3" xfId="1" applyNumberFormat="1" applyFont="1" applyBorder="1" applyAlignment="1">
      <alignment horizontal="center" vertical="top"/>
    </xf>
  </cellXfs>
  <cellStyles count="9">
    <cellStyle name="Millares" xfId="8" builtinId="3"/>
    <cellStyle name="Millares [0] 2" xfId="3" xr:uid="{00000000-0005-0000-0000-000000000000}"/>
    <cellStyle name="Millares 2" xfId="2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2 2" xfId="6" xr:uid="{00000000-0005-0000-0000-000005000000}"/>
    <cellStyle name="Normal 2 3" xfId="7" xr:uid="{00000000-0005-0000-0000-000006000000}"/>
    <cellStyle name="Porcentaje 2" xfId="5" xr:uid="{00000000-0005-0000-0000-000007000000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445900</xdr:colOff>
      <xdr:row>0</xdr:row>
      <xdr:rowOff>38100</xdr:rowOff>
    </xdr:from>
    <xdr:ext cx="620149" cy="624411"/>
    <xdr:pic>
      <xdr:nvPicPr>
        <xdr:cNvPr id="2" name="2 Imagen">
          <a:extLst>
            <a:ext uri="{FF2B5EF4-FFF2-40B4-BE49-F238E27FC236}">
              <a16:creationId xmlns:a16="http://schemas.microsoft.com/office/drawing/2014/main" id="{1D6C910F-1BFB-429D-BAF2-3D7CFDF3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149" cy="6244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3"/>
  <sheetViews>
    <sheetView showGridLines="0" tabSelected="1" zoomScale="60" zoomScaleNormal="60" workbookViewId="0">
      <selection activeCell="I70" sqref="I70"/>
    </sheetView>
  </sheetViews>
  <sheetFormatPr baseColWidth="10" defaultColWidth="0" defaultRowHeight="14.25" zeroHeight="1" x14ac:dyDescent="0.2"/>
  <cols>
    <col min="1" max="1" width="8.5703125" style="80" customWidth="1"/>
    <col min="2" max="4" width="33.140625" style="80" customWidth="1"/>
    <col min="5" max="6" width="61.7109375" style="115" customWidth="1"/>
    <col min="7" max="7" width="19.42578125" style="116" customWidth="1"/>
    <col min="8" max="8" width="57.42578125" style="117" customWidth="1"/>
    <col min="9" max="9" width="57.5703125" style="80" customWidth="1"/>
    <col min="10" max="10" width="23.5703125" style="80" bestFit="1" customWidth="1"/>
    <col min="11" max="11" width="22.7109375" style="80" bestFit="1" customWidth="1"/>
    <col min="12" max="12" width="20.5703125" style="80" bestFit="1" customWidth="1"/>
    <col min="13" max="13" width="22.28515625" style="1" bestFit="1" customWidth="1"/>
    <col min="14" max="14" width="18.42578125" style="89" bestFit="1" customWidth="1"/>
    <col min="15" max="15" width="62.28515625" style="80" customWidth="1"/>
    <col min="16" max="16" width="28.7109375" style="80" customWidth="1"/>
    <col min="17" max="18" width="17" style="80" customWidth="1"/>
    <col min="19" max="22" width="28.7109375" style="80" customWidth="1"/>
    <col min="23" max="24" width="17" style="80" customWidth="1"/>
    <col min="25" max="27" width="28.7109375" style="80" customWidth="1"/>
    <col min="28" max="28" width="18" style="118" customWidth="1"/>
    <col min="29" max="29" width="21.28515625" style="118" customWidth="1"/>
    <col min="30" max="31" width="24.42578125" style="118" customWidth="1"/>
    <col min="32" max="32" width="12.42578125" style="79" customWidth="1"/>
    <col min="33" max="33" width="18.7109375" style="79" customWidth="1"/>
    <col min="34" max="16384" width="12.42578125" style="80" hidden="1"/>
  </cols>
  <sheetData>
    <row r="1" spans="1:33" ht="15" x14ac:dyDescent="0.2">
      <c r="A1" s="177"/>
      <c r="B1" s="180" t="s">
        <v>248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2"/>
      <c r="AC1" s="188" t="s">
        <v>247</v>
      </c>
      <c r="AD1" s="188"/>
      <c r="AE1" s="188"/>
    </row>
    <row r="2" spans="1:33" ht="15" x14ac:dyDescent="0.2">
      <c r="A2" s="178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5"/>
      <c r="AC2" s="189" t="s">
        <v>250</v>
      </c>
      <c r="AD2" s="190"/>
      <c r="AE2" s="191"/>
    </row>
    <row r="3" spans="1:33" ht="15" customHeight="1" x14ac:dyDescent="0.2">
      <c r="A3" s="178"/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  <c r="AC3" s="189" t="s">
        <v>251</v>
      </c>
      <c r="AD3" s="190"/>
      <c r="AE3" s="191"/>
    </row>
    <row r="4" spans="1:33" ht="15" x14ac:dyDescent="0.2">
      <c r="A4" s="179"/>
      <c r="B4" s="186"/>
      <c r="C4" s="187"/>
      <c r="D4" s="187"/>
      <c r="E4" s="187"/>
      <c r="F4" s="187"/>
      <c r="G4" s="187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188" t="s">
        <v>246</v>
      </c>
      <c r="AD4" s="188"/>
      <c r="AE4" s="188"/>
    </row>
    <row r="5" spans="1:33" ht="15" x14ac:dyDescent="0.2">
      <c r="A5" s="192" t="s">
        <v>245</v>
      </c>
      <c r="B5" s="193"/>
      <c r="C5" s="194"/>
      <c r="D5" s="195">
        <v>44956</v>
      </c>
      <c r="E5" s="195"/>
      <c r="F5" s="195"/>
      <c r="G5" s="195"/>
      <c r="H5" s="81"/>
      <c r="I5" s="81"/>
      <c r="J5" s="81"/>
      <c r="K5" s="81"/>
      <c r="L5" s="81"/>
      <c r="M5" s="62"/>
      <c r="N5" s="82"/>
      <c r="O5" s="83"/>
      <c r="P5" s="83"/>
      <c r="Q5" s="83"/>
      <c r="R5" s="83"/>
      <c r="S5" s="83"/>
      <c r="T5" s="83"/>
      <c r="U5" s="83"/>
      <c r="V5" s="84"/>
      <c r="W5" s="83"/>
      <c r="X5" s="83"/>
      <c r="Y5" s="83"/>
      <c r="Z5" s="83"/>
      <c r="AA5" s="83"/>
      <c r="AB5" s="85"/>
      <c r="AC5" s="85"/>
      <c r="AD5" s="85"/>
      <c r="AE5" s="85"/>
    </row>
    <row r="6" spans="1:33" ht="15" x14ac:dyDescent="0.2">
      <c r="A6" s="192" t="s">
        <v>244</v>
      </c>
      <c r="B6" s="193"/>
      <c r="C6" s="194"/>
      <c r="D6" s="196">
        <v>44926</v>
      </c>
      <c r="E6" s="196"/>
      <c r="F6" s="196"/>
      <c r="G6" s="196"/>
      <c r="H6" s="81"/>
      <c r="I6" s="81"/>
      <c r="J6" s="81"/>
      <c r="K6" s="81"/>
      <c r="L6" s="81"/>
      <c r="M6" s="62"/>
      <c r="N6" s="82"/>
      <c r="O6" s="83"/>
      <c r="P6" s="83"/>
      <c r="Q6" s="83"/>
      <c r="R6" s="83"/>
      <c r="S6" s="83"/>
      <c r="T6" s="83"/>
      <c r="U6" s="83"/>
      <c r="V6" s="86"/>
      <c r="W6" s="83"/>
      <c r="X6" s="83"/>
      <c r="Y6" s="83"/>
      <c r="Z6" s="83"/>
      <c r="AA6" s="83"/>
      <c r="AB6" s="85"/>
      <c r="AC6" s="85"/>
      <c r="AD6" s="85"/>
      <c r="AE6" s="85"/>
    </row>
    <row r="7" spans="1:33" ht="17.25" customHeight="1" x14ac:dyDescent="0.2">
      <c r="A7" s="87"/>
      <c r="B7" s="172" t="s">
        <v>243</v>
      </c>
      <c r="C7" s="173"/>
      <c r="D7" s="173"/>
      <c r="E7" s="173"/>
      <c r="F7" s="174"/>
      <c r="G7" s="172" t="s">
        <v>242</v>
      </c>
      <c r="H7" s="173"/>
      <c r="I7" s="174"/>
      <c r="J7" s="172" t="s">
        <v>241</v>
      </c>
      <c r="K7" s="173"/>
      <c r="L7" s="173"/>
      <c r="M7" s="173"/>
      <c r="N7" s="174"/>
      <c r="O7" s="172" t="s">
        <v>240</v>
      </c>
      <c r="P7" s="173"/>
      <c r="Q7" s="173"/>
      <c r="R7" s="173"/>
      <c r="S7" s="173"/>
      <c r="T7" s="173"/>
      <c r="U7" s="174"/>
      <c r="V7" s="172" t="s">
        <v>239</v>
      </c>
      <c r="W7" s="173"/>
      <c r="X7" s="173"/>
      <c r="Y7" s="173"/>
      <c r="Z7" s="173"/>
      <c r="AA7" s="174"/>
      <c r="AB7" s="175" t="s">
        <v>238</v>
      </c>
      <c r="AC7" s="175" t="s">
        <v>237</v>
      </c>
      <c r="AD7" s="61" t="s">
        <v>236</v>
      </c>
      <c r="AE7" s="61"/>
    </row>
    <row r="8" spans="1:33" s="89" customFormat="1" ht="32.25" customHeight="1" x14ac:dyDescent="0.2">
      <c r="A8" s="24" t="s">
        <v>235</v>
      </c>
      <c r="B8" s="59" t="s">
        <v>234</v>
      </c>
      <c r="C8" s="24" t="s">
        <v>233</v>
      </c>
      <c r="D8" s="24" t="s">
        <v>232</v>
      </c>
      <c r="E8" s="60" t="s">
        <v>231</v>
      </c>
      <c r="F8" s="59" t="s">
        <v>230</v>
      </c>
      <c r="G8" s="59" t="s">
        <v>229</v>
      </c>
      <c r="H8" s="59" t="s">
        <v>228</v>
      </c>
      <c r="I8" s="59" t="s">
        <v>227</v>
      </c>
      <c r="J8" s="59" t="s">
        <v>226</v>
      </c>
      <c r="K8" s="59" t="s">
        <v>225</v>
      </c>
      <c r="L8" s="59" t="s">
        <v>224</v>
      </c>
      <c r="M8" s="59" t="s">
        <v>223</v>
      </c>
      <c r="N8" s="59" t="s">
        <v>222</v>
      </c>
      <c r="O8" s="24" t="s">
        <v>252</v>
      </c>
      <c r="P8" s="59" t="s">
        <v>220</v>
      </c>
      <c r="Q8" s="59" t="s">
        <v>219</v>
      </c>
      <c r="R8" s="59" t="s">
        <v>218</v>
      </c>
      <c r="S8" s="59" t="s">
        <v>217</v>
      </c>
      <c r="T8" s="59" t="s">
        <v>216</v>
      </c>
      <c r="U8" s="59" t="s">
        <v>221</v>
      </c>
      <c r="V8" s="59" t="s">
        <v>220</v>
      </c>
      <c r="W8" s="59" t="s">
        <v>219</v>
      </c>
      <c r="X8" s="59" t="s">
        <v>218</v>
      </c>
      <c r="Y8" s="59" t="s">
        <v>217</v>
      </c>
      <c r="Z8" s="59" t="s">
        <v>216</v>
      </c>
      <c r="AA8" s="59" t="s">
        <v>215</v>
      </c>
      <c r="AB8" s="176"/>
      <c r="AC8" s="176"/>
      <c r="AD8" s="59" t="s">
        <v>214</v>
      </c>
      <c r="AE8" s="59" t="s">
        <v>213</v>
      </c>
      <c r="AF8" s="88"/>
      <c r="AG8" s="88"/>
    </row>
    <row r="9" spans="1:33" ht="71.25" customHeight="1" x14ac:dyDescent="0.2">
      <c r="A9" s="24">
        <v>99</v>
      </c>
      <c r="B9" s="90" t="s">
        <v>212</v>
      </c>
      <c r="C9" s="90" t="s">
        <v>211</v>
      </c>
      <c r="D9" s="23" t="s">
        <v>210</v>
      </c>
      <c r="E9" s="57" t="s">
        <v>209</v>
      </c>
      <c r="F9" s="31" t="s">
        <v>208</v>
      </c>
      <c r="G9" s="91">
        <v>2021680010086</v>
      </c>
      <c r="H9" s="54" t="s">
        <v>258</v>
      </c>
      <c r="I9" s="92"/>
      <c r="J9" s="93">
        <v>44562</v>
      </c>
      <c r="K9" s="93">
        <v>44926</v>
      </c>
      <c r="L9" s="58">
        <v>1</v>
      </c>
      <c r="M9" s="76">
        <v>1</v>
      </c>
      <c r="N9" s="94">
        <f>IFERROR(IF(M9/L9&gt;100%,100%,M9/L9),"-")</f>
        <v>1</v>
      </c>
      <c r="O9" s="95" t="s">
        <v>207</v>
      </c>
      <c r="P9" s="29"/>
      <c r="Q9" s="28"/>
      <c r="R9" s="28"/>
      <c r="S9" s="28"/>
      <c r="T9" s="28">
        <v>27500000</v>
      </c>
      <c r="U9" s="35">
        <f>SUM(P9:T9)</f>
        <v>27500000</v>
      </c>
      <c r="V9" s="28"/>
      <c r="W9" s="28"/>
      <c r="X9" s="28"/>
      <c r="Y9" s="28"/>
      <c r="Z9" s="29">
        <f>15000000+10666666.67</f>
        <v>25666666.670000002</v>
      </c>
      <c r="AA9" s="35">
        <f>SUM(V9:Z9)</f>
        <v>25666666.670000002</v>
      </c>
      <c r="AB9" s="37">
        <f>IFERROR(AA9/U9,"-")</f>
        <v>0.9333333334545455</v>
      </c>
      <c r="AC9" s="34"/>
      <c r="AD9" s="33" t="s">
        <v>8</v>
      </c>
      <c r="AE9" s="96" t="s">
        <v>249</v>
      </c>
    </row>
    <row r="10" spans="1:33" ht="128.25" x14ac:dyDescent="0.2">
      <c r="A10" s="24">
        <v>217</v>
      </c>
      <c r="B10" s="97" t="s">
        <v>19</v>
      </c>
      <c r="C10" s="97" t="s">
        <v>206</v>
      </c>
      <c r="D10" s="41" t="s">
        <v>205</v>
      </c>
      <c r="E10" s="63" t="s">
        <v>204</v>
      </c>
      <c r="F10" s="22" t="s">
        <v>203</v>
      </c>
      <c r="G10" s="67">
        <v>2020680010110</v>
      </c>
      <c r="H10" s="32" t="s">
        <v>202</v>
      </c>
      <c r="I10" s="31" t="s">
        <v>201</v>
      </c>
      <c r="J10" s="93">
        <v>44562</v>
      </c>
      <c r="K10" s="93">
        <v>44926</v>
      </c>
      <c r="L10" s="36">
        <v>4</v>
      </c>
      <c r="M10" s="68">
        <v>4</v>
      </c>
      <c r="N10" s="98">
        <f>IFERROR(IF(M10/L10&gt;100%,100%,M10/L10),"-")</f>
        <v>1</v>
      </c>
      <c r="O10" s="99" t="s">
        <v>200</v>
      </c>
      <c r="P10" s="29">
        <f>627200000+364746543+113000000</f>
        <v>1104946543</v>
      </c>
      <c r="Q10" s="28"/>
      <c r="R10" s="28"/>
      <c r="S10" s="28"/>
      <c r="T10" s="29"/>
      <c r="U10" s="64">
        <f>SUM(P10:T10)</f>
        <v>1104946543</v>
      </c>
      <c r="V10" s="28">
        <f>222884853.58+40642000+364740890+296120362.26+85500000+20400000+23419875-20384478.09</f>
        <v>1033323502.75</v>
      </c>
      <c r="W10" s="28"/>
      <c r="X10" s="28"/>
      <c r="Y10" s="28"/>
      <c r="Z10" s="29"/>
      <c r="AA10" s="64">
        <f>SUM(V10:Z10)</f>
        <v>1033323502.75</v>
      </c>
      <c r="AB10" s="27">
        <f>IFERROR(AA10/U10,"-")</f>
        <v>0.93517963316529418</v>
      </c>
      <c r="AC10" s="26"/>
      <c r="AD10" s="25" t="s">
        <v>8</v>
      </c>
      <c r="AE10" s="96" t="s">
        <v>249</v>
      </c>
    </row>
    <row r="11" spans="1:33" ht="105.75" customHeight="1" x14ac:dyDescent="0.2">
      <c r="A11" s="24">
        <v>229</v>
      </c>
      <c r="B11" s="53" t="s">
        <v>19</v>
      </c>
      <c r="C11" s="53" t="s">
        <v>77</v>
      </c>
      <c r="D11" s="53" t="s">
        <v>175</v>
      </c>
      <c r="E11" s="63" t="s">
        <v>197</v>
      </c>
      <c r="F11" s="22" t="s">
        <v>196</v>
      </c>
      <c r="G11" s="67">
        <v>2021680010160</v>
      </c>
      <c r="H11" s="32" t="s">
        <v>14</v>
      </c>
      <c r="I11" s="31" t="s">
        <v>199</v>
      </c>
      <c r="J11" s="93">
        <v>44562</v>
      </c>
      <c r="K11" s="93">
        <v>44926</v>
      </c>
      <c r="L11" s="155">
        <v>1</v>
      </c>
      <c r="M11" s="167">
        <v>1</v>
      </c>
      <c r="N11" s="156">
        <f>IFERROR(IF(M11/L11&gt;100%,100%,M11/L11),"-")</f>
        <v>1</v>
      </c>
      <c r="O11" s="99" t="s">
        <v>198</v>
      </c>
      <c r="P11" s="29">
        <f>1248600000+45000000+50000000+41808469+1159840001</f>
        <v>2545248470</v>
      </c>
      <c r="Q11" s="28"/>
      <c r="R11" s="28"/>
      <c r="S11" s="28"/>
      <c r="T11" s="29"/>
      <c r="U11" s="142">
        <f>SUM(P11:T12)</f>
        <v>2687440001</v>
      </c>
      <c r="V11" s="28">
        <v>2416720121.5000005</v>
      </c>
      <c r="W11" s="28"/>
      <c r="X11" s="28"/>
      <c r="Y11" s="28"/>
      <c r="Z11" s="29"/>
      <c r="AA11" s="142">
        <f>SUM(V11:Z12)</f>
        <v>2558911652.5000005</v>
      </c>
      <c r="AB11" s="152">
        <f>IFERROR(AA11/U11,"-")</f>
        <v>0.95217443051670958</v>
      </c>
      <c r="AC11" s="145"/>
      <c r="AD11" s="148" t="s">
        <v>8</v>
      </c>
      <c r="AE11" s="134" t="s">
        <v>249</v>
      </c>
    </row>
    <row r="12" spans="1:33" ht="55.5" customHeight="1" x14ac:dyDescent="0.2">
      <c r="A12" s="24">
        <v>229</v>
      </c>
      <c r="B12" s="53" t="s">
        <v>19</v>
      </c>
      <c r="C12" s="53" t="s">
        <v>77</v>
      </c>
      <c r="D12" s="53" t="s">
        <v>175</v>
      </c>
      <c r="E12" s="63" t="s">
        <v>197</v>
      </c>
      <c r="F12" s="22" t="s">
        <v>196</v>
      </c>
      <c r="G12" s="67">
        <v>2021680010161</v>
      </c>
      <c r="H12" s="32" t="s">
        <v>195</v>
      </c>
      <c r="I12" s="32" t="s">
        <v>194</v>
      </c>
      <c r="J12" s="93">
        <v>44562</v>
      </c>
      <c r="K12" s="93">
        <v>44926</v>
      </c>
      <c r="L12" s="166"/>
      <c r="M12" s="168"/>
      <c r="N12" s="165"/>
      <c r="O12" s="100" t="s">
        <v>193</v>
      </c>
      <c r="P12" s="28">
        <v>142191531</v>
      </c>
      <c r="Q12" s="28"/>
      <c r="R12" s="28"/>
      <c r="S12" s="28"/>
      <c r="T12" s="28"/>
      <c r="U12" s="142"/>
      <c r="V12" s="28">
        <v>142191531</v>
      </c>
      <c r="W12" s="28"/>
      <c r="X12" s="28"/>
      <c r="Y12" s="28"/>
      <c r="Z12" s="29"/>
      <c r="AA12" s="142"/>
      <c r="AB12" s="153"/>
      <c r="AC12" s="146"/>
      <c r="AD12" s="149"/>
      <c r="AE12" s="151"/>
    </row>
    <row r="13" spans="1:33" ht="77.25" customHeight="1" x14ac:dyDescent="0.2">
      <c r="A13" s="24">
        <v>230</v>
      </c>
      <c r="B13" s="90" t="s">
        <v>19</v>
      </c>
      <c r="C13" s="90" t="s">
        <v>77</v>
      </c>
      <c r="D13" s="23" t="s">
        <v>175</v>
      </c>
      <c r="E13" s="63" t="s">
        <v>189</v>
      </c>
      <c r="F13" s="31" t="s">
        <v>188</v>
      </c>
      <c r="G13" s="67">
        <v>2021680010166</v>
      </c>
      <c r="H13" s="32" t="s">
        <v>191</v>
      </c>
      <c r="I13" s="92"/>
      <c r="J13" s="93">
        <v>44562</v>
      </c>
      <c r="K13" s="93">
        <v>44926</v>
      </c>
      <c r="L13" s="155">
        <v>1</v>
      </c>
      <c r="M13" s="167">
        <v>1</v>
      </c>
      <c r="N13" s="156">
        <f>IFERROR(IF(M13/L13&gt;100%,100%,M13/L13),"-")</f>
        <v>1</v>
      </c>
      <c r="O13" s="95" t="s">
        <v>192</v>
      </c>
      <c r="P13" s="29">
        <v>60000000</v>
      </c>
      <c r="Q13" s="28"/>
      <c r="R13" s="28"/>
      <c r="S13" s="101"/>
      <c r="T13" s="28"/>
      <c r="U13" s="142">
        <f>SUM(P13:T15)</f>
        <v>150000000</v>
      </c>
      <c r="V13" s="28">
        <v>60000000</v>
      </c>
      <c r="W13" s="28"/>
      <c r="X13" s="28"/>
      <c r="Y13" s="101"/>
      <c r="Z13" s="28"/>
      <c r="AA13" s="142">
        <f>SUM(V13:Z15)</f>
        <v>148333333.32999998</v>
      </c>
      <c r="AB13" s="152">
        <f>IFERROR(AA13/U13,"-")</f>
        <v>0.98888888886666659</v>
      </c>
      <c r="AC13" s="145"/>
      <c r="AD13" s="148" t="s">
        <v>8</v>
      </c>
      <c r="AE13" s="134" t="s">
        <v>249</v>
      </c>
    </row>
    <row r="14" spans="1:33" ht="71.25" customHeight="1" x14ac:dyDescent="0.2">
      <c r="A14" s="24">
        <v>230</v>
      </c>
      <c r="B14" s="90" t="s">
        <v>19</v>
      </c>
      <c r="C14" s="90" t="s">
        <v>77</v>
      </c>
      <c r="D14" s="23" t="s">
        <v>175</v>
      </c>
      <c r="E14" s="63" t="s">
        <v>189</v>
      </c>
      <c r="F14" s="31" t="s">
        <v>188</v>
      </c>
      <c r="G14" s="67">
        <v>2021680010166</v>
      </c>
      <c r="H14" s="32" t="s">
        <v>191</v>
      </c>
      <c r="I14" s="92"/>
      <c r="J14" s="93"/>
      <c r="K14" s="93"/>
      <c r="L14" s="166"/>
      <c r="M14" s="168"/>
      <c r="N14" s="165"/>
      <c r="O14" s="95" t="s">
        <v>190</v>
      </c>
      <c r="P14" s="29">
        <f>50000000</f>
        <v>50000000</v>
      </c>
      <c r="Q14" s="28"/>
      <c r="R14" s="28"/>
      <c r="S14" s="101"/>
      <c r="T14" s="28"/>
      <c r="U14" s="143"/>
      <c r="V14" s="28">
        <f>45076665.67+3256667.66</f>
        <v>48333333.329999998</v>
      </c>
      <c r="W14" s="28"/>
      <c r="X14" s="28"/>
      <c r="Y14" s="101"/>
      <c r="Z14" s="28"/>
      <c r="AA14" s="143"/>
      <c r="AB14" s="153"/>
      <c r="AC14" s="146"/>
      <c r="AD14" s="149"/>
      <c r="AE14" s="151"/>
    </row>
    <row r="15" spans="1:33" ht="60" x14ac:dyDescent="0.2">
      <c r="A15" s="24">
        <v>230</v>
      </c>
      <c r="B15" s="90" t="s">
        <v>19</v>
      </c>
      <c r="C15" s="90" t="s">
        <v>77</v>
      </c>
      <c r="D15" s="23" t="s">
        <v>175</v>
      </c>
      <c r="E15" s="63" t="s">
        <v>189</v>
      </c>
      <c r="F15" s="31" t="s">
        <v>188</v>
      </c>
      <c r="G15" s="67">
        <v>2021680010150</v>
      </c>
      <c r="H15" s="32" t="s">
        <v>187</v>
      </c>
      <c r="I15" s="102" t="s">
        <v>186</v>
      </c>
      <c r="J15" s="93">
        <v>44562</v>
      </c>
      <c r="K15" s="93">
        <v>44926</v>
      </c>
      <c r="L15" s="166"/>
      <c r="M15" s="168"/>
      <c r="N15" s="165"/>
      <c r="O15" s="95" t="s">
        <v>185</v>
      </c>
      <c r="P15" s="29">
        <f>20000000+20000000</f>
        <v>40000000</v>
      </c>
      <c r="Q15" s="28"/>
      <c r="R15" s="28"/>
      <c r="S15" s="101"/>
      <c r="T15" s="28"/>
      <c r="U15" s="143"/>
      <c r="V15" s="29">
        <f>20000000+20000000</f>
        <v>40000000</v>
      </c>
      <c r="W15" s="29"/>
      <c r="X15" s="29"/>
      <c r="Y15" s="38"/>
      <c r="Z15" s="29"/>
      <c r="AA15" s="143"/>
      <c r="AB15" s="153"/>
      <c r="AC15" s="147"/>
      <c r="AD15" s="150"/>
      <c r="AE15" s="135"/>
    </row>
    <row r="16" spans="1:33" ht="85.5" customHeight="1" x14ac:dyDescent="0.2">
      <c r="A16" s="24">
        <v>231</v>
      </c>
      <c r="B16" s="97" t="s">
        <v>19</v>
      </c>
      <c r="C16" s="97" t="s">
        <v>77</v>
      </c>
      <c r="D16" s="41" t="s">
        <v>175</v>
      </c>
      <c r="E16" s="63" t="s">
        <v>184</v>
      </c>
      <c r="F16" s="22" t="s">
        <v>183</v>
      </c>
      <c r="G16" s="91">
        <v>2021680010009</v>
      </c>
      <c r="H16" s="32" t="s">
        <v>182</v>
      </c>
      <c r="I16" s="31" t="s">
        <v>181</v>
      </c>
      <c r="J16" s="93">
        <v>44562</v>
      </c>
      <c r="K16" s="93">
        <v>44926</v>
      </c>
      <c r="L16" s="36">
        <v>1</v>
      </c>
      <c r="M16" s="68">
        <v>1</v>
      </c>
      <c r="N16" s="98">
        <f>IFERROR(IF(M16/L16&gt;100%,100%,M16/L16),"-")</f>
        <v>1</v>
      </c>
      <c r="O16" s="103" t="s">
        <v>180</v>
      </c>
      <c r="P16" s="29">
        <v>460000000</v>
      </c>
      <c r="Q16" s="28"/>
      <c r="R16" s="28"/>
      <c r="S16" s="28"/>
      <c r="T16" s="28"/>
      <c r="U16" s="64">
        <f>SUM(P16:T16)</f>
        <v>460000000</v>
      </c>
      <c r="V16" s="28">
        <f>106735701+293221240+14661062</f>
        <v>414618003</v>
      </c>
      <c r="W16" s="28"/>
      <c r="X16" s="28"/>
      <c r="Y16" s="28"/>
      <c r="Z16" s="28"/>
      <c r="AA16" s="64">
        <f>SUM(V16:Z16)</f>
        <v>414618003</v>
      </c>
      <c r="AB16" s="27">
        <f>IFERROR(AA16/U16,"-")</f>
        <v>0.90134348478260873</v>
      </c>
      <c r="AC16" s="26"/>
      <c r="AD16" s="25" t="s">
        <v>8</v>
      </c>
      <c r="AE16" s="96" t="s">
        <v>249</v>
      </c>
    </row>
    <row r="17" spans="1:33" ht="73.5" customHeight="1" x14ac:dyDescent="0.2">
      <c r="A17" s="24">
        <v>232</v>
      </c>
      <c r="B17" s="97" t="s">
        <v>19</v>
      </c>
      <c r="C17" s="97" t="s">
        <v>77</v>
      </c>
      <c r="D17" s="41" t="s">
        <v>175</v>
      </c>
      <c r="E17" s="63" t="s">
        <v>179</v>
      </c>
      <c r="F17" s="22" t="s">
        <v>178</v>
      </c>
      <c r="G17" s="91">
        <v>2021680010086</v>
      </c>
      <c r="H17" s="54" t="s">
        <v>258</v>
      </c>
      <c r="I17" s="56" t="s">
        <v>91</v>
      </c>
      <c r="J17" s="93">
        <v>44562</v>
      </c>
      <c r="K17" s="93">
        <v>44926</v>
      </c>
      <c r="L17" s="39">
        <v>1</v>
      </c>
      <c r="M17" s="69">
        <v>1</v>
      </c>
      <c r="N17" s="94">
        <f>IFERROR(IF(M17/L17&gt;100%,100%,M17/L17),"-")</f>
        <v>1</v>
      </c>
      <c r="O17" s="99" t="s">
        <v>177</v>
      </c>
      <c r="P17" s="29"/>
      <c r="Q17" s="28"/>
      <c r="R17" s="28"/>
      <c r="S17" s="101"/>
      <c r="T17" s="28">
        <f>1122034723-205694407</f>
        <v>916340316</v>
      </c>
      <c r="U17" s="64">
        <f>SUM(P17:T17)</f>
        <v>916340316</v>
      </c>
      <c r="V17" s="28"/>
      <c r="W17" s="28"/>
      <c r="X17" s="28"/>
      <c r="Y17" s="101"/>
      <c r="Z17" s="28">
        <v>818645746</v>
      </c>
      <c r="AA17" s="64">
        <f>SUM(V17:Z17)</f>
        <v>818645746</v>
      </c>
      <c r="AB17" s="27">
        <f>IFERROR(AA17/U17,"-")</f>
        <v>0.8933861489075855</v>
      </c>
      <c r="AC17" s="26"/>
      <c r="AD17" s="25" t="s">
        <v>8</v>
      </c>
      <c r="AE17" s="96" t="s">
        <v>249</v>
      </c>
    </row>
    <row r="18" spans="1:33" ht="71.25" customHeight="1" x14ac:dyDescent="0.2">
      <c r="A18" s="24">
        <v>233</v>
      </c>
      <c r="B18" s="97" t="s">
        <v>19</v>
      </c>
      <c r="C18" s="97" t="s">
        <v>77</v>
      </c>
      <c r="D18" s="41" t="s">
        <v>175</v>
      </c>
      <c r="E18" s="63" t="s">
        <v>174</v>
      </c>
      <c r="F18" s="22" t="s">
        <v>173</v>
      </c>
      <c r="G18" s="67">
        <v>2021680010160</v>
      </c>
      <c r="H18" s="32" t="s">
        <v>14</v>
      </c>
      <c r="I18" s="32" t="s">
        <v>171</v>
      </c>
      <c r="J18" s="93">
        <v>44562</v>
      </c>
      <c r="K18" s="93">
        <v>44926</v>
      </c>
      <c r="L18" s="155">
        <v>3</v>
      </c>
      <c r="M18" s="167">
        <v>3</v>
      </c>
      <c r="N18" s="156">
        <f>IFERROR(IF(M18/L18&gt;100%,100%,M18/L18),"-")</f>
        <v>1</v>
      </c>
      <c r="O18" s="55" t="s">
        <v>176</v>
      </c>
      <c r="P18" s="29">
        <f>123000000+83610000</f>
        <v>206610000</v>
      </c>
      <c r="Q18" s="28"/>
      <c r="R18" s="28"/>
      <c r="S18" s="101"/>
      <c r="T18" s="28"/>
      <c r="U18" s="142">
        <f>SUM(P18:T19)</f>
        <v>213367348</v>
      </c>
      <c r="V18" s="29">
        <v>206610000</v>
      </c>
      <c r="W18" s="28"/>
      <c r="X18" s="28"/>
      <c r="Y18" s="101"/>
      <c r="Z18" s="28"/>
      <c r="AA18" s="142">
        <f>SUM(V18:Z19)</f>
        <v>206610000</v>
      </c>
      <c r="AB18" s="152">
        <f>IFERROR(AA18/U18,"-")</f>
        <v>0.96832998083661803</v>
      </c>
      <c r="AC18" s="145"/>
      <c r="AD18" s="148" t="s">
        <v>8</v>
      </c>
      <c r="AE18" s="134" t="s">
        <v>249</v>
      </c>
    </row>
    <row r="19" spans="1:33" ht="85.5" customHeight="1" x14ac:dyDescent="0.2">
      <c r="A19" s="24">
        <v>233</v>
      </c>
      <c r="B19" s="97" t="s">
        <v>19</v>
      </c>
      <c r="C19" s="97" t="s">
        <v>77</v>
      </c>
      <c r="D19" s="41" t="s">
        <v>175</v>
      </c>
      <c r="E19" s="63" t="s">
        <v>174</v>
      </c>
      <c r="F19" s="22" t="s">
        <v>173</v>
      </c>
      <c r="G19" s="67">
        <v>2021680010126</v>
      </c>
      <c r="H19" s="54" t="s">
        <v>259</v>
      </c>
      <c r="I19" s="32" t="s">
        <v>13</v>
      </c>
      <c r="J19" s="93">
        <v>44562</v>
      </c>
      <c r="K19" s="93">
        <v>44926</v>
      </c>
      <c r="L19" s="166"/>
      <c r="M19" s="168"/>
      <c r="N19" s="165"/>
      <c r="O19" s="46" t="s">
        <v>172</v>
      </c>
      <c r="P19" s="29"/>
      <c r="Q19" s="28"/>
      <c r="R19" s="28"/>
      <c r="S19" s="101"/>
      <c r="T19" s="29">
        <v>6757348</v>
      </c>
      <c r="U19" s="143"/>
      <c r="V19" s="29"/>
      <c r="W19" s="29"/>
      <c r="X19" s="29"/>
      <c r="Y19" s="38"/>
      <c r="Z19" s="29"/>
      <c r="AA19" s="143"/>
      <c r="AB19" s="153"/>
      <c r="AC19" s="147"/>
      <c r="AD19" s="150"/>
      <c r="AE19" s="135"/>
    </row>
    <row r="20" spans="1:33" ht="71.25" customHeight="1" x14ac:dyDescent="0.2">
      <c r="A20" s="24">
        <v>235</v>
      </c>
      <c r="B20" s="53" t="s">
        <v>19</v>
      </c>
      <c r="C20" s="53" t="s">
        <v>77</v>
      </c>
      <c r="D20" s="53" t="s">
        <v>117</v>
      </c>
      <c r="E20" s="63" t="s">
        <v>135</v>
      </c>
      <c r="F20" s="22" t="s">
        <v>138</v>
      </c>
      <c r="G20" s="67">
        <v>2021680010160</v>
      </c>
      <c r="H20" s="54" t="s">
        <v>14</v>
      </c>
      <c r="I20" s="54" t="s">
        <v>171</v>
      </c>
      <c r="J20" s="93">
        <v>44562</v>
      </c>
      <c r="K20" s="93">
        <v>44926</v>
      </c>
      <c r="L20" s="139">
        <v>1</v>
      </c>
      <c r="M20" s="140">
        <v>1</v>
      </c>
      <c r="N20" s="138">
        <f>IFERROR(IF(M20/L20&gt;100%,100%,M20/L20),"-")</f>
        <v>1</v>
      </c>
      <c r="O20" s="104" t="s">
        <v>170</v>
      </c>
      <c r="P20" s="29">
        <f>107400000+21000000+98906667</f>
        <v>227306667</v>
      </c>
      <c r="Q20" s="28"/>
      <c r="R20" s="28"/>
      <c r="S20" s="101"/>
      <c r="T20" s="28"/>
      <c r="U20" s="141">
        <f>SUM(P20:T35)</f>
        <v>9778727221.1399994</v>
      </c>
      <c r="V20" s="28">
        <v>225803333.32999998</v>
      </c>
      <c r="W20" s="28"/>
      <c r="X20" s="28"/>
      <c r="Y20" s="127"/>
      <c r="Z20" s="28"/>
      <c r="AA20" s="141">
        <f>SUM(V20:Z35)</f>
        <v>8139656994</v>
      </c>
      <c r="AB20" s="157">
        <f>IFERROR(AA20/U20,"-")</f>
        <v>0.83238409354577358</v>
      </c>
      <c r="AC20" s="132"/>
      <c r="AD20" s="133" t="s">
        <v>8</v>
      </c>
      <c r="AE20" s="171" t="s">
        <v>249</v>
      </c>
    </row>
    <row r="21" spans="1:33" ht="71.25" customHeight="1" x14ac:dyDescent="0.2">
      <c r="A21" s="24">
        <v>235</v>
      </c>
      <c r="B21" s="53" t="s">
        <v>19</v>
      </c>
      <c r="C21" s="53" t="s">
        <v>77</v>
      </c>
      <c r="D21" s="53" t="s">
        <v>117</v>
      </c>
      <c r="E21" s="63" t="s">
        <v>135</v>
      </c>
      <c r="F21" s="22" t="s">
        <v>138</v>
      </c>
      <c r="G21" s="91">
        <v>2021680010086</v>
      </c>
      <c r="H21" s="54" t="s">
        <v>258</v>
      </c>
      <c r="I21" s="51" t="s">
        <v>169</v>
      </c>
      <c r="J21" s="93">
        <v>44562</v>
      </c>
      <c r="K21" s="93">
        <v>44926</v>
      </c>
      <c r="L21" s="139"/>
      <c r="M21" s="140"/>
      <c r="N21" s="138"/>
      <c r="O21" s="99" t="s">
        <v>168</v>
      </c>
      <c r="P21" s="29"/>
      <c r="Q21" s="28"/>
      <c r="R21" s="28"/>
      <c r="S21" s="101"/>
      <c r="T21" s="28">
        <v>85046000</v>
      </c>
      <c r="U21" s="141"/>
      <c r="V21" s="28"/>
      <c r="W21" s="28"/>
      <c r="X21" s="28"/>
      <c r="Y21" s="127"/>
      <c r="Z21" s="28">
        <v>68304456.939999655</v>
      </c>
      <c r="AA21" s="141"/>
      <c r="AB21" s="157"/>
      <c r="AC21" s="132"/>
      <c r="AD21" s="133"/>
      <c r="AE21" s="171"/>
    </row>
    <row r="22" spans="1:33" ht="71.25" customHeight="1" x14ac:dyDescent="0.2">
      <c r="A22" s="24">
        <v>235</v>
      </c>
      <c r="B22" s="53" t="s">
        <v>19</v>
      </c>
      <c r="C22" s="53" t="s">
        <v>77</v>
      </c>
      <c r="D22" s="53" t="s">
        <v>117</v>
      </c>
      <c r="E22" s="63" t="s">
        <v>135</v>
      </c>
      <c r="F22" s="22" t="s">
        <v>138</v>
      </c>
      <c r="G22" s="67">
        <v>2022680010112</v>
      </c>
      <c r="H22" s="54" t="s">
        <v>167</v>
      </c>
      <c r="I22" s="51"/>
      <c r="J22" s="93"/>
      <c r="K22" s="93"/>
      <c r="L22" s="139"/>
      <c r="M22" s="140"/>
      <c r="N22" s="138"/>
      <c r="O22" s="99" t="s">
        <v>166</v>
      </c>
      <c r="P22" s="101"/>
      <c r="Q22" s="28"/>
      <c r="R22" s="28"/>
      <c r="S22" s="101"/>
      <c r="T22" s="29">
        <v>101895142</v>
      </c>
      <c r="U22" s="141"/>
      <c r="V22" s="28"/>
      <c r="W22" s="28"/>
      <c r="X22" s="28"/>
      <c r="Y22" s="127"/>
      <c r="Z22" s="28">
        <v>101895142</v>
      </c>
      <c r="AA22" s="141"/>
      <c r="AB22" s="157"/>
      <c r="AC22" s="132"/>
      <c r="AD22" s="133"/>
      <c r="AE22" s="171"/>
    </row>
    <row r="23" spans="1:33" ht="73.5" customHeight="1" x14ac:dyDescent="0.2">
      <c r="A23" s="24">
        <v>235</v>
      </c>
      <c r="B23" s="53" t="s">
        <v>19</v>
      </c>
      <c r="C23" s="53" t="s">
        <v>77</v>
      </c>
      <c r="D23" s="53" t="s">
        <v>117</v>
      </c>
      <c r="E23" s="63" t="s">
        <v>135</v>
      </c>
      <c r="F23" s="22" t="s">
        <v>138</v>
      </c>
      <c r="G23" s="67">
        <v>2020680010136</v>
      </c>
      <c r="H23" s="52" t="s">
        <v>165</v>
      </c>
      <c r="I23" s="51" t="s">
        <v>164</v>
      </c>
      <c r="J23" s="93">
        <v>44562</v>
      </c>
      <c r="K23" s="93">
        <v>44926</v>
      </c>
      <c r="L23" s="139"/>
      <c r="M23" s="140"/>
      <c r="N23" s="138"/>
      <c r="O23" s="99" t="s">
        <v>163</v>
      </c>
      <c r="P23" s="29"/>
      <c r="Q23" s="28"/>
      <c r="R23" s="28"/>
      <c r="S23" s="101"/>
      <c r="T23" s="28">
        <v>274741412</v>
      </c>
      <c r="U23" s="141"/>
      <c r="V23" s="29"/>
      <c r="W23" s="29"/>
      <c r="X23" s="29"/>
      <c r="Y23" s="128"/>
      <c r="Z23" s="29">
        <v>274730289</v>
      </c>
      <c r="AA23" s="141"/>
      <c r="AB23" s="157"/>
      <c r="AC23" s="132"/>
      <c r="AD23" s="133"/>
      <c r="AE23" s="171"/>
    </row>
    <row r="24" spans="1:33" ht="99.75" customHeight="1" x14ac:dyDescent="0.2">
      <c r="A24" s="24">
        <v>235</v>
      </c>
      <c r="B24" s="53" t="s">
        <v>19</v>
      </c>
      <c r="C24" s="53" t="s">
        <v>77</v>
      </c>
      <c r="D24" s="53" t="s">
        <v>117</v>
      </c>
      <c r="E24" s="63" t="s">
        <v>135</v>
      </c>
      <c r="F24" s="22" t="s">
        <v>138</v>
      </c>
      <c r="G24" s="91">
        <v>2021680010086</v>
      </c>
      <c r="H24" s="54" t="s">
        <v>258</v>
      </c>
      <c r="I24" s="51" t="s">
        <v>162</v>
      </c>
      <c r="J24" s="93">
        <v>44562</v>
      </c>
      <c r="K24" s="93">
        <v>44926</v>
      </c>
      <c r="L24" s="139"/>
      <c r="M24" s="140"/>
      <c r="N24" s="138"/>
      <c r="O24" s="99" t="s">
        <v>261</v>
      </c>
      <c r="P24" s="29">
        <f>76000000+44000000</f>
        <v>120000000</v>
      </c>
      <c r="Q24" s="28"/>
      <c r="R24" s="28"/>
      <c r="S24" s="101"/>
      <c r="T24" s="28">
        <f>50000000+107833858</f>
        <v>157833858</v>
      </c>
      <c r="U24" s="141"/>
      <c r="V24" s="29"/>
      <c r="W24" s="29"/>
      <c r="X24" s="29"/>
      <c r="Y24" s="128"/>
      <c r="Z24" s="29">
        <v>292698407</v>
      </c>
      <c r="AA24" s="141"/>
      <c r="AB24" s="157"/>
      <c r="AC24" s="132"/>
      <c r="AD24" s="133"/>
      <c r="AE24" s="171"/>
    </row>
    <row r="25" spans="1:33" ht="45" x14ac:dyDescent="0.2">
      <c r="A25" s="24">
        <v>235</v>
      </c>
      <c r="B25" s="53" t="s">
        <v>19</v>
      </c>
      <c r="C25" s="53" t="s">
        <v>77</v>
      </c>
      <c r="D25" s="53" t="s">
        <v>117</v>
      </c>
      <c r="E25" s="63" t="s">
        <v>135</v>
      </c>
      <c r="F25" s="22" t="s">
        <v>138</v>
      </c>
      <c r="G25" s="67">
        <v>2021680010163</v>
      </c>
      <c r="H25" s="54" t="s">
        <v>253</v>
      </c>
      <c r="I25" s="51" t="s">
        <v>161</v>
      </c>
      <c r="J25" s="93">
        <v>44562</v>
      </c>
      <c r="K25" s="93">
        <v>44926</v>
      </c>
      <c r="L25" s="139"/>
      <c r="M25" s="140"/>
      <c r="N25" s="138"/>
      <c r="O25" s="99" t="s">
        <v>160</v>
      </c>
      <c r="P25" s="29">
        <f>18273527</f>
        <v>18273527</v>
      </c>
      <c r="Q25" s="28"/>
      <c r="R25" s="28"/>
      <c r="S25" s="101"/>
      <c r="T25" s="28">
        <v>7986197</v>
      </c>
      <c r="U25" s="141"/>
      <c r="V25" s="29">
        <f>18273527-9</f>
        <v>18273518</v>
      </c>
      <c r="W25" s="29"/>
      <c r="X25" s="29"/>
      <c r="Y25" s="128"/>
      <c r="Z25" s="29">
        <v>7986197</v>
      </c>
      <c r="AA25" s="141"/>
      <c r="AB25" s="157"/>
      <c r="AC25" s="132"/>
      <c r="AD25" s="133"/>
      <c r="AE25" s="171"/>
    </row>
    <row r="26" spans="1:33" ht="99" customHeight="1" x14ac:dyDescent="0.2">
      <c r="A26" s="24">
        <v>235</v>
      </c>
      <c r="B26" s="53" t="s">
        <v>19</v>
      </c>
      <c r="C26" s="53" t="s">
        <v>77</v>
      </c>
      <c r="D26" s="53" t="s">
        <v>117</v>
      </c>
      <c r="E26" s="63" t="s">
        <v>135</v>
      </c>
      <c r="F26" s="22" t="s">
        <v>138</v>
      </c>
      <c r="G26" s="67">
        <v>2021680010155</v>
      </c>
      <c r="H26" s="54" t="s">
        <v>159</v>
      </c>
      <c r="I26" s="51" t="s">
        <v>13</v>
      </c>
      <c r="J26" s="93">
        <v>44562</v>
      </c>
      <c r="K26" s="93">
        <v>44926</v>
      </c>
      <c r="L26" s="139"/>
      <c r="M26" s="140"/>
      <c r="N26" s="138"/>
      <c r="O26" s="46" t="s">
        <v>158</v>
      </c>
      <c r="P26" s="29">
        <f>210024786</f>
        <v>210024786</v>
      </c>
      <c r="Q26" s="28"/>
      <c r="R26" s="28"/>
      <c r="S26" s="101"/>
      <c r="T26" s="28">
        <f>539406991</f>
        <v>539406991</v>
      </c>
      <c r="U26" s="141"/>
      <c r="V26" s="29">
        <v>186879504.44999999</v>
      </c>
      <c r="W26" s="29"/>
      <c r="X26" s="29"/>
      <c r="Y26" s="128"/>
      <c r="Z26" s="29">
        <f>140905007.6+301000000</f>
        <v>441905007.60000002</v>
      </c>
      <c r="AA26" s="141"/>
      <c r="AB26" s="157"/>
      <c r="AC26" s="132"/>
      <c r="AD26" s="133"/>
      <c r="AE26" s="171"/>
    </row>
    <row r="27" spans="1:33" ht="72.75" customHeight="1" x14ac:dyDescent="0.2">
      <c r="A27" s="24">
        <v>235</v>
      </c>
      <c r="B27" s="53" t="s">
        <v>19</v>
      </c>
      <c r="C27" s="53" t="s">
        <v>77</v>
      </c>
      <c r="D27" s="53" t="s">
        <v>117</v>
      </c>
      <c r="E27" s="63" t="s">
        <v>135</v>
      </c>
      <c r="F27" s="22" t="s">
        <v>138</v>
      </c>
      <c r="G27" s="67">
        <v>2021680010179</v>
      </c>
      <c r="H27" s="54" t="s">
        <v>157</v>
      </c>
      <c r="I27" s="51"/>
      <c r="J27" s="93"/>
      <c r="K27" s="93"/>
      <c r="L27" s="139"/>
      <c r="M27" s="140"/>
      <c r="N27" s="138"/>
      <c r="O27" s="46" t="s">
        <v>156</v>
      </c>
      <c r="P27" s="29"/>
      <c r="Q27" s="28"/>
      <c r="R27" s="28"/>
      <c r="S27" s="101"/>
      <c r="T27" s="28">
        <v>196811537.13999999</v>
      </c>
      <c r="U27" s="141"/>
      <c r="V27" s="29"/>
      <c r="W27" s="29"/>
      <c r="X27" s="29"/>
      <c r="Y27" s="128"/>
      <c r="Z27" s="29">
        <v>196811537.16</v>
      </c>
      <c r="AA27" s="141"/>
      <c r="AB27" s="157"/>
      <c r="AC27" s="132"/>
      <c r="AD27" s="133"/>
      <c r="AE27" s="171"/>
      <c r="AG27" s="77"/>
    </row>
    <row r="28" spans="1:33" ht="63" customHeight="1" x14ac:dyDescent="0.2">
      <c r="A28" s="24">
        <v>235</v>
      </c>
      <c r="B28" s="53" t="s">
        <v>19</v>
      </c>
      <c r="C28" s="53" t="s">
        <v>77</v>
      </c>
      <c r="D28" s="53" t="s">
        <v>117</v>
      </c>
      <c r="E28" s="63" t="s">
        <v>135</v>
      </c>
      <c r="F28" s="22" t="s">
        <v>138</v>
      </c>
      <c r="G28" s="67">
        <v>2021680010095</v>
      </c>
      <c r="H28" s="54" t="s">
        <v>155</v>
      </c>
      <c r="I28" s="51"/>
      <c r="J28" s="93"/>
      <c r="K28" s="93"/>
      <c r="L28" s="139"/>
      <c r="M28" s="140"/>
      <c r="N28" s="138"/>
      <c r="O28" s="46" t="s">
        <v>154</v>
      </c>
      <c r="P28" s="29"/>
      <c r="Q28" s="28"/>
      <c r="R28" s="28"/>
      <c r="S28" s="101"/>
      <c r="T28" s="28">
        <v>163509428</v>
      </c>
      <c r="U28" s="141"/>
      <c r="V28" s="29"/>
      <c r="W28" s="29"/>
      <c r="X28" s="29"/>
      <c r="Y28" s="128"/>
      <c r="Z28" s="29">
        <v>163509427</v>
      </c>
      <c r="AA28" s="141"/>
      <c r="AB28" s="157"/>
      <c r="AC28" s="132"/>
      <c r="AD28" s="133"/>
      <c r="AE28" s="171"/>
      <c r="AG28" s="105"/>
    </row>
    <row r="29" spans="1:33" ht="50.25" customHeight="1" x14ac:dyDescent="0.2">
      <c r="A29" s="24">
        <v>235</v>
      </c>
      <c r="B29" s="53" t="s">
        <v>19</v>
      </c>
      <c r="C29" s="53" t="s">
        <v>77</v>
      </c>
      <c r="D29" s="53" t="s">
        <v>117</v>
      </c>
      <c r="E29" s="63" t="s">
        <v>135</v>
      </c>
      <c r="F29" s="22" t="s">
        <v>138</v>
      </c>
      <c r="G29" s="67">
        <v>2021680010172</v>
      </c>
      <c r="H29" s="52" t="s">
        <v>153</v>
      </c>
      <c r="I29" s="51" t="s">
        <v>152</v>
      </c>
      <c r="J29" s="93">
        <v>44562</v>
      </c>
      <c r="K29" s="93">
        <v>44926</v>
      </c>
      <c r="L29" s="139"/>
      <c r="M29" s="140"/>
      <c r="N29" s="138"/>
      <c r="O29" s="99" t="s">
        <v>151</v>
      </c>
      <c r="P29" s="29">
        <v>148000000</v>
      </c>
      <c r="Q29" s="28"/>
      <c r="R29" s="28"/>
      <c r="S29" s="101"/>
      <c r="T29" s="28">
        <v>267119538</v>
      </c>
      <c r="U29" s="141"/>
      <c r="V29" s="28">
        <v>129616666.68000001</v>
      </c>
      <c r="W29" s="28"/>
      <c r="X29" s="28"/>
      <c r="Y29" s="127"/>
      <c r="Z29" s="28">
        <v>218430400</v>
      </c>
      <c r="AA29" s="141"/>
      <c r="AB29" s="157"/>
      <c r="AC29" s="132"/>
      <c r="AD29" s="133"/>
      <c r="AE29" s="171"/>
    </row>
    <row r="30" spans="1:33" ht="57" customHeight="1" x14ac:dyDescent="0.2">
      <c r="A30" s="24">
        <v>235</v>
      </c>
      <c r="B30" s="53" t="s">
        <v>19</v>
      </c>
      <c r="C30" s="53" t="s">
        <v>77</v>
      </c>
      <c r="D30" s="53" t="s">
        <v>117</v>
      </c>
      <c r="E30" s="63" t="s">
        <v>135</v>
      </c>
      <c r="F30" s="22" t="s">
        <v>138</v>
      </c>
      <c r="G30" s="67">
        <v>2021680010170</v>
      </c>
      <c r="H30" s="54" t="s">
        <v>150</v>
      </c>
      <c r="I30" s="51" t="s">
        <v>149</v>
      </c>
      <c r="J30" s="93">
        <v>44562</v>
      </c>
      <c r="K30" s="93">
        <v>44926</v>
      </c>
      <c r="L30" s="139"/>
      <c r="M30" s="140"/>
      <c r="N30" s="138"/>
      <c r="O30" s="99" t="s">
        <v>148</v>
      </c>
      <c r="P30" s="29">
        <v>191572105</v>
      </c>
      <c r="Q30" s="28"/>
      <c r="R30" s="28"/>
      <c r="S30" s="101"/>
      <c r="T30" s="28">
        <v>384470140</v>
      </c>
      <c r="U30" s="141"/>
      <c r="V30" s="29">
        <f>90591760</f>
        <v>90591760</v>
      </c>
      <c r="W30" s="29"/>
      <c r="X30" s="29"/>
      <c r="Y30" s="128"/>
      <c r="Z30" s="29">
        <f>22255000+244864535.2+116660073</f>
        <v>383779608.19999999</v>
      </c>
      <c r="AA30" s="141"/>
      <c r="AB30" s="157"/>
      <c r="AC30" s="132"/>
      <c r="AD30" s="133"/>
      <c r="AE30" s="171"/>
    </row>
    <row r="31" spans="1:33" ht="45" customHeight="1" x14ac:dyDescent="0.2">
      <c r="A31" s="24">
        <v>235</v>
      </c>
      <c r="B31" s="53" t="s">
        <v>19</v>
      </c>
      <c r="C31" s="53" t="s">
        <v>77</v>
      </c>
      <c r="D31" s="53" t="s">
        <v>117</v>
      </c>
      <c r="E31" s="63" t="s">
        <v>135</v>
      </c>
      <c r="F31" s="22" t="s">
        <v>138</v>
      </c>
      <c r="G31" s="67">
        <v>2021680010169</v>
      </c>
      <c r="H31" s="54" t="s">
        <v>147</v>
      </c>
      <c r="I31" s="51"/>
      <c r="J31" s="93">
        <v>44562</v>
      </c>
      <c r="K31" s="93">
        <v>44926</v>
      </c>
      <c r="L31" s="139"/>
      <c r="M31" s="140"/>
      <c r="N31" s="138"/>
      <c r="O31" s="99" t="s">
        <v>146</v>
      </c>
      <c r="P31" s="29"/>
      <c r="Q31" s="28"/>
      <c r="R31" s="28"/>
      <c r="S31" s="101"/>
      <c r="T31" s="28">
        <v>267119537</v>
      </c>
      <c r="U31" s="141"/>
      <c r="V31" s="29"/>
      <c r="W31" s="29"/>
      <c r="X31" s="29"/>
      <c r="Y31" s="128"/>
      <c r="Z31" s="28"/>
      <c r="AA31" s="141"/>
      <c r="AB31" s="157"/>
      <c r="AC31" s="132"/>
      <c r="AD31" s="133"/>
      <c r="AE31" s="171"/>
    </row>
    <row r="32" spans="1:33" ht="66" customHeight="1" x14ac:dyDescent="0.2">
      <c r="A32" s="24">
        <v>235</v>
      </c>
      <c r="B32" s="53" t="s">
        <v>19</v>
      </c>
      <c r="C32" s="53" t="s">
        <v>77</v>
      </c>
      <c r="D32" s="53" t="s">
        <v>117</v>
      </c>
      <c r="E32" s="63" t="s">
        <v>135</v>
      </c>
      <c r="F32" s="22" t="s">
        <v>138</v>
      </c>
      <c r="G32" s="67">
        <v>2022680010094</v>
      </c>
      <c r="H32" s="54" t="s">
        <v>145</v>
      </c>
      <c r="I32" s="51"/>
      <c r="J32" s="93"/>
      <c r="K32" s="93"/>
      <c r="L32" s="139"/>
      <c r="M32" s="140"/>
      <c r="N32" s="138"/>
      <c r="O32" s="99" t="s">
        <v>144</v>
      </c>
      <c r="P32" s="28">
        <f>62639111+9558813+85000000+85000000</f>
        <v>242197924</v>
      </c>
      <c r="Q32" s="28"/>
      <c r="R32" s="28"/>
      <c r="S32" s="101"/>
      <c r="T32" s="101"/>
      <c r="U32" s="141"/>
      <c r="V32" s="29">
        <v>242155093</v>
      </c>
      <c r="W32" s="29"/>
      <c r="X32" s="29"/>
      <c r="Y32" s="128"/>
      <c r="Z32" s="29"/>
      <c r="AA32" s="141"/>
      <c r="AB32" s="157"/>
      <c r="AC32" s="132"/>
      <c r="AD32" s="133"/>
      <c r="AE32" s="171"/>
    </row>
    <row r="33" spans="1:31" ht="96" customHeight="1" x14ac:dyDescent="0.2">
      <c r="A33" s="24">
        <v>235</v>
      </c>
      <c r="B33" s="53" t="s">
        <v>19</v>
      </c>
      <c r="C33" s="53" t="s">
        <v>77</v>
      </c>
      <c r="D33" s="53" t="s">
        <v>117</v>
      </c>
      <c r="E33" s="63" t="s">
        <v>135</v>
      </c>
      <c r="F33" s="22" t="s">
        <v>138</v>
      </c>
      <c r="G33" s="67">
        <v>2021680010167</v>
      </c>
      <c r="H33" s="52" t="s">
        <v>143</v>
      </c>
      <c r="I33" s="51"/>
      <c r="J33" s="93"/>
      <c r="K33" s="93"/>
      <c r="L33" s="139"/>
      <c r="M33" s="140"/>
      <c r="N33" s="138"/>
      <c r="O33" s="46" t="s">
        <v>142</v>
      </c>
      <c r="P33" s="29">
        <v>1587907362</v>
      </c>
      <c r="Q33" s="28"/>
      <c r="R33" s="28"/>
      <c r="S33" s="101"/>
      <c r="T33" s="28"/>
      <c r="U33" s="141"/>
      <c r="V33" s="29">
        <f>296395848+496051514+431640000+215820000+147937104-22788-11123</f>
        <v>1587810555</v>
      </c>
      <c r="W33" s="29"/>
      <c r="X33" s="29"/>
      <c r="Y33" s="128"/>
      <c r="Z33" s="29"/>
      <c r="AA33" s="141"/>
      <c r="AB33" s="157"/>
      <c r="AC33" s="132"/>
      <c r="AD33" s="133"/>
      <c r="AE33" s="171"/>
    </row>
    <row r="34" spans="1:31" ht="52.15" customHeight="1" x14ac:dyDescent="0.2">
      <c r="A34" s="24">
        <v>235</v>
      </c>
      <c r="B34" s="53" t="s">
        <v>19</v>
      </c>
      <c r="C34" s="53" t="s">
        <v>77</v>
      </c>
      <c r="D34" s="53" t="s">
        <v>117</v>
      </c>
      <c r="E34" s="63" t="s">
        <v>135</v>
      </c>
      <c r="F34" s="22" t="s">
        <v>138</v>
      </c>
      <c r="G34" s="67">
        <v>2022680010020</v>
      </c>
      <c r="H34" s="52" t="s">
        <v>141</v>
      </c>
      <c r="I34" s="51" t="s">
        <v>140</v>
      </c>
      <c r="J34" s="93"/>
      <c r="K34" s="93"/>
      <c r="L34" s="139"/>
      <c r="M34" s="140"/>
      <c r="N34" s="138"/>
      <c r="O34" s="99" t="s">
        <v>139</v>
      </c>
      <c r="P34" s="29">
        <v>1233050296</v>
      </c>
      <c r="Q34" s="28"/>
      <c r="R34" s="28"/>
      <c r="S34" s="101"/>
      <c r="T34" s="28">
        <v>576266680</v>
      </c>
      <c r="U34" s="141"/>
      <c r="V34" s="29">
        <f>1193583656-1786.36</f>
        <v>1193581869.6400001</v>
      </c>
      <c r="W34" s="29"/>
      <c r="X34" s="29"/>
      <c r="Y34" s="128"/>
      <c r="Z34" s="29"/>
      <c r="AA34" s="141"/>
      <c r="AB34" s="157"/>
      <c r="AC34" s="132"/>
      <c r="AD34" s="133"/>
      <c r="AE34" s="171"/>
    </row>
    <row r="35" spans="1:31" ht="71.25" customHeight="1" x14ac:dyDescent="0.2">
      <c r="A35" s="24">
        <v>235</v>
      </c>
      <c r="B35" s="53" t="s">
        <v>19</v>
      </c>
      <c r="C35" s="53" t="s">
        <v>77</v>
      </c>
      <c r="D35" s="53" t="s">
        <v>117</v>
      </c>
      <c r="E35" s="63" t="s">
        <v>135</v>
      </c>
      <c r="F35" s="22" t="s">
        <v>138</v>
      </c>
      <c r="G35" s="67">
        <v>2022680010117</v>
      </c>
      <c r="H35" s="52" t="s">
        <v>134</v>
      </c>
      <c r="I35" s="51"/>
      <c r="J35" s="93"/>
      <c r="K35" s="93"/>
      <c r="L35" s="139"/>
      <c r="M35" s="140"/>
      <c r="N35" s="138"/>
      <c r="O35" s="99" t="s">
        <v>133</v>
      </c>
      <c r="P35" s="28"/>
      <c r="Q35" s="28"/>
      <c r="R35" s="28"/>
      <c r="S35" s="101"/>
      <c r="T35" s="28">
        <v>2778188094</v>
      </c>
      <c r="U35" s="141"/>
      <c r="V35" s="29"/>
      <c r="W35" s="29"/>
      <c r="X35" s="29"/>
      <c r="Y35" s="128"/>
      <c r="Z35" s="29">
        <f>2314894222</f>
        <v>2314894222</v>
      </c>
      <c r="AA35" s="141"/>
      <c r="AB35" s="157"/>
      <c r="AC35" s="132"/>
      <c r="AD35" s="133"/>
      <c r="AE35" s="171"/>
    </row>
    <row r="36" spans="1:31" ht="71.25" x14ac:dyDescent="0.2">
      <c r="A36" s="24">
        <v>236</v>
      </c>
      <c r="B36" s="97" t="s">
        <v>19</v>
      </c>
      <c r="C36" s="97" t="s">
        <v>77</v>
      </c>
      <c r="D36" s="41" t="s">
        <v>117</v>
      </c>
      <c r="E36" s="63" t="s">
        <v>127</v>
      </c>
      <c r="F36" s="22" t="s">
        <v>126</v>
      </c>
      <c r="G36" s="67">
        <v>2022680010120</v>
      </c>
      <c r="H36" s="52" t="s">
        <v>137</v>
      </c>
      <c r="I36" s="51"/>
      <c r="J36" s="93"/>
      <c r="K36" s="93"/>
      <c r="L36" s="136">
        <v>1</v>
      </c>
      <c r="M36" s="137">
        <v>1</v>
      </c>
      <c r="N36" s="138">
        <f>IFERROR(IF(M36/L36&gt;100%,100%,M36/L36),"-")</f>
        <v>1</v>
      </c>
      <c r="O36" s="99" t="s">
        <v>136</v>
      </c>
      <c r="P36" s="28">
        <v>99401075</v>
      </c>
      <c r="Q36" s="28"/>
      <c r="R36" s="28"/>
      <c r="S36" s="101"/>
      <c r="T36" s="28">
        <v>2100598925</v>
      </c>
      <c r="U36" s="142">
        <f>SUM(P36:T39)</f>
        <v>5095779706</v>
      </c>
      <c r="V36" s="29">
        <f>99401075</f>
        <v>99401075</v>
      </c>
      <c r="W36" s="29"/>
      <c r="X36" s="29"/>
      <c r="Y36" s="38"/>
      <c r="Z36" s="29">
        <f>534315498+54376119+721139835.5+790759472</f>
        <v>2100590924.5</v>
      </c>
      <c r="AA36" s="142">
        <f>SUM(V36:Z39)</f>
        <v>5001004103.5</v>
      </c>
      <c r="AB36" s="157">
        <f>IFERROR(AA36/U36,"-")</f>
        <v>0.98140115782705306</v>
      </c>
      <c r="AC36" s="132"/>
      <c r="AD36" s="133" t="s">
        <v>8</v>
      </c>
      <c r="AE36" s="171" t="s">
        <v>249</v>
      </c>
    </row>
    <row r="37" spans="1:31" ht="85.5" x14ac:dyDescent="0.2">
      <c r="A37" s="24">
        <v>236</v>
      </c>
      <c r="B37" s="97" t="s">
        <v>19</v>
      </c>
      <c r="C37" s="97" t="s">
        <v>77</v>
      </c>
      <c r="D37" s="41" t="s">
        <v>117</v>
      </c>
      <c r="E37" s="63" t="s">
        <v>127</v>
      </c>
      <c r="F37" s="22" t="s">
        <v>126</v>
      </c>
      <c r="G37" s="67">
        <v>2022680010062</v>
      </c>
      <c r="H37" s="52" t="s">
        <v>132</v>
      </c>
      <c r="I37" s="51"/>
      <c r="J37" s="93"/>
      <c r="K37" s="93"/>
      <c r="L37" s="136"/>
      <c r="M37" s="137"/>
      <c r="N37" s="138"/>
      <c r="O37" s="99" t="s">
        <v>131</v>
      </c>
      <c r="P37" s="29"/>
      <c r="Q37" s="28"/>
      <c r="R37" s="28"/>
      <c r="S37" s="101"/>
      <c r="T37" s="28">
        <f>400000000-38647396</f>
        <v>361352604</v>
      </c>
      <c r="U37" s="143"/>
      <c r="V37" s="29"/>
      <c r="W37" s="29"/>
      <c r="X37" s="29"/>
      <c r="Y37" s="38"/>
      <c r="Z37" s="29">
        <v>361352604</v>
      </c>
      <c r="AA37" s="143"/>
      <c r="AB37" s="157"/>
      <c r="AC37" s="132"/>
      <c r="AD37" s="133"/>
      <c r="AE37" s="171"/>
    </row>
    <row r="38" spans="1:31" ht="108.6" customHeight="1" x14ac:dyDescent="0.2">
      <c r="A38" s="24">
        <v>236</v>
      </c>
      <c r="B38" s="97" t="s">
        <v>19</v>
      </c>
      <c r="C38" s="97" t="s">
        <v>77</v>
      </c>
      <c r="D38" s="41" t="s">
        <v>117</v>
      </c>
      <c r="E38" s="63" t="s">
        <v>127</v>
      </c>
      <c r="F38" s="22" t="s">
        <v>126</v>
      </c>
      <c r="G38" s="67">
        <v>2022680010032</v>
      </c>
      <c r="H38" s="32" t="s">
        <v>130</v>
      </c>
      <c r="I38" s="31" t="s">
        <v>129</v>
      </c>
      <c r="J38" s="93">
        <v>44774</v>
      </c>
      <c r="K38" s="93">
        <v>45016</v>
      </c>
      <c r="L38" s="136"/>
      <c r="M38" s="137"/>
      <c r="N38" s="138"/>
      <c r="O38" s="99" t="s">
        <v>128</v>
      </c>
      <c r="P38" s="48">
        <f>269427102+2000000000</f>
        <v>2269427102</v>
      </c>
      <c r="Q38" s="28"/>
      <c r="R38" s="28"/>
      <c r="S38" s="101"/>
      <c r="T38" s="28"/>
      <c r="U38" s="143"/>
      <c r="V38" s="29">
        <f>311487000+1863404000</f>
        <v>2174891000</v>
      </c>
      <c r="W38" s="29"/>
      <c r="X38" s="29"/>
      <c r="Y38" s="38"/>
      <c r="Z38" s="29"/>
      <c r="AA38" s="143"/>
      <c r="AB38" s="157"/>
      <c r="AC38" s="132"/>
      <c r="AD38" s="133"/>
      <c r="AE38" s="171"/>
    </row>
    <row r="39" spans="1:31" ht="108.6" customHeight="1" x14ac:dyDescent="0.2">
      <c r="A39" s="24">
        <v>236</v>
      </c>
      <c r="B39" s="97" t="s">
        <v>19</v>
      </c>
      <c r="C39" s="97" t="s">
        <v>77</v>
      </c>
      <c r="D39" s="41" t="s">
        <v>117</v>
      </c>
      <c r="E39" s="63" t="s">
        <v>127</v>
      </c>
      <c r="F39" s="22" t="s">
        <v>126</v>
      </c>
      <c r="G39" s="67">
        <v>2021680010085</v>
      </c>
      <c r="H39" s="50" t="s">
        <v>125</v>
      </c>
      <c r="I39" s="31" t="s">
        <v>124</v>
      </c>
      <c r="J39" s="93"/>
      <c r="K39" s="93"/>
      <c r="L39" s="136"/>
      <c r="M39" s="137"/>
      <c r="N39" s="138"/>
      <c r="O39" s="99" t="s">
        <v>123</v>
      </c>
      <c r="P39" s="48">
        <v>265000000</v>
      </c>
      <c r="Q39" s="28"/>
      <c r="R39" s="28"/>
      <c r="S39" s="101"/>
      <c r="T39" s="28"/>
      <c r="U39" s="144"/>
      <c r="V39" s="106">
        <v>264768500</v>
      </c>
      <c r="W39" s="29"/>
      <c r="X39" s="29"/>
      <c r="Y39" s="38"/>
      <c r="Z39" s="29"/>
      <c r="AA39" s="144"/>
      <c r="AB39" s="157"/>
      <c r="AC39" s="132"/>
      <c r="AD39" s="133"/>
      <c r="AE39" s="171"/>
    </row>
    <row r="40" spans="1:31" ht="42.75" customHeight="1" x14ac:dyDescent="0.2">
      <c r="A40" s="24">
        <v>237</v>
      </c>
      <c r="B40" s="90" t="s">
        <v>19</v>
      </c>
      <c r="C40" s="90" t="s">
        <v>77</v>
      </c>
      <c r="D40" s="90" t="s">
        <v>117</v>
      </c>
      <c r="E40" s="63" t="s">
        <v>122</v>
      </c>
      <c r="F40" s="22" t="s">
        <v>121</v>
      </c>
      <c r="G40" s="67">
        <v>2020680010176</v>
      </c>
      <c r="H40" s="32" t="s">
        <v>120</v>
      </c>
      <c r="I40" s="31" t="s">
        <v>119</v>
      </c>
      <c r="J40" s="93">
        <v>44562</v>
      </c>
      <c r="K40" s="93">
        <v>44926</v>
      </c>
      <c r="L40" s="39">
        <v>1</v>
      </c>
      <c r="M40" s="69">
        <v>1</v>
      </c>
      <c r="N40" s="94">
        <f>IFERROR(IF(M40/L40&gt;100%,100%,M40/L40),"-")</f>
        <v>1</v>
      </c>
      <c r="O40" s="95" t="s">
        <v>118</v>
      </c>
      <c r="P40" s="29">
        <v>200000000</v>
      </c>
      <c r="Q40" s="28"/>
      <c r="R40" s="28"/>
      <c r="S40" s="101"/>
      <c r="T40" s="28">
        <v>400000000</v>
      </c>
      <c r="U40" s="64">
        <f>SUM(P40:T40)</f>
        <v>600000000</v>
      </c>
      <c r="V40" s="29">
        <v>200000000</v>
      </c>
      <c r="W40" s="29"/>
      <c r="X40" s="29"/>
      <c r="Y40" s="38"/>
      <c r="Z40" s="29">
        <v>400000000</v>
      </c>
      <c r="AA40" s="64">
        <f>SUM(V40:Z40)</f>
        <v>600000000</v>
      </c>
      <c r="AB40" s="27">
        <f>IFERROR(AA40/U40,"-")</f>
        <v>1</v>
      </c>
      <c r="AC40" s="34"/>
      <c r="AD40" s="33" t="s">
        <v>8</v>
      </c>
      <c r="AE40" s="96" t="s">
        <v>249</v>
      </c>
    </row>
    <row r="41" spans="1:31" ht="81" customHeight="1" x14ac:dyDescent="0.2">
      <c r="A41" s="24">
        <v>238</v>
      </c>
      <c r="B41" s="90" t="s">
        <v>19</v>
      </c>
      <c r="C41" s="90" t="s">
        <v>77</v>
      </c>
      <c r="D41" s="23" t="s">
        <v>117</v>
      </c>
      <c r="E41" s="63" t="s">
        <v>116</v>
      </c>
      <c r="F41" s="22" t="s">
        <v>115</v>
      </c>
      <c r="G41" s="67">
        <v>2021680010160</v>
      </c>
      <c r="H41" s="32" t="s">
        <v>14</v>
      </c>
      <c r="I41" s="31"/>
      <c r="J41" s="93">
        <v>44562</v>
      </c>
      <c r="K41" s="93">
        <v>44926</v>
      </c>
      <c r="L41" s="65">
        <v>1</v>
      </c>
      <c r="M41" s="71">
        <v>0.5</v>
      </c>
      <c r="N41" s="94">
        <f>IFERROR(IF(M41/L41&gt;100%,100%,M41/L41),"-")</f>
        <v>0.5</v>
      </c>
      <c r="O41" s="95" t="s">
        <v>114</v>
      </c>
      <c r="P41" s="29">
        <f>21000000+15750000</f>
        <v>36750000</v>
      </c>
      <c r="Q41" s="28"/>
      <c r="R41" s="28"/>
      <c r="S41" s="101"/>
      <c r="T41" s="28"/>
      <c r="U41" s="35">
        <f>SUM(P41:T41)</f>
        <v>36750000</v>
      </c>
      <c r="V41" s="28">
        <f>21000000+15516666.67</f>
        <v>36516666.670000002</v>
      </c>
      <c r="W41" s="28"/>
      <c r="X41" s="28"/>
      <c r="Y41" s="101"/>
      <c r="Z41" s="28"/>
      <c r="AA41" s="35">
        <f>SUM(V41:Z41)</f>
        <v>36516666.670000002</v>
      </c>
      <c r="AB41" s="37">
        <f>IFERROR(AA41/U41,"-")</f>
        <v>0.99365079374149667</v>
      </c>
      <c r="AC41" s="26"/>
      <c r="AD41" s="33" t="s">
        <v>8</v>
      </c>
      <c r="AE41" s="96" t="s">
        <v>249</v>
      </c>
    </row>
    <row r="42" spans="1:31" ht="62.45" customHeight="1" x14ac:dyDescent="0.2">
      <c r="A42" s="24">
        <v>239</v>
      </c>
      <c r="B42" s="97" t="s">
        <v>19</v>
      </c>
      <c r="C42" s="97" t="s">
        <v>77</v>
      </c>
      <c r="D42" s="97" t="s">
        <v>89</v>
      </c>
      <c r="E42" s="63" t="s">
        <v>88</v>
      </c>
      <c r="F42" s="22" t="s">
        <v>87</v>
      </c>
      <c r="G42" s="67">
        <v>2021680010153</v>
      </c>
      <c r="H42" s="32" t="s">
        <v>2</v>
      </c>
      <c r="I42" s="31" t="s">
        <v>91</v>
      </c>
      <c r="J42" s="93">
        <v>44562</v>
      </c>
      <c r="K42" s="93">
        <v>44926</v>
      </c>
      <c r="L42" s="139">
        <v>1</v>
      </c>
      <c r="M42" s="140">
        <v>1</v>
      </c>
      <c r="N42" s="138">
        <f>IFERROR(IF(M42/L42&gt;100%,100%,M42/L42),"-")</f>
        <v>1</v>
      </c>
      <c r="O42" s="95" t="s">
        <v>90</v>
      </c>
      <c r="P42" s="29">
        <v>25000000</v>
      </c>
      <c r="Q42" s="28"/>
      <c r="R42" s="28"/>
      <c r="S42" s="101"/>
      <c r="T42" s="28"/>
      <c r="U42" s="142">
        <f>SUM(P42:T43)</f>
        <v>636691907</v>
      </c>
      <c r="V42" s="29">
        <f>25000000</f>
        <v>25000000</v>
      </c>
      <c r="W42" s="29"/>
      <c r="X42" s="29"/>
      <c r="Y42" s="38"/>
      <c r="Z42" s="29"/>
      <c r="AA42" s="142">
        <f>SUM(V42:Z43)</f>
        <v>358175364.68000001</v>
      </c>
      <c r="AB42" s="152">
        <f>IFERROR(AA42/U42,"-")</f>
        <v>0.56255680454251478</v>
      </c>
      <c r="AC42" s="145"/>
      <c r="AD42" s="148" t="s">
        <v>8</v>
      </c>
      <c r="AE42" s="134" t="s">
        <v>249</v>
      </c>
    </row>
    <row r="43" spans="1:31" ht="60" customHeight="1" x14ac:dyDescent="0.2">
      <c r="A43" s="24">
        <v>239</v>
      </c>
      <c r="B43" s="97" t="s">
        <v>19</v>
      </c>
      <c r="C43" s="97" t="s">
        <v>77</v>
      </c>
      <c r="D43" s="97" t="s">
        <v>89</v>
      </c>
      <c r="E43" s="63" t="s">
        <v>88</v>
      </c>
      <c r="F43" s="22" t="s">
        <v>87</v>
      </c>
      <c r="G43" s="91">
        <v>2021680010086</v>
      </c>
      <c r="H43" s="54" t="s">
        <v>258</v>
      </c>
      <c r="I43" s="31"/>
      <c r="J43" s="93">
        <v>44562</v>
      </c>
      <c r="K43" s="93">
        <v>44926</v>
      </c>
      <c r="L43" s="139"/>
      <c r="M43" s="140"/>
      <c r="N43" s="138"/>
      <c r="O43" s="95" t="s">
        <v>86</v>
      </c>
      <c r="P43" s="29"/>
      <c r="Q43" s="28"/>
      <c r="R43" s="28"/>
      <c r="S43" s="101"/>
      <c r="T43" s="28">
        <f>405997500+205694407</f>
        <v>611691907</v>
      </c>
      <c r="U43" s="143"/>
      <c r="V43" s="28"/>
      <c r="W43" s="28"/>
      <c r="X43" s="28"/>
      <c r="Y43" s="101"/>
      <c r="Z43" s="28">
        <v>333175364.68000001</v>
      </c>
      <c r="AA43" s="143"/>
      <c r="AB43" s="153"/>
      <c r="AC43" s="146"/>
      <c r="AD43" s="149"/>
      <c r="AE43" s="151"/>
    </row>
    <row r="44" spans="1:31" ht="57" customHeight="1" x14ac:dyDescent="0.2">
      <c r="A44" s="24">
        <v>240</v>
      </c>
      <c r="B44" s="97" t="s">
        <v>19</v>
      </c>
      <c r="C44" s="97" t="s">
        <v>77</v>
      </c>
      <c r="D44" s="41" t="s">
        <v>89</v>
      </c>
      <c r="E44" s="63" t="s">
        <v>110</v>
      </c>
      <c r="F44" s="22" t="s">
        <v>109</v>
      </c>
      <c r="G44" s="67">
        <v>2021680010081</v>
      </c>
      <c r="H44" s="32" t="s">
        <v>113</v>
      </c>
      <c r="I44" s="92"/>
      <c r="J44" s="93">
        <v>44562</v>
      </c>
      <c r="K44" s="93">
        <v>44926</v>
      </c>
      <c r="L44" s="139">
        <v>1</v>
      </c>
      <c r="M44" s="140">
        <v>1</v>
      </c>
      <c r="N44" s="138">
        <f>IFERROR(IF(M44/L44&gt;100%,100%,M44/L44),"-")</f>
        <v>1</v>
      </c>
      <c r="O44" s="95" t="s">
        <v>112</v>
      </c>
      <c r="P44" s="29"/>
      <c r="Q44" s="28"/>
      <c r="R44" s="28"/>
      <c r="S44" s="101"/>
      <c r="T44" s="28">
        <v>609326724</v>
      </c>
      <c r="U44" s="142">
        <f>SUM(P44:T46)</f>
        <v>1776736560</v>
      </c>
      <c r="V44" s="28"/>
      <c r="W44" s="28"/>
      <c r="X44" s="28"/>
      <c r="Y44" s="101"/>
      <c r="Z44" s="28">
        <v>560877586.69000006</v>
      </c>
      <c r="AA44" s="142">
        <f>SUM(V44:Z46)</f>
        <v>1699126516.6700001</v>
      </c>
      <c r="AB44" s="152">
        <f>IFERROR(AA44/U44,"-")</f>
        <v>0.95631876718403319</v>
      </c>
      <c r="AC44" s="145"/>
      <c r="AD44" s="148" t="s">
        <v>8</v>
      </c>
      <c r="AE44" s="134" t="s">
        <v>249</v>
      </c>
    </row>
    <row r="45" spans="1:31" ht="68.25" customHeight="1" x14ac:dyDescent="0.2">
      <c r="A45" s="24">
        <v>240</v>
      </c>
      <c r="B45" s="97" t="s">
        <v>19</v>
      </c>
      <c r="C45" s="97" t="s">
        <v>77</v>
      </c>
      <c r="D45" s="41" t="s">
        <v>89</v>
      </c>
      <c r="E45" s="63" t="s">
        <v>110</v>
      </c>
      <c r="F45" s="22" t="s">
        <v>109</v>
      </c>
      <c r="G45" s="67">
        <v>2021680010147</v>
      </c>
      <c r="H45" s="32" t="s">
        <v>260</v>
      </c>
      <c r="I45" s="92"/>
      <c r="J45" s="93">
        <v>44562</v>
      </c>
      <c r="K45" s="93">
        <v>44926</v>
      </c>
      <c r="L45" s="139"/>
      <c r="M45" s="140"/>
      <c r="N45" s="138"/>
      <c r="O45" s="99" t="s">
        <v>111</v>
      </c>
      <c r="P45" s="29">
        <v>23801169</v>
      </c>
      <c r="Q45" s="28"/>
      <c r="R45" s="28"/>
      <c r="S45" s="101"/>
      <c r="T45" s="28"/>
      <c r="U45" s="143"/>
      <c r="V45" s="29">
        <v>6214465</v>
      </c>
      <c r="W45" s="29"/>
      <c r="X45" s="29"/>
      <c r="Y45" s="38"/>
      <c r="Z45" s="29"/>
      <c r="AA45" s="143"/>
      <c r="AB45" s="153"/>
      <c r="AC45" s="146"/>
      <c r="AD45" s="149"/>
      <c r="AE45" s="151"/>
    </row>
    <row r="46" spans="1:31" ht="111" customHeight="1" x14ac:dyDescent="0.2">
      <c r="A46" s="24">
        <v>240</v>
      </c>
      <c r="B46" s="97" t="s">
        <v>19</v>
      </c>
      <c r="C46" s="97" t="s">
        <v>77</v>
      </c>
      <c r="D46" s="41" t="s">
        <v>89</v>
      </c>
      <c r="E46" s="63" t="s">
        <v>110</v>
      </c>
      <c r="F46" s="22" t="s">
        <v>109</v>
      </c>
      <c r="G46" s="67">
        <v>2020680010034</v>
      </c>
      <c r="H46" s="32" t="s">
        <v>85</v>
      </c>
      <c r="I46" s="31" t="s">
        <v>84</v>
      </c>
      <c r="J46" s="93">
        <v>44562</v>
      </c>
      <c r="K46" s="93">
        <v>44926</v>
      </c>
      <c r="L46" s="139"/>
      <c r="M46" s="140"/>
      <c r="N46" s="138"/>
      <c r="O46" s="99" t="s">
        <v>108</v>
      </c>
      <c r="P46" s="29">
        <f>1143608667</f>
        <v>1143608667</v>
      </c>
      <c r="Q46" s="42"/>
      <c r="R46" s="42"/>
      <c r="S46" s="47"/>
      <c r="T46" s="42"/>
      <c r="U46" s="143"/>
      <c r="V46" s="28">
        <v>1126434464.98</v>
      </c>
      <c r="W46" s="28"/>
      <c r="X46" s="28"/>
      <c r="Y46" s="101"/>
      <c r="Z46" s="28">
        <v>5600000</v>
      </c>
      <c r="AA46" s="143"/>
      <c r="AB46" s="153"/>
      <c r="AC46" s="146"/>
      <c r="AD46" s="149"/>
      <c r="AE46" s="151"/>
    </row>
    <row r="47" spans="1:31" ht="84" customHeight="1" x14ac:dyDescent="0.2">
      <c r="A47" s="24">
        <v>241</v>
      </c>
      <c r="B47" s="97" t="s">
        <v>19</v>
      </c>
      <c r="C47" s="97" t="s">
        <v>77</v>
      </c>
      <c r="D47" s="41" t="s">
        <v>89</v>
      </c>
      <c r="E47" s="63" t="s">
        <v>107</v>
      </c>
      <c r="F47" s="22" t="s">
        <v>106</v>
      </c>
      <c r="G47" s="67">
        <v>2021680010056</v>
      </c>
      <c r="H47" s="32" t="s">
        <v>105</v>
      </c>
      <c r="I47" s="49" t="s">
        <v>104</v>
      </c>
      <c r="J47" s="93">
        <v>44562</v>
      </c>
      <c r="K47" s="93">
        <v>44926</v>
      </c>
      <c r="L47" s="36">
        <v>1</v>
      </c>
      <c r="M47" s="68">
        <v>1</v>
      </c>
      <c r="N47" s="98">
        <f>IFERROR(IF(M47/L47&gt;100%,100%,M47/L47),"-")</f>
        <v>1</v>
      </c>
      <c r="O47" s="107" t="s">
        <v>103</v>
      </c>
      <c r="P47" s="48">
        <v>13500000</v>
      </c>
      <c r="Q47" s="28"/>
      <c r="R47" s="28"/>
      <c r="S47" s="101"/>
      <c r="T47" s="29">
        <v>187000000</v>
      </c>
      <c r="U47" s="64">
        <f>SUM(P47:T47)</f>
        <v>200500000</v>
      </c>
      <c r="V47" s="28">
        <f>14816666.67+4500000</f>
        <v>19316666.670000002</v>
      </c>
      <c r="W47" s="28"/>
      <c r="X47" s="28"/>
      <c r="Y47" s="101"/>
      <c r="Z47" s="28">
        <f>102000000+78800000-12666666.66</f>
        <v>168133333.34</v>
      </c>
      <c r="AA47" s="64">
        <f>SUM(V47:Z47)</f>
        <v>187450000.00999999</v>
      </c>
      <c r="AB47" s="27">
        <f>IFERROR(AA47/U47,"-")</f>
        <v>0.93491271825436406</v>
      </c>
      <c r="AC47" s="26"/>
      <c r="AD47" s="25" t="s">
        <v>8</v>
      </c>
      <c r="AE47" s="96" t="s">
        <v>249</v>
      </c>
    </row>
    <row r="48" spans="1:31" ht="71.25" customHeight="1" x14ac:dyDescent="0.2">
      <c r="A48" s="24">
        <v>242</v>
      </c>
      <c r="B48" s="97" t="s">
        <v>19</v>
      </c>
      <c r="C48" s="97" t="s">
        <v>77</v>
      </c>
      <c r="D48" s="41" t="s">
        <v>89</v>
      </c>
      <c r="E48" s="63" t="s">
        <v>102</v>
      </c>
      <c r="F48" s="22" t="s">
        <v>101</v>
      </c>
      <c r="G48" s="67">
        <v>2021680010160</v>
      </c>
      <c r="H48" s="32" t="s">
        <v>14</v>
      </c>
      <c r="I48" s="32"/>
      <c r="J48" s="93">
        <v>44562</v>
      </c>
      <c r="K48" s="93">
        <v>44926</v>
      </c>
      <c r="L48" s="36">
        <v>1</v>
      </c>
      <c r="M48" s="68">
        <v>1</v>
      </c>
      <c r="N48" s="98">
        <f>IFERROR(IF(M48/L48&gt;100%,100%,M48/L48),"-")</f>
        <v>1</v>
      </c>
      <c r="O48" s="46" t="s">
        <v>100</v>
      </c>
      <c r="P48" s="29">
        <f>58800000+21000000+48853332</f>
        <v>128653332</v>
      </c>
      <c r="Q48" s="28"/>
      <c r="R48" s="28"/>
      <c r="S48" s="101"/>
      <c r="T48" s="28"/>
      <c r="U48" s="64">
        <f>SUM(P48:T48)</f>
        <v>128653332</v>
      </c>
      <c r="V48" s="28">
        <v>121739999.67</v>
      </c>
      <c r="W48" s="28"/>
      <c r="X48" s="28"/>
      <c r="Y48" s="101"/>
      <c r="Z48" s="28"/>
      <c r="AA48" s="64">
        <f>SUM(V48:Z48)</f>
        <v>121739999.67</v>
      </c>
      <c r="AB48" s="27">
        <f>IFERROR(AA48/U48,"-")</f>
        <v>0.94626386878188273</v>
      </c>
      <c r="AC48" s="26"/>
      <c r="AD48" s="25" t="s">
        <v>8</v>
      </c>
      <c r="AE48" s="96" t="s">
        <v>249</v>
      </c>
    </row>
    <row r="49" spans="1:33" ht="71.25" customHeight="1" x14ac:dyDescent="0.2">
      <c r="A49" s="24">
        <v>243</v>
      </c>
      <c r="B49" s="97" t="s">
        <v>19</v>
      </c>
      <c r="C49" s="97" t="s">
        <v>77</v>
      </c>
      <c r="D49" s="41" t="s">
        <v>89</v>
      </c>
      <c r="E49" s="63" t="s">
        <v>99</v>
      </c>
      <c r="F49" s="22" t="s">
        <v>98</v>
      </c>
      <c r="G49" s="67">
        <v>2021680010160</v>
      </c>
      <c r="H49" s="32" t="s">
        <v>14</v>
      </c>
      <c r="I49" s="92"/>
      <c r="J49" s="93">
        <v>44562</v>
      </c>
      <c r="K49" s="93">
        <v>44926</v>
      </c>
      <c r="L49" s="36">
        <v>1</v>
      </c>
      <c r="M49" s="68">
        <v>1</v>
      </c>
      <c r="N49" s="98">
        <f>IFERROR(IF(M49/L49&gt;100%,100%,M49/L49),"-")</f>
        <v>1</v>
      </c>
      <c r="O49" s="46" t="s">
        <v>97</v>
      </c>
      <c r="P49" s="29">
        <f>36000000+28800000</f>
        <v>64800000</v>
      </c>
      <c r="Q49" s="28"/>
      <c r="R49" s="28"/>
      <c r="S49" s="101"/>
      <c r="T49" s="28"/>
      <c r="U49" s="64">
        <f>SUM(P49:T49)</f>
        <v>64800000</v>
      </c>
      <c r="V49" s="28">
        <v>63200000</v>
      </c>
      <c r="W49" s="28"/>
      <c r="X49" s="28"/>
      <c r="Y49" s="101"/>
      <c r="Z49" s="28"/>
      <c r="AA49" s="64">
        <f>SUM(V49:Z49)</f>
        <v>63200000</v>
      </c>
      <c r="AB49" s="27">
        <f>IFERROR(AA49/U49,"-")</f>
        <v>0.97530864197530864</v>
      </c>
      <c r="AC49" s="26"/>
      <c r="AD49" s="25" t="s">
        <v>8</v>
      </c>
      <c r="AE49" s="96" t="s">
        <v>249</v>
      </c>
    </row>
    <row r="50" spans="1:33" ht="71.25" customHeight="1" x14ac:dyDescent="0.2">
      <c r="A50" s="24">
        <v>244</v>
      </c>
      <c r="B50" s="97" t="s">
        <v>19</v>
      </c>
      <c r="C50" s="97" t="s">
        <v>77</v>
      </c>
      <c r="D50" s="41" t="s">
        <v>76</v>
      </c>
      <c r="E50" s="63" t="s">
        <v>94</v>
      </c>
      <c r="F50" s="22" t="s">
        <v>93</v>
      </c>
      <c r="G50" s="67">
        <v>2021680010157</v>
      </c>
      <c r="H50" s="32" t="s">
        <v>96</v>
      </c>
      <c r="I50" s="31"/>
      <c r="J50" s="93">
        <v>44562</v>
      </c>
      <c r="K50" s="93">
        <v>44926</v>
      </c>
      <c r="L50" s="155">
        <v>1</v>
      </c>
      <c r="M50" s="167">
        <v>1</v>
      </c>
      <c r="N50" s="156">
        <f>IFERROR(IF(M50/L50&gt;100%,100%,M50/L50),"-")</f>
        <v>1</v>
      </c>
      <c r="O50" s="108" t="s">
        <v>95</v>
      </c>
      <c r="P50" s="29">
        <v>150000000</v>
      </c>
      <c r="Q50" s="28"/>
      <c r="R50" s="28"/>
      <c r="S50" s="28"/>
      <c r="T50" s="28"/>
      <c r="U50" s="142">
        <f>SUM(P50:T51)</f>
        <v>168481865</v>
      </c>
      <c r="V50" s="28">
        <v>138847222</v>
      </c>
      <c r="W50" s="28"/>
      <c r="X50" s="28"/>
      <c r="Y50" s="28"/>
      <c r="Z50" s="28"/>
      <c r="AA50" s="142">
        <f>SUM(V50:Z51)</f>
        <v>157329087</v>
      </c>
      <c r="AB50" s="152">
        <f>IFERROR(AA50/U50,"-")</f>
        <v>0.93380428214039535</v>
      </c>
      <c r="AC50" s="145"/>
      <c r="AD50" s="148" t="s">
        <v>8</v>
      </c>
      <c r="AE50" s="134" t="s">
        <v>249</v>
      </c>
    </row>
    <row r="51" spans="1:33" ht="71.25" customHeight="1" x14ac:dyDescent="0.2">
      <c r="A51" s="24">
        <v>244</v>
      </c>
      <c r="B51" s="97" t="s">
        <v>19</v>
      </c>
      <c r="C51" s="97" t="s">
        <v>77</v>
      </c>
      <c r="D51" s="41" t="s">
        <v>76</v>
      </c>
      <c r="E51" s="63" t="s">
        <v>94</v>
      </c>
      <c r="F51" s="22" t="s">
        <v>93</v>
      </c>
      <c r="G51" s="91">
        <v>2021680010086</v>
      </c>
      <c r="H51" s="54" t="s">
        <v>258</v>
      </c>
      <c r="I51" s="31"/>
      <c r="J51" s="93">
        <v>44562</v>
      </c>
      <c r="K51" s="93">
        <v>44926</v>
      </c>
      <c r="L51" s="139"/>
      <c r="M51" s="140"/>
      <c r="N51" s="138"/>
      <c r="O51" s="95" t="s">
        <v>92</v>
      </c>
      <c r="P51" s="29"/>
      <c r="Q51" s="28"/>
      <c r="R51" s="28"/>
      <c r="S51" s="101"/>
      <c r="T51" s="28">
        <v>18481865</v>
      </c>
      <c r="U51" s="143"/>
      <c r="V51" s="28"/>
      <c r="W51" s="28"/>
      <c r="X51" s="28"/>
      <c r="Y51" s="101"/>
      <c r="Z51" s="28">
        <v>18481865</v>
      </c>
      <c r="AA51" s="143"/>
      <c r="AB51" s="153"/>
      <c r="AC51" s="146"/>
      <c r="AD51" s="149"/>
      <c r="AE51" s="151"/>
    </row>
    <row r="52" spans="1:33" ht="71.25" customHeight="1" x14ac:dyDescent="0.2">
      <c r="A52" s="24">
        <v>245</v>
      </c>
      <c r="B52" s="97" t="s">
        <v>19</v>
      </c>
      <c r="C52" s="97" t="s">
        <v>77</v>
      </c>
      <c r="D52" s="41" t="s">
        <v>76</v>
      </c>
      <c r="E52" s="63" t="s">
        <v>81</v>
      </c>
      <c r="F52" s="22" t="s">
        <v>80</v>
      </c>
      <c r="G52" s="67">
        <v>2020680010034</v>
      </c>
      <c r="H52" s="32" t="s">
        <v>85</v>
      </c>
      <c r="I52" s="31" t="s">
        <v>84</v>
      </c>
      <c r="J52" s="93">
        <v>44562</v>
      </c>
      <c r="K52" s="93">
        <v>44926</v>
      </c>
      <c r="L52" s="155">
        <v>3</v>
      </c>
      <c r="M52" s="167">
        <v>3</v>
      </c>
      <c r="N52" s="156">
        <f>IFERROR(IF(M52/L52&gt;100%,100%,M52/L52),"-")</f>
        <v>1</v>
      </c>
      <c r="O52" s="109" t="s">
        <v>83</v>
      </c>
      <c r="P52" s="29">
        <f>415067000</f>
        <v>415067000</v>
      </c>
      <c r="Q52" s="42"/>
      <c r="R52" s="42"/>
      <c r="S52" s="47"/>
      <c r="T52" s="42"/>
      <c r="U52" s="142">
        <f>SUM(P52:T54)</f>
        <v>572337329.20000005</v>
      </c>
      <c r="V52" s="28">
        <v>314996666.67999995</v>
      </c>
      <c r="W52" s="28"/>
      <c r="X52" s="28"/>
      <c r="Y52" s="101"/>
      <c r="Z52" s="28"/>
      <c r="AA52" s="142">
        <f>SUM(V52:Z54)</f>
        <v>444417928.63999999</v>
      </c>
      <c r="AB52" s="152">
        <f>IFERROR(AA52/U52,"-")</f>
        <v>0.77649649248144825</v>
      </c>
      <c r="AC52" s="145"/>
      <c r="AD52" s="148" t="s">
        <v>8</v>
      </c>
      <c r="AE52" s="134" t="s">
        <v>249</v>
      </c>
    </row>
    <row r="53" spans="1:33" ht="71.25" customHeight="1" x14ac:dyDescent="0.2">
      <c r="A53" s="24">
        <v>245</v>
      </c>
      <c r="B53" s="97" t="s">
        <v>19</v>
      </c>
      <c r="C53" s="97" t="s">
        <v>77</v>
      </c>
      <c r="D53" s="41" t="s">
        <v>76</v>
      </c>
      <c r="E53" s="63" t="s">
        <v>81</v>
      </c>
      <c r="F53" s="22" t="s">
        <v>80</v>
      </c>
      <c r="G53" s="67">
        <v>2021680010147</v>
      </c>
      <c r="H53" s="32" t="s">
        <v>260</v>
      </c>
      <c r="I53" s="20"/>
      <c r="J53" s="110">
        <v>44562</v>
      </c>
      <c r="K53" s="110">
        <v>44926</v>
      </c>
      <c r="L53" s="166"/>
      <c r="M53" s="168"/>
      <c r="N53" s="165"/>
      <c r="O53" s="99" t="s">
        <v>82</v>
      </c>
      <c r="P53" s="29">
        <v>40519431</v>
      </c>
      <c r="Q53" s="28"/>
      <c r="R53" s="28"/>
      <c r="S53" s="101"/>
      <c r="T53" s="28"/>
      <c r="U53" s="143"/>
      <c r="V53" s="29">
        <v>12670365.119999999</v>
      </c>
      <c r="W53" s="29"/>
      <c r="X53" s="29"/>
      <c r="Y53" s="38"/>
      <c r="Z53" s="29"/>
      <c r="AA53" s="143"/>
      <c r="AB53" s="153"/>
      <c r="AC53" s="146"/>
      <c r="AD53" s="149"/>
      <c r="AE53" s="151"/>
    </row>
    <row r="54" spans="1:33" ht="71.25" customHeight="1" x14ac:dyDescent="0.2">
      <c r="A54" s="24">
        <v>245</v>
      </c>
      <c r="B54" s="97" t="s">
        <v>19</v>
      </c>
      <c r="C54" s="97" t="s">
        <v>77</v>
      </c>
      <c r="D54" s="41" t="s">
        <v>76</v>
      </c>
      <c r="E54" s="63" t="s">
        <v>81</v>
      </c>
      <c r="F54" s="22" t="s">
        <v>80</v>
      </c>
      <c r="G54" s="67">
        <v>2021680010175</v>
      </c>
      <c r="H54" s="32" t="s">
        <v>79</v>
      </c>
      <c r="I54" s="31"/>
      <c r="J54" s="93"/>
      <c r="K54" s="93"/>
      <c r="L54" s="169"/>
      <c r="M54" s="170"/>
      <c r="N54" s="162"/>
      <c r="O54" s="46" t="s">
        <v>78</v>
      </c>
      <c r="P54" s="29"/>
      <c r="Q54" s="28"/>
      <c r="R54" s="28"/>
      <c r="S54" s="101"/>
      <c r="T54" s="28">
        <v>116750898.2</v>
      </c>
      <c r="U54" s="144"/>
      <c r="V54" s="29"/>
      <c r="W54" s="29"/>
      <c r="X54" s="29"/>
      <c r="Y54" s="38"/>
      <c r="Z54" s="29">
        <v>116750896.84</v>
      </c>
      <c r="AA54" s="144"/>
      <c r="AB54" s="154"/>
      <c r="AC54" s="147"/>
      <c r="AD54" s="150"/>
      <c r="AE54" s="135"/>
      <c r="AG54" s="111"/>
    </row>
    <row r="55" spans="1:33" ht="71.25" customHeight="1" x14ac:dyDescent="0.2">
      <c r="A55" s="24">
        <v>246</v>
      </c>
      <c r="B55" s="90" t="s">
        <v>19</v>
      </c>
      <c r="C55" s="90" t="s">
        <v>77</v>
      </c>
      <c r="D55" s="23" t="s">
        <v>76</v>
      </c>
      <c r="E55" s="63" t="s">
        <v>75</v>
      </c>
      <c r="F55" s="22" t="s">
        <v>74</v>
      </c>
      <c r="G55" s="67">
        <v>2021680010160</v>
      </c>
      <c r="H55" s="45" t="s">
        <v>14</v>
      </c>
      <c r="I55" s="92"/>
      <c r="J55" s="93">
        <v>44562</v>
      </c>
      <c r="K55" s="93">
        <v>44926</v>
      </c>
      <c r="L55" s="40">
        <v>1</v>
      </c>
      <c r="M55" s="68">
        <v>1</v>
      </c>
      <c r="N55" s="98">
        <f>IFERROR(IF(M55/L55&gt;100%,100%,M55/L55),"-")</f>
        <v>1</v>
      </c>
      <c r="O55" s="99" t="s">
        <v>73</v>
      </c>
      <c r="P55" s="29">
        <f>54000000+42400000</f>
        <v>96400000</v>
      </c>
      <c r="Q55" s="28"/>
      <c r="R55" s="28"/>
      <c r="S55" s="101"/>
      <c r="T55" s="28"/>
      <c r="U55" s="64">
        <f>SUM(P55:T55)</f>
        <v>96400000</v>
      </c>
      <c r="V55" s="29">
        <v>87633333</v>
      </c>
      <c r="W55" s="28"/>
      <c r="X55" s="28"/>
      <c r="Y55" s="101"/>
      <c r="Z55" s="28"/>
      <c r="AA55" s="64">
        <f>SUM(V55:Z55)</f>
        <v>87633333</v>
      </c>
      <c r="AB55" s="27">
        <f>IFERROR(AA55/U55,"-")</f>
        <v>0.9090594709543568</v>
      </c>
      <c r="AC55" s="16"/>
      <c r="AD55" s="25" t="s">
        <v>8</v>
      </c>
      <c r="AE55" s="96" t="s">
        <v>249</v>
      </c>
    </row>
    <row r="56" spans="1:33" ht="57" x14ac:dyDescent="0.2">
      <c r="A56" s="24">
        <v>262</v>
      </c>
      <c r="B56" s="90" t="s">
        <v>19</v>
      </c>
      <c r="C56" s="90" t="s">
        <v>18</v>
      </c>
      <c r="D56" s="23" t="s">
        <v>63</v>
      </c>
      <c r="E56" s="63" t="s">
        <v>72</v>
      </c>
      <c r="F56" s="22" t="s">
        <v>71</v>
      </c>
      <c r="G56" s="67">
        <v>2021680010154</v>
      </c>
      <c r="H56" s="32" t="s">
        <v>70</v>
      </c>
      <c r="I56" s="92" t="s">
        <v>69</v>
      </c>
      <c r="J56" s="93">
        <v>44562</v>
      </c>
      <c r="K56" s="93">
        <v>44926</v>
      </c>
      <c r="L56" s="36">
        <v>1</v>
      </c>
      <c r="M56" s="68">
        <v>1</v>
      </c>
      <c r="N56" s="98">
        <f>IFERROR(IF(M56/L56&gt;100%,100%,M56/L56),"-")</f>
        <v>1</v>
      </c>
      <c r="O56" s="95" t="s">
        <v>68</v>
      </c>
      <c r="P56" s="29">
        <f>10000000+10000000</f>
        <v>20000000</v>
      </c>
      <c r="Q56" s="28"/>
      <c r="R56" s="28"/>
      <c r="S56" s="101"/>
      <c r="T56" s="28"/>
      <c r="U56" s="64">
        <f>SUM(P56:T56)</f>
        <v>20000000</v>
      </c>
      <c r="V56" s="29">
        <v>9999000</v>
      </c>
      <c r="W56" s="29"/>
      <c r="X56" s="29"/>
      <c r="Y56" s="38"/>
      <c r="Z56" s="29"/>
      <c r="AA56" s="64">
        <f>SUM(V56:Z56)</f>
        <v>9999000</v>
      </c>
      <c r="AB56" s="27">
        <f>IFERROR(AA56/U56,"-")</f>
        <v>0.49995000000000001</v>
      </c>
      <c r="AC56" s="34"/>
      <c r="AD56" s="33" t="s">
        <v>8</v>
      </c>
      <c r="AE56" s="96" t="s">
        <v>249</v>
      </c>
    </row>
    <row r="57" spans="1:33" ht="48" customHeight="1" x14ac:dyDescent="0.2">
      <c r="A57" s="24">
        <v>263</v>
      </c>
      <c r="B57" s="90" t="s">
        <v>19</v>
      </c>
      <c r="C57" s="90" t="s">
        <v>18</v>
      </c>
      <c r="D57" s="23" t="s">
        <v>63</v>
      </c>
      <c r="E57" s="63" t="s">
        <v>67</v>
      </c>
      <c r="F57" s="22" t="s">
        <v>66</v>
      </c>
      <c r="G57" s="67">
        <v>2021680010165</v>
      </c>
      <c r="H57" s="32" t="s">
        <v>65</v>
      </c>
      <c r="I57" s="92"/>
      <c r="J57" s="93">
        <v>44562</v>
      </c>
      <c r="K57" s="93">
        <v>44926</v>
      </c>
      <c r="L57" s="158">
        <v>1</v>
      </c>
      <c r="M57" s="160">
        <v>1</v>
      </c>
      <c r="N57" s="156">
        <f>IFERROR(IF(M57/L57&gt;100%,100%,M57/L57),"-")</f>
        <v>1</v>
      </c>
      <c r="O57" s="99" t="s">
        <v>255</v>
      </c>
      <c r="P57" s="29">
        <f>22713843</f>
        <v>22713843</v>
      </c>
      <c r="Q57" s="28"/>
      <c r="R57" s="28"/>
      <c r="S57" s="101"/>
      <c r="T57" s="28"/>
      <c r="U57" s="142">
        <f>SUM(P57:T59)</f>
        <v>4691933704</v>
      </c>
      <c r="V57" s="29">
        <f>22713843</f>
        <v>22713843</v>
      </c>
      <c r="W57" s="29"/>
      <c r="X57" s="29"/>
      <c r="Y57" s="38"/>
      <c r="Z57" s="29"/>
      <c r="AA57" s="142">
        <f>SUM(V57:Z59)</f>
        <v>4685933705</v>
      </c>
      <c r="AB57" s="152">
        <f>IFERROR(AA57/U57,"-")</f>
        <v>0.99872120976584033</v>
      </c>
      <c r="AC57" s="145"/>
      <c r="AD57" s="148" t="s">
        <v>8</v>
      </c>
      <c r="AE57" s="134" t="s">
        <v>249</v>
      </c>
    </row>
    <row r="58" spans="1:33" ht="84.75" customHeight="1" x14ac:dyDescent="0.2">
      <c r="A58" s="24">
        <v>263</v>
      </c>
      <c r="B58" s="90" t="s">
        <v>19</v>
      </c>
      <c r="C58" s="90" t="s">
        <v>18</v>
      </c>
      <c r="D58" s="23" t="s">
        <v>63</v>
      </c>
      <c r="E58" s="63" t="s">
        <v>67</v>
      </c>
      <c r="F58" s="22" t="s">
        <v>66</v>
      </c>
      <c r="G58" s="67">
        <v>2020680010081</v>
      </c>
      <c r="H58" s="32" t="s">
        <v>254</v>
      </c>
      <c r="I58" s="92"/>
      <c r="J58" s="93"/>
      <c r="K58" s="93"/>
      <c r="L58" s="163"/>
      <c r="M58" s="164"/>
      <c r="N58" s="165"/>
      <c r="O58" s="99" t="s">
        <v>256</v>
      </c>
      <c r="P58" s="29">
        <f>1106552323+3422667538</f>
        <v>4529219861</v>
      </c>
      <c r="Q58" s="28"/>
      <c r="R58" s="28"/>
      <c r="S58" s="101"/>
      <c r="T58" s="28"/>
      <c r="U58" s="143"/>
      <c r="V58" s="29">
        <f>1106552323+3422667539</f>
        <v>4529219862</v>
      </c>
      <c r="W58" s="29"/>
      <c r="X58" s="29"/>
      <c r="Y58" s="38"/>
      <c r="Z58" s="29"/>
      <c r="AA58" s="143"/>
      <c r="AB58" s="153"/>
      <c r="AC58" s="146"/>
      <c r="AD58" s="149"/>
      <c r="AE58" s="151"/>
    </row>
    <row r="59" spans="1:33" ht="52.5" customHeight="1" x14ac:dyDescent="0.2">
      <c r="A59" s="24">
        <v>263</v>
      </c>
      <c r="B59" s="90" t="s">
        <v>19</v>
      </c>
      <c r="C59" s="90" t="s">
        <v>18</v>
      </c>
      <c r="D59" s="23" t="s">
        <v>63</v>
      </c>
      <c r="E59" s="63" t="s">
        <v>67</v>
      </c>
      <c r="F59" s="22" t="s">
        <v>66</v>
      </c>
      <c r="G59" s="67">
        <v>2021680010077</v>
      </c>
      <c r="H59" s="32" t="s">
        <v>65</v>
      </c>
      <c r="I59" s="92"/>
      <c r="J59" s="93">
        <v>44562</v>
      </c>
      <c r="K59" s="93">
        <v>44926</v>
      </c>
      <c r="L59" s="159"/>
      <c r="M59" s="161"/>
      <c r="N59" s="162"/>
      <c r="O59" s="99" t="s">
        <v>64</v>
      </c>
      <c r="P59" s="29">
        <v>140000000</v>
      </c>
      <c r="Q59" s="28"/>
      <c r="R59" s="28"/>
      <c r="S59" s="101"/>
      <c r="T59" s="28"/>
      <c r="U59" s="144"/>
      <c r="V59" s="29">
        <v>134000000</v>
      </c>
      <c r="W59" s="29"/>
      <c r="X59" s="29"/>
      <c r="Y59" s="38"/>
      <c r="Z59" s="29"/>
      <c r="AA59" s="144"/>
      <c r="AB59" s="154"/>
      <c r="AC59" s="147"/>
      <c r="AD59" s="150"/>
      <c r="AE59" s="135"/>
    </row>
    <row r="60" spans="1:33" ht="57" customHeight="1" x14ac:dyDescent="0.2">
      <c r="A60" s="24">
        <v>264</v>
      </c>
      <c r="B60" s="90" t="s">
        <v>19</v>
      </c>
      <c r="C60" s="90" t="s">
        <v>18</v>
      </c>
      <c r="D60" s="23" t="s">
        <v>63</v>
      </c>
      <c r="E60" s="63" t="s">
        <v>62</v>
      </c>
      <c r="F60" s="22" t="s">
        <v>61</v>
      </c>
      <c r="G60" s="67">
        <v>2021680010127</v>
      </c>
      <c r="H60" s="32" t="s">
        <v>60</v>
      </c>
      <c r="I60" s="92"/>
      <c r="J60" s="93">
        <v>44562</v>
      </c>
      <c r="K60" s="93">
        <v>44926</v>
      </c>
      <c r="L60" s="39">
        <v>1</v>
      </c>
      <c r="M60" s="69">
        <v>1</v>
      </c>
      <c r="N60" s="94">
        <f>IFERROR(IF(M60/L60&gt;100%,100%,M60/L60),"-")</f>
        <v>1</v>
      </c>
      <c r="O60" s="95" t="s">
        <v>59</v>
      </c>
      <c r="P60" s="29">
        <v>50000000</v>
      </c>
      <c r="Q60" s="28"/>
      <c r="R60" s="28"/>
      <c r="S60" s="101"/>
      <c r="T60" s="28"/>
      <c r="U60" s="64">
        <f>SUM(P60:T60)</f>
        <v>50000000</v>
      </c>
      <c r="V60" s="29">
        <f>16000000+1199930+1676000+837712-2285837-1037504.8</f>
        <v>16390300.199999999</v>
      </c>
      <c r="W60" s="29"/>
      <c r="X60" s="29"/>
      <c r="Y60" s="38"/>
      <c r="Z60" s="29"/>
      <c r="AA60" s="64">
        <f>SUM(V60:Z60)</f>
        <v>16390300.199999999</v>
      </c>
      <c r="AB60" s="27">
        <f>IFERROR(AA60/U60,"-")</f>
        <v>0.32780600399999998</v>
      </c>
      <c r="AC60" s="34"/>
      <c r="AD60" s="33" t="s">
        <v>8</v>
      </c>
      <c r="AE60" s="96" t="s">
        <v>249</v>
      </c>
    </row>
    <row r="61" spans="1:33" ht="57" customHeight="1" x14ac:dyDescent="0.2">
      <c r="A61" s="24">
        <v>265</v>
      </c>
      <c r="B61" s="97" t="s">
        <v>19</v>
      </c>
      <c r="C61" s="97" t="s">
        <v>18</v>
      </c>
      <c r="D61" s="41" t="s">
        <v>34</v>
      </c>
      <c r="E61" s="63" t="s">
        <v>58</v>
      </c>
      <c r="F61" s="22" t="s">
        <v>57</v>
      </c>
      <c r="G61" s="67">
        <v>2020680010052</v>
      </c>
      <c r="H61" s="32" t="s">
        <v>31</v>
      </c>
      <c r="I61" s="31" t="s">
        <v>30</v>
      </c>
      <c r="J61" s="93">
        <v>44562</v>
      </c>
      <c r="K61" s="93">
        <v>44926</v>
      </c>
      <c r="L61" s="39">
        <v>1</v>
      </c>
      <c r="M61" s="69">
        <v>1</v>
      </c>
      <c r="N61" s="94">
        <f>IFERROR(IF(M61/L61&gt;100%,100%,M61/L61),"-")</f>
        <v>1</v>
      </c>
      <c r="O61" s="100" t="s">
        <v>56</v>
      </c>
      <c r="P61" s="29">
        <f>33000000+16500000</f>
        <v>49500000</v>
      </c>
      <c r="Q61" s="28"/>
      <c r="R61" s="28"/>
      <c r="S61" s="101"/>
      <c r="T61" s="28"/>
      <c r="U61" s="35">
        <f>SUM(P61:T61)</f>
        <v>49500000</v>
      </c>
      <c r="V61" s="28">
        <v>48000000</v>
      </c>
      <c r="W61" s="28"/>
      <c r="X61" s="28"/>
      <c r="Y61" s="101"/>
      <c r="Z61" s="28"/>
      <c r="AA61" s="35">
        <f>SUM(V61:Z61)</f>
        <v>48000000</v>
      </c>
      <c r="AB61" s="37">
        <f>IFERROR(AA61/U61,"-")</f>
        <v>0.96969696969696972</v>
      </c>
      <c r="AC61" s="34"/>
      <c r="AD61" s="33" t="s">
        <v>8</v>
      </c>
      <c r="AE61" s="96" t="s">
        <v>249</v>
      </c>
    </row>
    <row r="62" spans="1:33" ht="75.75" customHeight="1" x14ac:dyDescent="0.2">
      <c r="A62" s="24">
        <v>266</v>
      </c>
      <c r="B62" s="90" t="s">
        <v>19</v>
      </c>
      <c r="C62" s="90" t="s">
        <v>18</v>
      </c>
      <c r="D62" s="23" t="s">
        <v>34</v>
      </c>
      <c r="E62" s="63" t="s">
        <v>55</v>
      </c>
      <c r="F62" s="22" t="s">
        <v>54</v>
      </c>
      <c r="G62" s="67">
        <v>2020680010052</v>
      </c>
      <c r="H62" s="32" t="s">
        <v>31</v>
      </c>
      <c r="I62" s="31" t="s">
        <v>30</v>
      </c>
      <c r="J62" s="93">
        <v>44562</v>
      </c>
      <c r="K62" s="93">
        <v>44926</v>
      </c>
      <c r="L62" s="39">
        <v>1</v>
      </c>
      <c r="M62" s="69">
        <v>1</v>
      </c>
      <c r="N62" s="94">
        <f>IFERROR(IF(M62/L62&gt;100%,100%,M62/L62),"-")</f>
        <v>1</v>
      </c>
      <c r="O62" s="112" t="s">
        <v>53</v>
      </c>
      <c r="P62" s="29">
        <f>20000000</f>
        <v>20000000</v>
      </c>
      <c r="Q62" s="28"/>
      <c r="R62" s="28"/>
      <c r="S62" s="101"/>
      <c r="T62" s="28"/>
      <c r="U62" s="35">
        <f>SUM(P62:T62)</f>
        <v>20000000</v>
      </c>
      <c r="V62" s="28">
        <v>18400000</v>
      </c>
      <c r="W62" s="28"/>
      <c r="X62" s="28"/>
      <c r="Y62" s="101"/>
      <c r="Z62" s="28"/>
      <c r="AA62" s="35">
        <f>SUM(V62:Z62)</f>
        <v>18400000</v>
      </c>
      <c r="AB62" s="37">
        <f>IFERROR(AA62/U62,"-")</f>
        <v>0.92</v>
      </c>
      <c r="AC62" s="34"/>
      <c r="AD62" s="33" t="s">
        <v>8</v>
      </c>
      <c r="AE62" s="96" t="s">
        <v>249</v>
      </c>
    </row>
    <row r="63" spans="1:33" ht="65.25" customHeight="1" x14ac:dyDescent="0.2">
      <c r="A63" s="24">
        <v>267</v>
      </c>
      <c r="B63" s="90" t="s">
        <v>19</v>
      </c>
      <c r="C63" s="90" t="s">
        <v>18</v>
      </c>
      <c r="D63" s="23" t="s">
        <v>34</v>
      </c>
      <c r="E63" s="63" t="s">
        <v>51</v>
      </c>
      <c r="F63" s="22" t="s">
        <v>50</v>
      </c>
      <c r="G63" s="67">
        <v>2020680010052</v>
      </c>
      <c r="H63" s="32" t="s">
        <v>31</v>
      </c>
      <c r="I63" s="31" t="s">
        <v>30</v>
      </c>
      <c r="J63" s="93">
        <v>44562</v>
      </c>
      <c r="K63" s="93">
        <v>44926</v>
      </c>
      <c r="L63" s="158">
        <v>1</v>
      </c>
      <c r="M63" s="160">
        <v>1</v>
      </c>
      <c r="N63" s="156">
        <f>IFERROR(IF(M63/L63&gt;100%,100%,M63/L63),"-")</f>
        <v>1</v>
      </c>
      <c r="O63" s="95" t="s">
        <v>52</v>
      </c>
      <c r="P63" s="29">
        <f>270000000+284206076+80000000</f>
        <v>634206076</v>
      </c>
      <c r="Q63" s="28"/>
      <c r="R63" s="28"/>
      <c r="S63" s="101"/>
      <c r="T63" s="28"/>
      <c r="U63" s="142">
        <f>SUM(P63:T64)</f>
        <v>935206076</v>
      </c>
      <c r="V63" s="28">
        <v>611309619</v>
      </c>
      <c r="W63" s="28"/>
      <c r="X63" s="28"/>
      <c r="Y63" s="101"/>
      <c r="Z63" s="28"/>
      <c r="AA63" s="142">
        <f>SUM(V63:Z64)</f>
        <v>611309619</v>
      </c>
      <c r="AB63" s="157">
        <f>IFERROR(AA63/U63,"-")</f>
        <v>0.65366301041867914</v>
      </c>
      <c r="AC63" s="132"/>
      <c r="AD63" s="133" t="s">
        <v>8</v>
      </c>
      <c r="AE63" s="134" t="s">
        <v>249</v>
      </c>
    </row>
    <row r="64" spans="1:33" ht="62.25" customHeight="1" x14ac:dyDescent="0.2">
      <c r="A64" s="24">
        <v>267</v>
      </c>
      <c r="B64" s="90" t="s">
        <v>19</v>
      </c>
      <c r="C64" s="90" t="s">
        <v>18</v>
      </c>
      <c r="D64" s="23"/>
      <c r="E64" s="63" t="s">
        <v>51</v>
      </c>
      <c r="F64" s="22" t="s">
        <v>50</v>
      </c>
      <c r="G64" s="67"/>
      <c r="H64" s="32" t="s">
        <v>257</v>
      </c>
      <c r="I64" s="44"/>
      <c r="J64" s="93">
        <v>44562</v>
      </c>
      <c r="K64" s="93">
        <v>44926</v>
      </c>
      <c r="L64" s="159"/>
      <c r="M64" s="161"/>
      <c r="N64" s="162"/>
      <c r="O64" s="95" t="s">
        <v>49</v>
      </c>
      <c r="P64" s="29">
        <f>301000000</f>
        <v>301000000</v>
      </c>
      <c r="Q64" s="28"/>
      <c r="R64" s="28"/>
      <c r="S64" s="101"/>
      <c r="T64" s="28"/>
      <c r="U64" s="144"/>
      <c r="V64" s="28"/>
      <c r="W64" s="28"/>
      <c r="X64" s="28"/>
      <c r="Y64" s="101"/>
      <c r="Z64" s="28"/>
      <c r="AA64" s="144"/>
      <c r="AB64" s="157"/>
      <c r="AC64" s="132"/>
      <c r="AD64" s="133"/>
      <c r="AE64" s="135"/>
    </row>
    <row r="65" spans="1:31" ht="57" customHeight="1" x14ac:dyDescent="0.2">
      <c r="A65" s="24">
        <v>268</v>
      </c>
      <c r="B65" s="90" t="s">
        <v>19</v>
      </c>
      <c r="C65" s="90" t="s">
        <v>18</v>
      </c>
      <c r="D65" s="23" t="s">
        <v>34</v>
      </c>
      <c r="E65" s="63" t="s">
        <v>48</v>
      </c>
      <c r="F65" s="22" t="s">
        <v>47</v>
      </c>
      <c r="G65" s="67">
        <v>2020680010052</v>
      </c>
      <c r="H65" s="32" t="s">
        <v>31</v>
      </c>
      <c r="I65" s="31" t="s">
        <v>30</v>
      </c>
      <c r="J65" s="93">
        <v>44562</v>
      </c>
      <c r="K65" s="93">
        <v>44926</v>
      </c>
      <c r="L65" s="43">
        <v>1</v>
      </c>
      <c r="M65" s="72">
        <v>1</v>
      </c>
      <c r="N65" s="94">
        <f>IFERROR(IF(M65/L65&gt;100%,100%,M65/L65),"-")</f>
        <v>1</v>
      </c>
      <c r="O65" s="95" t="s">
        <v>46</v>
      </c>
      <c r="P65" s="29">
        <v>80000000</v>
      </c>
      <c r="Q65" s="28"/>
      <c r="R65" s="28"/>
      <c r="S65" s="101"/>
      <c r="T65" s="28"/>
      <c r="U65" s="73">
        <f>SUM(P65:T65)</f>
        <v>80000000</v>
      </c>
      <c r="V65" s="28">
        <f>35000000+45000000-13226656</f>
        <v>66773344</v>
      </c>
      <c r="W65" s="28"/>
      <c r="X65" s="28"/>
      <c r="Y65" s="101"/>
      <c r="Z65" s="28"/>
      <c r="AA65" s="73">
        <f>SUM(V65:Z65)</f>
        <v>66773344</v>
      </c>
      <c r="AB65" s="37">
        <f>IFERROR(AA65/U65,"-")</f>
        <v>0.83466680000000004</v>
      </c>
      <c r="AC65" s="74"/>
      <c r="AD65" s="75" t="s">
        <v>8</v>
      </c>
      <c r="AE65" s="113" t="s">
        <v>249</v>
      </c>
    </row>
    <row r="66" spans="1:31" ht="60" customHeight="1" x14ac:dyDescent="0.2">
      <c r="A66" s="24">
        <v>269</v>
      </c>
      <c r="B66" s="90" t="s">
        <v>19</v>
      </c>
      <c r="C66" s="90" t="s">
        <v>18</v>
      </c>
      <c r="D66" s="23" t="s">
        <v>34</v>
      </c>
      <c r="E66" s="63" t="s">
        <v>45</v>
      </c>
      <c r="F66" s="22" t="s">
        <v>44</v>
      </c>
      <c r="G66" s="67">
        <v>2020680010052</v>
      </c>
      <c r="H66" s="32" t="s">
        <v>31</v>
      </c>
      <c r="I66" s="31" t="s">
        <v>30</v>
      </c>
      <c r="J66" s="93">
        <v>44562</v>
      </c>
      <c r="K66" s="93">
        <v>44926</v>
      </c>
      <c r="L66" s="43">
        <v>1</v>
      </c>
      <c r="M66" s="72">
        <v>1</v>
      </c>
      <c r="N66" s="94">
        <f>IFERROR(IF(M66/L66&gt;100%,100%,M66/L66),"-")</f>
        <v>1</v>
      </c>
      <c r="O66" s="95" t="s">
        <v>43</v>
      </c>
      <c r="P66" s="29">
        <v>20000000</v>
      </c>
      <c r="Q66" s="28"/>
      <c r="R66" s="28"/>
      <c r="S66" s="101"/>
      <c r="T66" s="28"/>
      <c r="U66" s="73">
        <f>SUM(P66:T66)</f>
        <v>20000000</v>
      </c>
      <c r="V66" s="28">
        <v>6192806</v>
      </c>
      <c r="W66" s="28"/>
      <c r="X66" s="28"/>
      <c r="Y66" s="101"/>
      <c r="Z66" s="28"/>
      <c r="AA66" s="73">
        <f>SUM(V66:Z66)</f>
        <v>6192806</v>
      </c>
      <c r="AB66" s="37">
        <f>IFERROR(AA66/U66,"-")</f>
        <v>0.30964029999999998</v>
      </c>
      <c r="AC66" s="74"/>
      <c r="AD66" s="75" t="s">
        <v>8</v>
      </c>
      <c r="AE66" s="113" t="s">
        <v>249</v>
      </c>
    </row>
    <row r="67" spans="1:31" ht="57" customHeight="1" x14ac:dyDescent="0.2">
      <c r="A67" s="24">
        <v>270</v>
      </c>
      <c r="B67" s="97" t="s">
        <v>19</v>
      </c>
      <c r="C67" s="97" t="s">
        <v>18</v>
      </c>
      <c r="D67" s="41" t="s">
        <v>34</v>
      </c>
      <c r="E67" s="63" t="s">
        <v>41</v>
      </c>
      <c r="F67" s="22" t="s">
        <v>40</v>
      </c>
      <c r="G67" s="67">
        <v>2020680010052</v>
      </c>
      <c r="H67" s="32" t="s">
        <v>31</v>
      </c>
      <c r="I67" s="31" t="s">
        <v>30</v>
      </c>
      <c r="J67" s="93">
        <v>44562</v>
      </c>
      <c r="K67" s="93">
        <v>44926</v>
      </c>
      <c r="L67" s="155">
        <v>1</v>
      </c>
      <c r="M67" s="167">
        <v>1</v>
      </c>
      <c r="N67" s="156">
        <f t="shared" ref="N67" si="0">IFERROR(IF(M67/L67&gt;100%,100%,M67/L67),"-")</f>
        <v>1</v>
      </c>
      <c r="O67" s="104" t="s">
        <v>42</v>
      </c>
      <c r="P67" s="29">
        <f>198000000+27500000+35000000</f>
        <v>260500000</v>
      </c>
      <c r="Q67" s="28"/>
      <c r="R67" s="28"/>
      <c r="S67" s="101"/>
      <c r="T67" s="28"/>
      <c r="U67" s="142">
        <f>SUM(P67:T68)</f>
        <v>710500000</v>
      </c>
      <c r="V67" s="28">
        <v>246233333</v>
      </c>
      <c r="W67" s="28"/>
      <c r="X67" s="28"/>
      <c r="Y67" s="101"/>
      <c r="Z67" s="42"/>
      <c r="AA67" s="142">
        <f>SUM(V67:Z68)</f>
        <v>533747370</v>
      </c>
      <c r="AB67" s="157">
        <f>IFERROR(AA67/U67,"-")</f>
        <v>0.75122782547501754</v>
      </c>
      <c r="AC67" s="132"/>
      <c r="AD67" s="133" t="s">
        <v>8</v>
      </c>
      <c r="AE67" s="134" t="s">
        <v>249</v>
      </c>
    </row>
    <row r="68" spans="1:31" ht="42.75" customHeight="1" x14ac:dyDescent="0.2">
      <c r="A68" s="24">
        <v>270</v>
      </c>
      <c r="B68" s="97" t="s">
        <v>19</v>
      </c>
      <c r="C68" s="97" t="s">
        <v>18</v>
      </c>
      <c r="D68" s="41" t="s">
        <v>34</v>
      </c>
      <c r="E68" s="63" t="s">
        <v>41</v>
      </c>
      <c r="F68" s="22" t="s">
        <v>40</v>
      </c>
      <c r="G68" s="67">
        <v>2021680010164</v>
      </c>
      <c r="H68" s="32" t="s">
        <v>39</v>
      </c>
      <c r="I68" s="31"/>
      <c r="J68" s="93">
        <v>44562</v>
      </c>
      <c r="K68" s="93">
        <v>44926</v>
      </c>
      <c r="L68" s="166"/>
      <c r="M68" s="168"/>
      <c r="N68" s="165"/>
      <c r="O68" s="100" t="s">
        <v>38</v>
      </c>
      <c r="P68" s="29">
        <f>300000000+150000000</f>
        <v>450000000</v>
      </c>
      <c r="Q68" s="28"/>
      <c r="R68" s="28"/>
      <c r="S68" s="101"/>
      <c r="T68" s="28"/>
      <c r="U68" s="143"/>
      <c r="V68" s="29">
        <v>287514037</v>
      </c>
      <c r="W68" s="29"/>
      <c r="X68" s="29"/>
      <c r="Y68" s="38"/>
      <c r="Z68" s="29"/>
      <c r="AA68" s="143"/>
      <c r="AB68" s="157"/>
      <c r="AC68" s="132"/>
      <c r="AD68" s="133"/>
      <c r="AE68" s="151"/>
    </row>
    <row r="69" spans="1:31" ht="60.75" customHeight="1" x14ac:dyDescent="0.2">
      <c r="A69" s="24">
        <v>271</v>
      </c>
      <c r="B69" s="97" t="s">
        <v>19</v>
      </c>
      <c r="C69" s="97" t="s">
        <v>18</v>
      </c>
      <c r="D69" s="41" t="s">
        <v>34</v>
      </c>
      <c r="E69" s="63" t="s">
        <v>37</v>
      </c>
      <c r="F69" s="22" t="s">
        <v>36</v>
      </c>
      <c r="G69" s="67">
        <v>2020680010052</v>
      </c>
      <c r="H69" s="32" t="s">
        <v>31</v>
      </c>
      <c r="I69" s="31" t="s">
        <v>30</v>
      </c>
      <c r="J69" s="93">
        <v>44562</v>
      </c>
      <c r="K69" s="93">
        <v>44926</v>
      </c>
      <c r="L69" s="30">
        <v>1</v>
      </c>
      <c r="M69" s="70">
        <v>1</v>
      </c>
      <c r="N69" s="98">
        <f t="shared" ref="N69:N74" si="1">IFERROR(IF(M69/L69&gt;100%,100%,M69/L69),"-")</f>
        <v>1</v>
      </c>
      <c r="O69" s="99" t="s">
        <v>35</v>
      </c>
      <c r="P69" s="29">
        <v>110000000</v>
      </c>
      <c r="Q69" s="28"/>
      <c r="R69" s="28"/>
      <c r="S69" s="101"/>
      <c r="T69" s="28"/>
      <c r="U69" s="64">
        <f>SUM(P69:T69)</f>
        <v>110000000</v>
      </c>
      <c r="V69" s="28">
        <v>90495188</v>
      </c>
      <c r="W69" s="28"/>
      <c r="X69" s="28"/>
      <c r="Y69" s="101"/>
      <c r="Z69" s="28"/>
      <c r="AA69" s="64">
        <f>SUM(V69:Z69)</f>
        <v>90495188</v>
      </c>
      <c r="AB69" s="27">
        <f t="shared" ref="AB69:AB74" si="2">IFERROR(AA69/U69,"-")</f>
        <v>0.82268352727272731</v>
      </c>
      <c r="AC69" s="26"/>
      <c r="AD69" s="25" t="s">
        <v>8</v>
      </c>
      <c r="AE69" s="96" t="s">
        <v>249</v>
      </c>
    </row>
    <row r="70" spans="1:31" ht="63" customHeight="1" x14ac:dyDescent="0.2">
      <c r="A70" s="24">
        <v>272</v>
      </c>
      <c r="B70" s="97" t="s">
        <v>19</v>
      </c>
      <c r="C70" s="97" t="s">
        <v>18</v>
      </c>
      <c r="D70" s="41" t="s">
        <v>34</v>
      </c>
      <c r="E70" s="63" t="s">
        <v>33</v>
      </c>
      <c r="F70" s="22" t="s">
        <v>32</v>
      </c>
      <c r="G70" s="67">
        <v>2020680010052</v>
      </c>
      <c r="H70" s="32" t="s">
        <v>31</v>
      </c>
      <c r="I70" s="31" t="s">
        <v>30</v>
      </c>
      <c r="J70" s="93">
        <v>44562</v>
      </c>
      <c r="K70" s="93">
        <v>44926</v>
      </c>
      <c r="L70" s="36">
        <v>1</v>
      </c>
      <c r="M70" s="68">
        <v>1</v>
      </c>
      <c r="N70" s="98">
        <f t="shared" si="1"/>
        <v>1</v>
      </c>
      <c r="O70" s="104" t="s">
        <v>29</v>
      </c>
      <c r="P70" s="29">
        <v>90000000</v>
      </c>
      <c r="Q70" s="28"/>
      <c r="R70" s="28"/>
      <c r="S70" s="101"/>
      <c r="T70" s="28"/>
      <c r="U70" s="35">
        <f>SUM(P70:T70)</f>
        <v>90000000</v>
      </c>
      <c r="V70" s="28">
        <v>19400000</v>
      </c>
      <c r="W70" s="28"/>
      <c r="X70" s="28"/>
      <c r="Y70" s="101"/>
      <c r="Z70" s="28"/>
      <c r="AA70" s="35">
        <f>SUM(V70:Z70)</f>
        <v>19400000</v>
      </c>
      <c r="AB70" s="27">
        <f t="shared" si="2"/>
        <v>0.21555555555555556</v>
      </c>
      <c r="AC70" s="26"/>
      <c r="AD70" s="25" t="s">
        <v>8</v>
      </c>
      <c r="AE70" s="96" t="s">
        <v>249</v>
      </c>
    </row>
    <row r="71" spans="1:31" ht="63" customHeight="1" x14ac:dyDescent="0.2">
      <c r="A71" s="24">
        <v>273</v>
      </c>
      <c r="B71" s="90" t="s">
        <v>19</v>
      </c>
      <c r="C71" s="90" t="s">
        <v>18</v>
      </c>
      <c r="D71" s="23" t="s">
        <v>25</v>
      </c>
      <c r="E71" s="63" t="s">
        <v>28</v>
      </c>
      <c r="F71" s="22" t="s">
        <v>27</v>
      </c>
      <c r="G71" s="67">
        <v>2021680010152</v>
      </c>
      <c r="H71" s="32" t="s">
        <v>26</v>
      </c>
      <c r="I71" s="31"/>
      <c r="J71" s="93">
        <v>44562</v>
      </c>
      <c r="K71" s="93">
        <v>44926</v>
      </c>
      <c r="L71" s="39">
        <v>1</v>
      </c>
      <c r="M71" s="69">
        <v>1</v>
      </c>
      <c r="N71" s="94">
        <f t="shared" si="1"/>
        <v>1</v>
      </c>
      <c r="O71" s="95"/>
      <c r="P71" s="29">
        <v>35369180</v>
      </c>
      <c r="Q71" s="28"/>
      <c r="R71" s="28"/>
      <c r="S71" s="101"/>
      <c r="T71" s="28"/>
      <c r="U71" s="35">
        <f>SUM(P71:T71)</f>
        <v>35369180</v>
      </c>
      <c r="V71" s="29"/>
      <c r="W71" s="29"/>
      <c r="X71" s="29"/>
      <c r="Y71" s="38"/>
      <c r="Z71" s="29"/>
      <c r="AA71" s="35">
        <f>SUM(V71:Z71)</f>
        <v>0</v>
      </c>
      <c r="AB71" s="37">
        <f t="shared" si="2"/>
        <v>0</v>
      </c>
      <c r="AC71" s="34"/>
      <c r="AD71" s="33" t="s">
        <v>8</v>
      </c>
      <c r="AE71" s="96" t="s">
        <v>249</v>
      </c>
    </row>
    <row r="72" spans="1:31" ht="99.75" x14ac:dyDescent="0.2">
      <c r="A72" s="24">
        <v>274</v>
      </c>
      <c r="B72" s="90" t="s">
        <v>19</v>
      </c>
      <c r="C72" s="90" t="s">
        <v>18</v>
      </c>
      <c r="D72" s="23" t="s">
        <v>25</v>
      </c>
      <c r="E72" s="63" t="s">
        <v>24</v>
      </c>
      <c r="F72" s="22" t="s">
        <v>23</v>
      </c>
      <c r="G72" s="67">
        <v>2020680010164</v>
      </c>
      <c r="H72" s="32" t="s">
        <v>22</v>
      </c>
      <c r="I72" s="31" t="s">
        <v>21</v>
      </c>
      <c r="J72" s="93">
        <v>44562</v>
      </c>
      <c r="K72" s="93">
        <v>44926</v>
      </c>
      <c r="L72" s="36">
        <v>1</v>
      </c>
      <c r="M72" s="68">
        <v>1</v>
      </c>
      <c r="N72" s="98">
        <f t="shared" si="1"/>
        <v>1</v>
      </c>
      <c r="O72" s="95" t="s">
        <v>20</v>
      </c>
      <c r="P72" s="29">
        <f>200000000+110000000-35369180</f>
        <v>274630820</v>
      </c>
      <c r="Q72" s="28"/>
      <c r="R72" s="28"/>
      <c r="S72" s="28"/>
      <c r="T72" s="28"/>
      <c r="U72" s="64">
        <f>SUM(P72:T72)</f>
        <v>274630820</v>
      </c>
      <c r="V72" s="28">
        <f>60000000+14600000+31566666.67</f>
        <v>106166666.67</v>
      </c>
      <c r="W72" s="28"/>
      <c r="X72" s="28"/>
      <c r="Y72" s="28"/>
      <c r="Z72" s="28"/>
      <c r="AA72" s="64">
        <f>SUM(V72:Z72)</f>
        <v>106166666.67</v>
      </c>
      <c r="AB72" s="27">
        <f t="shared" si="2"/>
        <v>0.38657957861393705</v>
      </c>
      <c r="AC72" s="34"/>
      <c r="AD72" s="33" t="s">
        <v>8</v>
      </c>
      <c r="AE72" s="96" t="s">
        <v>249</v>
      </c>
    </row>
    <row r="73" spans="1:31" ht="99" customHeight="1" x14ac:dyDescent="0.2">
      <c r="A73" s="24">
        <v>275</v>
      </c>
      <c r="B73" s="90" t="s">
        <v>19</v>
      </c>
      <c r="C73" s="90" t="s">
        <v>18</v>
      </c>
      <c r="D73" s="23" t="s">
        <v>17</v>
      </c>
      <c r="E73" s="63" t="s">
        <v>16</v>
      </c>
      <c r="F73" s="22" t="s">
        <v>15</v>
      </c>
      <c r="G73" s="67">
        <v>2021680010160</v>
      </c>
      <c r="H73" s="32" t="s">
        <v>14</v>
      </c>
      <c r="I73" s="31" t="s">
        <v>13</v>
      </c>
      <c r="J73" s="93">
        <v>44562</v>
      </c>
      <c r="K73" s="93">
        <v>44926</v>
      </c>
      <c r="L73" s="36">
        <v>1</v>
      </c>
      <c r="M73" s="68">
        <v>1</v>
      </c>
      <c r="N73" s="98">
        <f t="shared" si="1"/>
        <v>1</v>
      </c>
      <c r="O73" s="95" t="s">
        <v>12</v>
      </c>
      <c r="P73" s="29">
        <f>16200000+13140000</f>
        <v>29340000</v>
      </c>
      <c r="Q73" s="28"/>
      <c r="R73" s="28"/>
      <c r="S73" s="101"/>
      <c r="T73" s="28"/>
      <c r="U73" s="35">
        <f>SUM(P73:T73)</f>
        <v>29340000</v>
      </c>
      <c r="V73" s="28">
        <v>28170000</v>
      </c>
      <c r="W73" s="28"/>
      <c r="X73" s="28"/>
      <c r="Y73" s="101"/>
      <c r="Z73" s="28"/>
      <c r="AA73" s="35">
        <f>SUM(V73:Z73)</f>
        <v>28170000</v>
      </c>
      <c r="AB73" s="27">
        <f t="shared" si="2"/>
        <v>0.96012269938650308</v>
      </c>
      <c r="AC73" s="34"/>
      <c r="AD73" s="33" t="s">
        <v>8</v>
      </c>
      <c r="AE73" s="96" t="s">
        <v>249</v>
      </c>
    </row>
    <row r="74" spans="1:31" ht="85.5" customHeight="1" x14ac:dyDescent="0.2">
      <c r="A74" s="24">
        <v>300</v>
      </c>
      <c r="B74" s="90" t="s">
        <v>7</v>
      </c>
      <c r="C74" s="90" t="s">
        <v>6</v>
      </c>
      <c r="D74" s="23" t="s">
        <v>5</v>
      </c>
      <c r="E74" s="63" t="s">
        <v>4</v>
      </c>
      <c r="F74" s="22" t="s">
        <v>3</v>
      </c>
      <c r="G74" s="67">
        <v>2020680010035</v>
      </c>
      <c r="H74" s="32" t="s">
        <v>11</v>
      </c>
      <c r="I74" s="31" t="s">
        <v>10</v>
      </c>
      <c r="J74" s="93">
        <v>44562</v>
      </c>
      <c r="K74" s="93">
        <v>44926</v>
      </c>
      <c r="L74" s="158">
        <v>1</v>
      </c>
      <c r="M74" s="160">
        <v>1</v>
      </c>
      <c r="N74" s="156">
        <f t="shared" si="1"/>
        <v>1</v>
      </c>
      <c r="O74" s="95" t="s">
        <v>9</v>
      </c>
      <c r="P74" s="29">
        <f>620400000+646500000</f>
        <v>1266900000</v>
      </c>
      <c r="Q74" s="28"/>
      <c r="R74" s="28"/>
      <c r="S74" s="28"/>
      <c r="T74" s="28"/>
      <c r="U74" s="142">
        <f>SUM(P74:T75)</f>
        <v>1276900000</v>
      </c>
      <c r="V74" s="28">
        <v>1235790000.8500025</v>
      </c>
      <c r="W74" s="28"/>
      <c r="X74" s="28"/>
      <c r="Y74" s="28"/>
      <c r="Z74" s="28"/>
      <c r="AA74" s="142">
        <f>SUM(V74:Z75)</f>
        <v>1245789400.8500025</v>
      </c>
      <c r="AB74" s="152">
        <f t="shared" si="2"/>
        <v>0.97563583745790783</v>
      </c>
      <c r="AC74" s="145"/>
      <c r="AD74" s="148" t="s">
        <v>8</v>
      </c>
      <c r="AE74" s="134" t="s">
        <v>249</v>
      </c>
    </row>
    <row r="75" spans="1:31" ht="57" x14ac:dyDescent="0.2">
      <c r="A75" s="24">
        <v>300</v>
      </c>
      <c r="B75" s="90" t="s">
        <v>7</v>
      </c>
      <c r="C75" s="90" t="s">
        <v>6</v>
      </c>
      <c r="D75" s="23" t="s">
        <v>5</v>
      </c>
      <c r="E75" s="63" t="s">
        <v>4</v>
      </c>
      <c r="F75" s="22" t="s">
        <v>3</v>
      </c>
      <c r="G75" s="67">
        <v>2021680010153</v>
      </c>
      <c r="H75" s="21" t="s">
        <v>2</v>
      </c>
      <c r="I75" s="20"/>
      <c r="J75" s="93">
        <v>44562</v>
      </c>
      <c r="K75" s="93">
        <v>44926</v>
      </c>
      <c r="L75" s="159"/>
      <c r="M75" s="161"/>
      <c r="N75" s="162"/>
      <c r="O75" s="109" t="s">
        <v>1</v>
      </c>
      <c r="P75" s="17">
        <v>10000000</v>
      </c>
      <c r="Q75" s="19"/>
      <c r="R75" s="19"/>
      <c r="S75" s="114"/>
      <c r="T75" s="19"/>
      <c r="U75" s="144"/>
      <c r="V75" s="17">
        <v>9999400</v>
      </c>
      <c r="W75" s="17"/>
      <c r="X75" s="17"/>
      <c r="Y75" s="18"/>
      <c r="Z75" s="17"/>
      <c r="AA75" s="144"/>
      <c r="AB75" s="154"/>
      <c r="AC75" s="147"/>
      <c r="AD75" s="150"/>
      <c r="AE75" s="135"/>
    </row>
    <row r="76" spans="1:31" ht="15" x14ac:dyDescent="0.2">
      <c r="A76" s="66">
        <f>SUM(--(FREQUENCY(A9:A75,A9:A75)&gt;0))</f>
        <v>34</v>
      </c>
      <c r="B76" s="15"/>
      <c r="C76" s="12"/>
      <c r="D76" s="12"/>
      <c r="E76" s="14"/>
      <c r="F76" s="14"/>
      <c r="G76" s="13"/>
      <c r="H76" s="10"/>
      <c r="I76" s="12"/>
      <c r="J76" s="12"/>
      <c r="K76" s="11"/>
      <c r="L76" s="11"/>
      <c r="M76" s="10" t="s">
        <v>0</v>
      </c>
      <c r="N76" s="11">
        <f>IFERROR(AVERAGE(N9:N75),"-")</f>
        <v>0.98529411764705888</v>
      </c>
      <c r="O76" s="10"/>
      <c r="P76" s="9">
        <f>SUM(P9:P75)</f>
        <v>21952636767</v>
      </c>
      <c r="Q76" s="9">
        <f t="shared" ref="Q76:T76" si="3">SUM(Q9:Q75)</f>
        <v>0</v>
      </c>
      <c r="R76" s="9">
        <f t="shared" si="3"/>
        <v>0</v>
      </c>
      <c r="S76" s="9">
        <f t="shared" si="3"/>
        <v>0</v>
      </c>
      <c r="T76" s="9">
        <f t="shared" si="3"/>
        <v>11156195141.34</v>
      </c>
      <c r="U76" s="8">
        <f>SUM(U9:U75)</f>
        <v>33108831908.34</v>
      </c>
      <c r="V76" s="9">
        <f>SUM(V9:V74)</f>
        <v>20204907216.190002</v>
      </c>
      <c r="W76" s="9">
        <f>SUM(W9:W74)</f>
        <v>0</v>
      </c>
      <c r="X76" s="9">
        <f>SUM(X9:X74)</f>
        <v>0</v>
      </c>
      <c r="Y76" s="9">
        <f>SUM(Y9:Y74)</f>
        <v>0</v>
      </c>
      <c r="Z76" s="9">
        <f>SUM(Z9:Z74)</f>
        <v>9374219681.6200008</v>
      </c>
      <c r="AA76" s="8">
        <f>SUM(AA9:AA75)</f>
        <v>29589126297.809994</v>
      </c>
      <c r="AB76" s="7">
        <f>IFERROR(AA76/U76,"-")</f>
        <v>0.89369284847396246</v>
      </c>
      <c r="AC76" s="6">
        <f>SUM(AC9:AC74)</f>
        <v>0</v>
      </c>
      <c r="AD76" s="5"/>
      <c r="AE76" s="5"/>
    </row>
    <row r="77" spans="1:31" x14ac:dyDescent="0.2">
      <c r="P77" s="3"/>
      <c r="U77" s="125"/>
      <c r="AA77" s="3"/>
    </row>
    <row r="78" spans="1:31" x14ac:dyDescent="0.2">
      <c r="O78" s="2"/>
      <c r="P78" s="119"/>
      <c r="U78" s="126"/>
      <c r="V78" s="120"/>
      <c r="W78" s="120"/>
      <c r="X78" s="120"/>
      <c r="Y78" s="120"/>
      <c r="Z78" s="120"/>
      <c r="AA78" s="120"/>
      <c r="AB78" s="120"/>
      <c r="AC78" s="121"/>
    </row>
    <row r="79" spans="1:31" ht="15" x14ac:dyDescent="0.25">
      <c r="O79" s="124"/>
      <c r="P79" s="119"/>
      <c r="T79" s="122"/>
      <c r="U79"/>
      <c r="V79"/>
      <c r="W79"/>
      <c r="X79"/>
      <c r="Y79"/>
      <c r="Z79"/>
      <c r="AA79" s="78"/>
      <c r="AB79"/>
    </row>
    <row r="80" spans="1:31" ht="15" x14ac:dyDescent="0.25">
      <c r="O80" s="2"/>
      <c r="P80" s="119"/>
      <c r="T80" s="122"/>
      <c r="U80"/>
      <c r="V80"/>
      <c r="W80"/>
      <c r="X80"/>
      <c r="Y80"/>
      <c r="Z80"/>
      <c r="AA80" s="130"/>
      <c r="AB80"/>
    </row>
    <row r="81" spans="15:28" ht="15" x14ac:dyDescent="0.25">
      <c r="O81" s="123"/>
      <c r="P81" s="4"/>
      <c r="T81" s="3"/>
      <c r="U81"/>
      <c r="V81"/>
      <c r="W81"/>
      <c r="X81"/>
      <c r="Y81"/>
      <c r="Z81"/>
      <c r="AA81" s="131"/>
      <c r="AB81"/>
    </row>
    <row r="82" spans="15:28" ht="15" x14ac:dyDescent="0.25">
      <c r="O82" s="119"/>
      <c r="P82" s="119"/>
      <c r="T82" s="122"/>
      <c r="U82" s="120"/>
      <c r="V82" s="120"/>
      <c r="W82" s="120"/>
      <c r="X82" s="120"/>
      <c r="Y82" s="120"/>
      <c r="Z82"/>
      <c r="AA82"/>
      <c r="AB82" s="120"/>
    </row>
    <row r="83" spans="15:28" ht="15" x14ac:dyDescent="0.25">
      <c r="T83" s="122"/>
      <c r="U83" s="120"/>
      <c r="V83" s="120"/>
      <c r="W83" s="120"/>
      <c r="X83" s="120"/>
      <c r="Y83" s="129"/>
      <c r="Z83"/>
      <c r="AA83"/>
      <c r="AB83" s="120"/>
    </row>
    <row r="84" spans="15:28" ht="15" x14ac:dyDescent="0.25">
      <c r="P84" s="119"/>
      <c r="T84" s="122"/>
      <c r="U84" s="120"/>
      <c r="V84" s="120"/>
      <c r="W84" s="120"/>
      <c r="X84" s="120"/>
      <c r="Y84" s="120"/>
      <c r="Z84"/>
      <c r="AA84"/>
      <c r="AB84" s="120"/>
    </row>
    <row r="85" spans="15:28" x14ac:dyDescent="0.2">
      <c r="O85" s="2"/>
      <c r="U85" s="120"/>
      <c r="V85" s="120"/>
      <c r="W85" s="120"/>
      <c r="X85" s="120"/>
      <c r="Y85" s="120"/>
      <c r="Z85" s="120"/>
      <c r="AA85" s="120"/>
      <c r="AB85" s="120"/>
    </row>
    <row r="86" spans="15:28" hidden="1" x14ac:dyDescent="0.2">
      <c r="U86" s="120"/>
      <c r="V86" s="120"/>
      <c r="W86" s="120"/>
      <c r="X86" s="120"/>
      <c r="Y86" s="120"/>
      <c r="Z86" s="120"/>
      <c r="AA86" s="120"/>
      <c r="AB86" s="120"/>
    </row>
    <row r="87" spans="15:28" hidden="1" x14ac:dyDescent="0.2">
      <c r="U87" s="120"/>
      <c r="V87" s="120"/>
      <c r="W87" s="120"/>
      <c r="X87" s="120"/>
      <c r="Y87" s="120"/>
      <c r="Z87" s="120"/>
      <c r="AA87" s="120"/>
      <c r="AB87" s="120"/>
    </row>
    <row r="88" spans="15:28" hidden="1" x14ac:dyDescent="0.2">
      <c r="U88" s="120"/>
      <c r="V88" s="120"/>
      <c r="W88" s="120"/>
      <c r="X88" s="120"/>
      <c r="Y88" s="120"/>
      <c r="Z88" s="120"/>
      <c r="AA88" s="120"/>
      <c r="AB88" s="120"/>
    </row>
    <row r="89" spans="15:28" hidden="1" x14ac:dyDescent="0.2">
      <c r="U89" s="120"/>
      <c r="V89" s="120"/>
      <c r="W89" s="120"/>
      <c r="X89" s="120"/>
      <c r="Y89" s="120"/>
      <c r="Z89" s="120"/>
      <c r="AA89" s="120"/>
      <c r="AB89" s="120"/>
    </row>
    <row r="90" spans="15:28" x14ac:dyDescent="0.2"/>
    <row r="91" spans="15:28" x14ac:dyDescent="0.2"/>
    <row r="92" spans="15:28" x14ac:dyDescent="0.2"/>
    <row r="93" spans="15:28" x14ac:dyDescent="0.2"/>
  </sheetData>
  <mergeCells count="134">
    <mergeCell ref="A1:A4"/>
    <mergeCell ref="B1:AB4"/>
    <mergeCell ref="AC1:AE1"/>
    <mergeCell ref="AC2:AE2"/>
    <mergeCell ref="AC3:AE3"/>
    <mergeCell ref="AC4:AE4"/>
    <mergeCell ref="A5:C5"/>
    <mergeCell ref="D5:G5"/>
    <mergeCell ref="A6:C6"/>
    <mergeCell ref="D6:G6"/>
    <mergeCell ref="B7:F7"/>
    <mergeCell ref="G7:I7"/>
    <mergeCell ref="J7:N7"/>
    <mergeCell ref="O7:U7"/>
    <mergeCell ref="V7:AA7"/>
    <mergeCell ref="AB7:AB8"/>
    <mergeCell ref="AC7:AC8"/>
    <mergeCell ref="L11:L12"/>
    <mergeCell ref="M11:M12"/>
    <mergeCell ref="N11:N12"/>
    <mergeCell ref="U11:U12"/>
    <mergeCell ref="AA11:AA12"/>
    <mergeCell ref="AB11:AB12"/>
    <mergeCell ref="AC11:AC12"/>
    <mergeCell ref="L13:L15"/>
    <mergeCell ref="M13:M15"/>
    <mergeCell ref="N13:N15"/>
    <mergeCell ref="U13:U15"/>
    <mergeCell ref="AA13:AA15"/>
    <mergeCell ref="AB13:AB15"/>
    <mergeCell ref="AC13:AC15"/>
    <mergeCell ref="AD13:AD15"/>
    <mergeCell ref="AE13:AE15"/>
    <mergeCell ref="L18:L19"/>
    <mergeCell ref="M18:M19"/>
    <mergeCell ref="N18:N19"/>
    <mergeCell ref="U18:U19"/>
    <mergeCell ref="AA18:AA19"/>
    <mergeCell ref="AB18:AB19"/>
    <mergeCell ref="AC18:AC19"/>
    <mergeCell ref="AD18:AD19"/>
    <mergeCell ref="AE18:AE19"/>
    <mergeCell ref="M44:M46"/>
    <mergeCell ref="N44:N46"/>
    <mergeCell ref="U44:U46"/>
    <mergeCell ref="AA44:AA46"/>
    <mergeCell ref="M50:M51"/>
    <mergeCell ref="L44:L46"/>
    <mergeCell ref="AC20:AC35"/>
    <mergeCell ref="AD20:AD35"/>
    <mergeCell ref="AE20:AE35"/>
    <mergeCell ref="AB20:AB35"/>
    <mergeCell ref="AB36:AB39"/>
    <mergeCell ref="AC36:AC39"/>
    <mergeCell ref="AD36:AD39"/>
    <mergeCell ref="AE36:AE39"/>
    <mergeCell ref="AD42:AD43"/>
    <mergeCell ref="AE42:AE43"/>
    <mergeCell ref="L52:L54"/>
    <mergeCell ref="M52:M54"/>
    <mergeCell ref="N52:N54"/>
    <mergeCell ref="U52:U54"/>
    <mergeCell ref="L63:L64"/>
    <mergeCell ref="M63:M64"/>
    <mergeCell ref="N63:N64"/>
    <mergeCell ref="U63:U64"/>
    <mergeCell ref="AA63:AA64"/>
    <mergeCell ref="L74:L75"/>
    <mergeCell ref="M74:M75"/>
    <mergeCell ref="N74:N75"/>
    <mergeCell ref="U74:U75"/>
    <mergeCell ref="AA74:AA75"/>
    <mergeCell ref="AB67:AB68"/>
    <mergeCell ref="L57:L59"/>
    <mergeCell ref="M57:M59"/>
    <mergeCell ref="N57:N59"/>
    <mergeCell ref="U57:U59"/>
    <mergeCell ref="AA57:AA59"/>
    <mergeCell ref="AB57:AB59"/>
    <mergeCell ref="AB74:AB75"/>
    <mergeCell ref="L67:L68"/>
    <mergeCell ref="M67:M68"/>
    <mergeCell ref="N67:N68"/>
    <mergeCell ref="U67:U68"/>
    <mergeCell ref="AA67:AA68"/>
    <mergeCell ref="N50:N51"/>
    <mergeCell ref="U50:U51"/>
    <mergeCell ref="AA50:AA51"/>
    <mergeCell ref="AB50:AB51"/>
    <mergeCell ref="AC50:AC51"/>
    <mergeCell ref="AD50:AD51"/>
    <mergeCell ref="AE50:AE51"/>
    <mergeCell ref="AB63:AB64"/>
    <mergeCell ref="AD11:AD12"/>
    <mergeCell ref="AE11:AE12"/>
    <mergeCell ref="U42:U43"/>
    <mergeCell ref="AA42:AA43"/>
    <mergeCell ref="AB42:AB43"/>
    <mergeCell ref="AC42:AC43"/>
    <mergeCell ref="AD74:AD75"/>
    <mergeCell ref="AE74:AE75"/>
    <mergeCell ref="AC67:AC68"/>
    <mergeCell ref="AD67:AD68"/>
    <mergeCell ref="AE67:AE68"/>
    <mergeCell ref="AC74:AC75"/>
    <mergeCell ref="AA52:AA54"/>
    <mergeCell ref="AB44:AB46"/>
    <mergeCell ref="AC44:AC46"/>
    <mergeCell ref="AD44:AD46"/>
    <mergeCell ref="AE44:AE46"/>
    <mergeCell ref="AC63:AC64"/>
    <mergeCell ref="AD63:AD64"/>
    <mergeCell ref="AE63:AE64"/>
    <mergeCell ref="L36:L39"/>
    <mergeCell ref="M36:M39"/>
    <mergeCell ref="N36:N39"/>
    <mergeCell ref="L20:L35"/>
    <mergeCell ref="M20:M35"/>
    <mergeCell ref="N20:N35"/>
    <mergeCell ref="U20:U35"/>
    <mergeCell ref="U36:U39"/>
    <mergeCell ref="AA36:AA39"/>
    <mergeCell ref="AA20:AA35"/>
    <mergeCell ref="L42:L43"/>
    <mergeCell ref="M42:M43"/>
    <mergeCell ref="AC57:AC59"/>
    <mergeCell ref="AD57:AD59"/>
    <mergeCell ref="AE57:AE59"/>
    <mergeCell ref="AB52:AB54"/>
    <mergeCell ref="AC52:AC54"/>
    <mergeCell ref="AD52:AD54"/>
    <mergeCell ref="AE52:AE54"/>
    <mergeCell ref="L50:L51"/>
    <mergeCell ref="N42:N43"/>
  </mergeCells>
  <conditionalFormatting sqref="N9:N20 N40:N41 N44:N75">
    <cfRule type="cellIs" dxfId="8" priority="16" operator="between">
      <formula>0.67</formula>
      <formula>1</formula>
    </cfRule>
    <cfRule type="cellIs" dxfId="7" priority="17" operator="between">
      <formula>0.34</formula>
      <formula>0.67</formula>
    </cfRule>
    <cfRule type="cellIs" dxfId="6" priority="18" operator="between">
      <formula>0</formula>
      <formula>0.34</formula>
    </cfRule>
  </conditionalFormatting>
  <conditionalFormatting sqref="N36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42:N43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Rodriguez</dc:creator>
  <cp:lastModifiedBy>PC</cp:lastModifiedBy>
  <dcterms:created xsi:type="dcterms:W3CDTF">2022-12-13T10:41:59Z</dcterms:created>
  <dcterms:modified xsi:type="dcterms:W3CDTF">2023-03-27T23:33:46Z</dcterms:modified>
</cp:coreProperties>
</file>