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AAB930A5-F2C9-49A6-ABF8-D3F3E28E0AFA}"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8"/>
  <pivotCaches>
    <pivotCache cacheId="132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Q29" i="1"/>
  <c r="AB29" i="1" s="1"/>
  <c r="AA29" i="1" s="1"/>
  <c r="K29" i="1"/>
  <c r="X28" i="1"/>
  <c r="Z28" i="1" s="1"/>
  <c r="T28" i="1"/>
  <c r="Q28" i="1"/>
  <c r="K28" i="1"/>
  <c r="AB27" i="1"/>
  <c r="AA27" i="1" s="1"/>
  <c r="X27" i="1"/>
  <c r="Z27" i="1" s="1"/>
  <c r="T27" i="1"/>
  <c r="Q27" i="1"/>
  <c r="AB28" i="1" s="1"/>
  <c r="AA28" i="1" s="1"/>
  <c r="K27" i="1"/>
  <c r="T26" i="1"/>
  <c r="Q26" i="1"/>
  <c r="K26" i="1"/>
  <c r="T25" i="1"/>
  <c r="Q25" i="1"/>
  <c r="AB26" i="1" s="1"/>
  <c r="AA26" i="1" s="1"/>
  <c r="K25" i="1"/>
  <c r="T24" i="1"/>
  <c r="Q24" i="1"/>
  <c r="K24" i="1"/>
  <c r="L24" i="1" s="1"/>
  <c r="H24" i="1"/>
  <c r="Q18" i="1"/>
  <c r="T18" i="1"/>
  <c r="T23" i="1"/>
  <c r="Q23" i="1"/>
  <c r="K23" i="1"/>
  <c r="T22" i="1"/>
  <c r="Q22" i="1"/>
  <c r="K22" i="1"/>
  <c r="T21" i="1"/>
  <c r="Q21" i="1"/>
  <c r="K21" i="1"/>
  <c r="T20" i="1"/>
  <c r="Q20" i="1"/>
  <c r="AB21" i="1" s="1"/>
  <c r="AA21" i="1" s="1"/>
  <c r="K20" i="1"/>
  <c r="T19" i="1"/>
  <c r="Q19" i="1"/>
  <c r="K19" i="1"/>
  <c r="K18" i="1"/>
  <c r="H18" i="1"/>
  <c r="H12" i="1"/>
  <c r="T83" i="1"/>
  <c r="Q83" i="1"/>
  <c r="K83" i="1"/>
  <c r="T82" i="1"/>
  <c r="Q82" i="1"/>
  <c r="K82" i="1"/>
  <c r="T81" i="1"/>
  <c r="Q81" i="1"/>
  <c r="K81" i="1"/>
  <c r="T80" i="1"/>
  <c r="Q80" i="1"/>
  <c r="X80" i="1" s="1"/>
  <c r="K80" i="1"/>
  <c r="K79" i="1"/>
  <c r="H78" i="1"/>
  <c r="I78" i="1" s="1"/>
  <c r="X78" i="1" s="1"/>
  <c r="T77" i="1"/>
  <c r="Q77" i="1"/>
  <c r="K77" i="1"/>
  <c r="T76" i="1"/>
  <c r="Q76" i="1"/>
  <c r="K76" i="1"/>
  <c r="T75" i="1"/>
  <c r="Q75" i="1"/>
  <c r="K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X22" i="1" l="1"/>
  <c r="Z22" i="1" s="1"/>
  <c r="N24" i="1"/>
  <c r="M24" i="1"/>
  <c r="AB22" i="1"/>
  <c r="AA22" i="1" s="1"/>
  <c r="AB24" i="1"/>
  <c r="AA24" i="1" s="1"/>
  <c r="Y27" i="1"/>
  <c r="AC27" i="1" s="1"/>
  <c r="I24" i="1"/>
  <c r="X24" i="1" s="1"/>
  <c r="X25" i="1"/>
  <c r="AB25" i="1"/>
  <c r="AA25" i="1" s="1"/>
  <c r="Y28" i="1"/>
  <c r="AC28" i="1" s="1"/>
  <c r="X29" i="1"/>
  <c r="X26" i="1"/>
  <c r="AB20" i="1"/>
  <c r="AA20" i="1" s="1"/>
  <c r="X21" i="1"/>
  <c r="Z21" i="1" s="1"/>
  <c r="AB23" i="1"/>
  <c r="AA23" i="1" s="1"/>
  <c r="L18" i="1"/>
  <c r="N18" i="1" s="1"/>
  <c r="I18" i="1"/>
  <c r="X18" i="1" s="1"/>
  <c r="AB19" i="1"/>
  <c r="AA19" i="1" s="1"/>
  <c r="Y22" i="1"/>
  <c r="AC22" i="1" s="1"/>
  <c r="X23" i="1"/>
  <c r="X20" i="1"/>
  <c r="X76" i="1"/>
  <c r="Z76" i="1" s="1"/>
  <c r="AB83" i="1"/>
  <c r="AA83" i="1" s="1"/>
  <c r="X75" i="1"/>
  <c r="Z75" i="1" s="1"/>
  <c r="AB77" i="1"/>
  <c r="AA77" i="1" s="1"/>
  <c r="X77" i="1"/>
  <c r="Z77" i="1" s="1"/>
  <c r="AB81" i="1"/>
  <c r="AA81" i="1" s="1"/>
  <c r="X81" i="1"/>
  <c r="Z81" i="1" s="1"/>
  <c r="AB82" i="1"/>
  <c r="AA82" i="1" s="1"/>
  <c r="X82" i="1"/>
  <c r="Z82" i="1" s="1"/>
  <c r="Z80" i="1"/>
  <c r="Y80" i="1"/>
  <c r="Z78" i="1"/>
  <c r="X79" i="1" s="1"/>
  <c r="Y79" i="1" s="1"/>
  <c r="Y78" i="1"/>
  <c r="AB79" i="1"/>
  <c r="AA79" i="1" s="1"/>
  <c r="X83" i="1"/>
  <c r="AB80" i="1"/>
  <c r="AA80" i="1" s="1"/>
  <c r="AB75" i="1"/>
  <c r="AA75" i="1" s="1"/>
  <c r="X72" i="1"/>
  <c r="AB76" i="1"/>
  <c r="AA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5" i="1"/>
  <c r="AA65" i="1" s="1"/>
  <c r="X61" i="1"/>
  <c r="Z18" i="1" l="1"/>
  <c r="Y18" i="1"/>
  <c r="Y21" i="1"/>
  <c r="AC21" i="1" s="1"/>
  <c r="M18" i="1"/>
  <c r="AB18" i="1" s="1"/>
  <c r="AA18" i="1" s="1"/>
  <c r="Z26" i="1"/>
  <c r="Y26" i="1"/>
  <c r="AC26" i="1" s="1"/>
  <c r="Y25" i="1"/>
  <c r="AC25" i="1" s="1"/>
  <c r="Z25" i="1"/>
  <c r="Y29" i="1"/>
  <c r="AC29" i="1" s="1"/>
  <c r="Z29" i="1"/>
  <c r="Z24" i="1"/>
  <c r="Y24" i="1"/>
  <c r="AC24" i="1" s="1"/>
  <c r="Y75" i="1"/>
  <c r="AC75" i="1" s="1"/>
  <c r="Y76" i="1"/>
  <c r="Z20" i="1"/>
  <c r="Y20" i="1"/>
  <c r="AC20" i="1" s="1"/>
  <c r="Y23" i="1"/>
  <c r="AC23" i="1" s="1"/>
  <c r="Z23" i="1"/>
  <c r="X19" i="1"/>
  <c r="Y81" i="1"/>
  <c r="AC81" i="1" s="1"/>
  <c r="Y77" i="1"/>
  <c r="AC77" i="1" s="1"/>
  <c r="Y82" i="1"/>
  <c r="AC82" i="1" s="1"/>
  <c r="AC76" i="1"/>
  <c r="Z79" i="1"/>
  <c r="AC79" i="1"/>
  <c r="AC80" i="1"/>
  <c r="Z83" i="1"/>
  <c r="Y83" i="1"/>
  <c r="AC83" i="1" s="1"/>
  <c r="AB73" i="1"/>
  <c r="Z72" i="1"/>
  <c r="X73" i="1" s="1"/>
  <c r="Y73" i="1" s="1"/>
  <c r="Y72" i="1"/>
  <c r="Z68" i="1"/>
  <c r="AC65" i="1"/>
  <c r="AC68" i="1"/>
  <c r="Y63" i="1"/>
  <c r="AC63" i="1" s="1"/>
  <c r="AC64" i="1"/>
  <c r="Y62" i="1"/>
  <c r="AC62" i="1" s="1"/>
  <c r="Z65" i="1"/>
  <c r="Y69" i="1"/>
  <c r="AC69" i="1" s="1"/>
  <c r="Y71" i="1"/>
  <c r="AC71" i="1" s="1"/>
  <c r="Y67" i="1"/>
  <c r="AC67" i="1" s="1"/>
  <c r="Z64" i="1"/>
  <c r="Z70" i="1"/>
  <c r="AC70" i="1"/>
  <c r="Y61" i="1"/>
  <c r="AC18" i="1" l="1"/>
  <c r="Y19" i="1"/>
  <c r="AC19" i="1" s="1"/>
  <c r="Z19" i="1"/>
  <c r="Z73" i="1"/>
  <c r="AA73" i="1"/>
  <c r="AC73" i="1" s="1"/>
  <c r="T12" i="1" l="1"/>
  <c r="Q12" i="1"/>
  <c r="I12" i="1" l="1"/>
  <c r="K59" i="1"/>
  <c r="K51" i="1"/>
  <c r="K56" i="1"/>
  <c r="K40" i="1"/>
  <c r="K50" i="1"/>
  <c r="K37" i="1"/>
  <c r="K49" i="1"/>
  <c r="K58" i="1"/>
  <c r="K41" i="1"/>
  <c r="K52" i="1"/>
  <c r="K39" i="1"/>
  <c r="K43" i="1"/>
  <c r="K57" i="1"/>
  <c r="K44" i="1"/>
  <c r="K38" i="1"/>
  <c r="K55" i="1"/>
  <c r="K45" i="1"/>
  <c r="K53" i="1"/>
  <c r="K46" i="1"/>
  <c r="K47" i="1"/>
  <c r="F221" i="13" l="1"/>
  <c r="F211" i="13"/>
  <c r="F212" i="13"/>
  <c r="F213" i="13"/>
  <c r="F214" i="13"/>
  <c r="F215" i="13"/>
  <c r="F216" i="13"/>
  <c r="F217" i="13"/>
  <c r="F218" i="13"/>
  <c r="F219" i="13"/>
  <c r="F220" i="13"/>
  <c r="F210" i="13"/>
  <c r="K17" i="1"/>
  <c r="K16" i="1"/>
  <c r="K13" i="1"/>
  <c r="K14" i="1"/>
  <c r="B221" i="13" a="1"/>
  <c r="K15" i="1"/>
  <c r="B221" i="13" l="1"/>
  <c r="Q43" i="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AB72" i="1" s="1"/>
  <c r="AA72" i="1" s="1"/>
  <c r="AC72" i="1" s="1"/>
  <c r="N72" i="1"/>
  <c r="M78" i="1"/>
  <c r="AB78" i="1" s="1"/>
  <c r="AA78" i="1" s="1"/>
  <c r="AC78" i="1" s="1"/>
  <c r="N78" i="1"/>
  <c r="T59" i="1"/>
  <c r="Q59" i="1"/>
  <c r="T58" i="1"/>
  <c r="Q58" i="1"/>
  <c r="T57" i="1"/>
  <c r="Q57" i="1"/>
  <c r="T56" i="1"/>
  <c r="Q56" i="1"/>
  <c r="T55" i="1"/>
  <c r="Q55" i="1"/>
  <c r="H54" i="1"/>
  <c r="I54" i="1" s="1"/>
  <c r="T53" i="1"/>
  <c r="Q53" i="1"/>
  <c r="T52" i="1"/>
  <c r="Q52" i="1"/>
  <c r="T51" i="1"/>
  <c r="Q51" i="1"/>
  <c r="T50" i="1"/>
  <c r="Q50" i="1"/>
  <c r="H48" i="1"/>
  <c r="I48" i="1" s="1"/>
  <c r="T47" i="1"/>
  <c r="Q47" i="1"/>
  <c r="T46" i="1"/>
  <c r="Q46" i="1"/>
  <c r="T45" i="1"/>
  <c r="Q45" i="1"/>
  <c r="T44" i="1"/>
  <c r="Q44" i="1"/>
  <c r="T43" i="1"/>
  <c r="H42" i="1"/>
  <c r="I42" i="1" s="1"/>
  <c r="T41" i="1"/>
  <c r="Q41" i="1"/>
  <c r="T40" i="1"/>
  <c r="Q40" i="1"/>
  <c r="T39" i="1"/>
  <c r="Q39" i="1"/>
  <c r="T38" i="1"/>
  <c r="Q38" i="1"/>
  <c r="T37" i="1"/>
  <c r="Q37" i="1"/>
  <c r="H36" i="1"/>
  <c r="I36" i="1" s="1"/>
  <c r="T35" i="1"/>
  <c r="Q35" i="1"/>
  <c r="T34" i="1"/>
  <c r="Q34" i="1"/>
  <c r="T33" i="1"/>
  <c r="Q33" i="1"/>
  <c r="T32" i="1"/>
  <c r="Q32" i="1"/>
  <c r="T31" i="1"/>
  <c r="Q31" i="1"/>
  <c r="H30" i="1"/>
  <c r="I30" i="1" s="1"/>
  <c r="Q17" i="1"/>
  <c r="Q16" i="1"/>
  <c r="X54" i="1" l="1"/>
  <c r="X38" i="1"/>
  <c r="X46" i="1"/>
  <c r="X58" i="1"/>
  <c r="X32" i="1"/>
  <c r="X40" i="1"/>
  <c r="X52" i="1"/>
  <c r="X35" i="1"/>
  <c r="X34" i="1"/>
  <c r="X33" i="1"/>
  <c r="AB55" i="1"/>
  <c r="X56" i="1"/>
  <c r="X55" i="1"/>
  <c r="X31" i="1"/>
  <c r="X51" i="1"/>
  <c r="X50" i="1"/>
  <c r="X53" i="1"/>
  <c r="X57" i="1"/>
  <c r="X59" i="1"/>
  <c r="X37" i="1"/>
  <c r="X39" i="1"/>
  <c r="X41" i="1"/>
  <c r="X45" i="1"/>
  <c r="X44" i="1"/>
  <c r="X47" i="1"/>
  <c r="AB43" i="1"/>
  <c r="X43" i="1"/>
  <c r="X48" i="1"/>
  <c r="AB31" i="1"/>
  <c r="AB37" i="1"/>
  <c r="AB52" i="1"/>
  <c r="AA52" i="1" s="1"/>
  <c r="AB53" i="1"/>
  <c r="AA53" i="1" s="1"/>
  <c r="Y54" i="1" l="1"/>
  <c r="Z54" i="1"/>
  <c r="Z55" i="1" s="1"/>
  <c r="Y53" i="1"/>
  <c r="Z53" i="1"/>
  <c r="Y52" i="1"/>
  <c r="Z52" i="1"/>
  <c r="Y48" i="1"/>
  <c r="Z48" i="1"/>
  <c r="X49" i="1" s="1"/>
  <c r="Z43" i="1"/>
  <c r="Z31" i="1"/>
  <c r="Y32" i="1" s="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57" i="1" l="1"/>
  <c r="Z57" i="1"/>
  <c r="Y50" i="1"/>
  <c r="Z50" i="1"/>
  <c r="Y49" i="1"/>
  <c r="Z49" i="1"/>
  <c r="Y37" i="1"/>
  <c r="Z37" i="1"/>
  <c r="Y38" i="1" s="1"/>
  <c r="Y34" i="1"/>
  <c r="Z38" i="1" l="1"/>
  <c r="Z39" i="1" s="1"/>
  <c r="Y58" i="1"/>
  <c r="Z58" i="1"/>
  <c r="Y45" i="1"/>
  <c r="Z45" i="1"/>
  <c r="Y46" i="1" s="1"/>
  <c r="Y39" i="1"/>
  <c r="Y51" i="1"/>
  <c r="Z51" i="1"/>
  <c r="Y33" i="1"/>
  <c r="Z33" i="1"/>
  <c r="Z34" i="1"/>
  <c r="Y59" i="1" l="1"/>
  <c r="Z59" i="1"/>
  <c r="Z46" i="1"/>
  <c r="Y47" i="1" s="1"/>
  <c r="Z40" i="1"/>
  <c r="Y40" i="1"/>
  <c r="Y35" i="1"/>
  <c r="Z35" i="1"/>
  <c r="X12" i="1"/>
  <c r="Y12" i="1" l="1"/>
  <c r="Z12" i="1"/>
  <c r="Y41" i="1"/>
  <c r="Z41" i="1"/>
  <c r="Z47" i="1"/>
  <c r="X13" i="1" l="1"/>
  <c r="Y13" i="1" l="1"/>
  <c r="Z13" i="1" l="1"/>
  <c r="X16" i="1" l="1"/>
  <c r="Y16" i="1" l="1"/>
  <c r="Z16" i="1"/>
  <c r="X17" i="1" s="1"/>
  <c r="Y17" i="1" l="1"/>
  <c r="Z17" i="1"/>
  <c r="K42" i="1" l="1"/>
  <c r="L42" i="1" s="1"/>
  <c r="K54" i="1"/>
  <c r="L54" i="1" s="1"/>
  <c r="K48" i="1"/>
  <c r="L48" i="1" s="1"/>
  <c r="K36" i="1"/>
  <c r="L36" i="1" s="1"/>
  <c r="K12" i="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54" i="1"/>
  <c r="AA54" i="1" s="1"/>
  <c r="AA12" i="1"/>
  <c r="AB48" i="1"/>
  <c r="AB36" i="1"/>
  <c r="AA36" i="1" s="1"/>
  <c r="AA48" i="1" l="1"/>
  <c r="V32" i="19" s="1"/>
  <c r="AB49" i="1"/>
  <c r="AA49" i="1" s="1"/>
  <c r="J47" i="19"/>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J12" i="19"/>
  <c r="J32" i="19"/>
  <c r="AC48" i="1"/>
  <c r="V22" i="19"/>
  <c r="J52" i="19"/>
  <c r="AH42" i="19"/>
  <c r="P32" i="19"/>
  <c r="AB12" i="19"/>
  <c r="AB32" i="19"/>
  <c r="AB42" i="19"/>
  <c r="V52" i="19"/>
  <c r="AB22" i="19"/>
  <c r="AH52" i="19"/>
  <c r="P22" i="19"/>
  <c r="P12" i="19"/>
  <c r="AB50" i="1"/>
  <c r="AA50" i="1" s="1"/>
  <c r="AB51" i="1"/>
  <c r="AA51" i="1" s="1"/>
  <c r="AA55" i="1"/>
  <c r="AB56" i="1"/>
  <c r="AA31" i="1"/>
  <c r="AB32" i="1"/>
  <c r="P17" i="19" l="1"/>
  <c r="P27" i="19"/>
  <c r="AH22" i="19"/>
  <c r="AH32" i="19"/>
  <c r="J22" i="19"/>
  <c r="V12" i="19"/>
  <c r="J42" i="19"/>
  <c r="P42" i="19"/>
  <c r="P52" i="19"/>
  <c r="V42" i="19"/>
  <c r="AH12" i="19"/>
  <c r="AB52" i="19"/>
  <c r="J7" i="19"/>
  <c r="V27" i="19"/>
  <c r="AB17" i="19"/>
  <c r="AH37" i="19"/>
  <c r="V7" i="19"/>
  <c r="J37" i="19"/>
  <c r="V37" i="19"/>
  <c r="AB37" i="19"/>
  <c r="V47" i="19"/>
  <c r="AH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<sst xmlns="http://schemas.openxmlformats.org/spreadsheetml/2006/main" count="429" uniqueCount="298">
  <si>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</si>
  <si>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</si>
  <si>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</si>
  <si>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</si>
  <si>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</si>
  <si>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</si>
  <si>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</si>
  <si>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</si>
  <si>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</si>
  <si>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</si>
  <si>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</si>
  <si>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</si>
  <si>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</si>
  <si>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</si>
  <si>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</si>
  <si>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</si>
  <si>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</si>
  <si>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</si>
  <si>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</si>
  <si>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</si>
  <si>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</si>
  <si>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</si>
  <si>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</si>
  <si>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</si>
  <si>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</si>
  <si>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</si>
  <si>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</si>
  <si>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</si>
  <si>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</si>
  <si>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</si>
  <si>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</si>
  <si>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</si>
  <si>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</si>
  <si>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</si>
  <si>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</si>
  <si>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</si>
  <si>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</si>
  <si>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</si>
  <si>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</si>
  <si>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</si>
  <si>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</si>
  <si>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</si>
  <si>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</si>
  <si>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</si>
  <si>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</si>
  <si>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</si>
  <si>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</si>
  <si>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</si>
  <si>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</si>
  <si>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</si>
  <si>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</si>
  <si>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</si>
  <si>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</si>
  <si>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</si>
  <si>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</si>
  <si>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</si>
  <si>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</si>
  <si>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</si>
  <si>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</si>
  <si>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</si>
  <si>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</si>
  <si>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</si>
  <si>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</si>
  <si>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</si>
  <si>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</si>
  <si>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</si>
  <si>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</si>
  <si>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</si>
  <si>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</si>
  <si>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</si>
  <si>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</si>
  <si>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</si>
  <si>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</si>
  <si>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</si>
  <si>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</si>
  <si>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</si>
  <si>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</si>
  <si>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</si>
  <si>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VALORIZACIÓN</t>
  </si>
  <si>
    <t>ALCANCE:</t>
  </si>
  <si>
    <t>Comprende los estudios de las posibles fuentes de financiación para la ejecución de obras publicas que generen beneficio predial</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</si>
  <si>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</si>
  <si>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</si>
  <si>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</si>
  <si>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</si>
  <si>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</si>
  <si>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</si>
  <si>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Estudios de prefactibilidad, factibilidad; Actos administrativos: Irrigación, modificación y cobro; Plan vial Bucaramanga competitiva</t>
  </si>
  <si>
    <t>Formulación de estudios y actos administrativos</t>
  </si>
  <si>
    <t>MATRIZ DOFA</t>
  </si>
  <si>
    <t>DEBILIDADES</t>
  </si>
  <si>
    <t>AMENAZAS</t>
  </si>
  <si>
    <t>Planta de personal insuficiente.</t>
  </si>
  <si>
    <t>Desconocimiento de los ciudadanos del proceso de la irrigación y cobro de la contribución de valorización en Bucaramanga.</t>
  </si>
  <si>
    <t>Falta de constancia en la utilización en el instrumento financiero de la contribución de valorización para la ejecución de obras en la ciudad de Bucaramanga</t>
  </si>
  <si>
    <t>Incumplimiento de los acuerdos municipales que decretan obras por el sistema de valorización</t>
  </si>
  <si>
    <t>Obsolecencia de Equipos de cómputo, Impresora, Scanner y Planta física</t>
  </si>
  <si>
    <t xml:space="preserve">Mantener en constante utilización de la figura de valorización en el municipio de Bucaramanga </t>
  </si>
  <si>
    <t>Alto nivel de rotación de personal</t>
  </si>
  <si>
    <t xml:space="preserve"> Retraso en las obras de los intercambiadores desarrollados en el proyecto </t>
  </si>
  <si>
    <t>Ineficiente canal de comunicación con los contribuyentes</t>
  </si>
  <si>
    <t xml:space="preserve"> Alto flujo de derechos de petición y demandas</t>
  </si>
  <si>
    <t xml:space="preserve"> Posibles emergencias sanitarias</t>
  </si>
  <si>
    <t>FORTALEZAS</t>
  </si>
  <si>
    <t>OPORTUNIDADES</t>
  </si>
  <si>
    <t>Recurso humano capacitado técnicamente y con experiencia en la ejecución del proceso para la ciudad de Bucaramanga</t>
  </si>
  <si>
    <t>Activación del botón de pagos electrónico para los contribuyentes.</t>
  </si>
  <si>
    <t>Software en constante actualización utilizada para la irrigación y cobro en la ciudad de Bucaramanga</t>
  </si>
  <si>
    <t>Intercomunicación con entidades públicas que fortalezca y agilice el proceso de irrigación y cobro de la contribución (Autoridad Catastral, Registro público, Cámara de Comercio, Secretaria de Planeación, Secretaria de Hacienda)</t>
  </si>
  <si>
    <t>Personal capacitado en temas relacionados con el proceso.</t>
  </si>
  <si>
    <t>Incremento del valor de la tierra en Bucaramanga</t>
  </si>
  <si>
    <t>Procesos estandarizados</t>
  </si>
  <si>
    <t>Generación de empleo por la ejecución de obra publica</t>
  </si>
  <si>
    <t>Buen uso y credibilidad de los recursos generados con la contribución de Valorización en la ciudad</t>
  </si>
  <si>
    <t>Crecimiento y mejoramiento de la malla vial de la ciudad con el apoyo de la contribución de Valorización</t>
  </si>
  <si>
    <t>Renovación urbanística como consecuencia de la ejecución de Valorización</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</si>
  <si>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</si>
  <si>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</si>
  <si>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</si>
  <si>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</si>
  <si>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</si>
  <si>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</si>
  <si>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</si>
  <si>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</si>
  <si>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</si>
  <si>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</si>
  <si>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</si>
  <si>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</si>
  <si>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</si>
  <si>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</si>
  <si>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</si>
  <si>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</si>
  <si>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</si>
  <si>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</si>
  <si>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</si>
  <si>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</si>
  <si>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</si>
  <si>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</si>
  <si>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</si>
  <si>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</si>
  <si>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</si>
  <si>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</si>
  <si>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</si>
  <si>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</si>
  <si>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</si>
  <si>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</si>
  <si>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</si>
  <si>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</si>
  <si>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</si>
  <si>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</si>
  <si>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</si>
  <si>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</si>
  <si>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</si>
  <si>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</si>
  <si>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generados con la contribucion de valorizacion  por via judicial e investigaciones y sanciones de entes de control</t>
  </si>
  <si>
    <t>Falta de cumplimiento en los tiempos y formas señaladas en el Estatuto de Valorización de Bucaramanga</t>
  </si>
  <si>
    <t>Posibilidad de afectación económica y reputacional por la disminución de recursos generados con la contribución de valorización por vía judicial e investigaciones y sanciones de entes de control debido a la falta de cumplimiento en los tiempos y formas señaladas en el Estatuto de Valorización de Bucaramanga</t>
  </si>
  <si>
    <t>Ejecucion y Administracion de procesos</t>
  </si>
  <si>
    <t xml:space="preserve">     El riesgo afecta la imagen de de la entidad con efecto publicitario sostenido a nivel de sector administrativo, nivel departamental o municipal</t>
  </si>
  <si>
    <t xml:space="preserve">La Jefe de Oficina de Valorización revisa y verifica la ejecución del proceso en tiempos y formas según norma especial,  las tutelas, demandas, derechos de petición y procesos jurídicos mediante mesas de trabajo y confrontación de documentos. </t>
  </si>
  <si>
    <t>Preventivo</t>
  </si>
  <si>
    <t>Manual</t>
  </si>
  <si>
    <t>Documentado</t>
  </si>
  <si>
    <t>Continua</t>
  </si>
  <si>
    <t>Con Registro</t>
  </si>
  <si>
    <t>Reducir (mitigar)</t>
  </si>
  <si>
    <t>Realizar dos (2) seguimientos semestrales a las respuestas de tutelas, demandas, derechos de petición y procesos jurídicos mediante mesas de trabajo evidenciadas con actas.</t>
  </si>
  <si>
    <t>Jefe de la Oficina</t>
  </si>
  <si>
    <t>Reputacional</t>
  </si>
  <si>
    <t>Investigaciones disciplinarias y sanciones por entes de control.</t>
  </si>
  <si>
    <t>Incumplimiento de la normatividad archivística en los documentos emanados de la Oficina de Valorización</t>
  </si>
  <si>
    <t>Posibilidad de afectación reputacional por posibles investigaciones y sanciones disciplinarias por entes de control, debido al incumplimiento de la Ley 594 del 2000 en los documentos emanados por la Oficina de Valorización</t>
  </si>
  <si>
    <t xml:space="preserve">     El riesgo afecta la imagen de la entidad con algunos usuarios de relevancia frente al logro de los objetivos</t>
  </si>
  <si>
    <t>El profesional asignado al archivo realiza la revisión, clasificación, organización, indización e inventario de los archivos de gestión documental periodicamente, así como la correcta producción de los documentos de la Oficina de Valorización según las TRD (Tablas de Retención Documental )</t>
  </si>
  <si>
    <t>Ejecutar el 100% del cronograma establecido para la realización del inventario de la gestión documental que ha producido la Oficina de Valorización en las vigencias 2021 a 2023</t>
  </si>
  <si>
    <t>Profesional encargado</t>
  </si>
  <si>
    <t xml:space="preserve"> </t>
  </si>
  <si>
    <t>Económico y Reputacional</t>
  </si>
  <si>
    <t>Sanciones e investigaciones disciplinarias  de entes de control y vigilancia</t>
  </si>
  <si>
    <t>Incumplimiento en los términos de entrega oportuna a los requerimientos de los entes de control y vigilancia, de acuerdo a la competencia de la Oficina de Valorización</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</si>
  <si>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Valorización</t>
  </si>
  <si>
    <t xml:space="preserve">     Entre 10 y 50 SMLMV </t>
  </si>
  <si>
    <t>La persona encargada de realizar seguimiento a los requerimientos elevados por los entes de entes de control y vigilancia asignados a la Oficina de Valorización, verifica que la respuesta sea oportuna de conformidad con el plazo otorgado por el ente de control.</t>
  </si>
  <si>
    <t>Realizar un (01) informe semestral sobre el cumplimiento de las respuestas de los entes de control y vigilancia de competencia a la Oficina de Valorización, conforme a solicitudes asignadas a través Sistema Gestión de Solicitudes del Ciudadano - GSC.</t>
  </si>
  <si>
    <t xml:space="preserve">Profesional encargado </t>
  </si>
  <si>
    <t>Realizar 2 seguimientos de los registros de prestamo de documentos para solicitarlos en caso de no encontrarse devueltos</t>
  </si>
  <si>
    <t>Auxiliar de archivo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</si>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</sst>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50" fillId="0" borderId="2" xfId="0" applyFont="1" applyBorder="1" applyAlignment="1" applyProtection="1">
      <alignment horizontal="center" vertical="center" wrapText="1"/>
      <protection locked="0"/>
    </xf>
    <xf numFmtId="0" fontId="1" fillId="0" borderId="2" xfId="0" applyFont="1" applyBorder="1" applyAlignment="1">
      <alignment horizontal="center" vertical="top"/>
    </xf>
    <xf numFmtId="0" fontId="8" fillId="3" borderId="0" xfId="0" applyFont="1" applyFill="1" applyAlignment="1" applyProtection="1">
      <alignment vertical="center"/>
      <protection locked="0"/>
    </xf>
    <xf numFmtId="0" fontId="1" fillId="0" borderId="2" xfId="0" applyFont="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0" borderId="101" xfId="0" applyFont="1" applyFill="1" applyBorder="1" applyAlignment="1">
      <alignment horizontal="left" vertical="center" wrapText="1" indent="1"/>
    </xf>
    <xf numFmtId="0" fontId="59" fillId="20" borderId="102" xfId="0" applyFont="1" applyFill="1" applyBorder="1" applyAlignment="1">
      <alignment horizontal="left" vertical="center" wrapText="1" indent="1"/>
    </xf>
    <xf numFmtId="0" fontId="59" fillId="20"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0" borderId="108" xfId="0" applyFont="1" applyBorder="1" applyAlignment="1">
      <alignment horizontal="left" vertical="center"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0" borderId="110" xfId="0" applyFont="1" applyBorder="1" applyAlignment="1">
      <alignment horizontal="left" vertical="center" wrapText="1"/>
    </xf>
    <xf numFmtId="0" fontId="66" fillId="0" borderId="37" xfId="0" applyFont="1" applyBorder="1" applyAlignment="1">
      <alignment horizontal="left" wrapText="1"/>
    </xf>
    <xf numFmtId="0" fontId="66" fillId="0" borderId="33"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3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e/Downloads/FORMULACI&#211;N%20MRG/Mapa-Riesgos-de-Gestion-2022-UTS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ownloads/MRG%202023%20PLANEACION%20Y%20DIRECCIONAMIENTO%20ESTRATE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32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28" zoomScale="120" zoomScaleNormal="120" workbookViewId="0">
      <selection activeCell="E32" sqref="E32:F32"/>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195" t="s">
        <v>0</v>
      </c>
      <c r="C2" s="196"/>
      <c r="D2" s="196"/>
      <c r="E2" s="196"/>
      <c r="F2" s="196"/>
      <c r="G2" s="196"/>
      <c r="H2" s="197"/>
    </row>
    <row r="3" spans="1:8">
      <c r="B3" s="117"/>
      <c r="C3" s="118"/>
      <c r="D3" s="118"/>
      <c r="E3" s="118"/>
      <c r="F3" s="118"/>
      <c r="G3" s="118"/>
      <c r="H3" s="119"/>
    </row>
    <row r="4" spans="1:8" ht="63" customHeight="1">
      <c r="B4" s="198" t="s">
        <v>1</v>
      </c>
      <c r="C4" s="199"/>
      <c r="D4" s="199"/>
      <c r="E4" s="199"/>
      <c r="F4" s="199"/>
      <c r="G4" s="199"/>
      <c r="H4" s="200"/>
    </row>
    <row r="5" spans="1:8" ht="63" customHeight="1">
      <c r="B5" s="201"/>
      <c r="C5" s="202"/>
      <c r="D5" s="202"/>
      <c r="E5" s="202"/>
      <c r="F5" s="202"/>
      <c r="G5" s="202"/>
      <c r="H5" s="203"/>
    </row>
    <row r="6" spans="1:8" ht="16.5">
      <c r="A6" s="120"/>
      <c r="B6" s="204" t="s">
        <v>2</v>
      </c>
      <c r="C6" s="205"/>
      <c r="D6" s="205"/>
      <c r="E6" s="205"/>
      <c r="F6" s="205"/>
      <c r="G6" s="205"/>
      <c r="H6" s="206"/>
    </row>
    <row r="7" spans="1:8" ht="95.25" customHeight="1">
      <c r="A7" s="120"/>
      <c r="B7" s="207" t="s">
        <v>3</v>
      </c>
      <c r="C7" s="207"/>
      <c r="D7" s="207"/>
      <c r="E7" s="207"/>
      <c r="F7" s="207"/>
      <c r="G7" s="207"/>
      <c r="H7" s="208"/>
    </row>
    <row r="8" spans="1:8" ht="16.5">
      <c r="A8" s="120"/>
      <c r="B8" s="121"/>
      <c r="C8" s="122"/>
      <c r="D8" s="122"/>
      <c r="E8" s="122"/>
      <c r="F8" s="122"/>
      <c r="G8" s="122"/>
      <c r="H8" s="123"/>
    </row>
    <row r="9" spans="1:8" ht="16.5" customHeight="1">
      <c r="A9" s="120"/>
      <c r="B9" s="209" t="s">
        <v>4</v>
      </c>
      <c r="C9" s="209"/>
      <c r="D9" s="209"/>
      <c r="E9" s="209"/>
      <c r="F9" s="209"/>
      <c r="G9" s="209"/>
      <c r="H9" s="210"/>
    </row>
    <row r="10" spans="1:8" ht="16.5" customHeight="1">
      <c r="A10" s="120"/>
      <c r="B10" s="209"/>
      <c r="C10" s="209"/>
      <c r="D10" s="209"/>
      <c r="E10" s="209"/>
      <c r="F10" s="209"/>
      <c r="G10" s="209"/>
      <c r="H10" s="210"/>
    </row>
    <row r="11" spans="1:8" ht="11.65" customHeight="1">
      <c r="A11" s="120"/>
      <c r="B11" s="209"/>
      <c r="C11" s="209"/>
      <c r="D11" s="209"/>
      <c r="E11" s="209"/>
      <c r="F11" s="209"/>
      <c r="G11" s="209"/>
      <c r="H11" s="210"/>
    </row>
    <row r="12" spans="1:8" ht="11.65" customHeight="1" thickBot="1">
      <c r="A12" s="120"/>
      <c r="B12" s="124"/>
      <c r="C12" s="124"/>
      <c r="D12" s="124"/>
      <c r="E12" s="124"/>
      <c r="F12" s="124"/>
      <c r="G12" s="124"/>
      <c r="H12" s="125"/>
    </row>
    <row r="13" spans="1:8" ht="15.4" customHeight="1" thickTop="1">
      <c r="A13" s="120"/>
      <c r="B13" s="124"/>
      <c r="C13" s="191" t="s">
        <v>5</v>
      </c>
      <c r="D13" s="192"/>
      <c r="E13" s="193" t="s">
        <v>6</v>
      </c>
      <c r="F13" s="194"/>
      <c r="G13" s="124"/>
      <c r="H13" s="125"/>
    </row>
    <row r="14" spans="1:8" ht="11.65" customHeight="1">
      <c r="A14" s="120"/>
      <c r="B14" s="124"/>
      <c r="C14" s="211" t="s">
        <v>7</v>
      </c>
      <c r="D14" s="212"/>
      <c r="E14" s="213" t="s">
        <v>8</v>
      </c>
      <c r="F14" s="214"/>
      <c r="G14" s="124"/>
      <c r="H14" s="125"/>
    </row>
    <row r="15" spans="1:8" ht="11.65" customHeight="1">
      <c r="A15" s="120"/>
      <c r="B15" s="124"/>
      <c r="C15" s="211" t="s">
        <v>9</v>
      </c>
      <c r="D15" s="212"/>
      <c r="E15" s="213" t="s">
        <v>10</v>
      </c>
      <c r="F15" s="214"/>
      <c r="G15" s="124"/>
      <c r="H15" s="125"/>
    </row>
    <row r="16" spans="1:8" ht="11.65" customHeight="1">
      <c r="A16" s="120"/>
      <c r="B16" s="124"/>
      <c r="C16" s="211" t="s">
        <v>11</v>
      </c>
      <c r="D16" s="212"/>
      <c r="E16" s="213" t="s">
        <v>12</v>
      </c>
      <c r="F16" s="214"/>
      <c r="G16" s="124"/>
      <c r="H16" s="125"/>
    </row>
    <row r="17" spans="1:8" ht="13.5" customHeight="1">
      <c r="A17" s="120"/>
      <c r="B17" s="124"/>
      <c r="C17" s="211" t="s">
        <v>13</v>
      </c>
      <c r="D17" s="212"/>
      <c r="E17" s="213" t="s">
        <v>14</v>
      </c>
      <c r="F17" s="214"/>
      <c r="G17" s="124"/>
      <c r="H17" s="126"/>
    </row>
    <row r="18" spans="1:8" ht="12.4" customHeight="1">
      <c r="A18" s="120"/>
      <c r="B18" s="124"/>
      <c r="C18" s="211" t="s">
        <v>15</v>
      </c>
      <c r="D18" s="212"/>
      <c r="E18" s="218" t="s">
        <v>16</v>
      </c>
      <c r="F18" s="214"/>
      <c r="G18" s="124"/>
      <c r="H18" s="125"/>
    </row>
    <row r="19" spans="1:8" ht="24" customHeight="1" thickBot="1">
      <c r="A19" s="120"/>
      <c r="B19" s="124"/>
      <c r="C19" s="219" t="s">
        <v>17</v>
      </c>
      <c r="D19" s="220"/>
      <c r="E19" s="221" t="s">
        <v>18</v>
      </c>
      <c r="F19" s="222"/>
      <c r="G19" s="124"/>
      <c r="H19" s="125"/>
    </row>
    <row r="20" spans="1:8" ht="11.65" customHeight="1" thickTop="1">
      <c r="A20" s="120"/>
      <c r="B20" s="124"/>
      <c r="C20" s="127"/>
      <c r="D20" s="127"/>
      <c r="E20" s="127"/>
      <c r="F20" s="127"/>
      <c r="G20" s="124"/>
      <c r="H20" s="125"/>
    </row>
    <row r="21" spans="1:8" ht="27.4" customHeight="1" thickBot="1">
      <c r="A21" s="120"/>
      <c r="B21" s="223" t="s">
        <v>19</v>
      </c>
      <c r="C21" s="224"/>
      <c r="D21" s="224"/>
      <c r="E21" s="224"/>
      <c r="F21" s="224"/>
      <c r="G21" s="224"/>
      <c r="H21" s="225"/>
    </row>
    <row r="22" spans="1:8" ht="15.75" thickTop="1">
      <c r="A22" s="120"/>
      <c r="B22" s="128"/>
      <c r="C22" s="226" t="s">
        <v>5</v>
      </c>
      <c r="D22" s="192"/>
      <c r="E22" s="193" t="s">
        <v>6</v>
      </c>
      <c r="F22" s="194"/>
      <c r="G22" s="127"/>
      <c r="H22" s="129"/>
    </row>
    <row r="23" spans="1:8" ht="13.5" customHeight="1">
      <c r="A23" s="120"/>
      <c r="B23" s="130"/>
      <c r="C23" s="227" t="s">
        <v>7</v>
      </c>
      <c r="D23" s="228"/>
      <c r="E23" s="229" t="s">
        <v>8</v>
      </c>
      <c r="F23" s="230"/>
      <c r="G23" s="131"/>
      <c r="H23" s="132"/>
    </row>
    <row r="24" spans="1:8" ht="13.5" customHeight="1">
      <c r="A24" s="120"/>
      <c r="B24" s="130"/>
      <c r="C24" s="215" t="s">
        <v>20</v>
      </c>
      <c r="D24" s="216"/>
      <c r="E24" s="217" t="s">
        <v>14</v>
      </c>
      <c r="F24" s="214"/>
      <c r="G24" s="131"/>
      <c r="H24" s="132"/>
    </row>
    <row r="25" spans="1:8" ht="13.5" customHeight="1">
      <c r="A25" s="120"/>
      <c r="B25" s="130"/>
      <c r="C25" s="215" t="s">
        <v>9</v>
      </c>
      <c r="D25" s="216"/>
      <c r="E25" s="217" t="s">
        <v>10</v>
      </c>
      <c r="F25" s="214"/>
      <c r="G25" s="131"/>
      <c r="H25" s="132"/>
    </row>
    <row r="26" spans="1:8" ht="22.9" customHeight="1">
      <c r="A26" s="120"/>
      <c r="B26" s="130"/>
      <c r="C26" s="215" t="s">
        <v>21</v>
      </c>
      <c r="D26" s="216"/>
      <c r="E26" s="231" t="s">
        <v>22</v>
      </c>
      <c r="F26" s="232"/>
      <c r="G26" s="131"/>
      <c r="H26" s="132"/>
    </row>
    <row r="27" spans="1:8" ht="69.75" customHeight="1">
      <c r="A27" s="120"/>
      <c r="B27" s="130"/>
      <c r="C27" s="233" t="s">
        <v>23</v>
      </c>
      <c r="D27" s="234"/>
      <c r="E27" s="235" t="s">
        <v>24</v>
      </c>
      <c r="F27" s="236"/>
      <c r="G27" s="131"/>
      <c r="H27" s="133"/>
    </row>
    <row r="28" spans="1:8" ht="34.5" customHeight="1">
      <c r="B28" s="134"/>
      <c r="C28" s="237" t="s">
        <v>25</v>
      </c>
      <c r="D28" s="234"/>
      <c r="E28" s="235" t="s">
        <v>26</v>
      </c>
      <c r="F28" s="236"/>
      <c r="G28" s="131"/>
      <c r="H28" s="133"/>
    </row>
    <row r="29" spans="1:8" ht="27.75" customHeight="1">
      <c r="B29" s="134"/>
      <c r="C29" s="237" t="s">
        <v>27</v>
      </c>
      <c r="D29" s="234"/>
      <c r="E29" s="235" t="s">
        <v>28</v>
      </c>
      <c r="F29" s="236"/>
      <c r="G29" s="131"/>
      <c r="H29" s="133"/>
    </row>
    <row r="30" spans="1:8" ht="28.5" customHeight="1">
      <c r="B30" s="134"/>
      <c r="C30" s="237" t="s">
        <v>29</v>
      </c>
      <c r="D30" s="234"/>
      <c r="E30" s="235" t="s">
        <v>30</v>
      </c>
      <c r="F30" s="236"/>
      <c r="G30" s="131"/>
      <c r="H30" s="133"/>
    </row>
    <row r="31" spans="1:8" ht="72.75" customHeight="1">
      <c r="B31" s="134"/>
      <c r="C31" s="237" t="s">
        <v>31</v>
      </c>
      <c r="D31" s="234"/>
      <c r="E31" s="235" t="s">
        <v>32</v>
      </c>
      <c r="F31" s="236"/>
      <c r="G31" s="131"/>
      <c r="H31" s="133"/>
    </row>
    <row r="32" spans="1:8" ht="64.5" customHeight="1">
      <c r="B32" s="134"/>
      <c r="C32" s="237" t="s">
        <v>33</v>
      </c>
      <c r="D32" s="234"/>
      <c r="E32" s="235" t="s">
        <v>34</v>
      </c>
      <c r="F32" s="236"/>
      <c r="G32" s="131"/>
      <c r="H32" s="133"/>
    </row>
    <row r="33" spans="2:8" ht="71.25" customHeight="1">
      <c r="B33" s="134"/>
      <c r="C33" s="238" t="s">
        <v>35</v>
      </c>
      <c r="D33" s="233"/>
      <c r="E33" s="235" t="s">
        <v>36</v>
      </c>
      <c r="F33" s="236"/>
      <c r="G33" s="131"/>
      <c r="H33" s="133"/>
    </row>
    <row r="34" spans="2:8" ht="55.5" customHeight="1">
      <c r="B34" s="134"/>
      <c r="C34" s="238" t="s">
        <v>37</v>
      </c>
      <c r="D34" s="233"/>
      <c r="E34" s="235" t="s">
        <v>38</v>
      </c>
      <c r="F34" s="236"/>
      <c r="G34" s="131"/>
      <c r="H34" s="133"/>
    </row>
    <row r="35" spans="2:8" ht="42" customHeight="1">
      <c r="B35" s="134"/>
      <c r="C35" s="238" t="s">
        <v>39</v>
      </c>
      <c r="D35" s="233"/>
      <c r="E35" s="235" t="s">
        <v>40</v>
      </c>
      <c r="F35" s="236"/>
      <c r="G35" s="131"/>
      <c r="H35" s="133"/>
    </row>
    <row r="36" spans="2:8" ht="59.25" customHeight="1">
      <c r="B36" s="134"/>
      <c r="C36" s="238" t="s">
        <v>41</v>
      </c>
      <c r="D36" s="233"/>
      <c r="E36" s="235" t="s">
        <v>42</v>
      </c>
      <c r="F36" s="236"/>
      <c r="G36" s="131"/>
      <c r="H36" s="133"/>
    </row>
    <row r="37" spans="2:8" ht="23.25" customHeight="1">
      <c r="B37" s="134"/>
      <c r="C37" s="238" t="s">
        <v>43</v>
      </c>
      <c r="D37" s="233"/>
      <c r="E37" s="235" t="s">
        <v>44</v>
      </c>
      <c r="F37" s="236"/>
      <c r="G37" s="131"/>
      <c r="H37" s="133"/>
    </row>
    <row r="38" spans="2:8" ht="30.75" customHeight="1">
      <c r="B38" s="134"/>
      <c r="C38" s="238" t="s">
        <v>45</v>
      </c>
      <c r="D38" s="233"/>
      <c r="E38" s="235" t="s">
        <v>46</v>
      </c>
      <c r="F38" s="236"/>
      <c r="G38" s="131"/>
      <c r="H38" s="133"/>
    </row>
    <row r="39" spans="2:8" ht="35.25" customHeight="1">
      <c r="B39" s="134"/>
      <c r="C39" s="238" t="s">
        <v>45</v>
      </c>
      <c r="D39" s="233"/>
      <c r="E39" s="235" t="s">
        <v>46</v>
      </c>
      <c r="F39" s="236"/>
      <c r="G39" s="131"/>
      <c r="H39" s="133"/>
    </row>
    <row r="40" spans="2:8" ht="33" customHeight="1">
      <c r="B40" s="134"/>
      <c r="C40" s="238" t="s">
        <v>47</v>
      </c>
      <c r="D40" s="233"/>
      <c r="E40" s="235" t="s">
        <v>48</v>
      </c>
      <c r="F40" s="236"/>
      <c r="G40" s="131"/>
      <c r="H40" s="133"/>
    </row>
    <row r="41" spans="2:8" ht="30" customHeight="1">
      <c r="B41" s="134"/>
      <c r="C41" s="238" t="s">
        <v>49</v>
      </c>
      <c r="D41" s="233"/>
      <c r="E41" s="235" t="s">
        <v>50</v>
      </c>
      <c r="F41" s="236"/>
      <c r="G41" s="131"/>
      <c r="H41" s="133"/>
    </row>
    <row r="42" spans="2:8" ht="35.25" customHeight="1">
      <c r="B42" s="134"/>
      <c r="C42" s="238" t="s">
        <v>51</v>
      </c>
      <c r="D42" s="233"/>
      <c r="E42" s="235" t="s">
        <v>52</v>
      </c>
      <c r="F42" s="236"/>
      <c r="G42" s="131"/>
      <c r="H42" s="133"/>
    </row>
    <row r="43" spans="2:8" ht="31.5" customHeight="1">
      <c r="B43" s="134"/>
      <c r="C43" s="238" t="s">
        <v>53</v>
      </c>
      <c r="D43" s="233"/>
      <c r="E43" s="235" t="s">
        <v>54</v>
      </c>
      <c r="F43" s="236"/>
      <c r="G43" s="131"/>
      <c r="H43" s="133"/>
    </row>
    <row r="44" spans="2:8" ht="35.25" customHeight="1">
      <c r="B44" s="134"/>
      <c r="C44" s="238" t="s">
        <v>55</v>
      </c>
      <c r="D44" s="233"/>
      <c r="E44" s="235" t="s">
        <v>56</v>
      </c>
      <c r="F44" s="236"/>
      <c r="G44" s="131"/>
      <c r="H44" s="133"/>
    </row>
    <row r="45" spans="2:8" ht="59.25" customHeight="1">
      <c r="B45" s="134"/>
      <c r="C45" s="238" t="s">
        <v>57</v>
      </c>
      <c r="D45" s="233"/>
      <c r="E45" s="235" t="s">
        <v>58</v>
      </c>
      <c r="F45" s="236"/>
      <c r="G45" s="131"/>
      <c r="H45" s="133"/>
    </row>
    <row r="46" spans="2:8" ht="59.25" customHeight="1">
      <c r="B46" s="134"/>
      <c r="C46" s="238" t="s">
        <v>59</v>
      </c>
      <c r="D46" s="233"/>
      <c r="E46" s="235" t="s">
        <v>60</v>
      </c>
      <c r="F46" s="236"/>
      <c r="G46" s="131"/>
      <c r="H46" s="133"/>
    </row>
    <row r="47" spans="2:8" ht="82.5" customHeight="1">
      <c r="B47" s="134"/>
      <c r="C47" s="238" t="s">
        <v>61</v>
      </c>
      <c r="D47" s="233"/>
      <c r="E47" s="235" t="s">
        <v>62</v>
      </c>
      <c r="F47" s="236"/>
      <c r="G47" s="131"/>
      <c r="H47" s="133"/>
    </row>
    <row r="48" spans="2:8" ht="46.5" customHeight="1" thickBot="1">
      <c r="B48" s="134"/>
      <c r="C48" s="239"/>
      <c r="D48" s="240"/>
      <c r="E48" s="241"/>
      <c r="F48" s="242"/>
      <c r="G48" s="131"/>
      <c r="H48" s="133"/>
    </row>
    <row r="49" spans="2:8" ht="6.75" customHeight="1" thickTop="1">
      <c r="B49" s="134"/>
      <c r="C49" s="135"/>
      <c r="D49" s="135"/>
      <c r="E49" s="136"/>
      <c r="F49" s="136"/>
      <c r="G49" s="131"/>
      <c r="H49" s="133"/>
    </row>
    <row r="50" spans="2:8">
      <c r="B50" s="134"/>
      <c r="C50" s="137"/>
      <c r="D50" s="137"/>
      <c r="E50" s="137"/>
      <c r="F50" s="137"/>
      <c r="G50" s="131"/>
      <c r="H50" s="133"/>
    </row>
    <row r="51" spans="2:8" ht="21" customHeight="1">
      <c r="B51" s="138" t="s">
        <v>63</v>
      </c>
      <c r="C51" s="137"/>
      <c r="D51" s="137"/>
      <c r="E51" s="137"/>
      <c r="F51" s="137"/>
      <c r="G51" s="137"/>
      <c r="H51" s="139"/>
    </row>
    <row r="52" spans="2:8" ht="20.25" customHeight="1">
      <c r="B52" s="138" t="s">
        <v>64</v>
      </c>
      <c r="C52" s="137"/>
      <c r="D52" s="137"/>
      <c r="E52" s="137"/>
      <c r="F52" s="137"/>
      <c r="G52" s="137"/>
      <c r="H52" s="139"/>
    </row>
    <row r="53" spans="2:8" ht="20.25" customHeight="1">
      <c r="B53" s="138" t="s">
        <v>65</v>
      </c>
      <c r="C53" s="137"/>
      <c r="D53" s="137"/>
      <c r="E53" s="137"/>
      <c r="F53" s="137"/>
      <c r="G53" s="137"/>
      <c r="H53" s="139"/>
    </row>
    <row r="54" spans="2:8" ht="20.25" customHeight="1">
      <c r="B54" s="138" t="s">
        <v>66</v>
      </c>
      <c r="C54" s="137"/>
      <c r="D54" s="137"/>
      <c r="E54" s="137"/>
      <c r="F54" s="137"/>
      <c r="G54" s="137"/>
      <c r="H54" s="139"/>
    </row>
    <row r="55" spans="2:8" ht="14.65" customHeight="1">
      <c r="B55" s="138" t="s">
        <v>67</v>
      </c>
      <c r="C55" s="137"/>
      <c r="D55" s="137"/>
      <c r="E55" s="137"/>
      <c r="F55" s="137"/>
      <c r="G55" s="137"/>
      <c r="H55" s="139"/>
    </row>
    <row r="56" spans="2:8" ht="15.75" thickBot="1">
      <c r="B56" s="140"/>
      <c r="C56" s="141"/>
      <c r="D56" s="141"/>
      <c r="E56" s="141"/>
      <c r="F56" s="141"/>
      <c r="G56" s="141"/>
      <c r="H56" s="142"/>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160</v>
      </c>
    </row>
    <row r="4" spans="1:1">
      <c r="A4" s="9" t="s">
        <v>262</v>
      </c>
    </row>
    <row r="5" spans="1:1">
      <c r="A5" s="9" t="s">
        <v>264</v>
      </c>
    </row>
    <row r="6" spans="1:1">
      <c r="A6" s="9" t="s">
        <v>266</v>
      </c>
    </row>
    <row r="7" spans="1:1">
      <c r="A7" s="9" t="s">
        <v>161</v>
      </c>
    </row>
    <row r="8" spans="1:1">
      <c r="A8" s="9" t="s">
        <v>162</v>
      </c>
    </row>
    <row r="9" spans="1:1">
      <c r="A9" s="9" t="s">
        <v>272</v>
      </c>
    </row>
    <row r="10" spans="1:1">
      <c r="A10" s="9" t="s">
        <v>163</v>
      </c>
    </row>
    <row r="11" spans="1:1">
      <c r="A11" s="9" t="s">
        <v>275</v>
      </c>
    </row>
    <row r="12" spans="1:1">
      <c r="A12" s="9" t="s">
        <v>294</v>
      </c>
    </row>
    <row r="13" spans="1:1">
      <c r="A13" s="9" t="s">
        <v>295</v>
      </c>
    </row>
    <row r="14" spans="1:1">
      <c r="A14" s="9" t="s">
        <v>296</v>
      </c>
    </row>
    <row r="16" spans="1:1">
      <c r="A16" s="9" t="s">
        <v>297</v>
      </c>
    </row>
    <row r="17" spans="1:1">
      <c r="A17" s="9" t="s">
        <v>281</v>
      </c>
    </row>
    <row r="18" spans="1:1">
      <c r="A18" s="9" t="s">
        <v>283</v>
      </c>
    </row>
    <row r="20" spans="1:1">
      <c r="A20" s="9" t="s">
        <v>286</v>
      </c>
    </row>
    <row r="21" spans="1:1">
      <c r="A21" s="9"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8"/>
  <sheetViews>
    <sheetView showGridLines="0" topLeftCell="A20" zoomScaleNormal="100" workbookViewId="0">
      <selection activeCell="E28" sqref="E28:F2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3" t="s">
        <v>68</v>
      </c>
    </row>
    <row r="2" spans="2:52" ht="18" customHeight="1" thickBot="1">
      <c r="B2" s="247"/>
      <c r="C2" s="250" t="s">
        <v>69</v>
      </c>
      <c r="D2" s="251"/>
      <c r="E2" s="251"/>
      <c r="F2" s="144" t="s">
        <v>70</v>
      </c>
      <c r="AZ2" s="143" t="s">
        <v>71</v>
      </c>
    </row>
    <row r="3" spans="2:52" ht="18" customHeight="1" thickBot="1">
      <c r="B3" s="248"/>
      <c r="C3" s="252"/>
      <c r="D3" s="253"/>
      <c r="E3" s="253"/>
      <c r="F3" s="145" t="s">
        <v>72</v>
      </c>
      <c r="AZ3" s="143" t="s">
        <v>73</v>
      </c>
    </row>
    <row r="4" spans="2:52" ht="18" customHeight="1" thickBot="1">
      <c r="B4" s="248"/>
      <c r="C4" s="252"/>
      <c r="D4" s="253"/>
      <c r="E4" s="253"/>
      <c r="F4" s="145" t="s">
        <v>74</v>
      </c>
      <c r="AZ4" s="143" t="s">
        <v>75</v>
      </c>
    </row>
    <row r="5" spans="2:52" ht="18" customHeight="1" thickBot="1">
      <c r="B5" s="249"/>
      <c r="C5" s="254"/>
      <c r="D5" s="255"/>
      <c r="E5" s="255"/>
      <c r="F5" s="145" t="s">
        <v>76</v>
      </c>
      <c r="AZ5" s="146"/>
    </row>
    <row r="6" spans="2:52" ht="18" customHeight="1" thickBot="1">
      <c r="B6" s="147"/>
      <c r="C6" s="148"/>
      <c r="D6" s="148"/>
      <c r="E6" s="148"/>
      <c r="F6" s="149"/>
      <c r="AZ6" s="146"/>
    </row>
    <row r="7" spans="2:52" ht="33.4" customHeight="1">
      <c r="B7" s="150" t="s">
        <v>77</v>
      </c>
      <c r="C7" s="256" t="s">
        <v>78</v>
      </c>
      <c r="D7" s="257"/>
      <c r="E7" s="257"/>
      <c r="F7" s="258"/>
      <c r="AZ7" s="146"/>
    </row>
    <row r="8" spans="2:52" ht="25.9" customHeight="1" thickBot="1">
      <c r="B8" s="151" t="s">
        <v>79</v>
      </c>
      <c r="C8" s="259" t="s">
        <v>80</v>
      </c>
      <c r="D8" s="260"/>
      <c r="E8" s="260"/>
      <c r="F8" s="261"/>
      <c r="AZ8" s="146"/>
    </row>
    <row r="9" spans="2:52" ht="16.5" thickBot="1">
      <c r="B9" s="262"/>
      <c r="C9" s="262"/>
      <c r="D9" s="262"/>
      <c r="E9" s="262"/>
      <c r="F9" s="262"/>
    </row>
    <row r="10" spans="2:52" ht="15.6" customHeight="1" thickBot="1">
      <c r="B10" s="263" t="s">
        <v>69</v>
      </c>
      <c r="C10" s="264"/>
      <c r="D10" s="264"/>
      <c r="E10" s="264"/>
      <c r="F10" s="265"/>
    </row>
    <row r="11" spans="2:52" ht="32.25" thickBot="1">
      <c r="B11" s="266" t="s">
        <v>81</v>
      </c>
      <c r="C11" s="267"/>
      <c r="D11" s="152" t="s">
        <v>82</v>
      </c>
      <c r="E11" s="152" t="s">
        <v>83</v>
      </c>
      <c r="F11" s="153" t="s">
        <v>84</v>
      </c>
    </row>
    <row r="12" spans="2:52" ht="188.25" customHeight="1" thickBot="1">
      <c r="B12" s="268" t="s">
        <v>85</v>
      </c>
      <c r="C12" s="269"/>
      <c r="D12" s="184" t="s">
        <v>86</v>
      </c>
      <c r="E12" s="185" t="s">
        <v>87</v>
      </c>
      <c r="F12" s="186" t="s">
        <v>88</v>
      </c>
    </row>
    <row r="14" spans="2:52" ht="18">
      <c r="B14" s="270" t="s">
        <v>89</v>
      </c>
      <c r="C14" s="270"/>
      <c r="D14" s="270"/>
      <c r="E14" s="270"/>
      <c r="F14" s="270"/>
    </row>
    <row r="15" spans="2:52" ht="15.75">
      <c r="B15" s="154"/>
    </row>
    <row r="16" spans="2:52" ht="15.75" thickBot="1">
      <c r="B16" s="155"/>
    </row>
    <row r="17" spans="2:6" ht="16.5" thickBot="1">
      <c r="B17" s="271" t="s">
        <v>90</v>
      </c>
      <c r="C17" s="272"/>
      <c r="D17" s="273"/>
      <c r="E17" s="271" t="s">
        <v>91</v>
      </c>
      <c r="F17" s="273"/>
    </row>
    <row r="18" spans="2:6" ht="33.75" customHeight="1">
      <c r="B18" s="243" t="s">
        <v>92</v>
      </c>
      <c r="C18" s="244"/>
      <c r="D18" s="245"/>
      <c r="E18" s="246" t="s">
        <v>93</v>
      </c>
      <c r="F18" s="245"/>
    </row>
    <row r="19" spans="2:6" ht="34.5" customHeight="1">
      <c r="B19" s="274" t="s">
        <v>94</v>
      </c>
      <c r="C19" s="275"/>
      <c r="D19" s="276"/>
      <c r="E19" s="277" t="s">
        <v>95</v>
      </c>
      <c r="F19" s="278"/>
    </row>
    <row r="20" spans="2:6" ht="15" customHeight="1">
      <c r="B20" s="279" t="s">
        <v>96</v>
      </c>
      <c r="C20" s="280"/>
      <c r="D20" s="281"/>
      <c r="E20" s="277" t="s">
        <v>97</v>
      </c>
      <c r="F20" s="278"/>
    </row>
    <row r="21" spans="2:6" ht="15" customHeight="1">
      <c r="B21" s="279" t="s">
        <v>98</v>
      </c>
      <c r="C21" s="280"/>
      <c r="D21" s="281"/>
      <c r="E21" s="282" t="s">
        <v>99</v>
      </c>
      <c r="F21" s="283"/>
    </row>
    <row r="22" spans="2:6" ht="15" customHeight="1">
      <c r="B22" s="285" t="s">
        <v>100</v>
      </c>
      <c r="C22" s="286"/>
      <c r="D22" s="287"/>
      <c r="E22" s="284" t="s">
        <v>101</v>
      </c>
      <c r="F22" s="281"/>
    </row>
    <row r="23" spans="2:6" ht="15" customHeight="1">
      <c r="B23" s="285"/>
      <c r="C23" s="286"/>
      <c r="D23" s="287"/>
      <c r="E23" s="284" t="s">
        <v>102</v>
      </c>
      <c r="F23" s="281"/>
    </row>
    <row r="24" spans="2:6" ht="15" customHeight="1">
      <c r="B24" s="288"/>
      <c r="C24" s="289"/>
      <c r="D24" s="283"/>
      <c r="E24" s="277"/>
      <c r="F24" s="278"/>
    </row>
    <row r="25" spans="2:6" ht="15.75" customHeight="1">
      <c r="B25" s="279"/>
      <c r="C25" s="280"/>
      <c r="D25" s="281"/>
      <c r="E25" s="284"/>
      <c r="F25" s="281"/>
    </row>
    <row r="26" spans="2:6" ht="15" customHeight="1" thickBot="1">
      <c r="B26" s="290"/>
      <c r="C26" s="291"/>
      <c r="D26" s="292"/>
      <c r="E26" s="293"/>
      <c r="F26" s="294"/>
    </row>
    <row r="27" spans="2:6" ht="15" customHeight="1" thickBot="1">
      <c r="B27" s="295" t="s">
        <v>103</v>
      </c>
      <c r="C27" s="296"/>
      <c r="D27" s="296"/>
      <c r="E27" s="297" t="s">
        <v>104</v>
      </c>
      <c r="F27" s="298"/>
    </row>
    <row r="28" spans="2:6" ht="35.25" customHeight="1">
      <c r="B28" s="243" t="s">
        <v>105</v>
      </c>
      <c r="C28" s="244"/>
      <c r="D28" s="245"/>
      <c r="E28" s="299" t="s">
        <v>106</v>
      </c>
      <c r="F28" s="300"/>
    </row>
    <row r="29" spans="2:6" ht="47.25" customHeight="1">
      <c r="B29" s="279" t="s">
        <v>107</v>
      </c>
      <c r="C29" s="280"/>
      <c r="D29" s="281"/>
      <c r="E29" s="279" t="s">
        <v>108</v>
      </c>
      <c r="F29" s="281"/>
    </row>
    <row r="30" spans="2:6" ht="16.5">
      <c r="B30" s="279" t="s">
        <v>109</v>
      </c>
      <c r="C30" s="280"/>
      <c r="D30" s="281"/>
      <c r="E30" s="301" t="s">
        <v>110</v>
      </c>
      <c r="F30" s="278"/>
    </row>
    <row r="31" spans="2:6" ht="16.5">
      <c r="B31" s="301" t="s">
        <v>111</v>
      </c>
      <c r="C31" s="302"/>
      <c r="D31" s="278"/>
      <c r="E31" s="285" t="s">
        <v>112</v>
      </c>
      <c r="F31" s="287"/>
    </row>
    <row r="32" spans="2:6" ht="16.5">
      <c r="B32" s="301" t="s">
        <v>113</v>
      </c>
      <c r="C32" s="302"/>
      <c r="D32" s="278"/>
      <c r="E32" s="303"/>
      <c r="F32" s="304"/>
    </row>
    <row r="33" spans="2:6" ht="16.5">
      <c r="B33" s="301" t="s">
        <v>114</v>
      </c>
      <c r="C33" s="302"/>
      <c r="D33" s="278"/>
      <c r="E33" s="301"/>
      <c r="F33" s="278"/>
    </row>
    <row r="34" spans="2:6" ht="16.5">
      <c r="B34" s="301" t="s">
        <v>115</v>
      </c>
      <c r="C34" s="302"/>
      <c r="D34" s="278"/>
      <c r="E34" s="279"/>
      <c r="F34" s="281"/>
    </row>
    <row r="35" spans="2:6" ht="16.5">
      <c r="B35" s="301"/>
      <c r="C35" s="302"/>
      <c r="D35" s="278"/>
      <c r="E35" s="279"/>
      <c r="F35" s="281"/>
    </row>
    <row r="36" spans="2:6" ht="16.5">
      <c r="B36" s="279"/>
      <c r="C36" s="280"/>
      <c r="D36" s="281"/>
      <c r="E36" s="279"/>
      <c r="F36" s="281"/>
    </row>
    <row r="37" spans="2:6" ht="16.5">
      <c r="B37" s="310"/>
      <c r="C37" s="311"/>
      <c r="D37" s="312"/>
      <c r="E37" s="310"/>
      <c r="F37" s="312"/>
    </row>
    <row r="38" spans="2:6" ht="17.25" thickBot="1">
      <c r="B38" s="305"/>
      <c r="C38" s="306"/>
      <c r="D38" s="307"/>
      <c r="E38" s="308"/>
      <c r="F38" s="309"/>
    </row>
  </sheetData>
  <mergeCells count="53">
    <mergeCell ref="B38:D38"/>
    <mergeCell ref="E38:F38"/>
    <mergeCell ref="B35:D35"/>
    <mergeCell ref="E35:F35"/>
    <mergeCell ref="B36:D36"/>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5:D25"/>
    <mergeCell ref="E25:F25"/>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86"/>
  <sheetViews>
    <sheetView tabSelected="1" topLeftCell="R22" zoomScale="90" zoomScaleNormal="90" workbookViewId="0">
      <selection activeCell="G24" sqref="G24:G29"/>
    </sheetView>
  </sheetViews>
  <sheetFormatPr defaultColWidth="11.42578125" defaultRowHeight="16.5"/>
  <cols>
    <col min="1" max="1" width="4" style="2" bestFit="1" customWidth="1"/>
    <col min="2" max="2" width="14.140625" style="2" customWidth="1"/>
    <col min="3" max="3" width="15.42578125" style="2" customWidth="1"/>
    <col min="4" max="4" width="22.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83"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8.28515625" style="1" customWidth="1"/>
    <col min="32" max="32" width="30.2851562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92"/>
      <c r="B1" s="393"/>
      <c r="C1" s="393"/>
      <c r="D1" s="394"/>
      <c r="E1" s="408" t="s">
        <v>116</v>
      </c>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10"/>
      <c r="AJ1" s="404" t="s">
        <v>117</v>
      </c>
      <c r="AK1" s="405"/>
    </row>
    <row r="2" spans="1:69" ht="15" customHeight="1">
      <c r="A2" s="395"/>
      <c r="B2" s="396"/>
      <c r="C2" s="396"/>
      <c r="D2" s="397"/>
      <c r="E2" s="411"/>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3"/>
      <c r="AJ2" s="406" t="s">
        <v>118</v>
      </c>
      <c r="AK2" s="407"/>
    </row>
    <row r="3" spans="1:69" ht="15" customHeight="1">
      <c r="A3" s="395"/>
      <c r="B3" s="396"/>
      <c r="C3" s="396"/>
      <c r="D3" s="397"/>
      <c r="E3" s="411"/>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3"/>
      <c r="AJ3" s="406" t="s">
        <v>119</v>
      </c>
      <c r="AK3" s="40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98"/>
      <c r="B4" s="399"/>
      <c r="C4" s="399"/>
      <c r="D4" s="400"/>
      <c r="E4" s="414"/>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6"/>
      <c r="AJ4" s="404" t="s">
        <v>120</v>
      </c>
      <c r="AK4" s="405"/>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7"/>
      <c r="L5" s="25"/>
      <c r="M5" s="25"/>
      <c r="N5" s="25"/>
      <c r="O5" s="25"/>
      <c r="P5" s="182"/>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48" t="s">
        <v>121</v>
      </c>
      <c r="B6" s="349"/>
      <c r="C6" s="356" t="s">
        <v>78</v>
      </c>
      <c r="D6" s="357"/>
      <c r="E6" s="357"/>
      <c r="F6" s="357"/>
      <c r="G6" s="357"/>
      <c r="H6" s="357"/>
      <c r="I6" s="357"/>
      <c r="J6" s="357"/>
      <c r="K6" s="357"/>
      <c r="L6" s="357"/>
      <c r="M6" s="357"/>
      <c r="N6" s="358"/>
      <c r="O6" s="417"/>
      <c r="P6" s="417"/>
      <c r="Q6" s="417"/>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4.5" customHeight="1">
      <c r="A7" s="348" t="s">
        <v>122</v>
      </c>
      <c r="B7" s="349"/>
      <c r="C7" s="353" t="s">
        <v>86</v>
      </c>
      <c r="D7" s="354"/>
      <c r="E7" s="354"/>
      <c r="F7" s="354"/>
      <c r="G7" s="354"/>
      <c r="H7" s="354"/>
      <c r="I7" s="354"/>
      <c r="J7" s="354"/>
      <c r="K7" s="354"/>
      <c r="L7" s="354"/>
      <c r="M7" s="354"/>
      <c r="N7" s="355"/>
      <c r="O7" s="189"/>
      <c r="P7" s="182"/>
      <c r="Q7" s="189"/>
      <c r="R7" s="189"/>
      <c r="S7" s="189"/>
      <c r="T7" s="189"/>
      <c r="U7" s="189"/>
      <c r="V7" s="189"/>
      <c r="W7" s="189"/>
      <c r="X7" s="189"/>
      <c r="Y7" s="189"/>
      <c r="Z7" s="189"/>
      <c r="AA7" s="189"/>
      <c r="AB7" s="189"/>
      <c r="AC7" s="189"/>
      <c r="AD7" s="189"/>
      <c r="AE7" s="189"/>
      <c r="AF7" s="189"/>
      <c r="AG7" s="189"/>
      <c r="AH7" s="189"/>
      <c r="AI7" s="189"/>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348" t="s">
        <v>123</v>
      </c>
      <c r="B8" s="349"/>
      <c r="C8" s="356" t="s">
        <v>80</v>
      </c>
      <c r="D8" s="357"/>
      <c r="E8" s="357"/>
      <c r="F8" s="357"/>
      <c r="G8" s="357"/>
      <c r="H8" s="357"/>
      <c r="I8" s="357"/>
      <c r="J8" s="357"/>
      <c r="K8" s="357"/>
      <c r="L8" s="357"/>
      <c r="M8" s="357"/>
      <c r="N8" s="358"/>
      <c r="O8" s="189"/>
      <c r="P8" s="189"/>
      <c r="Q8" s="189"/>
      <c r="R8" s="189"/>
      <c r="S8" s="189"/>
      <c r="T8" s="189"/>
      <c r="U8" s="189"/>
      <c r="V8" s="189"/>
      <c r="W8" s="189"/>
      <c r="X8" s="189"/>
      <c r="Y8" s="189"/>
      <c r="Z8" s="189"/>
      <c r="AA8" s="189"/>
      <c r="AB8" s="189"/>
      <c r="AC8" s="189"/>
      <c r="AD8" s="189"/>
      <c r="AE8" s="189"/>
      <c r="AF8" s="189"/>
      <c r="AG8" s="189"/>
      <c r="AH8" s="189"/>
      <c r="AI8" s="189"/>
      <c r="AJ8" s="189"/>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401" t="s">
        <v>124</v>
      </c>
      <c r="B9" s="402"/>
      <c r="C9" s="402"/>
      <c r="D9" s="402"/>
      <c r="E9" s="402"/>
      <c r="F9" s="402"/>
      <c r="G9" s="403"/>
      <c r="H9" s="401" t="s">
        <v>125</v>
      </c>
      <c r="I9" s="402"/>
      <c r="J9" s="402"/>
      <c r="K9" s="402"/>
      <c r="L9" s="402"/>
      <c r="M9" s="402"/>
      <c r="N9" s="403"/>
      <c r="O9" s="401" t="s">
        <v>126</v>
      </c>
      <c r="P9" s="402"/>
      <c r="Q9" s="402"/>
      <c r="R9" s="402"/>
      <c r="S9" s="402"/>
      <c r="T9" s="402"/>
      <c r="U9" s="402"/>
      <c r="V9" s="402"/>
      <c r="W9" s="403"/>
      <c r="X9" s="401" t="s">
        <v>127</v>
      </c>
      <c r="Y9" s="402"/>
      <c r="Z9" s="402"/>
      <c r="AA9" s="402"/>
      <c r="AB9" s="402"/>
      <c r="AC9" s="402"/>
      <c r="AD9" s="402"/>
      <c r="AE9" s="401" t="s">
        <v>128</v>
      </c>
      <c r="AF9" s="402"/>
      <c r="AG9" s="402"/>
      <c r="AH9" s="402"/>
      <c r="AI9" s="402"/>
      <c r="AJ9" s="402"/>
      <c r="AK9" s="40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50" t="s">
        <v>129</v>
      </c>
      <c r="B10" s="316" t="s">
        <v>23</v>
      </c>
      <c r="C10" s="336" t="s">
        <v>25</v>
      </c>
      <c r="D10" s="336" t="s">
        <v>27</v>
      </c>
      <c r="E10" s="352" t="s">
        <v>29</v>
      </c>
      <c r="F10" s="347" t="s">
        <v>31</v>
      </c>
      <c r="G10" s="336" t="s">
        <v>130</v>
      </c>
      <c r="H10" s="335" t="s">
        <v>131</v>
      </c>
      <c r="I10" s="313" t="s">
        <v>132</v>
      </c>
      <c r="J10" s="347" t="s">
        <v>133</v>
      </c>
      <c r="K10" s="347" t="s">
        <v>134</v>
      </c>
      <c r="L10" s="315" t="s">
        <v>135</v>
      </c>
      <c r="M10" s="313" t="s">
        <v>132</v>
      </c>
      <c r="N10" s="336" t="s">
        <v>37</v>
      </c>
      <c r="O10" s="338" t="s">
        <v>136</v>
      </c>
      <c r="P10" s="337" t="s">
        <v>39</v>
      </c>
      <c r="Q10" s="347" t="s">
        <v>41</v>
      </c>
      <c r="R10" s="337" t="s">
        <v>137</v>
      </c>
      <c r="S10" s="337"/>
      <c r="T10" s="337"/>
      <c r="U10" s="337"/>
      <c r="V10" s="337"/>
      <c r="W10" s="337"/>
      <c r="X10" s="340" t="s">
        <v>138</v>
      </c>
      <c r="Y10" s="340" t="s">
        <v>139</v>
      </c>
      <c r="Z10" s="340" t="s">
        <v>132</v>
      </c>
      <c r="AA10" s="340" t="s">
        <v>140</v>
      </c>
      <c r="AB10" s="340" t="s">
        <v>132</v>
      </c>
      <c r="AC10" s="340" t="s">
        <v>141</v>
      </c>
      <c r="AD10" s="338" t="s">
        <v>57</v>
      </c>
      <c r="AE10" s="337" t="s">
        <v>128</v>
      </c>
      <c r="AF10" s="337" t="s">
        <v>142</v>
      </c>
      <c r="AG10" s="337" t="s">
        <v>143</v>
      </c>
      <c r="AH10" s="347" t="s">
        <v>144</v>
      </c>
      <c r="AI10" s="337" t="s">
        <v>145</v>
      </c>
      <c r="AJ10" s="337" t="s">
        <v>146</v>
      </c>
      <c r="AK10" s="337"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351"/>
      <c r="B11" s="316"/>
      <c r="C11" s="337"/>
      <c r="D11" s="337"/>
      <c r="E11" s="316"/>
      <c r="F11" s="336"/>
      <c r="G11" s="337"/>
      <c r="H11" s="336"/>
      <c r="I11" s="314"/>
      <c r="J11" s="336"/>
      <c r="K11" s="336"/>
      <c r="L11" s="314"/>
      <c r="M11" s="314"/>
      <c r="N11" s="337"/>
      <c r="O11" s="339"/>
      <c r="P11" s="337"/>
      <c r="Q11" s="336"/>
      <c r="R11" s="6" t="s">
        <v>147</v>
      </c>
      <c r="S11" s="6" t="s">
        <v>148</v>
      </c>
      <c r="T11" s="6" t="s">
        <v>149</v>
      </c>
      <c r="U11" s="6" t="s">
        <v>150</v>
      </c>
      <c r="V11" s="6" t="s">
        <v>151</v>
      </c>
      <c r="W11" s="6" t="s">
        <v>152</v>
      </c>
      <c r="X11" s="340"/>
      <c r="Y11" s="340"/>
      <c r="Z11" s="340"/>
      <c r="AA11" s="340"/>
      <c r="AB11" s="340"/>
      <c r="AC11" s="340"/>
      <c r="AD11" s="339"/>
      <c r="AE11" s="337"/>
      <c r="AF11" s="337"/>
      <c r="AG11" s="337"/>
      <c r="AH11" s="336"/>
      <c r="AI11" s="337"/>
      <c r="AJ11" s="337"/>
      <c r="AK11" s="33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c r="A12" s="326">
        <v>1</v>
      </c>
      <c r="B12" s="317" t="s">
        <v>153</v>
      </c>
      <c r="C12" s="317" t="s">
        <v>154</v>
      </c>
      <c r="D12" s="317" t="s">
        <v>155</v>
      </c>
      <c r="E12" s="329" t="s">
        <v>156</v>
      </c>
      <c r="F12" s="317" t="s">
        <v>157</v>
      </c>
      <c r="G12" s="320">
        <v>5</v>
      </c>
      <c r="H12" s="323" t="str">
        <f>IF(G12&lt;=0,"",IF(G12&lt;=2,"Muy Baja",IF(G12&lt;=24,"Baja",IF(G12&lt;=500,"Media",IF(G12&lt;=5000,"Alta","Muy Alta")))))</f>
        <v>Baja</v>
      </c>
      <c r="I12" s="332">
        <f>IF(H12="","",IF(H12="Muy Baja",0.2,IF(H12="Baja",0.4,IF(H12="Media",0.6,IF(H12="Alta",0.8,IF(H12="Muy Alta",1,))))))</f>
        <v>0.4</v>
      </c>
      <c r="J12" s="362" t="s">
        <v>158</v>
      </c>
      <c r="K12" s="332"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23" t="str">
        <f>IF(OR(K12='Tabla Impacto'!$C$11,K12='Tabla Impacto'!$D$11),"Leve",IF(OR(K12='Tabla Impacto'!$C$12,K12='Tabla Impacto'!$D$12),"Menor",IF(OR(K12='Tabla Impacto'!$C$13,K12='Tabla Impacto'!$D$13),"Moderado",IF(OR(K12='Tabla Impacto'!$C$14,K12='Tabla Impacto'!$D$14),"Mayor",IF(OR(K12='Tabla Impacto'!$C$15,K12='Tabla Impacto'!$D$15),"Catastrófico","")))))</f>
        <v>Mayor</v>
      </c>
      <c r="M12" s="332">
        <f>IF(L12="","",IF(L12="Leve",0.2,IF(L12="Menor",0.4,IF(L12="Moderado",0.6,IF(L12="Mayor",0.8,IF(L12="Catastrófico",1,))))))</f>
        <v>0.8</v>
      </c>
      <c r="N12" s="35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9" t="s">
        <v>159</v>
      </c>
      <c r="Q12" s="161" t="str">
        <f>IF(OR(R12="Preventivo",R12="Detectivo"),"Probabilidad",IF(R12="Correctivo","Impacto",""))</f>
        <v>Probabilidad</v>
      </c>
      <c r="R12" s="156" t="s">
        <v>160</v>
      </c>
      <c r="S12" s="156" t="s">
        <v>161</v>
      </c>
      <c r="T12" s="157" t="str">
        <f>IF(AND(R12="Preventivo",S12="Automático"),"50%",IF(AND(R12="Preventivo",S12="Manual"),"40%",IF(AND(R12="Detectivo",S12="Automático"),"40%",IF(AND(R12="Detectivo",S12="Manual"),"30%",IF(AND(R12="Correctivo",S12="Automático"),"35%",IF(AND(R12="Correctivo",S12="Manual"),"25%",""))))))</f>
        <v>40%</v>
      </c>
      <c r="U12" s="156" t="s">
        <v>162</v>
      </c>
      <c r="V12" s="156" t="s">
        <v>163</v>
      </c>
      <c r="W12" s="156" t="s">
        <v>164</v>
      </c>
      <c r="X12" s="158">
        <f>IFERROR(IF(Q12="Probabilidad",(I12-(+I12*T12)),IF(Q12="Impacto",I12,"")),"")</f>
        <v>0.24</v>
      </c>
      <c r="Y12" s="159" t="str">
        <f>IFERROR(IF(X12="","",IF(X12&lt;=0.2,"Muy Baja",IF(X12&lt;=0.4,"Baja",IF(X12&lt;=0.6,"Media",IF(X12&lt;=0.8,"Alta","Muy Alta"))))),"")</f>
        <v>Baja</v>
      </c>
      <c r="Z12" s="160">
        <f>+X12</f>
        <v>0.24</v>
      </c>
      <c r="AA12" s="159" t="str">
        <f>IFERROR(IF(AB12="","",IF(AB12&lt;=0.2,"Leve",IF(AB12&lt;=0.4,"Menor",IF(AB12&lt;=0.6,"Moderado",IF(AB12&lt;=0.8,"Mayor","Catastrófico"))))),"")</f>
        <v>Mayor</v>
      </c>
      <c r="AB12" s="160">
        <f>IFERROR(IF(Q12="Impacto",(M12-(+M12*T12)),IF(Q12="Probabilidad",M12,"")),"")</f>
        <v>0.8</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2" t="s">
        <v>165</v>
      </c>
      <c r="AE12" s="187" t="s">
        <v>166</v>
      </c>
      <c r="AF12" s="178" t="s">
        <v>167</v>
      </c>
      <c r="AG12" s="168">
        <v>45001</v>
      </c>
      <c r="AH12" s="177">
        <v>45275</v>
      </c>
      <c r="AI12" s="164"/>
      <c r="AJ12" s="116"/>
      <c r="AK12" s="163"/>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87" customHeight="1">
      <c r="A13" s="327"/>
      <c r="B13" s="318"/>
      <c r="C13" s="318"/>
      <c r="D13" s="318"/>
      <c r="E13" s="330"/>
      <c r="F13" s="318"/>
      <c r="G13" s="321"/>
      <c r="H13" s="324"/>
      <c r="I13" s="333"/>
      <c r="J13" s="363"/>
      <c r="K13" s="333">
        <f>IF(NOT(ISERROR(MATCH(J13,_xlfn.ANCHORARRAY(E24),0))),I26&amp;"Por favor no seleccionar los criterios de impacto",J13)</f>
        <v>0</v>
      </c>
      <c r="L13" s="324"/>
      <c r="M13" s="333"/>
      <c r="N13" s="360"/>
      <c r="O13" s="5">
        <v>2</v>
      </c>
      <c r="P13" s="179"/>
      <c r="Q13" s="161"/>
      <c r="R13" s="156"/>
      <c r="S13" s="156"/>
      <c r="T13" s="157" t="str">
        <f t="shared" ref="T13:T17" si="0">IF(AND(R13="Preventivo",S13="Automático"),"50%",IF(AND(R13="Preventivo",S13="Manual"),"40%",IF(AND(R13="Detectivo",S13="Automático"),"40%",IF(AND(R13="Detectivo",S13="Manual"),"30%",IF(AND(R13="Correctivo",S13="Automático"),"35%",IF(AND(R13="Correctivo",S13="Manual"),"25%",""))))))</f>
        <v/>
      </c>
      <c r="U13" s="156"/>
      <c r="V13" s="156"/>
      <c r="W13" s="156"/>
      <c r="X13" s="158" t="str">
        <f>IFERROR(IF(AND(Q12="Probabilidad",Q13="Probabilidad"),(Z12-(+Z12*T13)),IF(Q13="Probabilidad",(I12-(+I12*T13)),IF(Q13="Impacto",Z12,""))),"")</f>
        <v/>
      </c>
      <c r="Y13" s="159" t="str">
        <f t="shared" ref="Y13:Y71" si="1">IFERROR(IF(X13="","",IF(X13&lt;=0.2,"Muy Baja",IF(X13&lt;=0.4,"Baja",IF(X13&lt;=0.6,"Media",IF(X13&lt;=0.8,"Alta","Muy Alta"))))),"")</f>
        <v/>
      </c>
      <c r="Z13" s="160" t="str">
        <f t="shared" ref="Z13:Z17" si="2">+X13</f>
        <v/>
      </c>
      <c r="AA13" s="159" t="str">
        <f t="shared" ref="AA13:AA71" si="3">IFERROR(IF(AB13="","",IF(AB13&lt;=0.2,"Leve",IF(AB13&lt;=0.4,"Menor",IF(AB13&lt;=0.6,"Moderado",IF(AB13&lt;=0.8,"Mayor","Catastrófico"))))),"")</f>
        <v/>
      </c>
      <c r="AB13" s="160" t="str">
        <f>IFERROR(IF(AND(Q12="Impacto",Q13="Impacto"),(AB12-(+AB12*T13)),IF(Q13="Impacto",(M12-(+M12*T13)),IF(Q13="Probabilidad",AB12,""))),"")</f>
        <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2"/>
      <c r="AE13" s="176"/>
      <c r="AF13" s="176"/>
      <c r="AG13" s="177"/>
      <c r="AH13" s="177"/>
      <c r="AI13" s="168"/>
      <c r="AJ13" s="112"/>
      <c r="AK13" s="16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87" customHeight="1">
      <c r="A14" s="327"/>
      <c r="B14" s="318"/>
      <c r="C14" s="318"/>
      <c r="D14" s="318"/>
      <c r="E14" s="330"/>
      <c r="F14" s="318"/>
      <c r="G14" s="321"/>
      <c r="H14" s="324"/>
      <c r="I14" s="333"/>
      <c r="J14" s="363"/>
      <c r="K14" s="333">
        <f>IF(NOT(ISERROR(MATCH(J14,_xlfn.ANCHORARRAY(E25),0))),I27&amp;"Por favor no seleccionar los criterios de impacto",J14)</f>
        <v>0</v>
      </c>
      <c r="L14" s="324"/>
      <c r="M14" s="333"/>
      <c r="N14" s="360"/>
      <c r="O14" s="5">
        <v>3</v>
      </c>
      <c r="P14" s="180"/>
      <c r="Q14" s="104"/>
      <c r="R14" s="105"/>
      <c r="S14" s="105"/>
      <c r="T14" s="106"/>
      <c r="U14" s="115"/>
      <c r="V14" s="115"/>
      <c r="W14" s="115"/>
      <c r="X14" s="107"/>
      <c r="Y14" s="108"/>
      <c r="Z14" s="109"/>
      <c r="AA14" s="108"/>
      <c r="AB14" s="109"/>
      <c r="AC14" s="110"/>
      <c r="AD14" s="111"/>
      <c r="AE14" s="112"/>
      <c r="AF14" s="167"/>
      <c r="AG14" s="168"/>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c r="A15" s="327"/>
      <c r="B15" s="318"/>
      <c r="C15" s="318"/>
      <c r="D15" s="318"/>
      <c r="E15" s="330"/>
      <c r="F15" s="318"/>
      <c r="G15" s="321"/>
      <c r="H15" s="324"/>
      <c r="I15" s="333"/>
      <c r="J15" s="363"/>
      <c r="K15" s="333">
        <f>IF(NOT(ISERROR(MATCH(J15,_xlfn.ANCHORARRAY(E26),0))),I28&amp;"Por favor no seleccionar los criterios de impacto",J15)</f>
        <v>0</v>
      </c>
      <c r="L15" s="324"/>
      <c r="M15" s="333"/>
      <c r="N15" s="360"/>
      <c r="O15" s="5">
        <v>4</v>
      </c>
      <c r="P15" s="179"/>
      <c r="Q15" s="104"/>
      <c r="R15" s="105"/>
      <c r="S15" s="105"/>
      <c r="T15" s="106"/>
      <c r="U15" s="105"/>
      <c r="V15" s="105"/>
      <c r="W15" s="105"/>
      <c r="X15" s="107"/>
      <c r="Y15" s="108"/>
      <c r="Z15" s="109"/>
      <c r="AA15" s="108"/>
      <c r="AB15" s="109"/>
      <c r="AC15" s="110"/>
      <c r="AD15" s="111"/>
      <c r="AE15" s="112"/>
      <c r="AF15" s="167"/>
      <c r="AG15" s="168"/>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c r="A16" s="327"/>
      <c r="B16" s="318"/>
      <c r="C16" s="318"/>
      <c r="D16" s="318"/>
      <c r="E16" s="330"/>
      <c r="F16" s="318"/>
      <c r="G16" s="321"/>
      <c r="H16" s="324"/>
      <c r="I16" s="333"/>
      <c r="J16" s="363"/>
      <c r="K16" s="333">
        <f>IF(NOT(ISERROR(MATCH(J16,_xlfn.ANCHORARRAY(E27),0))),I29&amp;"Por favor no seleccionar los criterios de impacto",J16)</f>
        <v>0</v>
      </c>
      <c r="L16" s="324"/>
      <c r="M16" s="333"/>
      <c r="N16" s="360"/>
      <c r="O16" s="5">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7"/>
      <c r="AG16" s="168"/>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c r="A17" s="328"/>
      <c r="B17" s="319"/>
      <c r="C17" s="319"/>
      <c r="D17" s="319"/>
      <c r="E17" s="331"/>
      <c r="F17" s="319"/>
      <c r="G17" s="322"/>
      <c r="H17" s="325"/>
      <c r="I17" s="334"/>
      <c r="J17" s="364"/>
      <c r="K17" s="334">
        <f>IF(NOT(ISERROR(MATCH(J17,_xlfn.ANCHORARRAY(E28),0))),I30&amp;"Por favor no seleccionar los criterios de impacto",J17)</f>
        <v>0</v>
      </c>
      <c r="L17" s="325"/>
      <c r="M17" s="334"/>
      <c r="N17" s="361"/>
      <c r="O17" s="5">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7"/>
      <c r="AG17" s="168"/>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72.5" customHeight="1">
      <c r="A18" s="326">
        <v>2</v>
      </c>
      <c r="B18" s="317" t="s">
        <v>168</v>
      </c>
      <c r="C18" s="374" t="s">
        <v>169</v>
      </c>
      <c r="D18" s="374" t="s">
        <v>170</v>
      </c>
      <c r="E18" s="380" t="s">
        <v>171</v>
      </c>
      <c r="F18" s="317" t="s">
        <v>157</v>
      </c>
      <c r="G18" s="368">
        <v>360</v>
      </c>
      <c r="H18" s="371" t="str">
        <f>IF(G18&lt;=0,"",IF(G18&lt;=2,"Muy Baja",IF(G18&lt;=24,"Baja",IF(G18&lt;=500,"Media",IF(G18&lt;=5000,"Alta","Muy Alta")))))</f>
        <v>Media</v>
      </c>
      <c r="I18" s="341">
        <f>IF(H18="","",IF(H18="Muy Baja",0.2,IF(H18="Baja",0.4,IF(H18="Media",0.6,IF(H18="Alta",0.8,IF(H18="Muy Alta",1,))))))</f>
        <v>0.6</v>
      </c>
      <c r="J18" s="362" t="s">
        <v>172</v>
      </c>
      <c r="K18" s="341" t="str">
        <f>IF(NOT(ISERROR(MATCH(J18,'[1]Tabla Impacto'!$B$221:$B$223,0))),'[1]Tabla Impacto'!$F$223&amp;"Por favor no seleccionar los criterios de impacto(Afectación Económica o presupuestal y Pérdida Reputacional)",J18)</f>
        <v xml:space="preserve">     El riesgo afecta la imagen de la entidad con algunos usuarios de relevancia frente al logro de los objetivos</v>
      </c>
      <c r="L18" s="323" t="str">
        <f>IF(OR(K18='Tabla Impacto'!$C$11,K18='Tabla Impacto'!$D$11),"Leve",IF(OR(K18='Tabla Impacto'!$C$12,K18='Tabla Impacto'!$D$12),"Menor",IF(OR(K18='Tabla Impacto'!$C$13,K18='Tabla Impacto'!$D$13),"Moderado",IF(OR(K18='Tabla Impacto'!$C$14,K18='Tabla Impacto'!$D$14),"Mayor",IF(OR(K18='Tabla Impacto'!$C$15,K18='Tabla Impacto'!$D$15),"Catastrófico","")))))</f>
        <v>Moderado</v>
      </c>
      <c r="M18" s="341">
        <f>IF(L18="","",IF(L18="Leve",0.2,IF(L18="Menor",0.4,IF(L18="Moderado",0.6,IF(L18="Mayor",0.8,IF(L18="Catastrófico",1,))))))</f>
        <v>0.6</v>
      </c>
      <c r="N18" s="34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88">
        <v>1</v>
      </c>
      <c r="P18" s="179" t="s">
        <v>173</v>
      </c>
      <c r="Q18" s="161" t="str">
        <f>IF(OR(R18="Preventivo",R18="Detectivo"),"Probabilidad",IF(R18="Correctivo","Impacto",""))</f>
        <v>Probabilidad</v>
      </c>
      <c r="R18" s="169" t="s">
        <v>160</v>
      </c>
      <c r="S18" s="169" t="s">
        <v>161</v>
      </c>
      <c r="T18" s="170" t="str">
        <f>IF(AND(R18="Preventivo",S18="Automático"),"50%",IF(AND(R18="Preventivo",S18="Manual"),"40%",IF(AND(R18="Detectivo",S18="Automático"),"40%",IF(AND(R18="Detectivo",S18="Manual"),"30%",IF(AND(R18="Correctivo",S18="Automático"),"35%",IF(AND(R18="Correctivo",S18="Manual"),"25%",""))))))</f>
        <v>40%</v>
      </c>
      <c r="U18" s="169" t="s">
        <v>162</v>
      </c>
      <c r="V18" s="169" t="s">
        <v>163</v>
      </c>
      <c r="W18" s="169" t="s">
        <v>164</v>
      </c>
      <c r="X18" s="158">
        <f>IFERROR(IF(Q18="Probabilidad",(I18-(+I18*T18)),IF(Q18="Impacto",I18,"")),"")</f>
        <v>0.36</v>
      </c>
      <c r="Y18" s="171" t="str">
        <f>IFERROR(IF(X18="","",IF(X18&lt;=0.2,"Muy Baja",IF(X18&lt;=0.4,"Baja",IF(X18&lt;=0.6,"Media",IF(X18&lt;=0.8,"Alta","Muy Alta"))))),"")</f>
        <v>Baja</v>
      </c>
      <c r="Z18" s="172">
        <f>+X18</f>
        <v>0.36</v>
      </c>
      <c r="AA18" s="171" t="str">
        <f>IFERROR(IF(AB18="","",IF(AB18&lt;=0.2,"Leve",IF(AB18&lt;=0.4,"Menor",IF(AB18&lt;=0.6,"Moderado",IF(AB18&lt;=0.8,"Mayor","Catastrófico"))))),"")</f>
        <v>Moderado</v>
      </c>
      <c r="AB18" s="172">
        <f>IFERROR(IF(Q18="Impacto",(M18-(+M18*T18)),IF(Q18="Probabilidad",M18,"")),"")</f>
        <v>0.6</v>
      </c>
      <c r="AC18" s="17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4" t="s">
        <v>165</v>
      </c>
      <c r="AE18" s="176" t="s">
        <v>174</v>
      </c>
      <c r="AF18" s="177" t="s">
        <v>175</v>
      </c>
      <c r="AG18" s="168">
        <v>45001</v>
      </c>
      <c r="AH18" s="177">
        <v>45275</v>
      </c>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96" customHeight="1">
      <c r="A19" s="327"/>
      <c r="B19" s="318"/>
      <c r="C19" s="375"/>
      <c r="D19" s="375"/>
      <c r="E19" s="381"/>
      <c r="F19" s="318"/>
      <c r="G19" s="369"/>
      <c r="H19" s="372"/>
      <c r="I19" s="342"/>
      <c r="J19" s="363"/>
      <c r="K19" s="342">
        <f>IF(NOT(ISERROR(MATCH(J19,_xlfn.ANCHORARRAY(E30),0))),I32&amp;"Por favor no seleccionar los criterios de impacto",J19)</f>
        <v>0</v>
      </c>
      <c r="L19" s="324"/>
      <c r="M19" s="342"/>
      <c r="N19" s="345"/>
      <c r="O19" s="188">
        <v>2</v>
      </c>
      <c r="P19" s="179"/>
      <c r="Q19" s="161" t="str">
        <f>IF(OR(R19="Preventivo",R19="Detectivo"),"Probabilidad",IF(R19="Correctivo","Impacto",""))</f>
        <v/>
      </c>
      <c r="R19" s="169"/>
      <c r="S19" s="169"/>
      <c r="T19" s="170" t="str">
        <f t="shared" ref="T19:T29" si="8">IF(AND(R19="Preventivo",S19="Automático"),"50%",IF(AND(R19="Preventivo",S19="Manual"),"40%",IF(AND(R19="Detectivo",S19="Automático"),"40%",IF(AND(R19="Detectivo",S19="Manual"),"30%",IF(AND(R19="Correctivo",S19="Automático"),"35%",IF(AND(R19="Correctivo",S19="Manual"),"25%",""))))))</f>
        <v/>
      </c>
      <c r="U19" s="169"/>
      <c r="V19" s="169"/>
      <c r="W19" s="169"/>
      <c r="X19" s="158" t="str">
        <f>IFERROR(IF(AND(Q18="Probabilidad",Q19="Probabilidad"),(Z18-(+Z18*T19)),IF(Q19="Probabilidad",(I18-(+I18*T19)),IF(Q19="Impacto",Z18,""))),"")</f>
        <v/>
      </c>
      <c r="Y19" s="171" t="str">
        <f t="shared" ref="Y19:Y23" si="9">IFERROR(IF(X19="","",IF(X19&lt;=0.2,"Muy Baja",IF(X19&lt;=0.4,"Baja",IF(X19&lt;=0.6,"Media",IF(X19&lt;=0.8,"Alta","Muy Alta"))))),"")</f>
        <v/>
      </c>
      <c r="Z19" s="172" t="str">
        <f t="shared" ref="Z19:Z23" si="10">+X19</f>
        <v/>
      </c>
      <c r="AA19" s="171" t="str">
        <f t="shared" ref="AA19:AA23" si="11">IFERROR(IF(AB19="","",IF(AB19&lt;=0.2,"Leve",IF(AB19&lt;=0.4,"Menor",IF(AB19&lt;=0.6,"Moderado",IF(AB19&lt;=0.8,"Mayor","Catastrófico"))))),"")</f>
        <v/>
      </c>
      <c r="AB19" s="172" t="str">
        <f>IFERROR(IF(AND(Q18="Impacto",Q19="Impacto"),(AB18-(+AB18*T19)),IF(Q19="Impacto",(M18-(+M18*T19)),IF(Q19="Probabilidad",AB18,""))),"")</f>
        <v/>
      </c>
      <c r="AC19" s="173" t="str">
        <f t="shared" ref="AC19:AC20" si="12">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4"/>
      <c r="AE19" s="176" t="s">
        <v>176</v>
      </c>
      <c r="AF19" s="2"/>
      <c r="AG19" s="177"/>
      <c r="AH19" s="177"/>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c r="A20" s="327"/>
      <c r="B20" s="318"/>
      <c r="C20" s="375"/>
      <c r="D20" s="375"/>
      <c r="E20" s="381"/>
      <c r="F20" s="318"/>
      <c r="G20" s="369"/>
      <c r="H20" s="372"/>
      <c r="I20" s="342"/>
      <c r="J20" s="363"/>
      <c r="K20" s="342">
        <f>IF(NOT(ISERROR(MATCH(J20,_xlfn.ANCHORARRAY(E31),0))),I33&amp;"Por favor no seleccionar los criterios de impacto",J20)</f>
        <v>0</v>
      </c>
      <c r="L20" s="324"/>
      <c r="M20" s="342"/>
      <c r="N20" s="345"/>
      <c r="O20" s="188">
        <v>3</v>
      </c>
      <c r="P20" s="181"/>
      <c r="Q20" s="161" t="str">
        <f>IF(OR(R20="Preventivo",R20="Detectivo"),"Probabilidad",IF(R20="Correctivo","Impacto",""))</f>
        <v/>
      </c>
      <c r="R20" s="169"/>
      <c r="S20" s="169"/>
      <c r="T20" s="170" t="str">
        <f t="shared" si="8"/>
        <v/>
      </c>
      <c r="U20" s="169"/>
      <c r="V20" s="169"/>
      <c r="W20" s="169"/>
      <c r="X20" s="158" t="str">
        <f>IFERROR(IF(AND(Q19="Probabilidad",Q20="Probabilidad"),(Z19-(+Z19*T20)),IF(AND(Q19="Impacto",Q20="Probabilidad"),(Z18-(+Z18*T20)),IF(Q20="Impacto",Z19,""))),"")</f>
        <v/>
      </c>
      <c r="Y20" s="171" t="str">
        <f t="shared" si="9"/>
        <v/>
      </c>
      <c r="Z20" s="172" t="str">
        <f t="shared" si="10"/>
        <v/>
      </c>
      <c r="AA20" s="171" t="str">
        <f t="shared" si="11"/>
        <v/>
      </c>
      <c r="AB20" s="172" t="str">
        <f>IFERROR(IF(AND(Q19="Impacto",Q20="Impacto"),(AB19-(+AB19*T20)),IF(AND(Q19="Probabilidad",Q20="Impacto"),(AB18-(+AB18*T20)),IF(Q20="Probabilidad",AB19,""))),"")</f>
        <v/>
      </c>
      <c r="AC20" s="173" t="str">
        <f t="shared" si="12"/>
        <v/>
      </c>
      <c r="AD20" s="174"/>
      <c r="AE20" s="176"/>
      <c r="AF20" s="178"/>
      <c r="AG20" s="177"/>
      <c r="AH20" s="177"/>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c r="A21" s="327"/>
      <c r="B21" s="318"/>
      <c r="C21" s="375"/>
      <c r="D21" s="375"/>
      <c r="E21" s="381"/>
      <c r="F21" s="318"/>
      <c r="G21" s="369"/>
      <c r="H21" s="372"/>
      <c r="I21" s="342"/>
      <c r="J21" s="363"/>
      <c r="K21" s="342">
        <f>IF(NOT(ISERROR(MATCH(J21,_xlfn.ANCHORARRAY(E32),0))),I34&amp;"Por favor no seleccionar los criterios de impacto",J21)</f>
        <v>0</v>
      </c>
      <c r="L21" s="324"/>
      <c r="M21" s="342"/>
      <c r="N21" s="345"/>
      <c r="O21" s="188">
        <v>4</v>
      </c>
      <c r="P21" s="179"/>
      <c r="Q21" s="104" t="str">
        <f t="shared" ref="Q21:Q24" si="13">IF(OR(R21="Preventivo",R21="Detectivo"),"Probabilidad",IF(R21="Correctivo","Impacto",""))</f>
        <v/>
      </c>
      <c r="R21" s="169"/>
      <c r="S21" s="169"/>
      <c r="T21" s="106" t="str">
        <f t="shared" si="8"/>
        <v/>
      </c>
      <c r="U21" s="169"/>
      <c r="V21" s="169"/>
      <c r="W21" s="169"/>
      <c r="X21" s="107" t="str">
        <f t="shared" ref="X21:X23" si="14">IFERROR(IF(AND(Q20="Probabilidad",Q21="Probabilidad"),(Z20-(+Z20*T21)),IF(AND(Q20="Impacto",Q21="Probabilidad"),(Z19-(+Z19*T21)),IF(Q21="Impacto",Z20,""))),"")</f>
        <v/>
      </c>
      <c r="Y21" s="108" t="str">
        <f t="shared" si="9"/>
        <v/>
      </c>
      <c r="Z21" s="109" t="str">
        <f t="shared" si="10"/>
        <v/>
      </c>
      <c r="AA21" s="108" t="str">
        <f t="shared" si="11"/>
        <v/>
      </c>
      <c r="AB21" s="109" t="str">
        <f t="shared" ref="AB21:AB23" si="15">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74"/>
      <c r="AE21" s="112"/>
      <c r="AF21" s="113"/>
      <c r="AG21" s="114"/>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c r="A22" s="327"/>
      <c r="B22" s="318"/>
      <c r="C22" s="375"/>
      <c r="D22" s="375"/>
      <c r="E22" s="381"/>
      <c r="F22" s="318"/>
      <c r="G22" s="369"/>
      <c r="H22" s="372"/>
      <c r="I22" s="342"/>
      <c r="J22" s="363"/>
      <c r="K22" s="342">
        <f>IF(NOT(ISERROR(MATCH(J22,_xlfn.ANCHORARRAY(E33),0))),I35&amp;"Por favor no seleccionar los criterios de impacto",J22)</f>
        <v>0</v>
      </c>
      <c r="L22" s="324"/>
      <c r="M22" s="342"/>
      <c r="N22" s="345"/>
      <c r="O22" s="188">
        <v>5</v>
      </c>
      <c r="P22" s="179"/>
      <c r="Q22" s="104" t="str">
        <f t="shared" si="13"/>
        <v/>
      </c>
      <c r="R22" s="169"/>
      <c r="S22" s="169"/>
      <c r="T22" s="106" t="str">
        <f t="shared" si="8"/>
        <v/>
      </c>
      <c r="U22" s="169"/>
      <c r="V22" s="169"/>
      <c r="W22" s="169"/>
      <c r="X22" s="107" t="str">
        <f t="shared" si="14"/>
        <v/>
      </c>
      <c r="Y22" s="108" t="str">
        <f t="shared" si="9"/>
        <v/>
      </c>
      <c r="Z22" s="109" t="str">
        <f t="shared" si="10"/>
        <v/>
      </c>
      <c r="AA22" s="108" t="str">
        <f t="shared" si="11"/>
        <v/>
      </c>
      <c r="AB22" s="109" t="str">
        <f t="shared" si="15"/>
        <v/>
      </c>
      <c r="AC22" s="110" t="str">
        <f t="shared" ref="AC22:AC23" si="16">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74"/>
      <c r="AE22" s="112"/>
      <c r="AF22" s="113"/>
      <c r="AG22" s="114"/>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c r="A23" s="328"/>
      <c r="B23" s="319"/>
      <c r="C23" s="376"/>
      <c r="D23" s="376"/>
      <c r="E23" s="382"/>
      <c r="F23" s="319"/>
      <c r="G23" s="370"/>
      <c r="H23" s="373"/>
      <c r="I23" s="343"/>
      <c r="J23" s="364"/>
      <c r="K23" s="343">
        <f>IF(NOT(ISERROR(MATCH(J23,_xlfn.ANCHORARRAY(E34),0))),I36&amp;"Por favor no seleccionar los criterios de impacto",J23)</f>
        <v>0</v>
      </c>
      <c r="L23" s="325"/>
      <c r="M23" s="343"/>
      <c r="N23" s="346"/>
      <c r="O23" s="188">
        <v>6</v>
      </c>
      <c r="P23" s="179"/>
      <c r="Q23" s="104" t="str">
        <f t="shared" si="13"/>
        <v/>
      </c>
      <c r="R23" s="169"/>
      <c r="S23" s="169"/>
      <c r="T23" s="106" t="str">
        <f t="shared" si="8"/>
        <v/>
      </c>
      <c r="U23" s="169"/>
      <c r="V23" s="169"/>
      <c r="W23" s="169"/>
      <c r="X23" s="107" t="str">
        <f t="shared" si="14"/>
        <v/>
      </c>
      <c r="Y23" s="108" t="str">
        <f t="shared" si="9"/>
        <v/>
      </c>
      <c r="Z23" s="109" t="str">
        <f t="shared" si="10"/>
        <v/>
      </c>
      <c r="AA23" s="108" t="str">
        <f t="shared" si="11"/>
        <v/>
      </c>
      <c r="AB23" s="109" t="str">
        <f t="shared" si="15"/>
        <v/>
      </c>
      <c r="AC23" s="110" t="str">
        <f t="shared" si="16"/>
        <v/>
      </c>
      <c r="AD23" s="174"/>
      <c r="AE23" s="112"/>
      <c r="AF23" s="113"/>
      <c r="AG23" s="114"/>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98.25" customHeight="1">
      <c r="A24" s="326">
        <v>3</v>
      </c>
      <c r="B24" s="317" t="s">
        <v>177</v>
      </c>
      <c r="C24" s="374" t="s">
        <v>178</v>
      </c>
      <c r="D24" s="374" t="s">
        <v>179</v>
      </c>
      <c r="E24" s="380" t="s">
        <v>180</v>
      </c>
      <c r="F24" s="374" t="s">
        <v>157</v>
      </c>
      <c r="G24" s="377">
        <v>5</v>
      </c>
      <c r="H24" s="371" t="str">
        <f>IF(G24&lt;=0,"",IF(G24&lt;=2,"Muy Baja",IF(G24&lt;=24,"Baja",IF(G24&lt;=500,"Media",IF(G24&lt;=5000,"Alta","Muy Alta")))))</f>
        <v>Baja</v>
      </c>
      <c r="I24" s="341">
        <f>IF(H24="","",IF(H24="Muy Baja",0.2,IF(H24="Baja",0.4,IF(H24="Media",0.6,IF(H24="Alta",0.8,IF(H24="Muy Alta",1,))))))</f>
        <v>0.4</v>
      </c>
      <c r="J24" s="365" t="s">
        <v>181</v>
      </c>
      <c r="K24" s="341" t="str">
        <f>IF(NOT(ISERROR(MATCH(J24,'[2]Tabla Impacto'!$B$221:$B$223,0))),'[2]Tabla Impacto'!$F$223&amp;"Por favor no seleccionar los criterios de impacto(Afectación Económica o presupuestal y Pérdida Reputacional)",J24)</f>
        <v xml:space="preserve">     Entre 10 y 50 SMLMV </v>
      </c>
      <c r="L24" s="323" t="str">
        <f>IF(OR(K24='Tabla Impacto'!$C$11,K24='Tabla Impacto'!$D$11),"Leve",IF(OR(K24='Tabla Impacto'!$C$12,K24='Tabla Impacto'!$D$12),"Menor",IF(OR(K24='Tabla Impacto'!$C$13,K24='Tabla Impacto'!$D$13),"Moderado",IF(OR(K24='Tabla Impacto'!$C$14,K24='Tabla Impacto'!$D$14),"Mayor",IF(OR(K24='Tabla Impacto'!$C$15,K24='Tabla Impacto'!$D$15),"Catastrófico","")))))</f>
        <v>Menor</v>
      </c>
      <c r="M24" s="341">
        <f>IF(L24="","",IF(L24="Leve",0.2,IF(L24="Menor",0.4,IF(L24="Moderado",0.6,IF(L24="Mayor",0.8,IF(L24="Catastrófico",1,))))))</f>
        <v>0.4</v>
      </c>
      <c r="N24" s="34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88">
        <v>1</v>
      </c>
      <c r="P24" s="179" t="s">
        <v>182</v>
      </c>
      <c r="Q24" s="161" t="str">
        <f t="shared" si="13"/>
        <v>Probabilidad</v>
      </c>
      <c r="R24" s="169" t="s">
        <v>160</v>
      </c>
      <c r="S24" s="169" t="s">
        <v>161</v>
      </c>
      <c r="T24" s="170" t="str">
        <f t="shared" si="8"/>
        <v>40%</v>
      </c>
      <c r="U24" s="169" t="s">
        <v>162</v>
      </c>
      <c r="V24" s="169" t="s">
        <v>163</v>
      </c>
      <c r="W24" s="169" t="s">
        <v>164</v>
      </c>
      <c r="X24" s="158">
        <f>IFERROR(IF(Q24="Probabilidad",(I24-(+I24*T24)),IF(Q24="Impacto",I24,"")),"")</f>
        <v>0.24</v>
      </c>
      <c r="Y24" s="171" t="str">
        <f>IFERROR(IF(X24="","",IF(X24&lt;=0.2,"Muy Baja",IF(X24&lt;=0.4,"Baja",IF(X24&lt;=0.6,"Media",IF(X24&lt;=0.8,"Alta","Muy Alta"))))),"")</f>
        <v>Baja</v>
      </c>
      <c r="Z24" s="172">
        <f>+X24</f>
        <v>0.24</v>
      </c>
      <c r="AA24" s="171" t="str">
        <f>IFERROR(IF(AB24="","",IF(AB24&lt;=0.2,"Leve",IF(AB24&lt;=0.4,"Menor",IF(AB24&lt;=0.6,"Moderado",IF(AB24&lt;=0.8,"Mayor","Catastrófico"))))),"")</f>
        <v>Menor</v>
      </c>
      <c r="AB24" s="172">
        <f>IFERROR(IF(Q24="Impacto",(M24-(+M24*T24)),IF(Q24="Probabilidad",M24,"")),"")</f>
        <v>0.4</v>
      </c>
      <c r="AC24" s="173"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4" t="s">
        <v>165</v>
      </c>
      <c r="AE24" s="176" t="s">
        <v>183</v>
      </c>
      <c r="AF24" s="176" t="s">
        <v>184</v>
      </c>
      <c r="AG24" s="168">
        <v>45001</v>
      </c>
      <c r="AH24" s="168">
        <v>45275</v>
      </c>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c r="A25" s="327"/>
      <c r="B25" s="318"/>
      <c r="C25" s="375"/>
      <c r="D25" s="375"/>
      <c r="E25" s="381"/>
      <c r="F25" s="375"/>
      <c r="G25" s="378"/>
      <c r="H25" s="372"/>
      <c r="I25" s="342"/>
      <c r="J25" s="366"/>
      <c r="K25" s="342">
        <f>IF(NOT(ISERROR(MATCH(J25,_xlfn.ANCHORARRAY(E36),0))),I38&amp;"Por favor no seleccionar los criterios de impacto",J25)</f>
        <v>0</v>
      </c>
      <c r="L25" s="324"/>
      <c r="M25" s="342"/>
      <c r="N25" s="345"/>
      <c r="O25" s="188">
        <v>2</v>
      </c>
      <c r="P25" s="179"/>
      <c r="Q25" s="104" t="str">
        <f>IF(OR(R25="Preventivo",R25="Detectivo"),"Probabilidad",IF(R25="Correctivo","Impacto",""))</f>
        <v/>
      </c>
      <c r="R25" s="105"/>
      <c r="S25" s="105"/>
      <c r="T25" s="106" t="str">
        <f t="shared" si="8"/>
        <v/>
      </c>
      <c r="U25" s="105"/>
      <c r="V25" s="105"/>
      <c r="W25" s="105"/>
      <c r="X25" s="107" t="str">
        <f>IFERROR(IF(AND(Q24="Probabilidad",Q25="Probabilidad"),(Z24-(+Z24*T25)),IF(Q25="Probabilidad",(I24-(+I24*T25)),IF(Q25="Impacto",Z24,""))),"")</f>
        <v/>
      </c>
      <c r="Y25" s="108" t="str">
        <f t="shared" ref="Y25:Y29" si="17">IFERROR(IF(X25="","",IF(X25&lt;=0.2,"Muy Baja",IF(X25&lt;=0.4,"Baja",IF(X25&lt;=0.6,"Media",IF(X25&lt;=0.8,"Alta","Muy Alta"))))),"")</f>
        <v/>
      </c>
      <c r="Z25" s="109" t="str">
        <f t="shared" ref="Z25:Z29" si="18">+X25</f>
        <v/>
      </c>
      <c r="AA25" s="108" t="str">
        <f t="shared" ref="AA25:AA29" si="19">IFERROR(IF(AB25="","",IF(AB25&lt;=0.2,"Leve",IF(AB25&lt;=0.4,"Menor",IF(AB25&lt;=0.6,"Moderado",IF(AB25&lt;=0.8,"Mayor","Catastrófico"))))),"")</f>
        <v/>
      </c>
      <c r="AB25" s="109" t="str">
        <f>IFERROR(IF(AND(Q24="Impacto",Q25="Impacto"),(AB24-(+AB24*T25)),IF(Q25="Impacto",(M24-(+M24*T25)),IF(Q25="Probabilidad",AB24,""))),"")</f>
        <v/>
      </c>
      <c r="AC25" s="110" t="str">
        <f t="shared" ref="AC25:AC26" si="20">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11"/>
      <c r="AE25" s="190"/>
      <c r="AF25" s="113"/>
      <c r="AG25" s="114"/>
      <c r="AH25" s="114"/>
      <c r="AI25" s="114"/>
      <c r="AJ25" s="112"/>
      <c r="AK25" s="113"/>
    </row>
    <row r="26" spans="1:69" ht="18" customHeight="1">
      <c r="A26" s="327"/>
      <c r="B26" s="318"/>
      <c r="C26" s="375"/>
      <c r="D26" s="375"/>
      <c r="E26" s="381"/>
      <c r="F26" s="375"/>
      <c r="G26" s="378"/>
      <c r="H26" s="372"/>
      <c r="I26" s="342"/>
      <c r="J26" s="366"/>
      <c r="K26" s="342">
        <f>IF(NOT(ISERROR(MATCH(J26,_xlfn.ANCHORARRAY(E37),0))),I39&amp;"Por favor no seleccionar los criterios de impacto",J26)</f>
        <v>0</v>
      </c>
      <c r="L26" s="324"/>
      <c r="M26" s="342"/>
      <c r="N26" s="345"/>
      <c r="O26" s="188">
        <v>3</v>
      </c>
      <c r="P26" s="180"/>
      <c r="Q26" s="104" t="str">
        <f>IF(OR(R26="Preventivo",R26="Detectivo"),"Probabilidad",IF(R26="Correctivo","Impacto",""))</f>
        <v/>
      </c>
      <c r="R26" s="105"/>
      <c r="S26" s="105"/>
      <c r="T26" s="106" t="str">
        <f t="shared" si="8"/>
        <v/>
      </c>
      <c r="U26" s="105"/>
      <c r="V26" s="105"/>
      <c r="W26" s="105"/>
      <c r="X26" s="107" t="str">
        <f>IFERROR(IF(AND(Q25="Probabilidad",Q26="Probabilidad"),(Z25-(+Z25*T26)),IF(AND(Q25="Impacto",Q26="Probabilidad"),(Z24-(+Z24*T26)),IF(Q26="Impacto",Z25,""))),"")</f>
        <v/>
      </c>
      <c r="Y26" s="108" t="str">
        <f t="shared" si="17"/>
        <v/>
      </c>
      <c r="Z26" s="109" t="str">
        <f t="shared" si="18"/>
        <v/>
      </c>
      <c r="AA26" s="108" t="str">
        <f t="shared" si="19"/>
        <v/>
      </c>
      <c r="AB26" s="109" t="str">
        <f>IFERROR(IF(AND(Q25="Impacto",Q26="Impacto"),(AB25-(+AB25*T26)),IF(AND(Q25="Probabilidad",Q26="Impacto"),(AB24-(+AB24*T26)),IF(Q26="Probabilidad",AB25,""))),"")</f>
        <v/>
      </c>
      <c r="AC26" s="110" t="str">
        <f t="shared" si="20"/>
        <v/>
      </c>
      <c r="AD26" s="111"/>
      <c r="AE26" s="190"/>
      <c r="AF26" s="113"/>
      <c r="AG26" s="114"/>
      <c r="AH26" s="114"/>
      <c r="AI26" s="114"/>
      <c r="AJ26" s="112"/>
      <c r="AK26" s="113"/>
    </row>
    <row r="27" spans="1:69" ht="18" customHeight="1">
      <c r="A27" s="327"/>
      <c r="B27" s="318"/>
      <c r="C27" s="375"/>
      <c r="D27" s="375"/>
      <c r="E27" s="381"/>
      <c r="F27" s="375"/>
      <c r="G27" s="378"/>
      <c r="H27" s="372"/>
      <c r="I27" s="342"/>
      <c r="J27" s="366"/>
      <c r="K27" s="342">
        <f>IF(NOT(ISERROR(MATCH(J27,_xlfn.ANCHORARRAY(E38),0))),I40&amp;"Por favor no seleccionar los criterios de impacto",J27)</f>
        <v>0</v>
      </c>
      <c r="L27" s="324"/>
      <c r="M27" s="342"/>
      <c r="N27" s="345"/>
      <c r="O27" s="188">
        <v>4</v>
      </c>
      <c r="P27" s="179"/>
      <c r="Q27" s="104" t="str">
        <f t="shared" ref="Q27:Q29" si="21">IF(OR(R27="Preventivo",R27="Detectivo"),"Probabilidad",IF(R27="Correctivo","Impacto",""))</f>
        <v/>
      </c>
      <c r="R27" s="105"/>
      <c r="S27" s="105"/>
      <c r="T27" s="106" t="str">
        <f t="shared" si="8"/>
        <v/>
      </c>
      <c r="U27" s="105"/>
      <c r="V27" s="105"/>
      <c r="W27" s="105"/>
      <c r="X27" s="107" t="str">
        <f t="shared" ref="X27:X28" si="22">IFERROR(IF(AND(Q26="Probabilidad",Q27="Probabilidad"),(Z26-(+Z26*T27)),IF(AND(Q26="Impacto",Q27="Probabilidad"),(Z25-(+Z25*T27)),IF(Q27="Impacto",Z26,""))),"")</f>
        <v/>
      </c>
      <c r="Y27" s="108" t="str">
        <f t="shared" si="17"/>
        <v/>
      </c>
      <c r="Z27" s="109" t="str">
        <f t="shared" si="18"/>
        <v/>
      </c>
      <c r="AA27" s="108" t="str">
        <f t="shared" si="19"/>
        <v/>
      </c>
      <c r="AB27" s="109" t="str">
        <f t="shared" ref="AB27:AB28" si="23">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90"/>
      <c r="AF27" s="113"/>
      <c r="AG27" s="114"/>
      <c r="AH27" s="114"/>
      <c r="AI27" s="114"/>
      <c r="AJ27" s="112"/>
      <c r="AK27" s="113"/>
    </row>
    <row r="28" spans="1:69" ht="18" customHeight="1">
      <c r="A28" s="327"/>
      <c r="B28" s="318"/>
      <c r="C28" s="375"/>
      <c r="D28" s="375"/>
      <c r="E28" s="381"/>
      <c r="F28" s="375"/>
      <c r="G28" s="378"/>
      <c r="H28" s="372"/>
      <c r="I28" s="342"/>
      <c r="J28" s="366"/>
      <c r="K28" s="342">
        <f>IF(NOT(ISERROR(MATCH(J28,_xlfn.ANCHORARRAY(E39),0))),I41&amp;"Por favor no seleccionar los criterios de impacto",J28)</f>
        <v>0</v>
      </c>
      <c r="L28" s="324"/>
      <c r="M28" s="342"/>
      <c r="N28" s="345"/>
      <c r="O28" s="188">
        <v>5</v>
      </c>
      <c r="P28" s="179"/>
      <c r="Q28" s="104" t="str">
        <f t="shared" si="21"/>
        <v/>
      </c>
      <c r="R28" s="105"/>
      <c r="S28" s="105"/>
      <c r="T28" s="106" t="str">
        <f t="shared" si="8"/>
        <v/>
      </c>
      <c r="U28" s="105"/>
      <c r="V28" s="105"/>
      <c r="W28" s="105"/>
      <c r="X28" s="107" t="str">
        <f t="shared" si="22"/>
        <v/>
      </c>
      <c r="Y28" s="108" t="str">
        <f t="shared" si="17"/>
        <v/>
      </c>
      <c r="Z28" s="109" t="str">
        <f t="shared" si="18"/>
        <v/>
      </c>
      <c r="AA28" s="108" t="str">
        <f t="shared" si="19"/>
        <v/>
      </c>
      <c r="AB28" s="109" t="str">
        <f t="shared" si="23"/>
        <v/>
      </c>
      <c r="AC28" s="110" t="str">
        <f t="shared" ref="AC28:AC29" si="24">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90"/>
      <c r="AF28" s="113"/>
      <c r="AG28" s="114"/>
      <c r="AH28" s="114"/>
      <c r="AI28" s="114"/>
      <c r="AJ28" s="112"/>
      <c r="AK28" s="113"/>
    </row>
    <row r="29" spans="1:69" ht="18" customHeight="1">
      <c r="A29" s="328"/>
      <c r="B29" s="319"/>
      <c r="C29" s="376"/>
      <c r="D29" s="376"/>
      <c r="E29" s="382"/>
      <c r="F29" s="376"/>
      <c r="G29" s="379"/>
      <c r="H29" s="373"/>
      <c r="I29" s="343"/>
      <c r="J29" s="367"/>
      <c r="K29" s="343">
        <f>IF(NOT(ISERROR(MATCH(J29,_xlfn.ANCHORARRAY(E40),0))),I42&amp;"Por favor no seleccionar los criterios de impacto",J29)</f>
        <v>0</v>
      </c>
      <c r="L29" s="325"/>
      <c r="M29" s="343"/>
      <c r="N29" s="346"/>
      <c r="O29" s="188">
        <v>6</v>
      </c>
      <c r="P29" s="179"/>
      <c r="Q29" s="104" t="str">
        <f t="shared" si="21"/>
        <v/>
      </c>
      <c r="R29" s="105"/>
      <c r="S29" s="105"/>
      <c r="T29" s="106" t="str">
        <f t="shared" si="8"/>
        <v/>
      </c>
      <c r="U29" s="105"/>
      <c r="V29" s="105"/>
      <c r="W29" s="105"/>
      <c r="X29" s="107" t="str">
        <f>IFERROR(IF(AND(Q28="Probabilidad",Q29="Probabilidad"),(Z28-(+Z28*T29)),IF(AND(Q28="Impacto",Q29="Probabilidad"),(Z27-(+Z27*T29)),IF(Q29="Impacto",Z28,""))),"")</f>
        <v/>
      </c>
      <c r="Y29" s="108" t="str">
        <f t="shared" si="17"/>
        <v/>
      </c>
      <c r="Z29" s="109" t="str">
        <f t="shared" si="18"/>
        <v/>
      </c>
      <c r="AA29" s="108" t="str">
        <f t="shared" si="19"/>
        <v/>
      </c>
      <c r="AB29" s="109" t="str">
        <f>IFERROR(IF(AND(Q28="Impacto",Q29="Impacto"),(AB28-(+AB28*T29)),IF(AND(Q28="Probabilidad",Q29="Impacto"),(AB27-(+AB27*T29)),IF(Q29="Probabilidad",AB28,""))),"")</f>
        <v/>
      </c>
      <c r="AC29" s="110" t="str">
        <f t="shared" si="24"/>
        <v/>
      </c>
      <c r="AD29" s="111"/>
      <c r="AE29" s="190"/>
      <c r="AF29" s="113"/>
      <c r="AG29" s="114"/>
      <c r="AH29" s="114"/>
      <c r="AI29" s="114"/>
      <c r="AJ29" s="112"/>
      <c r="AK29" s="113"/>
    </row>
    <row r="30" spans="1:69" ht="114.75" hidden="1" customHeight="1">
      <c r="A30" s="383">
        <v>4</v>
      </c>
      <c r="B30" s="374"/>
      <c r="C30" s="374"/>
      <c r="D30" s="374"/>
      <c r="E30" s="380"/>
      <c r="F30" s="374"/>
      <c r="G30" s="368"/>
      <c r="H30" s="371" t="str">
        <f>IF(G30&lt;=0,"",IF(G30&lt;=2,"Muy Baja",IF(G30&lt;=24,"Baja",IF(G30&lt;=500,"Media",IF(G30&lt;=5000,"Alta","Muy Alta")))))</f>
        <v/>
      </c>
      <c r="I30" s="341" t="str">
        <f>IF(H30="","",IF(H30="Muy Baja",0.2,IF(H30="Baja",0.4,IF(H30="Media",0.6,IF(H30="Alta",0.8,IF(H30="Muy Alta",1,))))))</f>
        <v/>
      </c>
      <c r="J30" s="365"/>
      <c r="K30" s="386"/>
      <c r="L30" s="371"/>
      <c r="M30" s="341"/>
      <c r="N30" s="344"/>
      <c r="O30" s="5">
        <v>1</v>
      </c>
      <c r="P30" s="179"/>
      <c r="Q30" s="161"/>
      <c r="R30" s="169"/>
      <c r="S30" s="169"/>
      <c r="T30" s="170"/>
      <c r="U30" s="169"/>
      <c r="V30" s="169"/>
      <c r="W30" s="169"/>
      <c r="X30" s="158"/>
      <c r="Y30" s="171"/>
      <c r="Z30" s="172"/>
      <c r="AA30" s="171" t="str">
        <f>IFERROR(IF(AB30="","",IF(AB30&lt;=0.2,"Leve",IF(AB30&lt;=0.4,"Menor",IF(AB30&lt;=0.6,"Moderado",IF(AB30&lt;=0.8,"Mayor","Catastrófico"))))),"")</f>
        <v/>
      </c>
      <c r="AB30" s="172" t="str">
        <f>IFERROR(IF(Q30="Impacto",(M30-(+M30*T30)),IF(Q30="Probabilidad",M30,"")),"")</f>
        <v/>
      </c>
      <c r="AC30" s="17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4"/>
      <c r="AE30" s="166"/>
      <c r="AF30" s="166"/>
      <c r="AG30" s="168"/>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c r="A31" s="384"/>
      <c r="B31" s="375"/>
      <c r="C31" s="375"/>
      <c r="D31" s="375"/>
      <c r="E31" s="381"/>
      <c r="F31" s="375"/>
      <c r="G31" s="369"/>
      <c r="H31" s="372"/>
      <c r="I31" s="342"/>
      <c r="J31" s="366"/>
      <c r="K31" s="387"/>
      <c r="L31" s="372"/>
      <c r="M31" s="342"/>
      <c r="N31" s="345"/>
      <c r="O31" s="5">
        <v>2</v>
      </c>
      <c r="P31" s="179"/>
      <c r="Q31" s="104" t="str">
        <f>IF(OR(R31="Preventivo",R31="Detectivo"),"Probabilidad",IF(R31="Correctivo","Impacto",""))</f>
        <v/>
      </c>
      <c r="R31" s="105"/>
      <c r="S31" s="105"/>
      <c r="T31" s="106" t="str">
        <f t="shared" ref="T31:T35" si="25">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6">+X31</f>
        <v/>
      </c>
      <c r="AA31" s="108" t="str">
        <f t="shared" si="3"/>
        <v/>
      </c>
      <c r="AB31" s="109" t="str">
        <f>IFERROR(IF(AND(Q30="Impacto",Q31="Impacto"),(AB30-(+AB30*T31)),IF(Q31="Impacto",(M30-(+M30*T31)),IF(Q31="Probabilidad",AB30,""))),"")</f>
        <v/>
      </c>
      <c r="AC31" s="110" t="str">
        <f t="shared" ref="AC31:AC32" si="27">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7"/>
      <c r="AG31" s="168"/>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c r="A32" s="384"/>
      <c r="B32" s="375"/>
      <c r="C32" s="375"/>
      <c r="D32" s="375"/>
      <c r="E32" s="381"/>
      <c r="F32" s="375"/>
      <c r="G32" s="369"/>
      <c r="H32" s="372"/>
      <c r="I32" s="342"/>
      <c r="J32" s="366"/>
      <c r="K32" s="387"/>
      <c r="L32" s="372"/>
      <c r="M32" s="342"/>
      <c r="N32" s="345"/>
      <c r="O32" s="5">
        <v>3</v>
      </c>
      <c r="P32" s="180"/>
      <c r="Q32" s="104" t="str">
        <f>IF(OR(R32="Preventivo",R32="Detectivo"),"Probabilidad",IF(R32="Correctivo","Impacto",""))</f>
        <v/>
      </c>
      <c r="R32" s="105"/>
      <c r="S32" s="105"/>
      <c r="T32" s="106" t="str">
        <f t="shared" si="25"/>
        <v/>
      </c>
      <c r="U32" s="105"/>
      <c r="V32" s="105"/>
      <c r="W32" s="105"/>
      <c r="X32" s="107" t="str">
        <f>IFERROR(IF(AND(Q31="Probabilidad",Q32="Probabilidad"),(Z31-(+Z31*T32)),IF(AND(Q31="Impacto",Q32="Probabilidad"),(Z30-(+Z30*T32)),IF(Q32="Impacto",Z31,""))),"")</f>
        <v/>
      </c>
      <c r="Y32" s="108" t="str">
        <f t="shared" si="1"/>
        <v/>
      </c>
      <c r="Z32" s="109" t="str">
        <f t="shared" si="26"/>
        <v/>
      </c>
      <c r="AA32" s="108" t="str">
        <f t="shared" si="3"/>
        <v/>
      </c>
      <c r="AB32" s="109" t="str">
        <f>IFERROR(IF(AND(Q31="Impacto",Q32="Impacto"),(AB31-(+AB31*T32)),IF(AND(Q31="Probabilidad",Q32="Impacto"),(AB30-(+AB30*T32)),IF(Q32="Probabilidad",AB31,""))),"")</f>
        <v/>
      </c>
      <c r="AC32" s="110" t="str">
        <f t="shared" si="27"/>
        <v/>
      </c>
      <c r="AD32" s="111"/>
      <c r="AE32" s="112"/>
      <c r="AF32" s="167"/>
      <c r="AG32" s="168"/>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c r="A33" s="384"/>
      <c r="B33" s="375"/>
      <c r="C33" s="375"/>
      <c r="D33" s="375"/>
      <c r="E33" s="381"/>
      <c r="F33" s="375"/>
      <c r="G33" s="369"/>
      <c r="H33" s="372"/>
      <c r="I33" s="342"/>
      <c r="J33" s="366"/>
      <c r="K33" s="387"/>
      <c r="L33" s="372"/>
      <c r="M33" s="342"/>
      <c r="N33" s="345"/>
      <c r="O33" s="5">
        <v>4</v>
      </c>
      <c r="P33" s="179"/>
      <c r="Q33" s="104" t="str">
        <f t="shared" ref="Q33:Q35" si="28">IF(OR(R33="Preventivo",R33="Detectivo"),"Probabilidad",IF(R33="Correctivo","Impacto",""))</f>
        <v/>
      </c>
      <c r="R33" s="105"/>
      <c r="S33" s="105"/>
      <c r="T33" s="106" t="str">
        <f t="shared" si="25"/>
        <v/>
      </c>
      <c r="U33" s="105"/>
      <c r="V33" s="105"/>
      <c r="W33" s="105"/>
      <c r="X33" s="107" t="str">
        <f t="shared" ref="X33:X35" si="29">IFERROR(IF(AND(Q32="Probabilidad",Q33="Probabilidad"),(Z32-(+Z32*T33)),IF(AND(Q32="Impacto",Q33="Probabilidad"),(Z31-(+Z31*T33)),IF(Q33="Impacto",Z32,""))),"")</f>
        <v/>
      </c>
      <c r="Y33" s="108" t="str">
        <f t="shared" si="1"/>
        <v/>
      </c>
      <c r="Z33" s="109" t="str">
        <f t="shared" si="26"/>
        <v/>
      </c>
      <c r="AA33" s="108" t="str">
        <f t="shared" si="3"/>
        <v/>
      </c>
      <c r="AB33" s="109" t="str">
        <f t="shared" ref="AB33:AB35" si="30">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7"/>
      <c r="AG33" s="168"/>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c r="A34" s="384"/>
      <c r="B34" s="375"/>
      <c r="C34" s="375"/>
      <c r="D34" s="375"/>
      <c r="E34" s="381"/>
      <c r="F34" s="375"/>
      <c r="G34" s="369"/>
      <c r="H34" s="372"/>
      <c r="I34" s="342"/>
      <c r="J34" s="366"/>
      <c r="K34" s="387"/>
      <c r="L34" s="372"/>
      <c r="M34" s="342"/>
      <c r="N34" s="345"/>
      <c r="O34" s="5">
        <v>5</v>
      </c>
      <c r="P34" s="179"/>
      <c r="Q34" s="104" t="str">
        <f t="shared" si="28"/>
        <v/>
      </c>
      <c r="R34" s="105"/>
      <c r="S34" s="105"/>
      <c r="T34" s="106" t="str">
        <f t="shared" si="25"/>
        <v/>
      </c>
      <c r="U34" s="105"/>
      <c r="V34" s="105"/>
      <c r="W34" s="105"/>
      <c r="X34" s="107" t="str">
        <f t="shared" si="29"/>
        <v/>
      </c>
      <c r="Y34" s="108" t="str">
        <f>IFERROR(IF(X34="","",IF(X34&lt;=0.2,"Muy Baja",IF(X34&lt;=0.4,"Baja",IF(X34&lt;=0.6,"Media",IF(X34&lt;=0.8,"Alta","Muy Alta"))))),"")</f>
        <v/>
      </c>
      <c r="Z34" s="109" t="str">
        <f t="shared" si="26"/>
        <v/>
      </c>
      <c r="AA34" s="108" t="str">
        <f t="shared" si="3"/>
        <v/>
      </c>
      <c r="AB34" s="109" t="str">
        <f t="shared" si="30"/>
        <v/>
      </c>
      <c r="AC34" s="110" t="str">
        <f t="shared" ref="AC34:AC35" si="3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7"/>
      <c r="AG34" s="168"/>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c r="A35" s="385"/>
      <c r="B35" s="376"/>
      <c r="C35" s="376"/>
      <c r="D35" s="376"/>
      <c r="E35" s="382"/>
      <c r="F35" s="376"/>
      <c r="G35" s="370"/>
      <c r="H35" s="373"/>
      <c r="I35" s="343"/>
      <c r="J35" s="367"/>
      <c r="K35" s="388"/>
      <c r="L35" s="373"/>
      <c r="M35" s="343"/>
      <c r="N35" s="346"/>
      <c r="O35" s="5">
        <v>6</v>
      </c>
      <c r="P35" s="179"/>
      <c r="Q35" s="104" t="str">
        <f t="shared" si="28"/>
        <v/>
      </c>
      <c r="R35" s="105"/>
      <c r="S35" s="105"/>
      <c r="T35" s="106" t="str">
        <f t="shared" si="25"/>
        <v/>
      </c>
      <c r="U35" s="105"/>
      <c r="V35" s="105"/>
      <c r="W35" s="105"/>
      <c r="X35" s="107" t="str">
        <f t="shared" si="29"/>
        <v/>
      </c>
      <c r="Y35" s="108" t="str">
        <f t="shared" si="1"/>
        <v/>
      </c>
      <c r="Z35" s="109" t="str">
        <f t="shared" si="26"/>
        <v/>
      </c>
      <c r="AA35" s="108" t="str">
        <f t="shared" si="3"/>
        <v/>
      </c>
      <c r="AB35" s="109" t="str">
        <f t="shared" si="30"/>
        <v/>
      </c>
      <c r="AC35" s="110" t="str">
        <f t="shared" si="31"/>
        <v/>
      </c>
      <c r="AD35" s="111"/>
      <c r="AE35" s="112"/>
      <c r="AF35" s="167"/>
      <c r="AG35" s="168"/>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81" hidden="1" customHeight="1">
      <c r="A36" s="383">
        <v>5</v>
      </c>
      <c r="B36" s="374"/>
      <c r="C36" s="374"/>
      <c r="D36" s="374"/>
      <c r="E36" s="380"/>
      <c r="F36" s="374"/>
      <c r="G36" s="368"/>
      <c r="H36" s="371" t="str">
        <f>IF(G36&lt;=0,"",IF(G36&lt;=2,"Muy Baja",IF(G36&lt;=24,"Baja",IF(G36&lt;=500,"Media",IF(G36&lt;=5000,"Alta","Muy Alta")))))</f>
        <v/>
      </c>
      <c r="I36" s="341" t="str">
        <f>IF(H36="","",IF(H36="Muy Baja",0.2,IF(H36="Baja",0.4,IF(H36="Media",0.6,IF(H36="Alta",0.8,IF(H36="Muy Alta",1,))))))</f>
        <v/>
      </c>
      <c r="J36" s="365"/>
      <c r="K36" s="386">
        <f>IF(NOT(ISERROR(MATCH(J36,'Tabla Impacto'!$B$221:$B$223,0))),'Tabla Impacto'!$F$223&amp;"Por favor no seleccionar los criterios de impacto(Afectación Económica o presupuestal y Pérdida Reputacional)",J36)</f>
        <v>0</v>
      </c>
      <c r="L36" s="371" t="str">
        <f>IF(OR(K36='Tabla Impacto'!$C$11,K36='Tabla Impacto'!$D$11),"Leve",IF(OR(K36='Tabla Impacto'!$C$12,K36='Tabla Impacto'!$D$12),"Menor",IF(OR(K36='Tabla Impacto'!$C$13,K36='Tabla Impacto'!$D$13),"Moderado",IF(OR(K36='Tabla Impacto'!$C$14,K36='Tabla Impacto'!$D$14),"Mayor",IF(OR(K36='Tabla Impacto'!$C$15,K36='Tabla Impacto'!$D$15),"Catastrófico","")))))</f>
        <v/>
      </c>
      <c r="M36" s="341" t="str">
        <f>IF(L36="","",IF(L36="Leve",0.2,IF(L36="Menor",0.4,IF(L36="Moderado",0.6,IF(L36="Mayor",0.8,IF(L36="Catastrófico",1,))))))</f>
        <v/>
      </c>
      <c r="N36" s="344"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9"/>
      <c r="Q36" s="161"/>
      <c r="R36" s="169"/>
      <c r="S36" s="169"/>
      <c r="T36" s="170"/>
      <c r="U36" s="169"/>
      <c r="V36" s="169"/>
      <c r="W36" s="169"/>
      <c r="X36" s="158"/>
      <c r="Y36" s="171"/>
      <c r="Z36" s="172"/>
      <c r="AA36" s="171" t="str">
        <f>IFERROR(IF(AB36="","",IF(AB36&lt;=0.2,"Leve",IF(AB36&lt;=0.4,"Menor",IF(AB36&lt;=0.6,"Moderado",IF(AB36&lt;=0.8,"Mayor","Catastrófico"))))),"")</f>
        <v/>
      </c>
      <c r="AB36" s="172" t="str">
        <f>IFERROR(IF(Q36="Impacto",(M36-(+M36*T36)),IF(Q36="Probabilidad",M36,"")),"")</f>
        <v/>
      </c>
      <c r="AC36" s="17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4"/>
      <c r="AE36" s="175"/>
      <c r="AF36" s="176"/>
      <c r="AG36" s="168"/>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c r="A37" s="384"/>
      <c r="B37" s="375"/>
      <c r="C37" s="375"/>
      <c r="D37" s="375"/>
      <c r="E37" s="381"/>
      <c r="F37" s="375"/>
      <c r="G37" s="369"/>
      <c r="H37" s="372"/>
      <c r="I37" s="342"/>
      <c r="J37" s="366"/>
      <c r="K37" s="387">
        <f>IF(NOT(ISERROR(MATCH(J37,_xlfn.ANCHORARRAY(E48),0))),I50&amp;"Por favor no seleccionar los criterios de impacto",J37)</f>
        <v>0</v>
      </c>
      <c r="L37" s="372"/>
      <c r="M37" s="342"/>
      <c r="N37" s="345"/>
      <c r="O37" s="5">
        <v>2</v>
      </c>
      <c r="P37" s="179"/>
      <c r="Q37" s="104" t="str">
        <f>IF(OR(R37="Preventivo",R37="Detectivo"),"Probabilidad",IF(R37="Correctivo","Impacto",""))</f>
        <v/>
      </c>
      <c r="R37" s="105"/>
      <c r="S37" s="105"/>
      <c r="T37" s="106" t="str">
        <f t="shared" ref="T37:T41" si="32">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33">+X37</f>
        <v/>
      </c>
      <c r="AA37" s="108" t="str">
        <f t="shared" si="3"/>
        <v/>
      </c>
      <c r="AB37" s="109" t="str">
        <f>IFERROR(IF(AND(Q36="Impacto",Q37="Impacto"),(AB36-(+AB36*T37)),IF(Q37="Impacto",(M36-(+M36*T37)),IF(Q37="Probabilidad",AB36,""))),"")</f>
        <v/>
      </c>
      <c r="AC37" s="110" t="str">
        <f t="shared" ref="AC37:AC38" si="34">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7"/>
      <c r="AG37" s="168"/>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c r="A38" s="384"/>
      <c r="B38" s="375"/>
      <c r="C38" s="375"/>
      <c r="D38" s="375"/>
      <c r="E38" s="381"/>
      <c r="F38" s="375"/>
      <c r="G38" s="369"/>
      <c r="H38" s="372"/>
      <c r="I38" s="342"/>
      <c r="J38" s="366"/>
      <c r="K38" s="387">
        <f>IF(NOT(ISERROR(MATCH(J38,_xlfn.ANCHORARRAY(E49),0))),I51&amp;"Por favor no seleccionar los criterios de impacto",J38)</f>
        <v>0</v>
      </c>
      <c r="L38" s="372"/>
      <c r="M38" s="342"/>
      <c r="N38" s="345"/>
      <c r="O38" s="5">
        <v>3</v>
      </c>
      <c r="P38" s="180"/>
      <c r="Q38" s="104" t="str">
        <f>IF(OR(R38="Preventivo",R38="Detectivo"),"Probabilidad",IF(R38="Correctivo","Impacto",""))</f>
        <v/>
      </c>
      <c r="R38" s="105"/>
      <c r="S38" s="105"/>
      <c r="T38" s="106" t="str">
        <f t="shared" si="32"/>
        <v/>
      </c>
      <c r="U38" s="105"/>
      <c r="V38" s="105"/>
      <c r="W38" s="105"/>
      <c r="X38" s="107" t="str">
        <f>IFERROR(IF(AND(Q37="Probabilidad",Q38="Probabilidad"),(Z37-(+Z37*T38)),IF(AND(Q37="Impacto",Q38="Probabilidad"),(Z36-(+Z36*T38)),IF(Q38="Impacto",Z37,""))),"")</f>
        <v/>
      </c>
      <c r="Y38" s="108" t="str">
        <f t="shared" si="1"/>
        <v/>
      </c>
      <c r="Z38" s="109" t="str">
        <f t="shared" si="33"/>
        <v/>
      </c>
      <c r="AA38" s="108" t="str">
        <f t="shared" si="3"/>
        <v/>
      </c>
      <c r="AB38" s="109" t="str">
        <f>IFERROR(IF(AND(Q37="Impacto",Q38="Impacto"),(AB37-(+AB37*T38)),IF(AND(Q37="Probabilidad",Q38="Impacto"),(AB36-(+AB36*T38)),IF(Q38="Probabilidad",AB37,""))),"")</f>
        <v/>
      </c>
      <c r="AC38" s="110" t="str">
        <f t="shared" si="34"/>
        <v/>
      </c>
      <c r="AD38" s="111"/>
      <c r="AE38" s="112"/>
      <c r="AF38" s="167"/>
      <c r="AG38" s="168"/>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c r="A39" s="384"/>
      <c r="B39" s="375"/>
      <c r="C39" s="375"/>
      <c r="D39" s="375"/>
      <c r="E39" s="381"/>
      <c r="F39" s="375"/>
      <c r="G39" s="369"/>
      <c r="H39" s="372"/>
      <c r="I39" s="342"/>
      <c r="J39" s="366"/>
      <c r="K39" s="387">
        <f>IF(NOT(ISERROR(MATCH(J39,_xlfn.ANCHORARRAY(E50),0))),I52&amp;"Por favor no seleccionar los criterios de impacto",J39)</f>
        <v>0</v>
      </c>
      <c r="L39" s="372"/>
      <c r="M39" s="342"/>
      <c r="N39" s="345"/>
      <c r="O39" s="5">
        <v>4</v>
      </c>
      <c r="P39" s="179"/>
      <c r="Q39" s="104" t="str">
        <f t="shared" ref="Q39:Q41" si="35">IF(OR(R39="Preventivo",R39="Detectivo"),"Probabilidad",IF(R39="Correctivo","Impacto",""))</f>
        <v/>
      </c>
      <c r="R39" s="105"/>
      <c r="S39" s="105"/>
      <c r="T39" s="106" t="str">
        <f t="shared" si="32"/>
        <v/>
      </c>
      <c r="U39" s="105"/>
      <c r="V39" s="105"/>
      <c r="W39" s="105"/>
      <c r="X39" s="107" t="str">
        <f t="shared" ref="X39:X41" si="36">IFERROR(IF(AND(Q38="Probabilidad",Q39="Probabilidad"),(Z38-(+Z38*T39)),IF(AND(Q38="Impacto",Q39="Probabilidad"),(Z37-(+Z37*T39)),IF(Q39="Impacto",Z38,""))),"")</f>
        <v/>
      </c>
      <c r="Y39" s="108" t="str">
        <f t="shared" si="1"/>
        <v/>
      </c>
      <c r="Z39" s="109" t="str">
        <f t="shared" si="33"/>
        <v/>
      </c>
      <c r="AA39" s="108" t="str">
        <f t="shared" si="3"/>
        <v/>
      </c>
      <c r="AB39" s="109" t="str">
        <f t="shared" ref="AB39:AB41" si="37">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7"/>
      <c r="AG39" s="168"/>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c r="A40" s="384"/>
      <c r="B40" s="375"/>
      <c r="C40" s="375"/>
      <c r="D40" s="375"/>
      <c r="E40" s="381"/>
      <c r="F40" s="375"/>
      <c r="G40" s="369"/>
      <c r="H40" s="372"/>
      <c r="I40" s="342"/>
      <c r="J40" s="366"/>
      <c r="K40" s="387">
        <f>IF(NOT(ISERROR(MATCH(J40,_xlfn.ANCHORARRAY(E51),0))),I53&amp;"Por favor no seleccionar los criterios de impacto",J40)</f>
        <v>0</v>
      </c>
      <c r="L40" s="372"/>
      <c r="M40" s="342"/>
      <c r="N40" s="345"/>
      <c r="O40" s="5">
        <v>5</v>
      </c>
      <c r="P40" s="179"/>
      <c r="Q40" s="104" t="str">
        <f t="shared" si="35"/>
        <v/>
      </c>
      <c r="R40" s="105"/>
      <c r="S40" s="105"/>
      <c r="T40" s="106" t="str">
        <f t="shared" si="32"/>
        <v/>
      </c>
      <c r="U40" s="105"/>
      <c r="V40" s="105"/>
      <c r="W40" s="105"/>
      <c r="X40" s="107" t="str">
        <f t="shared" si="36"/>
        <v/>
      </c>
      <c r="Y40" s="108" t="str">
        <f t="shared" si="1"/>
        <v/>
      </c>
      <c r="Z40" s="109" t="str">
        <f t="shared" si="33"/>
        <v/>
      </c>
      <c r="AA40" s="108" t="str">
        <f t="shared" si="3"/>
        <v/>
      </c>
      <c r="AB40" s="109" t="str">
        <f t="shared" si="37"/>
        <v/>
      </c>
      <c r="AC40" s="110" t="str">
        <f t="shared" ref="AC40:AC41" si="38">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7"/>
      <c r="AG40" s="168"/>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c r="A41" s="385"/>
      <c r="B41" s="376"/>
      <c r="C41" s="376"/>
      <c r="D41" s="376"/>
      <c r="E41" s="382"/>
      <c r="F41" s="376"/>
      <c r="G41" s="370"/>
      <c r="H41" s="373"/>
      <c r="I41" s="343"/>
      <c r="J41" s="367"/>
      <c r="K41" s="388">
        <f>IF(NOT(ISERROR(MATCH(J41,_xlfn.ANCHORARRAY(E52),0))),I54&amp;"Por favor no seleccionar los criterios de impacto",J41)</f>
        <v>0</v>
      </c>
      <c r="L41" s="373"/>
      <c r="M41" s="343"/>
      <c r="N41" s="346"/>
      <c r="O41" s="5">
        <v>6</v>
      </c>
      <c r="P41" s="179"/>
      <c r="Q41" s="104" t="str">
        <f t="shared" si="35"/>
        <v/>
      </c>
      <c r="R41" s="105"/>
      <c r="S41" s="105"/>
      <c r="T41" s="106" t="str">
        <f t="shared" si="32"/>
        <v/>
      </c>
      <c r="U41" s="105"/>
      <c r="V41" s="105"/>
      <c r="W41" s="105"/>
      <c r="X41" s="107" t="str">
        <f t="shared" si="36"/>
        <v/>
      </c>
      <c r="Y41" s="108" t="str">
        <f t="shared" si="1"/>
        <v/>
      </c>
      <c r="Z41" s="109" t="str">
        <f t="shared" si="33"/>
        <v/>
      </c>
      <c r="AA41" s="108" t="str">
        <f t="shared" si="3"/>
        <v/>
      </c>
      <c r="AB41" s="109" t="str">
        <f t="shared" si="37"/>
        <v/>
      </c>
      <c r="AC41" s="110" t="str">
        <f t="shared" si="38"/>
        <v/>
      </c>
      <c r="AD41" s="111"/>
      <c r="AE41" s="112"/>
      <c r="AF41" s="167"/>
      <c r="AG41" s="168"/>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90" hidden="1" customHeight="1">
      <c r="A42" s="383">
        <v>6</v>
      </c>
      <c r="B42" s="374"/>
      <c r="C42" s="374"/>
      <c r="D42" s="374"/>
      <c r="E42" s="380"/>
      <c r="F42" s="374"/>
      <c r="G42" s="368"/>
      <c r="H42" s="371" t="str">
        <f>IF(G42&lt;=0,"",IF(G42&lt;=2,"Muy Baja",IF(G42&lt;=24,"Baja",IF(G42&lt;=500,"Media",IF(G42&lt;=5000,"Alta","Muy Alta")))))</f>
        <v/>
      </c>
      <c r="I42" s="341" t="str">
        <f>IF(H42="","",IF(H42="Muy Baja",0.2,IF(H42="Baja",0.4,IF(H42="Media",0.6,IF(H42="Alta",0.8,IF(H42="Muy Alta",1,))))))</f>
        <v/>
      </c>
      <c r="J42" s="365"/>
      <c r="K42" s="386">
        <f>IF(NOT(ISERROR(MATCH(J42,'Tabla Impacto'!$B$221:$B$223,0))),'Tabla Impacto'!$F$223&amp;"Por favor no seleccionar los criterios de impacto(Afectación Económica o presupuestal y Pérdida Reputacional)",J42)</f>
        <v>0</v>
      </c>
      <c r="L42" s="371" t="str">
        <f>IF(OR(K42='Tabla Impacto'!$C$11,K42='Tabla Impacto'!$D$11),"Leve",IF(OR(K42='Tabla Impacto'!$C$12,K42='Tabla Impacto'!$D$12),"Menor",IF(OR(K42='Tabla Impacto'!$C$13,K42='Tabla Impacto'!$D$13),"Moderado",IF(OR(K42='Tabla Impacto'!$C$14,K42='Tabla Impacto'!$D$14),"Mayor",IF(OR(K42='Tabla Impacto'!$C$15,K42='Tabla Impacto'!$D$15),"Catastrófico","")))))</f>
        <v/>
      </c>
      <c r="M42" s="341" t="str">
        <f>IF(L42="","",IF(L42="Leve",0.2,IF(L42="Menor",0.4,IF(L42="Moderado",0.6,IF(L42="Mayor",0.8,IF(L42="Catastrófico",1,))))))</f>
        <v/>
      </c>
      <c r="N42" s="344"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9"/>
      <c r="Q42" s="104"/>
      <c r="R42" s="105"/>
      <c r="S42" s="105"/>
      <c r="T42" s="106"/>
      <c r="U42" s="105"/>
      <c r="V42" s="105"/>
      <c r="W42" s="105"/>
      <c r="X42" s="107"/>
      <c r="Y42" s="108"/>
      <c r="Z42" s="109"/>
      <c r="AA42" s="108"/>
      <c r="AB42" s="109"/>
      <c r="AC42" s="110"/>
      <c r="AD42" s="111"/>
      <c r="AE42" s="175"/>
      <c r="AF42" s="166"/>
      <c r="AG42" s="168"/>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c r="A43" s="384"/>
      <c r="B43" s="375"/>
      <c r="C43" s="375"/>
      <c r="D43" s="375"/>
      <c r="E43" s="381"/>
      <c r="F43" s="375"/>
      <c r="G43" s="369"/>
      <c r="H43" s="372"/>
      <c r="I43" s="342"/>
      <c r="J43" s="366"/>
      <c r="K43" s="387">
        <f>IF(NOT(ISERROR(MATCH(J43,_xlfn.ANCHORARRAY(E54),0))),I56&amp;"Por favor no seleccionar los criterios de impacto",J43)</f>
        <v>0</v>
      </c>
      <c r="L43" s="372"/>
      <c r="M43" s="342"/>
      <c r="N43" s="345"/>
      <c r="O43" s="5">
        <v>2</v>
      </c>
      <c r="P43" s="179"/>
      <c r="Q43" s="104" t="str">
        <f>IF(OR(R43="Preventivo",R43="Detectivo"),"Probabilidad",IF(R43="Correctivo","Impacto",""))</f>
        <v/>
      </c>
      <c r="R43" s="105"/>
      <c r="S43" s="105"/>
      <c r="T43" s="106" t="str">
        <f t="shared" ref="T43:T47" si="39">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40">+X43</f>
        <v/>
      </c>
      <c r="AA43" s="108" t="str">
        <f t="shared" si="3"/>
        <v/>
      </c>
      <c r="AB43" s="109" t="str">
        <f>IFERROR(IF(AND(Q42="Impacto",Q43="Impacto"),(AB42-(+AB42*T43)),IF(Q43="Impacto",(M42-(+M42*T43)),IF(Q43="Probabilidad",AB42,""))),"")</f>
        <v/>
      </c>
      <c r="AC43" s="110" t="str">
        <f t="shared" ref="AC43:AC44" si="4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7"/>
      <c r="AG43" s="168"/>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c r="A44" s="384"/>
      <c r="B44" s="375"/>
      <c r="C44" s="375"/>
      <c r="D44" s="375"/>
      <c r="E44" s="381"/>
      <c r="F44" s="375"/>
      <c r="G44" s="369"/>
      <c r="H44" s="372"/>
      <c r="I44" s="342"/>
      <c r="J44" s="366"/>
      <c r="K44" s="387">
        <f>IF(NOT(ISERROR(MATCH(J44,_xlfn.ANCHORARRAY(E55),0))),I57&amp;"Por favor no seleccionar los criterios de impacto",J44)</f>
        <v>0</v>
      </c>
      <c r="L44" s="372"/>
      <c r="M44" s="342"/>
      <c r="N44" s="345"/>
      <c r="O44" s="5">
        <v>3</v>
      </c>
      <c r="P44" s="180"/>
      <c r="Q44" s="104" t="str">
        <f>IF(OR(R44="Preventivo",R44="Detectivo"),"Probabilidad",IF(R44="Correctivo","Impacto",""))</f>
        <v/>
      </c>
      <c r="R44" s="105"/>
      <c r="S44" s="105"/>
      <c r="T44" s="106" t="str">
        <f t="shared" si="39"/>
        <v/>
      </c>
      <c r="U44" s="105"/>
      <c r="V44" s="105"/>
      <c r="W44" s="105"/>
      <c r="X44" s="107" t="str">
        <f>IFERROR(IF(AND(Q43="Probabilidad",Q44="Probabilidad"),(Z43-(+Z43*T44)),IF(AND(Q43="Impacto",Q44="Probabilidad"),(Z42-(+Z42*T44)),IF(Q44="Impacto",Z43,""))),"")</f>
        <v/>
      </c>
      <c r="Y44" s="108" t="str">
        <f t="shared" si="1"/>
        <v/>
      </c>
      <c r="Z44" s="109" t="str">
        <f t="shared" si="40"/>
        <v/>
      </c>
      <c r="AA44" s="108" t="str">
        <f t="shared" si="3"/>
        <v/>
      </c>
      <c r="AB44" s="109" t="str">
        <f>IFERROR(IF(AND(Q43="Impacto",Q44="Impacto"),(AB43-(+AB43*T44)),IF(AND(Q43="Probabilidad",Q44="Impacto"),(AB42-(+AB42*T44)),IF(Q44="Probabilidad",AB43,""))),"")</f>
        <v/>
      </c>
      <c r="AC44" s="110" t="str">
        <f t="shared" si="41"/>
        <v/>
      </c>
      <c r="AD44" s="111"/>
      <c r="AE44" s="112"/>
      <c r="AF44" s="167"/>
      <c r="AG44" s="168"/>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c r="A45" s="384"/>
      <c r="B45" s="375"/>
      <c r="C45" s="375"/>
      <c r="D45" s="375"/>
      <c r="E45" s="381"/>
      <c r="F45" s="375"/>
      <c r="G45" s="369"/>
      <c r="H45" s="372"/>
      <c r="I45" s="342"/>
      <c r="J45" s="366"/>
      <c r="K45" s="387">
        <f>IF(NOT(ISERROR(MATCH(J45,_xlfn.ANCHORARRAY(E56),0))),I58&amp;"Por favor no seleccionar los criterios de impacto",J45)</f>
        <v>0</v>
      </c>
      <c r="L45" s="372"/>
      <c r="M45" s="342"/>
      <c r="N45" s="345"/>
      <c r="O45" s="5">
        <v>4</v>
      </c>
      <c r="P45" s="179"/>
      <c r="Q45" s="104" t="str">
        <f t="shared" ref="Q45:Q47" si="42">IF(OR(R45="Preventivo",R45="Detectivo"),"Probabilidad",IF(R45="Correctivo","Impacto",""))</f>
        <v/>
      </c>
      <c r="R45" s="105"/>
      <c r="S45" s="105"/>
      <c r="T45" s="106" t="str">
        <f t="shared" si="39"/>
        <v/>
      </c>
      <c r="U45" s="105"/>
      <c r="V45" s="105"/>
      <c r="W45" s="105"/>
      <c r="X45" s="107" t="str">
        <f t="shared" ref="X45:X47" si="43">IFERROR(IF(AND(Q44="Probabilidad",Q45="Probabilidad"),(Z44-(+Z44*T45)),IF(AND(Q44="Impacto",Q45="Probabilidad"),(Z43-(+Z43*T45)),IF(Q45="Impacto",Z44,""))),"")</f>
        <v/>
      </c>
      <c r="Y45" s="108" t="str">
        <f t="shared" si="1"/>
        <v/>
      </c>
      <c r="Z45" s="109" t="str">
        <f t="shared" si="40"/>
        <v/>
      </c>
      <c r="AA45" s="108" t="str">
        <f t="shared" si="3"/>
        <v/>
      </c>
      <c r="AB45" s="109" t="str">
        <f t="shared" ref="AB45:AB47" si="44">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7"/>
      <c r="AG45" s="168"/>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c r="A46" s="384"/>
      <c r="B46" s="375"/>
      <c r="C46" s="375"/>
      <c r="D46" s="375"/>
      <c r="E46" s="381"/>
      <c r="F46" s="375"/>
      <c r="G46" s="369"/>
      <c r="H46" s="372"/>
      <c r="I46" s="342"/>
      <c r="J46" s="366"/>
      <c r="K46" s="387">
        <f>IF(NOT(ISERROR(MATCH(J46,_xlfn.ANCHORARRAY(E57),0))),I59&amp;"Por favor no seleccionar los criterios de impacto",J46)</f>
        <v>0</v>
      </c>
      <c r="L46" s="372"/>
      <c r="M46" s="342"/>
      <c r="N46" s="345"/>
      <c r="O46" s="5">
        <v>5</v>
      </c>
      <c r="P46" s="179"/>
      <c r="Q46" s="104" t="str">
        <f t="shared" si="42"/>
        <v/>
      </c>
      <c r="R46" s="105"/>
      <c r="S46" s="105"/>
      <c r="T46" s="106" t="str">
        <f t="shared" si="39"/>
        <v/>
      </c>
      <c r="U46" s="105"/>
      <c r="V46" s="105"/>
      <c r="W46" s="105"/>
      <c r="X46" s="107" t="str">
        <f t="shared" si="43"/>
        <v/>
      </c>
      <c r="Y46" s="108" t="str">
        <f t="shared" si="1"/>
        <v/>
      </c>
      <c r="Z46" s="109" t="str">
        <f t="shared" si="40"/>
        <v/>
      </c>
      <c r="AA46" s="108" t="str">
        <f t="shared" si="3"/>
        <v/>
      </c>
      <c r="AB46" s="109" t="str">
        <f t="shared" si="44"/>
        <v/>
      </c>
      <c r="AC46" s="110" t="str">
        <f t="shared" ref="AC46" si="4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7"/>
      <c r="AG46" s="168"/>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c r="A47" s="385"/>
      <c r="B47" s="376"/>
      <c r="C47" s="376"/>
      <c r="D47" s="376"/>
      <c r="E47" s="382"/>
      <c r="F47" s="376"/>
      <c r="G47" s="370"/>
      <c r="H47" s="373"/>
      <c r="I47" s="343"/>
      <c r="J47" s="367"/>
      <c r="K47" s="388">
        <f>IF(NOT(ISERROR(MATCH(J47,_xlfn.ANCHORARRAY(E58),0))),I60&amp;"Por favor no seleccionar los criterios de impacto",J47)</f>
        <v>0</v>
      </c>
      <c r="L47" s="373"/>
      <c r="M47" s="343"/>
      <c r="N47" s="346"/>
      <c r="O47" s="5">
        <v>6</v>
      </c>
      <c r="P47" s="179"/>
      <c r="Q47" s="104" t="str">
        <f t="shared" si="42"/>
        <v/>
      </c>
      <c r="R47" s="105"/>
      <c r="S47" s="105"/>
      <c r="T47" s="106" t="str">
        <f t="shared" si="39"/>
        <v/>
      </c>
      <c r="U47" s="105"/>
      <c r="V47" s="105"/>
      <c r="W47" s="105"/>
      <c r="X47" s="107" t="str">
        <f t="shared" si="43"/>
        <v/>
      </c>
      <c r="Y47" s="108" t="str">
        <f t="shared" si="1"/>
        <v/>
      </c>
      <c r="Z47" s="109" t="str">
        <f t="shared" si="40"/>
        <v/>
      </c>
      <c r="AA47" s="108" t="str">
        <f>IFERROR(IF(AB47="","",IF(AB47&lt;=0.2,"Leve",IF(AB47&lt;=0.4,"Menor",IF(AB47&lt;=0.6,"Moderado",IF(AB47&lt;=0.8,"Mayor","Catastrófico"))))),"")</f>
        <v/>
      </c>
      <c r="AB47" s="109" t="str">
        <f t="shared" si="44"/>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7"/>
      <c r="AG47" s="168"/>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20.75" hidden="1" customHeight="1">
      <c r="A48" s="383">
        <v>7</v>
      </c>
      <c r="B48" s="374"/>
      <c r="C48" s="374"/>
      <c r="D48" s="374"/>
      <c r="E48" s="380"/>
      <c r="F48" s="374"/>
      <c r="G48" s="368"/>
      <c r="H48" s="371" t="str">
        <f>IF(G48&lt;=0,"",IF(G48&lt;=2,"Muy Baja",IF(G48&lt;=24,"Baja",IF(G48&lt;=500,"Media",IF(G48&lt;=5000,"Alta","Muy Alta")))))</f>
        <v/>
      </c>
      <c r="I48" s="341" t="str">
        <f>IF(H48="","",IF(H48="Muy Baja",0.2,IF(H48="Baja",0.4,IF(H48="Media",0.6,IF(H48="Alta",0.8,IF(H48="Muy Alta",1,))))))</f>
        <v/>
      </c>
      <c r="J48" s="365"/>
      <c r="K48" s="386">
        <f>IF(NOT(ISERROR(MATCH(J48,'Tabla Impacto'!$B$221:$B$223,0))),'Tabla Impacto'!$F$223&amp;"Por favor no seleccionar los criterios de impacto(Afectación Económica o presupuestal y Pérdida Reputacional)",J48)</f>
        <v>0</v>
      </c>
      <c r="L48" s="371" t="str">
        <f>IF(OR(K48='Tabla Impacto'!$C$11,K48='Tabla Impacto'!$D$11),"Leve",IF(OR(K48='Tabla Impacto'!$C$12,K48='Tabla Impacto'!$D$12),"Menor",IF(OR(K48='Tabla Impacto'!$C$13,K48='Tabla Impacto'!$D$13),"Moderado",IF(OR(K48='Tabla Impacto'!$C$14,K48='Tabla Impacto'!$D$14),"Mayor",IF(OR(K48='Tabla Impacto'!$C$15,K48='Tabla Impacto'!$D$15),"Catastrófico","")))))</f>
        <v/>
      </c>
      <c r="M48" s="341" t="str">
        <f>IF(L48="","",IF(L48="Leve",0.2,IF(L48="Menor",0.4,IF(L48="Moderado",0.6,IF(L48="Mayor",0.8,IF(L48="Catastrófico",1,))))))</f>
        <v/>
      </c>
      <c r="N48" s="344"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9"/>
      <c r="Q48" s="161"/>
      <c r="R48" s="169"/>
      <c r="S48" s="169"/>
      <c r="T48" s="170"/>
      <c r="U48" s="169"/>
      <c r="V48" s="169"/>
      <c r="W48" s="169"/>
      <c r="X48" s="158" t="str">
        <f>IFERROR(IF(Q48="Probabilidad",(I48-(+I48*T48)),IF(Q48="Impacto",I48,"")),"")</f>
        <v/>
      </c>
      <c r="Y48" s="171" t="str">
        <f>IFERROR(IF(X48="","",IF(X48&lt;=0.2,"Muy Baja",IF(X48&lt;=0.4,"Baja",IF(X48&lt;=0.6,"Media",IF(X48&lt;=0.8,"Alta","Muy Alta"))))),"")</f>
        <v/>
      </c>
      <c r="Z48" s="172" t="str">
        <f>+X48</f>
        <v/>
      </c>
      <c r="AA48" s="171" t="str">
        <f>IFERROR(IF(AB48="","",IF(AB48&lt;=0.2,"Leve",IF(AB48&lt;=0.4,"Menor",IF(AB48&lt;=0.6,"Moderado",IF(AB48&lt;=0.8,"Mayor","Catastrófico"))))),"")</f>
        <v/>
      </c>
      <c r="AB48" s="172" t="str">
        <f>IFERROR(IF(Q48="Impacto",(M48-(+M48*T48)),IF(Q48="Probabilidad",M48,"")),"")</f>
        <v/>
      </c>
      <c r="AC48" s="17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4"/>
      <c r="AE48" s="112"/>
      <c r="AF48" s="166"/>
      <c r="AG48" s="168"/>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9" hidden="1" customHeight="1">
      <c r="A49" s="384"/>
      <c r="B49" s="375"/>
      <c r="C49" s="375"/>
      <c r="D49" s="375"/>
      <c r="E49" s="381"/>
      <c r="F49" s="375"/>
      <c r="G49" s="369"/>
      <c r="H49" s="372"/>
      <c r="I49" s="342"/>
      <c r="J49" s="366"/>
      <c r="K49" s="387">
        <f>IF(NOT(ISERROR(MATCH(J49,_xlfn.ANCHORARRAY(E60),0))),I62&amp;"Por favor no seleccionar los criterios de impacto",J49)</f>
        <v>0</v>
      </c>
      <c r="L49" s="372"/>
      <c r="M49" s="342"/>
      <c r="N49" s="345"/>
      <c r="O49" s="5">
        <v>2</v>
      </c>
      <c r="P49" s="179"/>
      <c r="Q49" s="161"/>
      <c r="R49" s="169"/>
      <c r="S49" s="169"/>
      <c r="T49" s="170"/>
      <c r="U49" s="169"/>
      <c r="V49" s="169"/>
      <c r="W49" s="169"/>
      <c r="X49" s="158" t="str">
        <f>IFERROR(IF(AND(Q48="Probabilidad",Q49="Probabilidad"),(Z48-(+Z48*T49)),IF(Q49="Probabilidad",(I48-(+I48*T49)),IF(Q49="Impacto",Z48,""))),"")</f>
        <v/>
      </c>
      <c r="Y49" s="171" t="str">
        <f t="shared" si="1"/>
        <v/>
      </c>
      <c r="Z49" s="172" t="str">
        <f t="shared" ref="Z49:Z53" si="46">+X49</f>
        <v/>
      </c>
      <c r="AA49" s="171" t="str">
        <f t="shared" si="3"/>
        <v/>
      </c>
      <c r="AB49" s="172" t="str">
        <f>IFERROR(IF(AND(Q48="Impacto",Q49="Impacto"),(AB48-(+AB48*T49)),IF(Q49="Impacto",(M48-(+M48*T49)),IF(Q49="Probabilidad",AB48,""))),"")</f>
        <v/>
      </c>
      <c r="AC49" s="173" t="str">
        <f t="shared" ref="AC49:AC50" si="47">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4"/>
      <c r="AE49" s="112"/>
      <c r="AF49" s="167"/>
      <c r="AG49" s="168"/>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c r="A50" s="384"/>
      <c r="B50" s="375"/>
      <c r="C50" s="375"/>
      <c r="D50" s="375"/>
      <c r="E50" s="381"/>
      <c r="F50" s="375"/>
      <c r="G50" s="369"/>
      <c r="H50" s="372"/>
      <c r="I50" s="342"/>
      <c r="J50" s="366"/>
      <c r="K50" s="387">
        <f>IF(NOT(ISERROR(MATCH(J50,_xlfn.ANCHORARRAY(E61),0))),I63&amp;"Por favor no seleccionar los criterios de impacto",J50)</f>
        <v>0</v>
      </c>
      <c r="L50" s="372"/>
      <c r="M50" s="342"/>
      <c r="N50" s="345"/>
      <c r="O50" s="5">
        <v>3</v>
      </c>
      <c r="P50" s="180"/>
      <c r="Q50" s="104" t="str">
        <f>IF(OR(R50="Preventivo",R50="Detectivo"),"Probabilidad",IF(R50="Correctivo","Impacto",""))</f>
        <v/>
      </c>
      <c r="R50" s="105"/>
      <c r="S50" s="105"/>
      <c r="T50" s="106" t="str">
        <f t="shared" ref="T50:T53" si="48">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1"/>
        <v/>
      </c>
      <c r="Z50" s="109" t="str">
        <f t="shared" si="46"/>
        <v/>
      </c>
      <c r="AA50" s="108" t="str">
        <f t="shared" si="3"/>
        <v/>
      </c>
      <c r="AB50" s="109" t="str">
        <f>IFERROR(IF(AND(Q49="Impacto",Q50="Impacto"),(AB49-(+AB49*T50)),IF(AND(Q49="Probabilidad",Q50="Impacto"),(AB48-(+AB48*T50)),IF(Q50="Probabilidad",AB49,""))),"")</f>
        <v/>
      </c>
      <c r="AC50" s="110" t="str">
        <f t="shared" si="47"/>
        <v/>
      </c>
      <c r="AD50" s="111"/>
      <c r="AE50" s="112"/>
      <c r="AF50" s="167"/>
      <c r="AG50" s="168"/>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c r="A51" s="384"/>
      <c r="B51" s="375"/>
      <c r="C51" s="375"/>
      <c r="D51" s="375"/>
      <c r="E51" s="381"/>
      <c r="F51" s="375"/>
      <c r="G51" s="369"/>
      <c r="H51" s="372"/>
      <c r="I51" s="342"/>
      <c r="J51" s="366"/>
      <c r="K51" s="387">
        <f>IF(NOT(ISERROR(MATCH(J51,_xlfn.ANCHORARRAY(E62),0))),I64&amp;"Por favor no seleccionar los criterios de impacto",J51)</f>
        <v>0</v>
      </c>
      <c r="L51" s="372"/>
      <c r="M51" s="342"/>
      <c r="N51" s="345"/>
      <c r="O51" s="5">
        <v>4</v>
      </c>
      <c r="P51" s="179"/>
      <c r="Q51" s="104" t="str">
        <f t="shared" ref="Q51:Q53" si="49">IF(OR(R51="Preventivo",R51="Detectivo"),"Probabilidad",IF(R51="Correctivo","Impacto",""))</f>
        <v/>
      </c>
      <c r="R51" s="105"/>
      <c r="S51" s="105"/>
      <c r="T51" s="106" t="str">
        <f t="shared" si="48"/>
        <v/>
      </c>
      <c r="U51" s="105"/>
      <c r="V51" s="105"/>
      <c r="W51" s="105"/>
      <c r="X51" s="107" t="str">
        <f t="shared" ref="X51:X53" si="50">IFERROR(IF(AND(Q50="Probabilidad",Q51="Probabilidad"),(Z50-(+Z50*T51)),IF(AND(Q50="Impacto",Q51="Probabilidad"),(Z49-(+Z49*T51)),IF(Q51="Impacto",Z50,""))),"")</f>
        <v/>
      </c>
      <c r="Y51" s="108" t="str">
        <f t="shared" si="1"/>
        <v/>
      </c>
      <c r="Z51" s="109" t="str">
        <f t="shared" si="46"/>
        <v/>
      </c>
      <c r="AA51" s="108" t="str">
        <f t="shared" si="3"/>
        <v/>
      </c>
      <c r="AB51" s="109" t="str">
        <f t="shared" ref="AB51:AB53" si="51">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7"/>
      <c r="AG51" s="168"/>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c r="A52" s="384"/>
      <c r="B52" s="375"/>
      <c r="C52" s="375"/>
      <c r="D52" s="375"/>
      <c r="E52" s="381"/>
      <c r="F52" s="375"/>
      <c r="G52" s="369"/>
      <c r="H52" s="372"/>
      <c r="I52" s="342"/>
      <c r="J52" s="366"/>
      <c r="K52" s="387">
        <f>IF(NOT(ISERROR(MATCH(J52,_xlfn.ANCHORARRAY(E63),0))),I65&amp;"Por favor no seleccionar los criterios de impacto",J52)</f>
        <v>0</v>
      </c>
      <c r="L52" s="372"/>
      <c r="M52" s="342"/>
      <c r="N52" s="345"/>
      <c r="O52" s="5">
        <v>5</v>
      </c>
      <c r="P52" s="179"/>
      <c r="Q52" s="104" t="str">
        <f t="shared" si="49"/>
        <v/>
      </c>
      <c r="R52" s="105"/>
      <c r="S52" s="105"/>
      <c r="T52" s="106" t="str">
        <f t="shared" si="48"/>
        <v/>
      </c>
      <c r="U52" s="105"/>
      <c r="V52" s="105"/>
      <c r="W52" s="105"/>
      <c r="X52" s="107" t="str">
        <f t="shared" si="50"/>
        <v/>
      </c>
      <c r="Y52" s="108" t="str">
        <f t="shared" si="1"/>
        <v/>
      </c>
      <c r="Z52" s="109" t="str">
        <f t="shared" si="46"/>
        <v/>
      </c>
      <c r="AA52" s="108" t="str">
        <f t="shared" si="3"/>
        <v/>
      </c>
      <c r="AB52" s="109" t="str">
        <f t="shared" si="51"/>
        <v/>
      </c>
      <c r="AC52" s="110" t="str">
        <f t="shared" ref="AC52:AC53" si="5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7"/>
      <c r="AG52" s="168"/>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c r="A53" s="385"/>
      <c r="B53" s="376"/>
      <c r="C53" s="376"/>
      <c r="D53" s="376"/>
      <c r="E53" s="382"/>
      <c r="F53" s="376"/>
      <c r="G53" s="370"/>
      <c r="H53" s="373"/>
      <c r="I53" s="343"/>
      <c r="J53" s="367"/>
      <c r="K53" s="388">
        <f>IF(NOT(ISERROR(MATCH(J53,_xlfn.ANCHORARRAY(E64),0))),I66&amp;"Por favor no seleccionar los criterios de impacto",J53)</f>
        <v>0</v>
      </c>
      <c r="L53" s="373"/>
      <c r="M53" s="343"/>
      <c r="N53" s="346"/>
      <c r="O53" s="5">
        <v>6</v>
      </c>
      <c r="P53" s="179"/>
      <c r="Q53" s="104" t="str">
        <f t="shared" si="49"/>
        <v/>
      </c>
      <c r="R53" s="105"/>
      <c r="S53" s="105"/>
      <c r="T53" s="106" t="str">
        <f t="shared" si="48"/>
        <v/>
      </c>
      <c r="U53" s="105"/>
      <c r="V53" s="105"/>
      <c r="W53" s="105"/>
      <c r="X53" s="107" t="str">
        <f t="shared" si="50"/>
        <v/>
      </c>
      <c r="Y53" s="108" t="str">
        <f t="shared" si="1"/>
        <v/>
      </c>
      <c r="Z53" s="109" t="str">
        <f t="shared" si="46"/>
        <v/>
      </c>
      <c r="AA53" s="108" t="str">
        <f t="shared" si="3"/>
        <v/>
      </c>
      <c r="AB53" s="109" t="str">
        <f t="shared" si="51"/>
        <v/>
      </c>
      <c r="AC53" s="110" t="str">
        <f t="shared" si="52"/>
        <v/>
      </c>
      <c r="AD53" s="111"/>
      <c r="AE53" s="112"/>
      <c r="AF53" s="167"/>
      <c r="AG53" s="168"/>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16.25" hidden="1" customHeight="1">
      <c r="A54" s="383">
        <v>8</v>
      </c>
      <c r="B54" s="374"/>
      <c r="C54" s="374"/>
      <c r="D54" s="374"/>
      <c r="E54" s="380"/>
      <c r="F54" s="374"/>
      <c r="G54" s="368"/>
      <c r="H54" s="371" t="str">
        <f>IF(G54&lt;=0,"",IF(G54&lt;=2,"Muy Baja",IF(G54&lt;=24,"Baja",IF(G54&lt;=500,"Media",IF(G54&lt;=5000,"Alta","Muy Alta")))))</f>
        <v/>
      </c>
      <c r="I54" s="341" t="str">
        <f>IF(H54="","",IF(H54="Muy Baja",0.2,IF(H54="Baja",0.4,IF(H54="Media",0.6,IF(H54="Alta",0.8,IF(H54="Muy Alta",1,))))))</f>
        <v/>
      </c>
      <c r="J54" s="365"/>
      <c r="K54" s="386">
        <f>IF(NOT(ISERROR(MATCH(J54,'Tabla Impacto'!$B$221:$B$223,0))),'Tabla Impacto'!$F$223&amp;"Por favor no seleccionar los criterios de impacto(Afectación Económica o presupuestal y Pérdida Reputacional)",J54)</f>
        <v>0</v>
      </c>
      <c r="L54" s="371" t="str">
        <f>IF(OR(K54='Tabla Impacto'!$C$11,K54='Tabla Impacto'!$D$11),"Leve",IF(OR(K54='Tabla Impacto'!$C$12,K54='Tabla Impacto'!$D$12),"Menor",IF(OR(K54='Tabla Impacto'!$C$13,K54='Tabla Impacto'!$D$13),"Moderado",IF(OR(K54='Tabla Impacto'!$C$14,K54='Tabla Impacto'!$D$14),"Mayor",IF(OR(K54='Tabla Impacto'!$C$15,K54='Tabla Impacto'!$D$15),"Catastrófico","")))))</f>
        <v/>
      </c>
      <c r="M54" s="341" t="str">
        <f>IF(L54="","",IF(L54="Leve",0.2,IF(L54="Menor",0.4,IF(L54="Moderado",0.6,IF(L54="Mayor",0.8,IF(L54="Catastrófico",1,))))))</f>
        <v/>
      </c>
      <c r="N54" s="344"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9"/>
      <c r="Q54" s="161"/>
      <c r="R54" s="169"/>
      <c r="S54" s="169"/>
      <c r="T54" s="170"/>
      <c r="U54" s="169"/>
      <c r="V54" s="169"/>
      <c r="W54" s="169"/>
      <c r="X54" s="158" t="str">
        <f>IFERROR(IF(Q54="Probabilidad",(I54-(+I54*T54)),IF(Q54="Impacto",I54,"")),"")</f>
        <v/>
      </c>
      <c r="Y54" s="171" t="str">
        <f>IFERROR(IF(X54="","",IF(X54&lt;=0.2,"Muy Baja",IF(X54&lt;=0.4,"Baja",IF(X54&lt;=0.6,"Media",IF(X54&lt;=0.8,"Alta","Muy Alta"))))),"")</f>
        <v/>
      </c>
      <c r="Z54" s="172" t="str">
        <f>+X54</f>
        <v/>
      </c>
      <c r="AA54" s="171" t="str">
        <f>IFERROR(IF(AB54="","",IF(AB54&lt;=0.2,"Leve",IF(AB54&lt;=0.4,"Menor",IF(AB54&lt;=0.6,"Moderado",IF(AB54&lt;=0.8,"Mayor","Catastrófico"))))),"")</f>
        <v/>
      </c>
      <c r="AB54" s="172" t="str">
        <f>IFERROR(IF(Q54="Impacto",(M54-(+M54*T54)),IF(Q54="Probabilidad",M54,"")),"")</f>
        <v/>
      </c>
      <c r="AC54" s="17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4"/>
      <c r="AE54" s="112"/>
      <c r="AF54" s="166"/>
      <c r="AG54" s="168"/>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c r="A55" s="384"/>
      <c r="B55" s="375"/>
      <c r="C55" s="375"/>
      <c r="D55" s="375"/>
      <c r="E55" s="381"/>
      <c r="F55" s="375"/>
      <c r="G55" s="369"/>
      <c r="H55" s="372"/>
      <c r="I55" s="342"/>
      <c r="J55" s="366"/>
      <c r="K55" s="387">
        <f>IF(NOT(ISERROR(MATCH(J55,_xlfn.ANCHORARRAY(E66),0))),I68&amp;"Por favor no seleccionar los criterios de impacto",J55)</f>
        <v>0</v>
      </c>
      <c r="L55" s="372"/>
      <c r="M55" s="342"/>
      <c r="N55" s="345"/>
      <c r="O55" s="5">
        <v>2</v>
      </c>
      <c r="P55" s="179"/>
      <c r="Q55" s="104" t="str">
        <f>IF(OR(R55="Preventivo",R55="Detectivo"),"Probabilidad",IF(R55="Correctivo","Impacto",""))</f>
        <v/>
      </c>
      <c r="R55" s="105"/>
      <c r="S55" s="105"/>
      <c r="T55" s="106" t="str">
        <f t="shared" ref="T55:T59" si="53">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4">+X55</f>
        <v/>
      </c>
      <c r="AA55" s="108" t="str">
        <f t="shared" si="3"/>
        <v/>
      </c>
      <c r="AB55" s="109" t="str">
        <f>IFERROR(IF(AND(Q54="Impacto",Q55="Impacto"),(AB54-(+AB54*T55)),IF(Q55="Impacto",(M54-(+M54*T55)),IF(Q55="Probabilidad",AB54,""))),"")</f>
        <v/>
      </c>
      <c r="AC55" s="110" t="str">
        <f t="shared" ref="AC55:AC56" si="5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7"/>
      <c r="AG55" s="168"/>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c r="A56" s="384"/>
      <c r="B56" s="375"/>
      <c r="C56" s="375"/>
      <c r="D56" s="375"/>
      <c r="E56" s="381"/>
      <c r="F56" s="375"/>
      <c r="G56" s="369"/>
      <c r="H56" s="372"/>
      <c r="I56" s="342"/>
      <c r="J56" s="366"/>
      <c r="K56" s="387">
        <f>IF(NOT(ISERROR(MATCH(J56,_xlfn.ANCHORARRAY(E67),0))),I69&amp;"Por favor no seleccionar los criterios de impacto",J56)</f>
        <v>0</v>
      </c>
      <c r="L56" s="372"/>
      <c r="M56" s="342"/>
      <c r="N56" s="345"/>
      <c r="O56" s="5">
        <v>3</v>
      </c>
      <c r="P56" s="180"/>
      <c r="Q56" s="104" t="str">
        <f>IF(OR(R56="Preventivo",R56="Detectivo"),"Probabilidad",IF(R56="Correctivo","Impacto",""))</f>
        <v/>
      </c>
      <c r="R56" s="105"/>
      <c r="S56" s="105"/>
      <c r="T56" s="106" t="str">
        <f t="shared" si="53"/>
        <v/>
      </c>
      <c r="U56" s="105"/>
      <c r="V56" s="105"/>
      <c r="W56" s="105"/>
      <c r="X56" s="107" t="str">
        <f>IFERROR(IF(AND(Q55="Probabilidad",Q56="Probabilidad"),(Z55-(+Z55*T56)),IF(AND(Q55="Impacto",Q56="Probabilidad"),(Z54-(+Z54*T56)),IF(Q56="Impacto",Z55,""))),"")</f>
        <v/>
      </c>
      <c r="Y56" s="108" t="str">
        <f t="shared" si="1"/>
        <v/>
      </c>
      <c r="Z56" s="109" t="str">
        <f t="shared" si="54"/>
        <v/>
      </c>
      <c r="AA56" s="108" t="str">
        <f t="shared" si="3"/>
        <v/>
      </c>
      <c r="AB56" s="109" t="str">
        <f>IFERROR(IF(AND(Q55="Impacto",Q56="Impacto"),(AB55-(+AB55*T56)),IF(AND(Q55="Probabilidad",Q56="Impacto"),(AB54-(+AB54*T56)),IF(Q56="Probabilidad",AB55,""))),"")</f>
        <v/>
      </c>
      <c r="AC56" s="110" t="str">
        <f t="shared" si="55"/>
        <v/>
      </c>
      <c r="AD56" s="111"/>
      <c r="AE56" s="112"/>
      <c r="AF56" s="167"/>
      <c r="AG56" s="168"/>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c r="A57" s="384"/>
      <c r="B57" s="375"/>
      <c r="C57" s="375"/>
      <c r="D57" s="375"/>
      <c r="E57" s="381"/>
      <c r="F57" s="375"/>
      <c r="G57" s="369"/>
      <c r="H57" s="372"/>
      <c r="I57" s="342"/>
      <c r="J57" s="366"/>
      <c r="K57" s="387">
        <f>IF(NOT(ISERROR(MATCH(J57,_xlfn.ANCHORARRAY(E68),0))),I70&amp;"Por favor no seleccionar los criterios de impacto",J57)</f>
        <v>0</v>
      </c>
      <c r="L57" s="372"/>
      <c r="M57" s="342"/>
      <c r="N57" s="345"/>
      <c r="O57" s="5">
        <v>4</v>
      </c>
      <c r="P57" s="179"/>
      <c r="Q57" s="104" t="str">
        <f t="shared" ref="Q57:Q59" si="56">IF(OR(R57="Preventivo",R57="Detectivo"),"Probabilidad",IF(R57="Correctivo","Impacto",""))</f>
        <v/>
      </c>
      <c r="R57" s="105"/>
      <c r="S57" s="105"/>
      <c r="T57" s="106" t="str">
        <f t="shared" si="53"/>
        <v/>
      </c>
      <c r="U57" s="105"/>
      <c r="V57" s="105"/>
      <c r="W57" s="105"/>
      <c r="X57" s="107" t="str">
        <f t="shared" ref="X57:X59" si="57">IFERROR(IF(AND(Q56="Probabilidad",Q57="Probabilidad"),(Z56-(+Z56*T57)),IF(AND(Q56="Impacto",Q57="Probabilidad"),(Z55-(+Z55*T57)),IF(Q57="Impacto",Z56,""))),"")</f>
        <v/>
      </c>
      <c r="Y57" s="108" t="str">
        <f t="shared" si="1"/>
        <v/>
      </c>
      <c r="Z57" s="109" t="str">
        <f t="shared" si="54"/>
        <v/>
      </c>
      <c r="AA57" s="108" t="str">
        <f t="shared" si="3"/>
        <v/>
      </c>
      <c r="AB57" s="109" t="str">
        <f t="shared" ref="AB57:AB59" si="58">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7"/>
      <c r="AG57" s="168"/>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c r="A58" s="384"/>
      <c r="B58" s="375"/>
      <c r="C58" s="375"/>
      <c r="D58" s="375"/>
      <c r="E58" s="381"/>
      <c r="F58" s="375"/>
      <c r="G58" s="369"/>
      <c r="H58" s="372"/>
      <c r="I58" s="342"/>
      <c r="J58" s="366"/>
      <c r="K58" s="387">
        <f>IF(NOT(ISERROR(MATCH(J58,_xlfn.ANCHORARRAY(E69),0))),I71&amp;"Por favor no seleccionar los criterios de impacto",J58)</f>
        <v>0</v>
      </c>
      <c r="L58" s="372"/>
      <c r="M58" s="342"/>
      <c r="N58" s="345"/>
      <c r="O58" s="5">
        <v>5</v>
      </c>
      <c r="P58" s="179"/>
      <c r="Q58" s="104" t="str">
        <f t="shared" si="56"/>
        <v/>
      </c>
      <c r="R58" s="105"/>
      <c r="S58" s="105"/>
      <c r="T58" s="106" t="str">
        <f t="shared" si="53"/>
        <v/>
      </c>
      <c r="U58" s="105"/>
      <c r="V58" s="105"/>
      <c r="W58" s="105"/>
      <c r="X58" s="107" t="str">
        <f t="shared" si="57"/>
        <v/>
      </c>
      <c r="Y58" s="108" t="str">
        <f t="shared" si="1"/>
        <v/>
      </c>
      <c r="Z58" s="109" t="str">
        <f t="shared" si="54"/>
        <v/>
      </c>
      <c r="AA58" s="108" t="str">
        <f t="shared" si="3"/>
        <v/>
      </c>
      <c r="AB58" s="109" t="str">
        <f t="shared" si="58"/>
        <v/>
      </c>
      <c r="AC58" s="110" t="str">
        <f t="shared" ref="AC58:AC59" si="5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7"/>
      <c r="AG58" s="168"/>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c r="A59" s="385"/>
      <c r="B59" s="376"/>
      <c r="C59" s="376"/>
      <c r="D59" s="376"/>
      <c r="E59" s="382"/>
      <c r="F59" s="376"/>
      <c r="G59" s="370"/>
      <c r="H59" s="373"/>
      <c r="I59" s="343"/>
      <c r="J59" s="367"/>
      <c r="K59" s="388">
        <f>IF(NOT(ISERROR(MATCH(J59,_xlfn.ANCHORARRAY(E70),0))),I84&amp;"Por favor no seleccionar los criterios de impacto",J59)</f>
        <v>0</v>
      </c>
      <c r="L59" s="373"/>
      <c r="M59" s="343"/>
      <c r="N59" s="346"/>
      <c r="O59" s="5">
        <v>6</v>
      </c>
      <c r="P59" s="179"/>
      <c r="Q59" s="104" t="str">
        <f t="shared" si="56"/>
        <v/>
      </c>
      <c r="R59" s="105"/>
      <c r="S59" s="105"/>
      <c r="T59" s="106" t="str">
        <f t="shared" si="53"/>
        <v/>
      </c>
      <c r="U59" s="105"/>
      <c r="V59" s="105"/>
      <c r="W59" s="105"/>
      <c r="X59" s="107" t="str">
        <f t="shared" si="57"/>
        <v/>
      </c>
      <c r="Y59" s="108" t="str">
        <f t="shared" si="1"/>
        <v/>
      </c>
      <c r="Z59" s="109" t="str">
        <f t="shared" si="54"/>
        <v/>
      </c>
      <c r="AA59" s="108" t="str">
        <f t="shared" si="3"/>
        <v/>
      </c>
      <c r="AB59" s="109" t="str">
        <f t="shared" si="58"/>
        <v/>
      </c>
      <c r="AC59" s="110" t="str">
        <f t="shared" si="59"/>
        <v/>
      </c>
      <c r="AD59" s="111"/>
      <c r="AE59" s="112"/>
      <c r="AF59" s="167"/>
      <c r="AG59" s="168"/>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c r="A60" s="383">
        <v>9</v>
      </c>
      <c r="B60" s="374"/>
      <c r="C60" s="374"/>
      <c r="D60" s="374"/>
      <c r="E60" s="380"/>
      <c r="F60" s="374"/>
      <c r="G60" s="368"/>
      <c r="H60" s="371" t="str">
        <f>IF(G60&lt;=0,"",IF(G60&lt;=2,"Muy Baja",IF(G60&lt;=24,"Baja",IF(G60&lt;=500,"Media",IF(G60&lt;=5000,"Alta","Muy Alta")))))</f>
        <v/>
      </c>
      <c r="I60" s="341" t="str">
        <f>IF(H60="","",IF(H60="Muy Baja",0.2,IF(H60="Baja",0.4,IF(H60="Media",0.6,IF(H60="Alta",0.8,IF(H60="Muy Alta",1,))))))</f>
        <v/>
      </c>
      <c r="J60" s="365"/>
      <c r="K60" s="386">
        <f>IF(NOT(ISERROR(MATCH(J60,'Tabla Impacto'!$B$221:$B$223,0))),'Tabla Impacto'!$F$223&amp;"Por favor no seleccionar los criterios de impacto(Afectación Económica o presupuestal y Pérdida Reputacional)",J60)</f>
        <v>0</v>
      </c>
      <c r="L60" s="371" t="str">
        <f>IF(OR(K60='Tabla Impacto'!$C$11,K60='Tabla Impacto'!$D$11),"Leve",IF(OR(K60='Tabla Impacto'!$C$12,K60='Tabla Impacto'!$D$12),"Menor",IF(OR(K60='Tabla Impacto'!$C$13,K60='Tabla Impacto'!$D$13),"Moderado",IF(OR(K60='Tabla Impacto'!$C$14,K60='Tabla Impacto'!$D$14),"Mayor",IF(OR(K60='Tabla Impacto'!$C$15,K60='Tabla Impacto'!$D$15),"Catastrófico","")))))</f>
        <v/>
      </c>
      <c r="M60" s="341" t="str">
        <f>IF(L60="","",IF(L60="Leve",0.2,IF(L60="Menor",0.4,IF(L60="Moderado",0.6,IF(L60="Mayor",0.8,IF(L60="Catastrófico",1,))))))</f>
        <v/>
      </c>
      <c r="N60" s="344"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v>1</v>
      </c>
      <c r="P60" s="179"/>
      <c r="Q60" s="161"/>
      <c r="R60" s="169"/>
      <c r="S60" s="169"/>
      <c r="T60" s="170"/>
      <c r="U60" s="169"/>
      <c r="V60" s="169"/>
      <c r="W60" s="169"/>
      <c r="X60" s="158"/>
      <c r="Y60" s="171"/>
      <c r="Z60" s="172"/>
      <c r="AA60" s="171"/>
      <c r="AB60" s="172"/>
      <c r="AC60" s="173"/>
      <c r="AD60" s="174"/>
      <c r="AE60" s="112"/>
      <c r="AF60" s="166"/>
      <c r="AG60" s="168"/>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c r="A61" s="384"/>
      <c r="B61" s="375"/>
      <c r="C61" s="375"/>
      <c r="D61" s="375"/>
      <c r="E61" s="381"/>
      <c r="F61" s="375"/>
      <c r="G61" s="369"/>
      <c r="H61" s="372"/>
      <c r="I61" s="342"/>
      <c r="J61" s="366"/>
      <c r="K61" s="387">
        <f>IF(NOT(ISERROR(MATCH(J61,_xlfn.ANCHORARRAY(E84),0))),I86&amp;"Por favor no seleccionar los criterios de impacto",J61)</f>
        <v>0</v>
      </c>
      <c r="L61" s="372"/>
      <c r="M61" s="342"/>
      <c r="N61" s="345"/>
      <c r="O61" s="5">
        <v>2</v>
      </c>
      <c r="P61" s="179"/>
      <c r="Q61" s="104" t="str">
        <f>IF(OR(R61="Preventivo",R61="Detectivo"),"Probabilidad",IF(R61="Correctivo","Impacto",""))</f>
        <v/>
      </c>
      <c r="R61" s="105"/>
      <c r="S61" s="105"/>
      <c r="T61" s="106" t="str">
        <f t="shared" ref="T61:T65" si="60">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c r="AA61" s="108"/>
      <c r="AB61" s="109"/>
      <c r="AC61" s="110"/>
      <c r="AD61" s="111"/>
      <c r="AE61" s="112"/>
      <c r="AF61" s="167"/>
      <c r="AG61" s="168"/>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c r="A62" s="384"/>
      <c r="B62" s="375"/>
      <c r="C62" s="375"/>
      <c r="D62" s="375"/>
      <c r="E62" s="381"/>
      <c r="F62" s="375"/>
      <c r="G62" s="369"/>
      <c r="H62" s="372"/>
      <c r="I62" s="342"/>
      <c r="J62" s="366"/>
      <c r="K62" s="387">
        <f>IF(NOT(ISERROR(MATCH(J62,_xlfn.ANCHORARRAY(E85),0))),I87&amp;"Por favor no seleccionar los criterios de impacto",J62)</f>
        <v>0</v>
      </c>
      <c r="L62" s="372"/>
      <c r="M62" s="342"/>
      <c r="N62" s="345"/>
      <c r="O62" s="5">
        <v>3</v>
      </c>
      <c r="P62" s="180"/>
      <c r="Q62" s="104" t="str">
        <f>IF(OR(R62="Preventivo",R62="Detectivo"),"Probabilidad",IF(R62="Correctivo","Impacto",""))</f>
        <v/>
      </c>
      <c r="R62" s="105"/>
      <c r="S62" s="105"/>
      <c r="T62" s="106" t="str">
        <f t="shared" si="60"/>
        <v/>
      </c>
      <c r="U62" s="105"/>
      <c r="V62" s="105"/>
      <c r="W62" s="105"/>
      <c r="X62" s="107" t="str">
        <f>IFERROR(IF(AND(Q61="Probabilidad",Q62="Probabilidad"),(Z61-(+Z61*T62)),IF(AND(Q61="Impacto",Q62="Probabilidad"),(Z60-(+Z60*T62)),IF(Q62="Impacto",Z61,""))),"")</f>
        <v/>
      </c>
      <c r="Y62" s="108" t="str">
        <f t="shared" si="1"/>
        <v/>
      </c>
      <c r="Z62" s="109" t="str">
        <f t="shared" ref="Z62:Z65" si="61">+X62</f>
        <v/>
      </c>
      <c r="AA62" s="108" t="str">
        <f t="shared" si="3"/>
        <v/>
      </c>
      <c r="AB62" s="109" t="str">
        <f>IFERROR(IF(AND(Q61="Impacto",Q62="Impacto"),(AB61-(+AB61*T62)),IF(AND(Q61="Probabilidad",Q62="Impacto"),(AB60-(+AB60*T62)),IF(Q62="Probabilidad",AB61,""))),"")</f>
        <v/>
      </c>
      <c r="AC62" s="110" t="str">
        <f t="shared" ref="AC62" si="6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1"/>
      <c r="AE62" s="112"/>
      <c r="AF62" s="167"/>
      <c r="AG62" s="168"/>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c r="A63" s="384"/>
      <c r="B63" s="375"/>
      <c r="C63" s="375"/>
      <c r="D63" s="375"/>
      <c r="E63" s="381"/>
      <c r="F63" s="375"/>
      <c r="G63" s="369"/>
      <c r="H63" s="372"/>
      <c r="I63" s="342"/>
      <c r="J63" s="366"/>
      <c r="K63" s="387">
        <f>IF(NOT(ISERROR(MATCH(J63,_xlfn.ANCHORARRAY(E86),0))),I88&amp;"Por favor no seleccionar los criterios de impacto",J63)</f>
        <v>0</v>
      </c>
      <c r="L63" s="372"/>
      <c r="M63" s="342"/>
      <c r="N63" s="345"/>
      <c r="O63" s="5">
        <v>4</v>
      </c>
      <c r="P63" s="179"/>
      <c r="Q63" s="104" t="str">
        <f t="shared" ref="Q63:Q65" si="63">IF(OR(R63="Preventivo",R63="Detectivo"),"Probabilidad",IF(R63="Correctivo","Impacto",""))</f>
        <v/>
      </c>
      <c r="R63" s="105"/>
      <c r="S63" s="105"/>
      <c r="T63" s="106" t="str">
        <f t="shared" si="60"/>
        <v/>
      </c>
      <c r="U63" s="105"/>
      <c r="V63" s="105"/>
      <c r="W63" s="105"/>
      <c r="X63" s="107" t="str">
        <f t="shared" ref="X63:X64" si="64">IFERROR(IF(AND(Q62="Probabilidad",Q63="Probabilidad"),(Z62-(+Z62*T63)),IF(AND(Q62="Impacto",Q63="Probabilidad"),(Z61-(+Z61*T63)),IF(Q63="Impacto",Z62,""))),"")</f>
        <v/>
      </c>
      <c r="Y63" s="108" t="str">
        <f t="shared" si="1"/>
        <v/>
      </c>
      <c r="Z63" s="109" t="str">
        <f t="shared" si="61"/>
        <v/>
      </c>
      <c r="AA63" s="108" t="str">
        <f t="shared" si="3"/>
        <v/>
      </c>
      <c r="AB63" s="109" t="str">
        <f t="shared" ref="AB63:AB64" si="65">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7"/>
      <c r="AG63" s="168"/>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c r="A64" s="384"/>
      <c r="B64" s="375"/>
      <c r="C64" s="375"/>
      <c r="D64" s="375"/>
      <c r="E64" s="381"/>
      <c r="F64" s="375"/>
      <c r="G64" s="369"/>
      <c r="H64" s="372"/>
      <c r="I64" s="342"/>
      <c r="J64" s="366"/>
      <c r="K64" s="387">
        <f>IF(NOT(ISERROR(MATCH(J64,_xlfn.ANCHORARRAY(E87),0))),I89&amp;"Por favor no seleccionar los criterios de impacto",J64)</f>
        <v>0</v>
      </c>
      <c r="L64" s="372"/>
      <c r="M64" s="342"/>
      <c r="N64" s="345"/>
      <c r="O64" s="5">
        <v>5</v>
      </c>
      <c r="P64" s="179"/>
      <c r="Q64" s="104" t="str">
        <f t="shared" si="63"/>
        <v/>
      </c>
      <c r="R64" s="105"/>
      <c r="S64" s="105"/>
      <c r="T64" s="106" t="str">
        <f t="shared" si="60"/>
        <v/>
      </c>
      <c r="U64" s="105"/>
      <c r="V64" s="105"/>
      <c r="W64" s="105"/>
      <c r="X64" s="107" t="str">
        <f t="shared" si="64"/>
        <v/>
      </c>
      <c r="Y64" s="108" t="str">
        <f t="shared" si="1"/>
        <v/>
      </c>
      <c r="Z64" s="109" t="str">
        <f t="shared" si="61"/>
        <v/>
      </c>
      <c r="AA64" s="108" t="str">
        <f t="shared" si="3"/>
        <v/>
      </c>
      <c r="AB64" s="109" t="str">
        <f t="shared" si="65"/>
        <v/>
      </c>
      <c r="AC64" s="110" t="str">
        <f t="shared" ref="AC64:AC65" si="6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7"/>
      <c r="AG64" s="168"/>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c r="A65" s="385"/>
      <c r="B65" s="376"/>
      <c r="C65" s="376"/>
      <c r="D65" s="376"/>
      <c r="E65" s="382"/>
      <c r="F65" s="376"/>
      <c r="G65" s="370"/>
      <c r="H65" s="373"/>
      <c r="I65" s="343"/>
      <c r="J65" s="367"/>
      <c r="K65" s="388">
        <f>IF(NOT(ISERROR(MATCH(J65,_xlfn.ANCHORARRAY(E88),0))),I90&amp;"Por favor no seleccionar los criterios de impacto",J65)</f>
        <v>0</v>
      </c>
      <c r="L65" s="373"/>
      <c r="M65" s="343"/>
      <c r="N65" s="346"/>
      <c r="O65" s="5">
        <v>6</v>
      </c>
      <c r="P65" s="179"/>
      <c r="Q65" s="104" t="str">
        <f t="shared" si="63"/>
        <v/>
      </c>
      <c r="R65" s="105"/>
      <c r="S65" s="105"/>
      <c r="T65" s="106" t="str">
        <f t="shared" si="60"/>
        <v/>
      </c>
      <c r="U65" s="105"/>
      <c r="V65" s="105"/>
      <c r="W65" s="105"/>
      <c r="X65" s="107" t="str">
        <f>IFERROR(IF(AND(Q64="Probabilidad",Q65="Probabilidad"),(Z64-(+Z64*T65)),IF(AND(Q64="Impacto",Q65="Probabilidad"),(Z63-(+Z63*T65)),IF(Q65="Impacto",Z64,""))),"")</f>
        <v/>
      </c>
      <c r="Y65" s="108" t="str">
        <f t="shared" si="1"/>
        <v/>
      </c>
      <c r="Z65" s="109" t="str">
        <f t="shared" si="61"/>
        <v/>
      </c>
      <c r="AA65" s="108" t="str">
        <f t="shared" si="3"/>
        <v/>
      </c>
      <c r="AB65" s="109" t="str">
        <f>IFERROR(IF(AND(Q64="Impacto",Q65="Impacto"),(AB64-(+AB64*T65)),IF(AND(Q64="Probabilidad",Q65="Impacto"),(AB63-(+AB63*T65)),IF(Q65="Probabilidad",AB64,""))),"")</f>
        <v/>
      </c>
      <c r="AC65" s="110" t="str">
        <f t="shared" si="66"/>
        <v/>
      </c>
      <c r="AD65" s="111"/>
      <c r="AE65" s="112"/>
      <c r="AF65" s="167"/>
      <c r="AG65" s="168"/>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90.75" hidden="1" customHeight="1">
      <c r="A66" s="383">
        <v>10</v>
      </c>
      <c r="B66" s="374"/>
      <c r="C66" s="374"/>
      <c r="D66" s="374"/>
      <c r="E66" s="380"/>
      <c r="F66" s="374"/>
      <c r="G66" s="368"/>
      <c r="H66" s="371" t="str">
        <f>IF(G66&lt;=0,"",IF(G66&lt;=2,"Muy Baja",IF(G66&lt;=24,"Baja",IF(G66&lt;=500,"Media",IF(G66&lt;=5000,"Alta","Muy Alta")))))</f>
        <v/>
      </c>
      <c r="I66" s="341" t="str">
        <f>IF(H66="","",IF(H66="Muy Baja",0.2,IF(H66="Baja",0.4,IF(H66="Media",0.6,IF(H66="Alta",0.8,IF(H66="Muy Alta",1,))))))</f>
        <v/>
      </c>
      <c r="J66" s="365"/>
      <c r="K66" s="386">
        <f>IF(NOT(ISERROR(MATCH(J66,'Tabla Impacto'!$B$221:$B$223,0))),'Tabla Impacto'!$F$223&amp;"Por favor no seleccionar los criterios de impacto(Afectación Económica o presupuestal y Pérdida Reputacional)",J66)</f>
        <v>0</v>
      </c>
      <c r="L66" s="371" t="str">
        <f>IF(OR(K66='Tabla Impacto'!$C$11,K66='Tabla Impacto'!$D$11),"Leve",IF(OR(K66='Tabla Impacto'!$C$12,K66='Tabla Impacto'!$D$12),"Menor",IF(OR(K66='Tabla Impacto'!$C$13,K66='Tabla Impacto'!$D$13),"Moderado",IF(OR(K66='Tabla Impacto'!$C$14,K66='Tabla Impacto'!$D$14),"Mayor",IF(OR(K66='Tabla Impacto'!$C$15,K66='Tabla Impacto'!$D$15),"Catastrófico","")))))</f>
        <v/>
      </c>
      <c r="M66" s="341" t="str">
        <f>IF(L66="","",IF(L66="Leve",0.2,IF(L66="Menor",0.4,IF(L66="Moderado",0.6,IF(L66="Mayor",0.8,IF(L66="Catastrófico",1,))))))</f>
        <v/>
      </c>
      <c r="N66" s="344"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9"/>
      <c r="Q66" s="161"/>
      <c r="R66" s="169"/>
      <c r="S66" s="169"/>
      <c r="T66" s="170"/>
      <c r="U66" s="169"/>
      <c r="V66" s="169"/>
      <c r="W66" s="169"/>
      <c r="X66" s="158"/>
      <c r="Y66" s="171"/>
      <c r="Z66" s="172"/>
      <c r="AA66" s="171"/>
      <c r="AB66" s="172"/>
      <c r="AC66" s="173"/>
      <c r="AD66" s="174"/>
      <c r="AE66" s="112"/>
      <c r="AF66" s="167"/>
      <c r="AG66" s="168"/>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c r="A67" s="384"/>
      <c r="B67" s="375"/>
      <c r="C67" s="375"/>
      <c r="D67" s="375"/>
      <c r="E67" s="381"/>
      <c r="F67" s="375"/>
      <c r="G67" s="369"/>
      <c r="H67" s="372"/>
      <c r="I67" s="342"/>
      <c r="J67" s="366"/>
      <c r="K67" s="387">
        <f>IF(NOT(ISERROR(MATCH(J67,_xlfn.ANCHORARRAY(E90),0))),I92&amp;"Por favor no seleccionar los criterios de impacto",J67)</f>
        <v>0</v>
      </c>
      <c r="L67" s="372"/>
      <c r="M67" s="342"/>
      <c r="N67" s="345"/>
      <c r="O67" s="5">
        <v>2</v>
      </c>
      <c r="P67" s="179"/>
      <c r="Q67" s="104" t="str">
        <f>IF(OR(R67="Preventivo",R67="Detectivo"),"Probabilidad",IF(R67="Correctivo","Impacto",""))</f>
        <v/>
      </c>
      <c r="R67" s="105"/>
      <c r="S67" s="105"/>
      <c r="T67" s="106" t="str">
        <f t="shared" ref="T67:T71" si="67">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8">+X67</f>
        <v/>
      </c>
      <c r="AA67" s="108" t="str">
        <f t="shared" si="3"/>
        <v/>
      </c>
      <c r="AB67" s="109" t="str">
        <f>IFERROR(IF(AND(Q66="Impacto",Q67="Impacto"),(AB66-(+AB66*T67)),IF(Q67="Impacto",(M66-(+M66*T67)),IF(Q67="Probabilidad",AB66,""))),"")</f>
        <v/>
      </c>
      <c r="AC67" s="110" t="str">
        <f t="shared" ref="AC67:AC68" si="6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7"/>
      <c r="AG67" s="168"/>
      <c r="AH67" s="114"/>
      <c r="AI67" s="114"/>
      <c r="AJ67" s="112"/>
      <c r="AK67" s="113"/>
    </row>
    <row r="68" spans="1:69" ht="19.5" hidden="1" customHeight="1">
      <c r="A68" s="384"/>
      <c r="B68" s="375"/>
      <c r="C68" s="375"/>
      <c r="D68" s="375"/>
      <c r="E68" s="381"/>
      <c r="F68" s="375"/>
      <c r="G68" s="369"/>
      <c r="H68" s="372"/>
      <c r="I68" s="342"/>
      <c r="J68" s="366"/>
      <c r="K68" s="387">
        <f>IF(NOT(ISERROR(MATCH(J68,_xlfn.ANCHORARRAY(E91),0))),I93&amp;"Por favor no seleccionar los criterios de impacto",J68)</f>
        <v>0</v>
      </c>
      <c r="L68" s="372"/>
      <c r="M68" s="342"/>
      <c r="N68" s="345"/>
      <c r="O68" s="5">
        <v>3</v>
      </c>
      <c r="P68" s="180"/>
      <c r="Q68" s="104" t="str">
        <f>IF(OR(R68="Preventivo",R68="Detectivo"),"Probabilidad",IF(R68="Correctivo","Impacto",""))</f>
        <v/>
      </c>
      <c r="R68" s="105"/>
      <c r="S68" s="105"/>
      <c r="T68" s="106" t="str">
        <f t="shared" si="67"/>
        <v/>
      </c>
      <c r="U68" s="105"/>
      <c r="V68" s="105"/>
      <c r="W68" s="105"/>
      <c r="X68" s="107" t="str">
        <f>IFERROR(IF(AND(Q67="Probabilidad",Q68="Probabilidad"),(Z67-(+Z67*T68)),IF(AND(Q67="Impacto",Q68="Probabilidad"),(Z66-(+Z66*T68)),IF(Q68="Impacto",Z67,""))),"")</f>
        <v/>
      </c>
      <c r="Y68" s="108" t="str">
        <f t="shared" si="1"/>
        <v/>
      </c>
      <c r="Z68" s="109" t="str">
        <f t="shared" si="68"/>
        <v/>
      </c>
      <c r="AA68" s="108" t="str">
        <f t="shared" si="3"/>
        <v/>
      </c>
      <c r="AB68" s="109" t="str">
        <f>IFERROR(IF(AND(Q67="Impacto",Q68="Impacto"),(AB67-(+AB67*T68)),IF(AND(Q67="Probabilidad",Q68="Impacto"),(AB66-(+AB66*T68)),IF(Q68="Probabilidad",AB67,""))),"")</f>
        <v/>
      </c>
      <c r="AC68" s="110" t="str">
        <f t="shared" si="69"/>
        <v/>
      </c>
      <c r="AD68" s="111"/>
      <c r="AE68" s="112"/>
      <c r="AF68" s="167"/>
      <c r="AG68" s="168"/>
      <c r="AH68" s="114"/>
      <c r="AI68" s="114"/>
      <c r="AJ68" s="112"/>
      <c r="AK68" s="113"/>
    </row>
    <row r="69" spans="1:69" ht="19.5" hidden="1" customHeight="1">
      <c r="A69" s="384"/>
      <c r="B69" s="375"/>
      <c r="C69" s="375"/>
      <c r="D69" s="375"/>
      <c r="E69" s="381"/>
      <c r="F69" s="375"/>
      <c r="G69" s="369"/>
      <c r="H69" s="372"/>
      <c r="I69" s="342"/>
      <c r="J69" s="366"/>
      <c r="K69" s="387">
        <f>IF(NOT(ISERROR(MATCH(J69,_xlfn.ANCHORARRAY(E92),0))),I94&amp;"Por favor no seleccionar los criterios de impacto",J69)</f>
        <v>0</v>
      </c>
      <c r="L69" s="372"/>
      <c r="M69" s="342"/>
      <c r="N69" s="345"/>
      <c r="O69" s="5">
        <v>4</v>
      </c>
      <c r="P69" s="179"/>
      <c r="Q69" s="104" t="str">
        <f t="shared" ref="Q69:Q71" si="70">IF(OR(R69="Preventivo",R69="Detectivo"),"Probabilidad",IF(R69="Correctivo","Impacto",""))</f>
        <v/>
      </c>
      <c r="R69" s="105"/>
      <c r="S69" s="105"/>
      <c r="T69" s="106" t="str">
        <f t="shared" si="67"/>
        <v/>
      </c>
      <c r="U69" s="105"/>
      <c r="V69" s="105"/>
      <c r="W69" s="105"/>
      <c r="X69" s="107" t="str">
        <f t="shared" ref="X69:X70" si="71">IFERROR(IF(AND(Q68="Probabilidad",Q69="Probabilidad"),(Z68-(+Z68*T69)),IF(AND(Q68="Impacto",Q69="Probabilidad"),(Z67-(+Z67*T69)),IF(Q69="Impacto",Z68,""))),"")</f>
        <v/>
      </c>
      <c r="Y69" s="108" t="str">
        <f t="shared" si="1"/>
        <v/>
      </c>
      <c r="Z69" s="109" t="str">
        <f t="shared" si="68"/>
        <v/>
      </c>
      <c r="AA69" s="108" t="str">
        <f t="shared" si="3"/>
        <v/>
      </c>
      <c r="AB69" s="109" t="str">
        <f t="shared" ref="AB69:AB70" si="72">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7"/>
      <c r="AG69" s="168"/>
      <c r="AH69" s="114"/>
      <c r="AI69" s="114"/>
      <c r="AJ69" s="112"/>
      <c r="AK69" s="113"/>
    </row>
    <row r="70" spans="1:69" ht="19.5" hidden="1" customHeight="1">
      <c r="A70" s="384"/>
      <c r="B70" s="375"/>
      <c r="C70" s="375"/>
      <c r="D70" s="375"/>
      <c r="E70" s="381"/>
      <c r="F70" s="375"/>
      <c r="G70" s="369"/>
      <c r="H70" s="372"/>
      <c r="I70" s="342"/>
      <c r="J70" s="366"/>
      <c r="K70" s="387">
        <f>IF(NOT(ISERROR(MATCH(J70,_xlfn.ANCHORARRAY(E93),0))),I95&amp;"Por favor no seleccionar los criterios de impacto",J70)</f>
        <v>0</v>
      </c>
      <c r="L70" s="372"/>
      <c r="M70" s="342"/>
      <c r="N70" s="345"/>
      <c r="O70" s="5">
        <v>5</v>
      </c>
      <c r="P70" s="179"/>
      <c r="Q70" s="104" t="str">
        <f t="shared" si="70"/>
        <v/>
      </c>
      <c r="R70" s="105"/>
      <c r="S70" s="105"/>
      <c r="T70" s="106" t="str">
        <f t="shared" si="67"/>
        <v/>
      </c>
      <c r="U70" s="105"/>
      <c r="V70" s="105"/>
      <c r="W70" s="105"/>
      <c r="X70" s="107" t="str">
        <f t="shared" si="71"/>
        <v/>
      </c>
      <c r="Y70" s="108" t="str">
        <f t="shared" si="1"/>
        <v/>
      </c>
      <c r="Z70" s="109" t="str">
        <f t="shared" si="68"/>
        <v/>
      </c>
      <c r="AA70" s="108" t="str">
        <f t="shared" si="3"/>
        <v/>
      </c>
      <c r="AB70" s="109" t="str">
        <f t="shared" si="72"/>
        <v/>
      </c>
      <c r="AC70" s="110" t="str">
        <f t="shared" ref="AC70:AC71" si="7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7"/>
      <c r="AG70" s="168"/>
      <c r="AH70" s="114"/>
      <c r="AI70" s="114"/>
      <c r="AJ70" s="112"/>
      <c r="AK70" s="113"/>
    </row>
    <row r="71" spans="1:69" ht="20.25" hidden="1" customHeight="1">
      <c r="A71" s="385"/>
      <c r="B71" s="376"/>
      <c r="C71" s="376"/>
      <c r="D71" s="376"/>
      <c r="E71" s="382"/>
      <c r="F71" s="376"/>
      <c r="G71" s="370"/>
      <c r="H71" s="373"/>
      <c r="I71" s="343"/>
      <c r="J71" s="367"/>
      <c r="K71" s="388">
        <f>IF(NOT(ISERROR(MATCH(J71,_xlfn.ANCHORARRAY(E94),0))),I96&amp;"Por favor no seleccionar los criterios de impacto",J71)</f>
        <v>0</v>
      </c>
      <c r="L71" s="373"/>
      <c r="M71" s="343"/>
      <c r="N71" s="346"/>
      <c r="O71" s="5">
        <v>6</v>
      </c>
      <c r="P71" s="179"/>
      <c r="Q71" s="104" t="str">
        <f t="shared" si="70"/>
        <v/>
      </c>
      <c r="R71" s="105"/>
      <c r="S71" s="105"/>
      <c r="T71" s="106" t="str">
        <f t="shared" si="67"/>
        <v/>
      </c>
      <c r="U71" s="105"/>
      <c r="V71" s="105"/>
      <c r="W71" s="105"/>
      <c r="X71" s="107" t="str">
        <f>IFERROR(IF(AND(Q70="Probabilidad",Q71="Probabilidad"),(Z70-(+Z70*T71)),IF(AND(Q70="Impacto",Q71="Probabilidad"),(Z69-(+Z69*T71)),IF(Q71="Impacto",Z70,""))),"")</f>
        <v/>
      </c>
      <c r="Y71" s="108" t="str">
        <f t="shared" si="1"/>
        <v/>
      </c>
      <c r="Z71" s="109" t="str">
        <f t="shared" si="68"/>
        <v/>
      </c>
      <c r="AA71" s="108" t="str">
        <f t="shared" si="3"/>
        <v/>
      </c>
      <c r="AB71" s="109" t="str">
        <f>IFERROR(IF(AND(Q70="Impacto",Q71="Impacto"),(AB70-(+AB70*T71)),IF(AND(Q70="Probabilidad",Q71="Impacto"),(AB69-(+AB69*T71)),IF(Q71="Probabilidad",AB70,""))),"")</f>
        <v/>
      </c>
      <c r="AC71" s="110" t="str">
        <f t="shared" si="73"/>
        <v/>
      </c>
      <c r="AD71" s="111"/>
      <c r="AE71" s="112"/>
      <c r="AF71" s="167"/>
      <c r="AG71" s="168"/>
      <c r="AH71" s="114"/>
      <c r="AI71" s="114"/>
      <c r="AJ71" s="112"/>
      <c r="AK71" s="113"/>
    </row>
    <row r="72" spans="1:69" ht="106.5" hidden="1" customHeight="1">
      <c r="A72" s="418"/>
      <c r="B72" s="374"/>
      <c r="C72" s="374"/>
      <c r="D72" s="374"/>
      <c r="E72" s="380"/>
      <c r="F72" s="374"/>
      <c r="G72" s="368"/>
      <c r="H72" s="371" t="str">
        <f>IF(G72&lt;=0,"",IF(G72&lt;=2,"Muy Baja",IF(G72&lt;=24,"Baja",IF(G72&lt;=500,"Media",IF(G72&lt;=5000,"Alta","Muy Alta")))))</f>
        <v/>
      </c>
      <c r="I72" s="341" t="str">
        <f>IF(H72="","",IF(H72="Muy Baja",0.2,IF(H72="Baja",0.4,IF(H72="Media",0.6,IF(H72="Alta",0.8,IF(H72="Muy Alta",1,))))))</f>
        <v/>
      </c>
      <c r="J72" s="365"/>
      <c r="K72" s="386">
        <f>IF(NOT(ISERROR(MATCH(J72,'Tabla Impacto'!$B$221:$B$223,0))),'Tabla Impacto'!$F$223&amp;"Por favor no seleccionar los criterios de impacto(Afectación Económica o presupuestal y Pérdida Reputacional)",J72)</f>
        <v>0</v>
      </c>
      <c r="L72" s="371" t="str">
        <f>IF(OR(K72='Tabla Impacto'!$C$11,K72='Tabla Impacto'!$D$11),"Leve",IF(OR(K72='Tabla Impacto'!$C$12,K72='Tabla Impacto'!$D$12),"Menor",IF(OR(K72='Tabla Impacto'!$C$13,K72='Tabla Impacto'!$D$13),"Moderado",IF(OR(K72='Tabla Impacto'!$C$14,K72='Tabla Impacto'!$D$14),"Mayor",IF(OR(K72='Tabla Impacto'!$C$15,K72='Tabla Impacto'!$D$15),"Catastrófico","")))))</f>
        <v/>
      </c>
      <c r="M72" s="341" t="str">
        <f>IF(L72="","",IF(L72="Leve",0.2,IF(L72="Menor",0.4,IF(L72="Moderado",0.6,IF(L72="Mayor",0.8,IF(L72="Catastrófico",1,))))))</f>
        <v/>
      </c>
      <c r="N72" s="344"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9"/>
      <c r="Q72" s="161"/>
      <c r="R72" s="169"/>
      <c r="S72" s="169"/>
      <c r="T72" s="170"/>
      <c r="U72" s="169"/>
      <c r="V72" s="169"/>
      <c r="W72" s="169"/>
      <c r="X72" s="158" t="str">
        <f>IFERROR(IF(Q72="Probabilidad",(I72-(+I72*T72)),IF(Q72="Impacto",I72,"")),"")</f>
        <v/>
      </c>
      <c r="Y72" s="171" t="str">
        <f>IFERROR(IF(X72="","",IF(X72&lt;=0.2,"Muy Baja",IF(X72&lt;=0.4,"Baja",IF(X72&lt;=0.6,"Media",IF(X72&lt;=0.8,"Alta","Muy Alta"))))),"")</f>
        <v/>
      </c>
      <c r="Z72" s="172" t="str">
        <f>+X72</f>
        <v/>
      </c>
      <c r="AA72" s="171" t="str">
        <f>IFERROR(IF(AB72="","",IF(AB72&lt;=0.2,"Leve",IF(AB72&lt;=0.4,"Menor",IF(AB72&lt;=0.6,"Moderado",IF(AB72&lt;=0.8,"Mayor","Catastrófico"))))),"")</f>
        <v/>
      </c>
      <c r="AB72" s="172" t="str">
        <f>IFERROR(IF(Q72="Impacto",(M72-(+M72*T72)),IF(Q72="Probabilidad",M72,"")),"")</f>
        <v/>
      </c>
      <c r="AC72" s="17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74"/>
      <c r="AE72" s="112"/>
      <c r="AF72" s="166"/>
      <c r="AG72" s="168"/>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146.25" hidden="1" customHeight="1">
      <c r="A73" s="419"/>
      <c r="B73" s="375"/>
      <c r="C73" s="375"/>
      <c r="D73" s="375"/>
      <c r="E73" s="381"/>
      <c r="F73" s="375"/>
      <c r="G73" s="369"/>
      <c r="H73" s="372"/>
      <c r="I73" s="342"/>
      <c r="J73" s="366"/>
      <c r="K73" s="387">
        <f>IF(NOT(ISERROR(MATCH(J73,_xlfn.ANCHORARRAY(E96),0))),I98&amp;"Por favor no seleccionar los criterios de impacto",J73)</f>
        <v>0</v>
      </c>
      <c r="L73" s="372"/>
      <c r="M73" s="342"/>
      <c r="N73" s="345"/>
      <c r="O73" s="5">
        <v>2</v>
      </c>
      <c r="P73" s="179"/>
      <c r="Q73" s="161"/>
      <c r="R73" s="169"/>
      <c r="S73" s="169"/>
      <c r="T73" s="170"/>
      <c r="U73" s="169"/>
      <c r="V73" s="169"/>
      <c r="W73" s="169"/>
      <c r="X73" s="158" t="str">
        <f>IFERROR(IF(AND(Q72="Probabilidad",Q73="Probabilidad"),(Z72-(+Z72*T73)),IF(Q73="Probabilidad",(I72-(+I72*T73)),IF(Q73="Impacto",Z72,""))),"")</f>
        <v/>
      </c>
      <c r="Y73" s="171" t="str">
        <f t="shared" ref="Y73:Y77" si="74">IFERROR(IF(X73="","",IF(X73&lt;=0.2,"Muy Baja",IF(X73&lt;=0.4,"Baja",IF(X73&lt;=0.6,"Media",IF(X73&lt;=0.8,"Alta","Muy Alta"))))),"")</f>
        <v/>
      </c>
      <c r="Z73" s="172" t="str">
        <f t="shared" ref="Z73:Z77" si="75">+X73</f>
        <v/>
      </c>
      <c r="AA73" s="171" t="str">
        <f t="shared" ref="AA73:AA77" si="76">IFERROR(IF(AB73="","",IF(AB73&lt;=0.2,"Leve",IF(AB73&lt;=0.4,"Menor",IF(AB73&lt;=0.6,"Moderado",IF(AB73&lt;=0.8,"Mayor","Catastrófico"))))),"")</f>
        <v/>
      </c>
      <c r="AB73" s="172" t="str">
        <f>IFERROR(IF(AND(Q72="Impacto",Q73="Impacto"),(AB72-(+AB72*T73)),IF(Q73="Impacto",(M72-(+M72*T73)),IF(Q73="Probabilidad",AB72,""))),"")</f>
        <v/>
      </c>
      <c r="AC73" s="173" t="str">
        <f t="shared" ref="AC73" si="77">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74"/>
      <c r="AE73" s="112"/>
      <c r="AF73" s="167"/>
      <c r="AG73" s="168"/>
      <c r="AH73" s="114"/>
      <c r="AI73" s="114"/>
      <c r="AJ73" s="112"/>
      <c r="AK73" s="113"/>
    </row>
    <row r="74" spans="1:69" ht="102.75" hidden="1" customHeight="1">
      <c r="A74" s="419"/>
      <c r="B74" s="375"/>
      <c r="C74" s="375"/>
      <c r="D74" s="375"/>
      <c r="E74" s="381"/>
      <c r="F74" s="375"/>
      <c r="G74" s="369"/>
      <c r="H74" s="372"/>
      <c r="I74" s="342"/>
      <c r="J74" s="366"/>
      <c r="K74" s="387">
        <f>IF(NOT(ISERROR(MATCH(J74,_xlfn.ANCHORARRAY(E97),0))),I99&amp;"Por favor no seleccionar los criterios de impacto",J74)</f>
        <v>0</v>
      </c>
      <c r="L74" s="372"/>
      <c r="M74" s="342"/>
      <c r="N74" s="345"/>
      <c r="O74" s="5">
        <v>3</v>
      </c>
      <c r="P74" s="180"/>
      <c r="Q74" s="161"/>
      <c r="R74" s="169"/>
      <c r="S74" s="169"/>
      <c r="T74" s="170"/>
      <c r="U74" s="169"/>
      <c r="V74" s="169"/>
      <c r="W74" s="169"/>
      <c r="X74" s="158"/>
      <c r="Y74" s="171"/>
      <c r="Z74" s="172"/>
      <c r="AA74" s="171"/>
      <c r="AB74" s="172"/>
      <c r="AC74" s="173"/>
      <c r="AD74" s="174"/>
      <c r="AE74" s="112"/>
      <c r="AF74" s="167"/>
      <c r="AG74" s="168"/>
      <c r="AH74" s="114"/>
      <c r="AI74" s="114"/>
      <c r="AJ74" s="112"/>
      <c r="AK74" s="113"/>
    </row>
    <row r="75" spans="1:69" ht="19.5" hidden="1" customHeight="1">
      <c r="A75" s="419"/>
      <c r="B75" s="375"/>
      <c r="C75" s="375"/>
      <c r="D75" s="375"/>
      <c r="E75" s="381"/>
      <c r="F75" s="375"/>
      <c r="G75" s="369"/>
      <c r="H75" s="372"/>
      <c r="I75" s="342"/>
      <c r="J75" s="366"/>
      <c r="K75" s="387">
        <f>IF(NOT(ISERROR(MATCH(J75,_xlfn.ANCHORARRAY(E98),0))),I100&amp;"Por favor no seleccionar los criterios de impacto",J75)</f>
        <v>0</v>
      </c>
      <c r="L75" s="372"/>
      <c r="M75" s="342"/>
      <c r="N75" s="345"/>
      <c r="O75" s="5">
        <v>4</v>
      </c>
      <c r="P75" s="179"/>
      <c r="Q75" s="104" t="str">
        <f t="shared" ref="Q75:Q77" si="78">IF(OR(R75="Preventivo",R75="Detectivo"),"Probabilidad",IF(R75="Correctivo","Impacto",""))</f>
        <v/>
      </c>
      <c r="R75" s="105"/>
      <c r="S75" s="105"/>
      <c r="T75" s="106" t="str">
        <f t="shared" ref="T75:T77" si="79">IF(AND(R75="Preventivo",S75="Automático"),"50%",IF(AND(R75="Preventivo",S75="Manual"),"40%",IF(AND(R75="Detectivo",S75="Automático"),"40%",IF(AND(R75="Detectivo",S75="Manual"),"30%",IF(AND(R75="Correctivo",S75="Automático"),"35%",IF(AND(R75="Correctivo",S75="Manual"),"25%",""))))))</f>
        <v/>
      </c>
      <c r="U75" s="105"/>
      <c r="V75" s="105"/>
      <c r="W75" s="105"/>
      <c r="X75" s="107" t="str">
        <f t="shared" ref="X75:X76" si="80">IFERROR(IF(AND(Q74="Probabilidad",Q75="Probabilidad"),(Z74-(+Z74*T75)),IF(AND(Q74="Impacto",Q75="Probabilidad"),(Z73-(+Z73*T75)),IF(Q75="Impacto",Z74,""))),"")</f>
        <v/>
      </c>
      <c r="Y75" s="108" t="str">
        <f t="shared" si="74"/>
        <v/>
      </c>
      <c r="Z75" s="109" t="str">
        <f t="shared" si="75"/>
        <v/>
      </c>
      <c r="AA75" s="108" t="str">
        <f t="shared" si="76"/>
        <v/>
      </c>
      <c r="AB75" s="109" t="str">
        <f t="shared" ref="AB75:AB76" si="81">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67"/>
      <c r="AG75" s="168"/>
      <c r="AH75" s="114"/>
      <c r="AI75" s="114"/>
      <c r="AJ75" s="112"/>
      <c r="AK75" s="113"/>
    </row>
    <row r="76" spans="1:69" ht="19.5" hidden="1" customHeight="1">
      <c r="A76" s="419"/>
      <c r="B76" s="375"/>
      <c r="C76" s="375"/>
      <c r="D76" s="375"/>
      <c r="E76" s="381"/>
      <c r="F76" s="375"/>
      <c r="G76" s="369"/>
      <c r="H76" s="372"/>
      <c r="I76" s="342"/>
      <c r="J76" s="366"/>
      <c r="K76" s="387">
        <f>IF(NOT(ISERROR(MATCH(J76,_xlfn.ANCHORARRAY(E99),0))),I101&amp;"Por favor no seleccionar los criterios de impacto",J76)</f>
        <v>0</v>
      </c>
      <c r="L76" s="372"/>
      <c r="M76" s="342"/>
      <c r="N76" s="345"/>
      <c r="O76" s="5">
        <v>5</v>
      </c>
      <c r="P76" s="179"/>
      <c r="Q76" s="104" t="str">
        <f t="shared" si="78"/>
        <v/>
      </c>
      <c r="R76" s="105"/>
      <c r="S76" s="105"/>
      <c r="T76" s="106" t="str">
        <f t="shared" si="79"/>
        <v/>
      </c>
      <c r="U76" s="105"/>
      <c r="V76" s="105"/>
      <c r="W76" s="105"/>
      <c r="X76" s="107" t="str">
        <f t="shared" si="80"/>
        <v/>
      </c>
      <c r="Y76" s="108" t="str">
        <f t="shared" si="74"/>
        <v/>
      </c>
      <c r="Z76" s="109" t="str">
        <f t="shared" si="75"/>
        <v/>
      </c>
      <c r="AA76" s="108" t="str">
        <f t="shared" si="76"/>
        <v/>
      </c>
      <c r="AB76" s="109" t="str">
        <f t="shared" si="81"/>
        <v/>
      </c>
      <c r="AC76" s="110" t="str">
        <f t="shared" ref="AC76:AC77" si="82">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7"/>
      <c r="AG76" s="168"/>
      <c r="AH76" s="114"/>
      <c r="AI76" s="114"/>
      <c r="AJ76" s="112"/>
      <c r="AK76" s="113"/>
    </row>
    <row r="77" spans="1:69" ht="103.5" hidden="1" customHeight="1">
      <c r="A77" s="420"/>
      <c r="B77" s="376"/>
      <c r="C77" s="376"/>
      <c r="D77" s="376"/>
      <c r="E77" s="382"/>
      <c r="F77" s="376"/>
      <c r="G77" s="370"/>
      <c r="H77" s="373"/>
      <c r="I77" s="343"/>
      <c r="J77" s="367"/>
      <c r="K77" s="388">
        <f>IF(NOT(ISERROR(MATCH(J77,_xlfn.ANCHORARRAY(E100),0))),I102&amp;"Por favor no seleccionar los criterios de impacto",J77)</f>
        <v>0</v>
      </c>
      <c r="L77" s="373"/>
      <c r="M77" s="343"/>
      <c r="N77" s="346"/>
      <c r="O77" s="5">
        <v>6</v>
      </c>
      <c r="P77" s="179"/>
      <c r="Q77" s="104" t="str">
        <f t="shared" si="78"/>
        <v/>
      </c>
      <c r="R77" s="105"/>
      <c r="S77" s="105"/>
      <c r="T77" s="106" t="str">
        <f t="shared" si="79"/>
        <v/>
      </c>
      <c r="U77" s="105"/>
      <c r="V77" s="105"/>
      <c r="W77" s="105"/>
      <c r="X77" s="107" t="str">
        <f>IFERROR(IF(AND(Q76="Probabilidad",Q77="Probabilidad"),(Z76-(+Z76*T77)),IF(AND(Q76="Impacto",Q77="Probabilidad"),(Z75-(+Z75*T77)),IF(Q77="Impacto",Z76,""))),"")</f>
        <v/>
      </c>
      <c r="Y77" s="108" t="str">
        <f t="shared" si="74"/>
        <v/>
      </c>
      <c r="Z77" s="109" t="str">
        <f t="shared" si="75"/>
        <v/>
      </c>
      <c r="AA77" s="108" t="str">
        <f t="shared" si="76"/>
        <v/>
      </c>
      <c r="AB77" s="109" t="str">
        <f>IFERROR(IF(AND(Q76="Impacto",Q77="Impacto"),(AB76-(+AB76*T77)),IF(AND(Q76="Probabilidad",Q77="Impacto"),(AB75-(+AB75*T77)),IF(Q77="Probabilidad",AB76,""))),"")</f>
        <v/>
      </c>
      <c r="AC77" s="110" t="str">
        <f t="shared" si="82"/>
        <v/>
      </c>
      <c r="AD77" s="111"/>
      <c r="AE77" s="112"/>
      <c r="AF77" s="167"/>
      <c r="AG77" s="168"/>
      <c r="AH77" s="114"/>
      <c r="AI77" s="114"/>
      <c r="AJ77" s="112"/>
      <c r="AK77" s="113"/>
    </row>
    <row r="78" spans="1:69" ht="90.75" hidden="1" customHeight="1">
      <c r="A78" s="418"/>
      <c r="B78" s="374"/>
      <c r="C78" s="374"/>
      <c r="D78" s="374"/>
      <c r="E78" s="380"/>
      <c r="F78" s="374"/>
      <c r="G78" s="368"/>
      <c r="H78" s="371" t="str">
        <f>IF(G78&lt;=0,"",IF(G78&lt;=2,"Muy Baja",IF(G78&lt;=24,"Baja",IF(G78&lt;=500,"Media",IF(G78&lt;=5000,"Alta","Muy Alta")))))</f>
        <v/>
      </c>
      <c r="I78" s="341" t="str">
        <f>IF(H78="","",IF(H78="Muy Baja",0.2,IF(H78="Baja",0.4,IF(H78="Media",0.6,IF(H78="Alta",0.8,IF(H78="Muy Alta",1,))))))</f>
        <v/>
      </c>
      <c r="J78" s="365"/>
      <c r="K78" s="386">
        <f>IF(NOT(ISERROR(MATCH(J78,'Tabla Impacto'!$B$221:$B$223,0))),'Tabla Impacto'!$F$223&amp;"Por favor no seleccionar los criterios de impacto(Afectación Económica o presupuestal y Pérdida Reputacional)",J78)</f>
        <v>0</v>
      </c>
      <c r="L78" s="371" t="str">
        <f>IF(OR(K78='Tabla Impacto'!$C$11,K78='Tabla Impacto'!$D$11),"Leve",IF(OR(K78='Tabla Impacto'!$C$12,K78='Tabla Impacto'!$D$12),"Menor",IF(OR(K78='Tabla Impacto'!$C$13,K78='Tabla Impacto'!$D$13),"Moderado",IF(OR(K78='Tabla Impacto'!$C$14,K78='Tabla Impacto'!$D$14),"Mayor",IF(OR(K78='Tabla Impacto'!$C$15,K78='Tabla Impacto'!$D$15),"Catastrófico","")))))</f>
        <v/>
      </c>
      <c r="M78" s="341" t="str">
        <f>IF(L78="","",IF(L78="Leve",0.2,IF(L78="Menor",0.4,IF(L78="Moderado",0.6,IF(L78="Mayor",0.8,IF(L78="Catastrófico",1,))))))</f>
        <v/>
      </c>
      <c r="N78" s="344"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9"/>
      <c r="Q78" s="161"/>
      <c r="R78" s="169"/>
      <c r="S78" s="169"/>
      <c r="T78" s="170"/>
      <c r="U78" s="169"/>
      <c r="V78" s="169"/>
      <c r="W78" s="169"/>
      <c r="X78" s="158" t="str">
        <f>IFERROR(IF(Q78="Probabilidad",(I78-(+I78*T78)),IF(Q78="Impacto",I78,"")),"")</f>
        <v/>
      </c>
      <c r="Y78" s="171" t="str">
        <f>IFERROR(IF(X78="","",IF(X78&lt;=0.2,"Muy Baja",IF(X78&lt;=0.4,"Baja",IF(X78&lt;=0.6,"Media",IF(X78&lt;=0.8,"Alta","Muy Alta"))))),"")</f>
        <v/>
      </c>
      <c r="Z78" s="172" t="str">
        <f>+X78</f>
        <v/>
      </c>
      <c r="AA78" s="171" t="str">
        <f>IFERROR(IF(AB78="","",IF(AB78&lt;=0.2,"Leve",IF(AB78&lt;=0.4,"Menor",IF(AB78&lt;=0.6,"Moderado",IF(AB78&lt;=0.8,"Mayor","Catastrófico"))))),"")</f>
        <v/>
      </c>
      <c r="AB78" s="172" t="str">
        <f>IFERROR(IF(Q78="Impacto",(M78-(+M78*T78)),IF(Q78="Probabilidad",M78,"")),"")</f>
        <v/>
      </c>
      <c r="AC78" s="173" t="str">
        <f>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74" t="s">
        <v>165</v>
      </c>
      <c r="AE78" s="112" t="s">
        <v>185</v>
      </c>
      <c r="AF78" s="167" t="s">
        <v>186</v>
      </c>
      <c r="AG78" s="168">
        <v>44469</v>
      </c>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36.5" hidden="1" customHeight="1">
      <c r="A79" s="419"/>
      <c r="B79" s="375"/>
      <c r="C79" s="375"/>
      <c r="D79" s="375"/>
      <c r="E79" s="381"/>
      <c r="F79" s="375"/>
      <c r="G79" s="369"/>
      <c r="H79" s="372"/>
      <c r="I79" s="342"/>
      <c r="J79" s="366"/>
      <c r="K79" s="387">
        <f>IF(NOT(ISERROR(MATCH(J79,_xlfn.ANCHORARRAY(E102),0))),I104&amp;"Por favor no seleccionar los criterios de impacto",J79)</f>
        <v>0</v>
      </c>
      <c r="L79" s="372"/>
      <c r="M79" s="342"/>
      <c r="N79" s="345"/>
      <c r="O79" s="5">
        <v>2</v>
      </c>
      <c r="P79" s="179"/>
      <c r="Q79" s="161"/>
      <c r="R79" s="169"/>
      <c r="S79" s="169"/>
      <c r="T79" s="170"/>
      <c r="U79" s="169"/>
      <c r="V79" s="169"/>
      <c r="W79" s="169"/>
      <c r="X79" s="158" t="str">
        <f>IFERROR(IF(AND(Q78="Probabilidad",Q79="Probabilidad"),(Z78-(+Z78*T79)),IF(Q79="Probabilidad",(I78-(+I78*T79)),IF(Q79="Impacto",Z78,""))),"")</f>
        <v/>
      </c>
      <c r="Y79" s="171" t="str">
        <f t="shared" ref="Y79:Y83" si="83">IFERROR(IF(X79="","",IF(X79&lt;=0.2,"Muy Baja",IF(X79&lt;=0.4,"Baja",IF(X79&lt;=0.6,"Media",IF(X79&lt;=0.8,"Alta","Muy Alta"))))),"")</f>
        <v/>
      </c>
      <c r="Z79" s="172" t="str">
        <f t="shared" ref="Z79:Z83" si="84">+X79</f>
        <v/>
      </c>
      <c r="AA79" s="171" t="str">
        <f t="shared" ref="AA79:AA83" si="85">IFERROR(IF(AB79="","",IF(AB79&lt;=0.2,"Leve",IF(AB79&lt;=0.4,"Menor",IF(AB79&lt;=0.6,"Moderado",IF(AB79&lt;=0.8,"Mayor","Catastrófico"))))),"")</f>
        <v/>
      </c>
      <c r="AB79" s="172" t="str">
        <f>IFERROR(IF(AND(Q78="Impacto",Q79="Impacto"),(AB78-(+AB78*T79)),IF(Q79="Impacto",(M78-(+M78*T79)),IF(Q79="Probabilidad",AB78,""))),"")</f>
        <v/>
      </c>
      <c r="AC79" s="173" t="str">
        <f t="shared" ref="AC79:AC80" si="86">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174" t="s">
        <v>165</v>
      </c>
      <c r="AE79" s="112" t="s">
        <v>187</v>
      </c>
      <c r="AF79" s="167" t="s">
        <v>186</v>
      </c>
      <c r="AG79" s="168">
        <v>44469</v>
      </c>
      <c r="AH79" s="114"/>
      <c r="AI79" s="114"/>
      <c r="AJ79" s="112"/>
      <c r="AK79" s="113"/>
    </row>
    <row r="80" spans="1:69" ht="19.5" hidden="1" customHeight="1">
      <c r="A80" s="419"/>
      <c r="B80" s="375"/>
      <c r="C80" s="375"/>
      <c r="D80" s="375"/>
      <c r="E80" s="381"/>
      <c r="F80" s="375"/>
      <c r="G80" s="369"/>
      <c r="H80" s="372"/>
      <c r="I80" s="342"/>
      <c r="J80" s="366"/>
      <c r="K80" s="387">
        <f>IF(NOT(ISERROR(MATCH(J80,_xlfn.ANCHORARRAY(E103),0))),I105&amp;"Por favor no seleccionar los criterios de impacto",J80)</f>
        <v>0</v>
      </c>
      <c r="L80" s="372"/>
      <c r="M80" s="342"/>
      <c r="N80" s="345"/>
      <c r="O80" s="5">
        <v>3</v>
      </c>
      <c r="P80" s="180"/>
      <c r="Q80" s="104" t="str">
        <f>IF(OR(R80="Preventivo",R80="Detectivo"),"Probabilidad",IF(R80="Correctivo","Impacto",""))</f>
        <v/>
      </c>
      <c r="R80" s="105"/>
      <c r="S80" s="105"/>
      <c r="T80" s="106" t="str">
        <f t="shared" ref="T80:T83" si="87">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si="83"/>
        <v/>
      </c>
      <c r="Z80" s="109" t="str">
        <f t="shared" si="84"/>
        <v/>
      </c>
      <c r="AA80" s="108" t="str">
        <f t="shared" si="85"/>
        <v/>
      </c>
      <c r="AB80" s="109" t="str">
        <f>IFERROR(IF(AND(Q79="Impacto",Q80="Impacto"),(AB79-(+AB79*T80)),IF(AND(Q79="Probabilidad",Q80="Impacto"),(AB78-(+AB78*T80)),IF(Q80="Probabilidad",AB79,""))),"")</f>
        <v/>
      </c>
      <c r="AC80" s="110" t="str">
        <f t="shared" si="86"/>
        <v/>
      </c>
      <c r="AD80" s="111"/>
      <c r="AE80" s="112"/>
      <c r="AF80" s="167"/>
      <c r="AG80" s="168"/>
      <c r="AH80" s="114"/>
      <c r="AI80" s="114"/>
      <c r="AJ80" s="112"/>
      <c r="AK80" s="113"/>
    </row>
    <row r="81" spans="1:37" ht="19.5" hidden="1" customHeight="1">
      <c r="A81" s="419"/>
      <c r="B81" s="375"/>
      <c r="C81" s="375"/>
      <c r="D81" s="375"/>
      <c r="E81" s="381"/>
      <c r="F81" s="375"/>
      <c r="G81" s="369"/>
      <c r="H81" s="372"/>
      <c r="I81" s="342"/>
      <c r="J81" s="366"/>
      <c r="K81" s="387">
        <f>IF(NOT(ISERROR(MATCH(J81,_xlfn.ANCHORARRAY(E104),0))),I106&amp;"Por favor no seleccionar los criterios de impacto",J81)</f>
        <v>0</v>
      </c>
      <c r="L81" s="372"/>
      <c r="M81" s="342"/>
      <c r="N81" s="345"/>
      <c r="O81" s="5">
        <v>4</v>
      </c>
      <c r="P81" s="179"/>
      <c r="Q81" s="104" t="str">
        <f t="shared" ref="Q81:Q83" si="88">IF(OR(R81="Preventivo",R81="Detectivo"),"Probabilidad",IF(R81="Correctivo","Impacto",""))</f>
        <v/>
      </c>
      <c r="R81" s="105"/>
      <c r="S81" s="105"/>
      <c r="T81" s="106" t="str">
        <f t="shared" si="87"/>
        <v/>
      </c>
      <c r="U81" s="105"/>
      <c r="V81" s="105"/>
      <c r="W81" s="105"/>
      <c r="X81" s="107" t="str">
        <f t="shared" ref="X81:X82" si="89">IFERROR(IF(AND(Q80="Probabilidad",Q81="Probabilidad"),(Z80-(+Z80*T81)),IF(AND(Q80="Impacto",Q81="Probabilidad"),(Z79-(+Z79*T81)),IF(Q81="Impacto",Z80,""))),"")</f>
        <v/>
      </c>
      <c r="Y81" s="108" t="str">
        <f t="shared" si="83"/>
        <v/>
      </c>
      <c r="Z81" s="109" t="str">
        <f t="shared" si="84"/>
        <v/>
      </c>
      <c r="AA81" s="108" t="str">
        <f t="shared" si="85"/>
        <v/>
      </c>
      <c r="AB81" s="109" t="str">
        <f t="shared" ref="AB81:AB82" si="90">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7"/>
      <c r="AG81" s="168"/>
      <c r="AH81" s="114"/>
      <c r="AI81" s="114"/>
      <c r="AJ81" s="112"/>
      <c r="AK81" s="113"/>
    </row>
    <row r="82" spans="1:37" ht="19.5" hidden="1" customHeight="1">
      <c r="A82" s="419"/>
      <c r="B82" s="375"/>
      <c r="C82" s="375"/>
      <c r="D82" s="375"/>
      <c r="E82" s="381"/>
      <c r="F82" s="375"/>
      <c r="G82" s="369"/>
      <c r="H82" s="372"/>
      <c r="I82" s="342"/>
      <c r="J82" s="366"/>
      <c r="K82" s="387">
        <f>IF(NOT(ISERROR(MATCH(J82,_xlfn.ANCHORARRAY(E105),0))),I107&amp;"Por favor no seleccionar los criterios de impacto",J82)</f>
        <v>0</v>
      </c>
      <c r="L82" s="372"/>
      <c r="M82" s="342"/>
      <c r="N82" s="345"/>
      <c r="O82" s="5">
        <v>5</v>
      </c>
      <c r="P82" s="179"/>
      <c r="Q82" s="104" t="str">
        <f t="shared" si="88"/>
        <v/>
      </c>
      <c r="R82" s="105"/>
      <c r="S82" s="105"/>
      <c r="T82" s="106" t="str">
        <f t="shared" si="87"/>
        <v/>
      </c>
      <c r="U82" s="105"/>
      <c r="V82" s="105"/>
      <c r="W82" s="105"/>
      <c r="X82" s="107" t="str">
        <f t="shared" si="89"/>
        <v/>
      </c>
      <c r="Y82" s="108" t="str">
        <f t="shared" si="83"/>
        <v/>
      </c>
      <c r="Z82" s="109" t="str">
        <f t="shared" si="84"/>
        <v/>
      </c>
      <c r="AA82" s="108" t="str">
        <f t="shared" si="85"/>
        <v/>
      </c>
      <c r="AB82" s="109" t="str">
        <f t="shared" si="90"/>
        <v/>
      </c>
      <c r="AC82" s="110" t="str">
        <f t="shared" ref="AC82:AC83" si="91">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7"/>
      <c r="AG82" s="168"/>
      <c r="AH82" s="114"/>
      <c r="AI82" s="114"/>
      <c r="AJ82" s="112"/>
      <c r="AK82" s="113"/>
    </row>
    <row r="83" spans="1:37" ht="20.25" hidden="1" customHeight="1">
      <c r="A83" s="420"/>
      <c r="B83" s="376"/>
      <c r="C83" s="376"/>
      <c r="D83" s="376"/>
      <c r="E83" s="382"/>
      <c r="F83" s="376"/>
      <c r="G83" s="370"/>
      <c r="H83" s="373"/>
      <c r="I83" s="343"/>
      <c r="J83" s="367"/>
      <c r="K83" s="388">
        <f>IF(NOT(ISERROR(MATCH(J83,_xlfn.ANCHORARRAY(E106),0))),I108&amp;"Por favor no seleccionar los criterios de impacto",J83)</f>
        <v>0</v>
      </c>
      <c r="L83" s="373"/>
      <c r="M83" s="343"/>
      <c r="N83" s="346"/>
      <c r="O83" s="5">
        <v>6</v>
      </c>
      <c r="P83" s="179"/>
      <c r="Q83" s="104" t="str">
        <f t="shared" si="88"/>
        <v/>
      </c>
      <c r="R83" s="105"/>
      <c r="S83" s="105"/>
      <c r="T83" s="106" t="str">
        <f t="shared" si="87"/>
        <v/>
      </c>
      <c r="U83" s="105"/>
      <c r="V83" s="105"/>
      <c r="W83" s="105"/>
      <c r="X83" s="107" t="str">
        <f>IFERROR(IF(AND(Q82="Probabilidad",Q83="Probabilidad"),(Z82-(+Z82*T83)),IF(AND(Q82="Impacto",Q83="Probabilidad"),(Z81-(+Z81*T83)),IF(Q83="Impacto",Z82,""))),"")</f>
        <v/>
      </c>
      <c r="Y83" s="108" t="str">
        <f t="shared" si="83"/>
        <v/>
      </c>
      <c r="Z83" s="109" t="str">
        <f t="shared" si="84"/>
        <v/>
      </c>
      <c r="AA83" s="108" t="str">
        <f t="shared" si="85"/>
        <v/>
      </c>
      <c r="AB83" s="109" t="str">
        <f>IFERROR(IF(AND(Q82="Impacto",Q83="Impacto"),(AB82-(+AB82*T83)),IF(AND(Q82="Probabilidad",Q83="Impacto"),(AB81-(+AB81*T83)),IF(Q83="Probabilidad",AB82,""))),"")</f>
        <v/>
      </c>
      <c r="AC83" s="110" t="str">
        <f t="shared" si="91"/>
        <v/>
      </c>
      <c r="AD83" s="111"/>
      <c r="AE83" s="112"/>
      <c r="AF83" s="167"/>
      <c r="AG83" s="168"/>
      <c r="AH83" s="114"/>
      <c r="AI83" s="114"/>
      <c r="AJ83" s="112"/>
      <c r="AK83" s="113"/>
    </row>
    <row r="84" spans="1:37" ht="34.5" customHeight="1">
      <c r="A84" s="5"/>
      <c r="B84" s="389" t="s">
        <v>188</v>
      </c>
      <c r="C84" s="390"/>
      <c r="D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1"/>
    </row>
    <row r="86" spans="1:37">
      <c r="A86" s="1"/>
      <c r="B86" s="23" t="s">
        <v>189</v>
      </c>
      <c r="C86" s="3"/>
      <c r="D86" s="3"/>
      <c r="F86" s="3"/>
    </row>
  </sheetData>
  <dataConsolidate/>
  <mergeCells count="219">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 ref="F72:F77"/>
    <mergeCell ref="G72:G77"/>
    <mergeCell ref="H72:H77"/>
    <mergeCell ref="I72:I77"/>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A18:A23"/>
    <mergeCell ref="B18:B23"/>
    <mergeCell ref="C18:C23"/>
    <mergeCell ref="D18:D23"/>
    <mergeCell ref="A24:A29"/>
    <mergeCell ref="B24:B29"/>
    <mergeCell ref="C24:C29"/>
    <mergeCell ref="D24:D29"/>
    <mergeCell ref="E24:E29"/>
    <mergeCell ref="E18:E23"/>
    <mergeCell ref="N12:N17"/>
    <mergeCell ref="I12:I17"/>
    <mergeCell ref="J12:J17"/>
    <mergeCell ref="J24:J29"/>
    <mergeCell ref="K24:K29"/>
    <mergeCell ref="L24:L29"/>
    <mergeCell ref="F18:F23"/>
    <mergeCell ref="G18:G23"/>
    <mergeCell ref="H18:H23"/>
    <mergeCell ref="I18:I23"/>
    <mergeCell ref="J18:J23"/>
    <mergeCell ref="F24:F29"/>
    <mergeCell ref="G24:G29"/>
    <mergeCell ref="H24:H29"/>
    <mergeCell ref="I24:I29"/>
    <mergeCell ref="L18:L23"/>
    <mergeCell ref="X10:X11"/>
    <mergeCell ref="AA10:AA11"/>
    <mergeCell ref="Y10:Y11"/>
    <mergeCell ref="Z10:Z11"/>
    <mergeCell ref="M18:M23"/>
    <mergeCell ref="N18:N23"/>
    <mergeCell ref="Q10:Q11"/>
    <mergeCell ref="R10:W10"/>
    <mergeCell ref="A6:B6"/>
    <mergeCell ref="A7:B7"/>
    <mergeCell ref="A8:B8"/>
    <mergeCell ref="A10:A11"/>
    <mergeCell ref="F10:F11"/>
    <mergeCell ref="E10:E11"/>
    <mergeCell ref="D10:D11"/>
    <mergeCell ref="C10:C11"/>
    <mergeCell ref="O10:O11"/>
    <mergeCell ref="P10:P11"/>
    <mergeCell ref="N10:N11"/>
    <mergeCell ref="J10:J11"/>
    <mergeCell ref="K10:K11"/>
    <mergeCell ref="C7:N7"/>
    <mergeCell ref="C8:N8"/>
    <mergeCell ref="G10:G11"/>
    <mergeCell ref="AE10:AE11"/>
    <mergeCell ref="AK10:AK11"/>
    <mergeCell ref="AJ10:AJ11"/>
    <mergeCell ref="AI10:AI11"/>
    <mergeCell ref="AG10:AG11"/>
    <mergeCell ref="AF10:AF11"/>
    <mergeCell ref="AD10:AD11"/>
    <mergeCell ref="AC10:AC11"/>
    <mergeCell ref="AB10:AB11"/>
    <mergeCell ref="I10:I11"/>
    <mergeCell ref="L10:L11"/>
    <mergeCell ref="M10:M11"/>
    <mergeCell ref="B10:B11"/>
    <mergeCell ref="F12:F17"/>
    <mergeCell ref="G12:G17"/>
    <mergeCell ref="H12:H17"/>
    <mergeCell ref="A12:A17"/>
    <mergeCell ref="B12:B17"/>
    <mergeCell ref="C12:C17"/>
    <mergeCell ref="D12:D17"/>
    <mergeCell ref="E12:E17"/>
    <mergeCell ref="K12:K17"/>
    <mergeCell ref="L12:L17"/>
    <mergeCell ref="M12:M17"/>
    <mergeCell ref="H10:H11"/>
  </mergeCells>
  <conditionalFormatting sqref="H12">
    <cfRule type="cellIs" dxfId="137" priority="612" operator="equal">
      <formula>"Baja"</formula>
    </cfRule>
    <cfRule type="cellIs" dxfId="136" priority="611" operator="equal">
      <formula>"Media"</formula>
    </cfRule>
    <cfRule type="cellIs" dxfId="135" priority="610" operator="equal">
      <formula>"Alta"</formula>
    </cfRule>
    <cfRule type="cellIs" dxfId="134" priority="609" operator="equal">
      <formula>"Muy Alta"</formula>
    </cfRule>
    <cfRule type="cellIs" dxfId="133" priority="613" operator="equal">
      <formula>"Muy Baja"</formula>
    </cfRule>
  </conditionalFormatting>
  <conditionalFormatting sqref="H18">
    <cfRule type="cellIs" dxfId="132" priority="58" operator="equal">
      <formula>"Muy Baja"</formula>
    </cfRule>
    <cfRule type="cellIs" dxfId="131" priority="54" operator="equal">
      <formula>"Muy Alta"</formula>
    </cfRule>
    <cfRule type="cellIs" dxfId="130" priority="55" operator="equal">
      <formula>"Alta"</formula>
    </cfRule>
    <cfRule type="cellIs" dxfId="129" priority="56" operator="equal">
      <formula>"Media"</formula>
    </cfRule>
    <cfRule type="cellIs" dxfId="128" priority="57" operator="equal">
      <formula>"Baja"</formula>
    </cfRule>
  </conditionalFormatting>
  <conditionalFormatting sqref="H24">
    <cfRule type="cellIs" dxfId="127" priority="22" operator="equal">
      <formula>"Media"</formula>
    </cfRule>
    <cfRule type="cellIs" dxfId="126" priority="23" operator="equal">
      <formula>"Baja"</formula>
    </cfRule>
    <cfRule type="cellIs" dxfId="125" priority="24" operator="equal">
      <formula>"Muy Baja"</formula>
    </cfRule>
    <cfRule type="cellIs" dxfId="124" priority="20" operator="equal">
      <formula>"Muy Alta"</formula>
    </cfRule>
    <cfRule type="cellIs" dxfId="123" priority="21" operator="equal">
      <formula>"Alta"</formula>
    </cfRule>
  </conditionalFormatting>
  <conditionalFormatting sqref="H30">
    <cfRule type="cellIs" dxfId="122" priority="483" operator="equal">
      <formula>"Muy Alta"</formula>
    </cfRule>
    <cfRule type="cellIs" dxfId="121" priority="484" operator="equal">
      <formula>"Alta"</formula>
    </cfRule>
    <cfRule type="cellIs" dxfId="120" priority="485" operator="equal">
      <formula>"Media"</formula>
    </cfRule>
    <cfRule type="cellIs" dxfId="119" priority="487" operator="equal">
      <formula>"Muy Baja"</formula>
    </cfRule>
    <cfRule type="cellIs" dxfId="118" priority="486" operator="equal">
      <formula>"Baja"</formula>
    </cfRule>
  </conditionalFormatting>
  <conditionalFormatting sqref="H36">
    <cfRule type="cellIs" dxfId="117" priority="455" operator="equal">
      <formula>"Muy Alta"</formula>
    </cfRule>
    <cfRule type="cellIs" dxfId="116" priority="456" operator="equal">
      <formula>"Alta"</formula>
    </cfRule>
    <cfRule type="cellIs" dxfId="115" priority="457" operator="equal">
      <formula>"Media"</formula>
    </cfRule>
    <cfRule type="cellIs" dxfId="114" priority="458" operator="equal">
      <formula>"Baja"</formula>
    </cfRule>
    <cfRule type="cellIs" dxfId="113" priority="459" operator="equal">
      <formula>"Muy Baja"</formula>
    </cfRule>
  </conditionalFormatting>
  <conditionalFormatting sqref="H42">
    <cfRule type="cellIs" dxfId="112" priority="431" operator="equal">
      <formula>"Muy Baja"</formula>
    </cfRule>
    <cfRule type="cellIs" dxfId="111" priority="427" operator="equal">
      <formula>"Muy Alta"</formula>
    </cfRule>
    <cfRule type="cellIs" dxfId="110" priority="428" operator="equal">
      <formula>"Alta"</formula>
    </cfRule>
    <cfRule type="cellIs" dxfId="109" priority="429" operator="equal">
      <formula>"Media"</formula>
    </cfRule>
    <cfRule type="cellIs" dxfId="108" priority="430" operator="equal">
      <formula>"Baja"</formula>
    </cfRule>
  </conditionalFormatting>
  <conditionalFormatting sqref="H48">
    <cfRule type="cellIs" dxfId="107" priority="399" operator="equal">
      <formula>"Muy Alta"</formula>
    </cfRule>
    <cfRule type="cellIs" dxfId="106" priority="400" operator="equal">
      <formula>"Alta"</formula>
    </cfRule>
    <cfRule type="cellIs" dxfId="105" priority="402" operator="equal">
      <formula>"Baja"</formula>
    </cfRule>
    <cfRule type="cellIs" dxfId="104" priority="401" operator="equal">
      <formula>"Media"</formula>
    </cfRule>
    <cfRule type="cellIs" dxfId="103" priority="403" operator="equal">
      <formula>"Muy Baja"</formula>
    </cfRule>
  </conditionalFormatting>
  <conditionalFormatting sqref="H54">
    <cfRule type="cellIs" dxfId="102" priority="373" operator="equal">
      <formula>"Media"</formula>
    </cfRule>
    <cfRule type="cellIs" dxfId="101" priority="374" operator="equal">
      <formula>"Baja"</formula>
    </cfRule>
    <cfRule type="cellIs" dxfId="100" priority="375" operator="equal">
      <formula>"Muy Baja"</formula>
    </cfRule>
    <cfRule type="cellIs" dxfId="99" priority="372" operator="equal">
      <formula>"Alta"</formula>
    </cfRule>
    <cfRule type="cellIs" dxfId="98" priority="371" operator="equal">
      <formula>"Muy Alta"</formula>
    </cfRule>
  </conditionalFormatting>
  <conditionalFormatting sqref="H60">
    <cfRule type="cellIs" dxfId="97" priority="344" operator="equal">
      <formula>"Alta"</formula>
    </cfRule>
    <cfRule type="cellIs" dxfId="96" priority="345" operator="equal">
      <formula>"Media"</formula>
    </cfRule>
    <cfRule type="cellIs" dxfId="95" priority="347" operator="equal">
      <formula>"Muy Baja"</formula>
    </cfRule>
    <cfRule type="cellIs" dxfId="94" priority="346" operator="equal">
      <formula>"Baja"</formula>
    </cfRule>
    <cfRule type="cellIs" dxfId="93" priority="343" operator="equal">
      <formula>"Muy Alta"</formula>
    </cfRule>
  </conditionalFormatting>
  <conditionalFormatting sqref="H66">
    <cfRule type="cellIs" dxfId="92" priority="318" operator="equal">
      <formula>"Baja"</formula>
    </cfRule>
    <cfRule type="cellIs" dxfId="91" priority="319" operator="equal">
      <formula>"Muy Baja"</formula>
    </cfRule>
    <cfRule type="cellIs" dxfId="90" priority="315" operator="equal">
      <formula>"Muy Alta"</formula>
    </cfRule>
    <cfRule type="cellIs" dxfId="89" priority="316" operator="equal">
      <formula>"Alta"</formula>
    </cfRule>
    <cfRule type="cellIs" dxfId="88" priority="317" operator="equal">
      <formula>"Media"</formula>
    </cfRule>
  </conditionalFormatting>
  <conditionalFormatting sqref="H72">
    <cfRule type="cellIs" dxfId="87" priority="110" operator="equal">
      <formula>"Baja"</formula>
    </cfRule>
    <cfRule type="cellIs" dxfId="86" priority="111" operator="equal">
      <formula>"Muy Baja"</formula>
    </cfRule>
    <cfRule type="cellIs" dxfId="85" priority="108" operator="equal">
      <formula>"Alta"</formula>
    </cfRule>
    <cfRule type="cellIs" dxfId="84" priority="107" operator="equal">
      <formula>"Muy Alta"</formula>
    </cfRule>
    <cfRule type="cellIs" dxfId="83" priority="109" operator="equal">
      <formula>"Media"</formula>
    </cfRule>
  </conditionalFormatting>
  <conditionalFormatting sqref="H78">
    <cfRule type="cellIs" dxfId="82" priority="79" operator="equal">
      <formula>"Alta"</formula>
    </cfRule>
    <cfRule type="cellIs" dxfId="81" priority="78" operator="equal">
      <formula>"Muy Alta"</formula>
    </cfRule>
    <cfRule type="cellIs" dxfId="80" priority="80" operator="equal">
      <formula>"Media"</formula>
    </cfRule>
    <cfRule type="cellIs" dxfId="79" priority="81" operator="equal">
      <formula>"Baja"</formula>
    </cfRule>
    <cfRule type="cellIs" dxfId="78" priority="82" operator="equal">
      <formula>"Muy Baja"</formula>
    </cfRule>
  </conditionalFormatting>
  <conditionalFormatting sqref="K12:K83">
    <cfRule type="containsText" dxfId="77" priority="1" operator="containsText" text="❌">
      <formula>NOT(ISERROR(SEARCH("❌",K12)))</formula>
    </cfRule>
  </conditionalFormatting>
  <conditionalFormatting sqref="L12 L18 L24 L30 L36 L42 L48 L54 L60 L66">
    <cfRule type="cellIs" dxfId="76" priority="604" operator="equal">
      <formula>"Catastrófico"</formula>
    </cfRule>
    <cfRule type="cellIs" dxfId="75" priority="605" operator="equal">
      <formula>"Mayor"</formula>
    </cfRule>
    <cfRule type="cellIs" dxfId="74" priority="606" operator="equal">
      <formula>"Moderado"</formula>
    </cfRule>
    <cfRule type="cellIs" dxfId="73" priority="608" operator="equal">
      <formula>"Leve"</formula>
    </cfRule>
    <cfRule type="cellIs" dxfId="72" priority="607" operator="equal">
      <formula>"Menor"</formula>
    </cfRule>
  </conditionalFormatting>
  <conditionalFormatting sqref="L72">
    <cfRule type="cellIs" dxfId="71" priority="112" operator="equal">
      <formula>"Catastrófico"</formula>
    </cfRule>
    <cfRule type="cellIs" dxfId="70" priority="113" operator="equal">
      <formula>"Mayor"</formula>
    </cfRule>
    <cfRule type="cellIs" dxfId="69" priority="114" operator="equal">
      <formula>"Moderado"</formula>
    </cfRule>
    <cfRule type="cellIs" dxfId="68" priority="115" operator="equal">
      <formula>"Menor"</formula>
    </cfRule>
    <cfRule type="cellIs" dxfId="67" priority="116" operator="equal">
      <formula>"Leve"</formula>
    </cfRule>
  </conditionalFormatting>
  <conditionalFormatting sqref="L78">
    <cfRule type="cellIs" dxfId="66" priority="83" operator="equal">
      <formula>"Catastrófico"</formula>
    </cfRule>
    <cfRule type="cellIs" dxfId="65" priority="84" operator="equal">
      <formula>"Mayor"</formula>
    </cfRule>
    <cfRule type="cellIs" dxfId="64" priority="85" operator="equal">
      <formula>"Moderado"</formula>
    </cfRule>
    <cfRule type="cellIs" dxfId="63" priority="86" operator="equal">
      <formula>"Menor"</formula>
    </cfRule>
    <cfRule type="cellIs" dxfId="62" priority="87" operator="equal">
      <formula>"Leve"</formula>
    </cfRule>
  </conditionalFormatting>
  <conditionalFormatting sqref="N12">
    <cfRule type="cellIs" dxfId="61" priority="600" operator="equal">
      <formula>"Extremo"</formula>
    </cfRule>
    <cfRule type="cellIs" dxfId="60" priority="601" operator="equal">
      <formula>"Alto"</formula>
    </cfRule>
    <cfRule type="cellIs" dxfId="59" priority="602" operator="equal">
      <formula>"Moderado"</formula>
    </cfRule>
    <cfRule type="cellIs" dxfId="58" priority="603" operator="equal">
      <formula>"Bajo"</formula>
    </cfRule>
  </conditionalFormatting>
  <conditionalFormatting sqref="N18 N24">
    <cfRule type="cellIs" dxfId="57" priority="45" operator="equal">
      <formula>"Extremo"</formula>
    </cfRule>
    <cfRule type="cellIs" dxfId="56" priority="46" operator="equal">
      <formula>"Alto"</formula>
    </cfRule>
    <cfRule type="cellIs" dxfId="55" priority="48" operator="equal">
      <formula>"Bajo"</formula>
    </cfRule>
    <cfRule type="cellIs" dxfId="54" priority="47" operator="equal">
      <formula>"Moderado"</formula>
    </cfRule>
  </conditionalFormatting>
  <conditionalFormatting sqref="N30">
    <cfRule type="cellIs" dxfId="53" priority="476" operator="equal">
      <formula>"Moderado"</formula>
    </cfRule>
    <cfRule type="cellIs" dxfId="52" priority="477" operator="equal">
      <formula>"Bajo"</formula>
    </cfRule>
    <cfRule type="cellIs" dxfId="51" priority="474" operator="equal">
      <formula>"Extremo"</formula>
    </cfRule>
    <cfRule type="cellIs" dxfId="50" priority="475" operator="equal">
      <formula>"Alto"</formula>
    </cfRule>
  </conditionalFormatting>
  <conditionalFormatting sqref="N36">
    <cfRule type="cellIs" dxfId="49" priority="449" operator="equal">
      <formula>"Bajo"</formula>
    </cfRule>
    <cfRule type="cellIs" dxfId="48" priority="448" operator="equal">
      <formula>"Moderado"</formula>
    </cfRule>
    <cfRule type="cellIs" dxfId="47" priority="447" operator="equal">
      <formula>"Alto"</formula>
    </cfRule>
    <cfRule type="cellIs" dxfId="46" priority="446" operator="equal">
      <formula>"Extremo"</formula>
    </cfRule>
  </conditionalFormatting>
  <conditionalFormatting sqref="N42">
    <cfRule type="cellIs" dxfId="45" priority="418" operator="equal">
      <formula>"Extremo"</formula>
    </cfRule>
    <cfRule type="cellIs" dxfId="44" priority="421" operator="equal">
      <formula>"Bajo"</formula>
    </cfRule>
    <cfRule type="cellIs" dxfId="43" priority="420" operator="equal">
      <formula>"Moderado"</formula>
    </cfRule>
    <cfRule type="cellIs" dxfId="42" priority="419" operator="equal">
      <formula>"Alto"</formula>
    </cfRule>
  </conditionalFormatting>
  <conditionalFormatting sqref="N48">
    <cfRule type="cellIs" dxfId="41" priority="392" operator="equal">
      <formula>"Moderado"</formula>
    </cfRule>
    <cfRule type="cellIs" dxfId="40" priority="391" operator="equal">
      <formula>"Alto"</formula>
    </cfRule>
    <cfRule type="cellIs" dxfId="39" priority="390" operator="equal">
      <formula>"Extremo"</formula>
    </cfRule>
    <cfRule type="cellIs" dxfId="38" priority="393" operator="equal">
      <formula>"Bajo"</formula>
    </cfRule>
  </conditionalFormatting>
  <conditionalFormatting sqref="N54">
    <cfRule type="cellIs" dxfId="37" priority="365" operator="equal">
      <formula>"Bajo"</formula>
    </cfRule>
    <cfRule type="cellIs" dxfId="36" priority="362" operator="equal">
      <formula>"Extremo"</formula>
    </cfRule>
    <cfRule type="cellIs" dxfId="35" priority="363" operator="equal">
      <formula>"Alto"</formula>
    </cfRule>
    <cfRule type="cellIs" dxfId="34" priority="364" operator="equal">
      <formula>"Moderado"</formula>
    </cfRule>
  </conditionalFormatting>
  <conditionalFormatting sqref="N60">
    <cfRule type="cellIs" dxfId="33" priority="336" operator="equal">
      <formula>"Moderado"</formula>
    </cfRule>
    <cfRule type="cellIs" dxfId="32" priority="335" operator="equal">
      <formula>"Alto"</formula>
    </cfRule>
    <cfRule type="cellIs" dxfId="31" priority="334" operator="equal">
      <formula>"Extremo"</formula>
    </cfRule>
    <cfRule type="cellIs" dxfId="30" priority="337" operator="equal">
      <formula>"Bajo"</formula>
    </cfRule>
  </conditionalFormatting>
  <conditionalFormatting sqref="N66">
    <cfRule type="cellIs" dxfId="29" priority="309" operator="equal">
      <formula>"Bajo"</formula>
    </cfRule>
    <cfRule type="cellIs" dxfId="28" priority="308" operator="equal">
      <formula>"Moderado"</formula>
    </cfRule>
    <cfRule type="cellIs" dxfId="27" priority="307" operator="equal">
      <formula>"Alto"</formula>
    </cfRule>
    <cfRule type="cellIs" dxfId="26" priority="306" operator="equal">
      <formula>"Extremo"</formula>
    </cfRule>
  </conditionalFormatting>
  <conditionalFormatting sqref="N72">
    <cfRule type="cellIs" dxfId="25" priority="106" operator="equal">
      <formula>"Bajo"</formula>
    </cfRule>
    <cfRule type="cellIs" dxfId="24" priority="105" operator="equal">
      <formula>"Moderado"</formula>
    </cfRule>
    <cfRule type="cellIs" dxfId="23" priority="104" operator="equal">
      <formula>"Alto"</formula>
    </cfRule>
    <cfRule type="cellIs" dxfId="22" priority="103" operator="equal">
      <formula>"Extremo"</formula>
    </cfRule>
  </conditionalFormatting>
  <conditionalFormatting sqref="N78">
    <cfRule type="cellIs" dxfId="21" priority="75" operator="equal">
      <formula>"Alto"</formula>
    </cfRule>
    <cfRule type="cellIs" dxfId="20" priority="74" operator="equal">
      <formula>"Extremo"</formula>
    </cfRule>
    <cfRule type="cellIs" dxfId="19" priority="76" operator="equal">
      <formula>"Moderado"</formula>
    </cfRule>
    <cfRule type="cellIs" dxfId="18" priority="77" operator="equal">
      <formula>"Bajo"</formula>
    </cfRule>
  </conditionalFormatting>
  <conditionalFormatting sqref="Y12:Y83">
    <cfRule type="cellIs" dxfId="17" priority="12" operator="equal">
      <formula>"Alta"</formula>
    </cfRule>
    <cfRule type="cellIs" dxfId="16" priority="15" operator="equal">
      <formula>"Muy Baja"</formula>
    </cfRule>
    <cfRule type="cellIs" dxfId="15" priority="14" operator="equal">
      <formula>"Baja"</formula>
    </cfRule>
    <cfRule type="cellIs" dxfId="14" priority="13" operator="equal">
      <formula>"Media"</formula>
    </cfRule>
    <cfRule type="cellIs" dxfId="13" priority="11" operator="equal">
      <formula>"Muy Alta"</formula>
    </cfRule>
  </conditionalFormatting>
  <conditionalFormatting sqref="AA12:AA83">
    <cfRule type="cellIs" dxfId="12" priority="6" operator="equal">
      <formula>"Catastrófico"</formula>
    </cfRule>
    <cfRule type="cellIs" dxfId="11" priority="10" operator="equal">
      <formula>"Leve"</formula>
    </cfRule>
    <cfRule type="cellIs" dxfId="10" priority="9" operator="equal">
      <formula>"Menor"</formula>
    </cfRule>
    <cfRule type="cellIs" dxfId="9" priority="8" operator="equal">
      <formula>"Moderado"</formula>
    </cfRule>
    <cfRule type="cellIs" dxfId="8" priority="7" operator="equal">
      <formula>"Mayor"</formula>
    </cfRule>
  </conditionalFormatting>
  <conditionalFormatting sqref="AC12:AC83">
    <cfRule type="cellIs" dxfId="7" priority="3" operator="equal">
      <formula>"Alto"</formula>
    </cfRule>
    <cfRule type="cellIs" dxfId="6" priority="4" operator="equal">
      <formula>"Moderado"</formula>
    </cfRule>
    <cfRule type="cellIs" dxfId="5" priority="5" operator="equal">
      <formula>"Bajo"</formula>
    </cfRule>
    <cfRule type="cellIs" dxfId="4" priority="2"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AK78:AK79 AK81:AK82 AK72:AK73 AK75:AK76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R12:R24 R30:R83</xm:sqref>
        </x14:dataValidation>
        <x14:dataValidation type="list" allowBlank="1" showInputMessage="1" showErrorMessage="1" xr:uid="{00000000-0002-0000-0200-000002000000}">
          <x14:formula1>
            <xm:f>'Tabla Valoración controles'!$D$7:$D$8</xm:f>
          </x14:formula1>
          <xm:sqref>S12:S24 S30:S83</xm:sqref>
        </x14:dataValidation>
        <x14:dataValidation type="list" allowBlank="1" showInputMessage="1" showErrorMessage="1" xr:uid="{00000000-0002-0000-0200-000003000000}">
          <x14:formula1>
            <xm:f>'Tabla Valoración controles'!$D$9:$D$10</xm:f>
          </x14:formula1>
          <xm:sqref>U12:U24 U30:U83</xm:sqref>
        </x14:dataValidation>
        <x14:dataValidation type="list" allowBlank="1" showInputMessage="1" showErrorMessage="1" xr:uid="{00000000-0002-0000-0200-000004000000}">
          <x14:formula1>
            <xm:f>'Tabla Valoración controles'!$D$11:$D$12</xm:f>
          </x14:formula1>
          <xm:sqref>V12:V24 V30:V83</xm:sqref>
        </x14:dataValidation>
        <x14:dataValidation type="list" allowBlank="1" showInputMessage="1" showErrorMessage="1" xr:uid="{00000000-0002-0000-0200-000005000000}">
          <x14:formula1>
            <xm:f>'Tabla Valoración controles'!$D$13:$D$14</xm:f>
          </x14:formula1>
          <xm:sqref>W12:W24 W30:W83</xm:sqref>
        </x14:dataValidation>
        <x14:dataValidation type="list" allowBlank="1" showInputMessage="1" showErrorMessage="1" xr:uid="{00000000-0002-0000-0200-000006000000}">
          <x14:formula1>
            <xm:f>'Opciones Tratamiento'!$B$13:$B$19</xm:f>
          </x14:formula1>
          <xm:sqref>F12:F23 F30:F83</xm:sqref>
        </x14:dataValidation>
        <x14:dataValidation type="list" allowBlank="1" showInputMessage="1" showErrorMessage="1" xr:uid="{00000000-0002-0000-0200-000007000000}">
          <x14:formula1>
            <xm:f>'Opciones Tratamiento'!$E$2:$E$4</xm:f>
          </x14:formula1>
          <xm:sqref>B12:B83</xm:sqref>
        </x14:dataValidation>
        <x14:dataValidation type="list" allowBlank="1" showInputMessage="1" showErrorMessage="1" xr:uid="{00000000-0002-0000-0200-000008000000}">
          <x14:formula1>
            <xm:f>'Opciones Tratamiento'!$B$2:$B$5</xm:f>
          </x14:formula1>
          <xm:sqref>AD12:AD24 AD30:AD83</xm:sqref>
        </x14:dataValidation>
        <x14:dataValidation type="list" allowBlank="1" showInputMessage="1" showErrorMessage="1" xr:uid="{00000000-0002-0000-0200-000009000000}">
          <x14:formula1>
            <xm:f>'Tabla Impacto'!$F$210:$F$221</xm:f>
          </x14:formula1>
          <xm:sqref>J12:J23 J30:J83</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AE12:AE17 AE30:AE83</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AF12:AF17 AF30:AF83</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AG30:AH83 AH12:AH17 AG13:AG17</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AI12:AI17 AI30:AI83</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AJ12:AJ17 AJ30:AJ83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421" t="s">
        <v>190</v>
      </c>
      <c r="C2" s="421"/>
      <c r="D2" s="421"/>
      <c r="E2" s="421"/>
      <c r="F2" s="421"/>
      <c r="G2" s="421"/>
      <c r="H2" s="421"/>
      <c r="I2" s="421"/>
      <c r="J2" s="458" t="s">
        <v>23</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421"/>
      <c r="C3" s="421"/>
      <c r="D3" s="421"/>
      <c r="E3" s="421"/>
      <c r="F3" s="421"/>
      <c r="G3" s="421"/>
      <c r="H3" s="421"/>
      <c r="I3" s="421"/>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421"/>
      <c r="C4" s="421"/>
      <c r="D4" s="421"/>
      <c r="E4" s="421"/>
      <c r="F4" s="421"/>
      <c r="G4" s="421"/>
      <c r="H4" s="421"/>
      <c r="I4" s="421"/>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69" t="s">
        <v>191</v>
      </c>
      <c r="C6" s="469"/>
      <c r="D6" s="470"/>
      <c r="E6" s="459" t="s">
        <v>192</v>
      </c>
      <c r="F6" s="460"/>
      <c r="G6" s="460"/>
      <c r="H6" s="460"/>
      <c r="I6" s="461"/>
      <c r="J6" s="455" t="str">
        <f>IF(AND('Mapa de Riesgos'!$H$12="Muy Alta",'Mapa de Riesgos'!$L$12="Leve"),CONCATENATE("R",'Mapa de Riesgos'!$A$12),"")</f>
        <v/>
      </c>
      <c r="K6" s="456"/>
      <c r="L6" s="456" t="str">
        <f>IF(AND('Mapa de Riesgos'!$H$18="Muy Alta",'Mapa de Riesgos'!$L$18="Leve"),CONCATENATE("R",'Mapa de Riesgos'!$A$18),"")</f>
        <v/>
      </c>
      <c r="M6" s="456"/>
      <c r="N6" s="456" t="str">
        <f>IF(AND('Mapa de Riesgos'!$H$24="Muy Alta",'Mapa de Riesgos'!$L$24="Leve"),CONCATENATE("R",'Mapa de Riesgos'!$A$24),"")</f>
        <v/>
      </c>
      <c r="O6" s="457"/>
      <c r="P6" s="455" t="str">
        <f>IF(AND('Mapa de Riesgos'!$H$12="Muy Alta",'Mapa de Riesgos'!$L$12="Menor"),CONCATENATE("R",'Mapa de Riesgos'!$A$12),"")</f>
        <v/>
      </c>
      <c r="Q6" s="456"/>
      <c r="R6" s="456" t="str">
        <f>IF(AND('Mapa de Riesgos'!$H$18="Muy Alta",'Mapa de Riesgos'!$L$18="Menor"),CONCATENATE("R",'Mapa de Riesgos'!$A$18),"")</f>
        <v/>
      </c>
      <c r="S6" s="456"/>
      <c r="T6" s="456" t="str">
        <f>IF(AND('Mapa de Riesgos'!$H$24="Muy Alta",'Mapa de Riesgos'!$L$24="Menor"),CONCATENATE("R",'Mapa de Riesgos'!$A$24),"")</f>
        <v/>
      </c>
      <c r="U6" s="457"/>
      <c r="V6" s="455" t="str">
        <f>IF(AND('Mapa de Riesgos'!$H$12="Muy Alta",'Mapa de Riesgos'!$L$12="Moderado"),CONCATENATE("R",'Mapa de Riesgos'!$A$12),"")</f>
        <v/>
      </c>
      <c r="W6" s="456"/>
      <c r="X6" s="456" t="str">
        <f>IF(AND('Mapa de Riesgos'!$H$18="Muy Alta",'Mapa de Riesgos'!$L$18="Moderado"),CONCATENATE("R",'Mapa de Riesgos'!$A$18),"")</f>
        <v/>
      </c>
      <c r="Y6" s="456"/>
      <c r="Z6" s="456" t="str">
        <f>IF(AND('Mapa de Riesgos'!$H$24="Muy Alta",'Mapa de Riesgos'!$L$24="Moderado"),CONCATENATE("R",'Mapa de Riesgos'!$A$24),"")</f>
        <v/>
      </c>
      <c r="AA6" s="457"/>
      <c r="AB6" s="455" t="str">
        <f>IF(AND('Mapa de Riesgos'!$H$12="Muy Alta",'Mapa de Riesgos'!$L$12="Mayor"),CONCATENATE("R",'Mapa de Riesgos'!$A$12),"")</f>
        <v/>
      </c>
      <c r="AC6" s="456"/>
      <c r="AD6" s="456" t="str">
        <f>IF(AND('Mapa de Riesgos'!$H$18="Muy Alta",'Mapa de Riesgos'!$L$18="Mayor"),CONCATENATE("R",'Mapa de Riesgos'!$A$18),"")</f>
        <v/>
      </c>
      <c r="AE6" s="456"/>
      <c r="AF6" s="456" t="str">
        <f>IF(AND('Mapa de Riesgos'!$H$24="Muy Alta",'Mapa de Riesgos'!$L$24="Mayor"),CONCATENATE("R",'Mapa de Riesgos'!$A$24),"")</f>
        <v/>
      </c>
      <c r="AG6" s="457"/>
      <c r="AH6" s="446" t="str">
        <f>IF(AND('Mapa de Riesgos'!$H$12="Muy Alta",'Mapa de Riesgos'!$L$12="Catastrófico"),CONCATENATE("R",'Mapa de Riesgos'!$A$12),"")</f>
        <v/>
      </c>
      <c r="AI6" s="447"/>
      <c r="AJ6" s="447" t="str">
        <f>IF(AND('Mapa de Riesgos'!$H$18="Muy Alta",'Mapa de Riesgos'!$L$18="Catastrófico"),CONCATENATE("R",'Mapa de Riesgos'!$A$18),"")</f>
        <v/>
      </c>
      <c r="AK6" s="447"/>
      <c r="AL6" s="447" t="str">
        <f>IF(AND('Mapa de Riesgos'!$H$24="Muy Alta",'Mapa de Riesgos'!$L$24="Catastrófico"),CONCATENATE("R",'Mapa de Riesgos'!$A$24),"")</f>
        <v/>
      </c>
      <c r="AM6" s="448"/>
      <c r="AO6" s="471" t="s">
        <v>193</v>
      </c>
      <c r="AP6" s="472"/>
      <c r="AQ6" s="472"/>
      <c r="AR6" s="472"/>
      <c r="AS6" s="472"/>
      <c r="AT6" s="47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69"/>
      <c r="C7" s="469"/>
      <c r="D7" s="470"/>
      <c r="E7" s="462"/>
      <c r="F7" s="463"/>
      <c r="G7" s="463"/>
      <c r="H7" s="463"/>
      <c r="I7" s="464"/>
      <c r="J7" s="449"/>
      <c r="K7" s="450"/>
      <c r="L7" s="450"/>
      <c r="M7" s="450"/>
      <c r="N7" s="450"/>
      <c r="O7" s="451"/>
      <c r="P7" s="449"/>
      <c r="Q7" s="450"/>
      <c r="R7" s="450"/>
      <c r="S7" s="450"/>
      <c r="T7" s="450"/>
      <c r="U7" s="451"/>
      <c r="V7" s="449"/>
      <c r="W7" s="450"/>
      <c r="X7" s="450"/>
      <c r="Y7" s="450"/>
      <c r="Z7" s="450"/>
      <c r="AA7" s="451"/>
      <c r="AB7" s="449"/>
      <c r="AC7" s="450"/>
      <c r="AD7" s="450"/>
      <c r="AE7" s="450"/>
      <c r="AF7" s="450"/>
      <c r="AG7" s="451"/>
      <c r="AH7" s="440"/>
      <c r="AI7" s="441"/>
      <c r="AJ7" s="441"/>
      <c r="AK7" s="441"/>
      <c r="AL7" s="441"/>
      <c r="AM7" s="442"/>
      <c r="AN7" s="81"/>
      <c r="AO7" s="474"/>
      <c r="AP7" s="475"/>
      <c r="AQ7" s="475"/>
      <c r="AR7" s="475"/>
      <c r="AS7" s="475"/>
      <c r="AT7" s="47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69"/>
      <c r="C8" s="469"/>
      <c r="D8" s="470"/>
      <c r="E8" s="462"/>
      <c r="F8" s="463"/>
      <c r="G8" s="463"/>
      <c r="H8" s="463"/>
      <c r="I8" s="464"/>
      <c r="J8" s="449" t="str">
        <f>IF(AND('Mapa de Riesgos'!$H$30="Muy Alta",'Mapa de Riesgos'!$L$30="Leve"),CONCATENATE("R",'Mapa de Riesgos'!$A$30),"")</f>
        <v/>
      </c>
      <c r="K8" s="450"/>
      <c r="L8" s="450" t="str">
        <f>IF(AND('Mapa de Riesgos'!$H$36="Muy Alta",'Mapa de Riesgos'!$L$36="Leve"),CONCATENATE("R",'Mapa de Riesgos'!$A$36),"")</f>
        <v/>
      </c>
      <c r="M8" s="450"/>
      <c r="N8" s="450" t="str">
        <f>IF(AND('Mapa de Riesgos'!$H$42="Muy Alta",'Mapa de Riesgos'!$L$42="Leve"),CONCATENATE("R",'Mapa de Riesgos'!$A$42),"")</f>
        <v/>
      </c>
      <c r="O8" s="451"/>
      <c r="P8" s="449" t="str">
        <f>IF(AND('Mapa de Riesgos'!$H$30="Muy Alta",'Mapa de Riesgos'!$L$30="Menor"),CONCATENATE("R",'Mapa de Riesgos'!$A$30),"")</f>
        <v/>
      </c>
      <c r="Q8" s="450"/>
      <c r="R8" s="450" t="str">
        <f>IF(AND('Mapa de Riesgos'!$H$36="Muy Alta",'Mapa de Riesgos'!$L$36="Menor"),CONCATENATE("R",'Mapa de Riesgos'!$A$36),"")</f>
        <v/>
      </c>
      <c r="S8" s="450"/>
      <c r="T8" s="450" t="str">
        <f>IF(AND('Mapa de Riesgos'!$H$42="Muy Alta",'Mapa de Riesgos'!$L$42="Menor"),CONCATENATE("R",'Mapa de Riesgos'!$A$42),"")</f>
        <v/>
      </c>
      <c r="U8" s="451"/>
      <c r="V8" s="449" t="str">
        <f>IF(AND('Mapa de Riesgos'!$H$30="Muy Alta",'Mapa de Riesgos'!$L$30="Moderado"),CONCATENATE("R",'Mapa de Riesgos'!$A$30),"")</f>
        <v/>
      </c>
      <c r="W8" s="450"/>
      <c r="X8" s="450" t="str">
        <f>IF(AND('Mapa de Riesgos'!$H$36="Muy Alta",'Mapa de Riesgos'!$L$36="Moderado"),CONCATENATE("R",'Mapa de Riesgos'!$A$36),"")</f>
        <v/>
      </c>
      <c r="Y8" s="450"/>
      <c r="Z8" s="450" t="str">
        <f>IF(AND('Mapa de Riesgos'!$H$42="Muy Alta",'Mapa de Riesgos'!$L$42="Moderado"),CONCATENATE("R",'Mapa de Riesgos'!$A$42),"")</f>
        <v/>
      </c>
      <c r="AA8" s="451"/>
      <c r="AB8" s="449" t="str">
        <f>IF(AND('Mapa de Riesgos'!$H$30="Muy Alta",'Mapa de Riesgos'!$L$30="Mayor"),CONCATENATE("R",'Mapa de Riesgos'!$A$30),"")</f>
        <v/>
      </c>
      <c r="AC8" s="450"/>
      <c r="AD8" s="450" t="str">
        <f>IF(AND('Mapa de Riesgos'!$H$36="Muy Alta",'Mapa de Riesgos'!$L$36="Mayor"),CONCATENATE("R",'Mapa de Riesgos'!$A$36),"")</f>
        <v/>
      </c>
      <c r="AE8" s="450"/>
      <c r="AF8" s="450" t="str">
        <f>IF(AND('Mapa de Riesgos'!$H$42="Muy Alta",'Mapa de Riesgos'!$L$42="Mayor"),CONCATENATE("R",'Mapa de Riesgos'!$A$42),"")</f>
        <v/>
      </c>
      <c r="AG8" s="451"/>
      <c r="AH8" s="440" t="str">
        <f>IF(AND('Mapa de Riesgos'!$H$30="Muy Alta",'Mapa de Riesgos'!$L$30="Catastrófico"),CONCATENATE("R",'Mapa de Riesgos'!$A$30),"")</f>
        <v/>
      </c>
      <c r="AI8" s="441"/>
      <c r="AJ8" s="441" t="str">
        <f>IF(AND('Mapa de Riesgos'!$H$36="Muy Alta",'Mapa de Riesgos'!$L$36="Catastrófico"),CONCATENATE("R",'Mapa de Riesgos'!$A$36),"")</f>
        <v/>
      </c>
      <c r="AK8" s="441"/>
      <c r="AL8" s="441" t="str">
        <f>IF(AND('Mapa de Riesgos'!$H$42="Muy Alta",'Mapa de Riesgos'!$L$42="Catastrófico"),CONCATENATE("R",'Mapa de Riesgos'!$A$42),"")</f>
        <v/>
      </c>
      <c r="AM8" s="442"/>
      <c r="AN8" s="81"/>
      <c r="AO8" s="474"/>
      <c r="AP8" s="475"/>
      <c r="AQ8" s="475"/>
      <c r="AR8" s="475"/>
      <c r="AS8" s="475"/>
      <c r="AT8" s="47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69"/>
      <c r="C9" s="469"/>
      <c r="D9" s="470"/>
      <c r="E9" s="462"/>
      <c r="F9" s="463"/>
      <c r="G9" s="463"/>
      <c r="H9" s="463"/>
      <c r="I9" s="464"/>
      <c r="J9" s="449"/>
      <c r="K9" s="450"/>
      <c r="L9" s="450"/>
      <c r="M9" s="450"/>
      <c r="N9" s="450"/>
      <c r="O9" s="451"/>
      <c r="P9" s="449"/>
      <c r="Q9" s="450"/>
      <c r="R9" s="450"/>
      <c r="S9" s="450"/>
      <c r="T9" s="450"/>
      <c r="U9" s="451"/>
      <c r="V9" s="449"/>
      <c r="W9" s="450"/>
      <c r="X9" s="450"/>
      <c r="Y9" s="450"/>
      <c r="Z9" s="450"/>
      <c r="AA9" s="451"/>
      <c r="AB9" s="449"/>
      <c r="AC9" s="450"/>
      <c r="AD9" s="450"/>
      <c r="AE9" s="450"/>
      <c r="AF9" s="450"/>
      <c r="AG9" s="451"/>
      <c r="AH9" s="440"/>
      <c r="AI9" s="441"/>
      <c r="AJ9" s="441"/>
      <c r="AK9" s="441"/>
      <c r="AL9" s="441"/>
      <c r="AM9" s="442"/>
      <c r="AN9" s="81"/>
      <c r="AO9" s="474"/>
      <c r="AP9" s="475"/>
      <c r="AQ9" s="475"/>
      <c r="AR9" s="475"/>
      <c r="AS9" s="475"/>
      <c r="AT9" s="47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69"/>
      <c r="C10" s="469"/>
      <c r="D10" s="470"/>
      <c r="E10" s="462"/>
      <c r="F10" s="463"/>
      <c r="G10" s="463"/>
      <c r="H10" s="463"/>
      <c r="I10" s="464"/>
      <c r="J10" s="449" t="str">
        <f>IF(AND('Mapa de Riesgos'!$H$48="Muy Alta",'Mapa de Riesgos'!$L$48="Leve"),CONCATENATE("R",'Mapa de Riesgos'!$A$48),"")</f>
        <v/>
      </c>
      <c r="K10" s="450"/>
      <c r="L10" s="450" t="str">
        <f>IF(AND('Mapa de Riesgos'!$H$54="Muy Alta",'Mapa de Riesgos'!$L$54="Leve"),CONCATENATE("R",'Mapa de Riesgos'!$A$54),"")</f>
        <v/>
      </c>
      <c r="M10" s="450"/>
      <c r="N10" s="450" t="str">
        <f>IF(AND('Mapa de Riesgos'!$H$60="Muy Alta",'Mapa de Riesgos'!$L$60="Leve"),CONCATENATE("R",'Mapa de Riesgos'!$A$60),"")</f>
        <v/>
      </c>
      <c r="O10" s="451"/>
      <c r="P10" s="449" t="str">
        <f>IF(AND('Mapa de Riesgos'!$H$48="Muy Alta",'Mapa de Riesgos'!$L$48="Menor"),CONCATENATE("R",'Mapa de Riesgos'!$A$48),"")</f>
        <v/>
      </c>
      <c r="Q10" s="450"/>
      <c r="R10" s="450" t="str">
        <f>IF(AND('Mapa de Riesgos'!$H$54="Muy Alta",'Mapa de Riesgos'!$L$54="Menor"),CONCATENATE("R",'Mapa de Riesgos'!$A$54),"")</f>
        <v/>
      </c>
      <c r="S10" s="450"/>
      <c r="T10" s="450" t="str">
        <f>IF(AND('Mapa de Riesgos'!$H$60="Muy Alta",'Mapa de Riesgos'!$L$60="Menor"),CONCATENATE("R",'Mapa de Riesgos'!$A$60),"")</f>
        <v/>
      </c>
      <c r="U10" s="451"/>
      <c r="V10" s="449" t="str">
        <f>IF(AND('Mapa de Riesgos'!$H$48="Muy Alta",'Mapa de Riesgos'!$L$48="Moderado"),CONCATENATE("R",'Mapa de Riesgos'!$A$48),"")</f>
        <v/>
      </c>
      <c r="W10" s="450"/>
      <c r="X10" s="450" t="str">
        <f>IF(AND('Mapa de Riesgos'!$H$54="Muy Alta",'Mapa de Riesgos'!$L$54="Moderado"),CONCATENATE("R",'Mapa de Riesgos'!$A$54),"")</f>
        <v/>
      </c>
      <c r="Y10" s="450"/>
      <c r="Z10" s="450" t="str">
        <f>IF(AND('Mapa de Riesgos'!$H$60="Muy Alta",'Mapa de Riesgos'!$L$60="Moderado"),CONCATENATE("R",'Mapa de Riesgos'!$A$60),"")</f>
        <v/>
      </c>
      <c r="AA10" s="451"/>
      <c r="AB10" s="449" t="str">
        <f>IF(AND('Mapa de Riesgos'!$H$48="Muy Alta",'Mapa de Riesgos'!$L$48="Mayor"),CONCATENATE("R",'Mapa de Riesgos'!$A$48),"")</f>
        <v/>
      </c>
      <c r="AC10" s="450"/>
      <c r="AD10" s="450" t="str">
        <f>IF(AND('Mapa de Riesgos'!$H$54="Muy Alta",'Mapa de Riesgos'!$L$54="Mayor"),CONCATENATE("R",'Mapa de Riesgos'!$A$54),"")</f>
        <v/>
      </c>
      <c r="AE10" s="450"/>
      <c r="AF10" s="450" t="str">
        <f>IF(AND('Mapa de Riesgos'!$H$60="Muy Alta",'Mapa de Riesgos'!$L$60="Mayor"),CONCATENATE("R",'Mapa de Riesgos'!$A$60),"")</f>
        <v/>
      </c>
      <c r="AG10" s="451"/>
      <c r="AH10" s="440" t="str">
        <f>IF(AND('Mapa de Riesgos'!$H$48="Muy Alta",'Mapa de Riesgos'!$L$48="Catastrófico"),CONCATENATE("R",'Mapa de Riesgos'!$A$48),"")</f>
        <v/>
      </c>
      <c r="AI10" s="441"/>
      <c r="AJ10" s="441" t="str">
        <f>IF(AND('Mapa de Riesgos'!$H$54="Muy Alta",'Mapa de Riesgos'!$L$54="Catastrófico"),CONCATENATE("R",'Mapa de Riesgos'!$A$54),"")</f>
        <v/>
      </c>
      <c r="AK10" s="441"/>
      <c r="AL10" s="441" t="str">
        <f>IF(AND('Mapa de Riesgos'!$H$60="Muy Alta",'Mapa de Riesgos'!$L$60="Catastrófico"),CONCATENATE("R",'Mapa de Riesgos'!$A$60),"")</f>
        <v/>
      </c>
      <c r="AM10" s="442"/>
      <c r="AN10" s="81"/>
      <c r="AO10" s="474"/>
      <c r="AP10" s="475"/>
      <c r="AQ10" s="475"/>
      <c r="AR10" s="475"/>
      <c r="AS10" s="475"/>
      <c r="AT10" s="47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69"/>
      <c r="C11" s="469"/>
      <c r="D11" s="470"/>
      <c r="E11" s="462"/>
      <c r="F11" s="463"/>
      <c r="G11" s="463"/>
      <c r="H11" s="463"/>
      <c r="I11" s="464"/>
      <c r="J11" s="449"/>
      <c r="K11" s="450"/>
      <c r="L11" s="450"/>
      <c r="M11" s="450"/>
      <c r="N11" s="450"/>
      <c r="O11" s="451"/>
      <c r="P11" s="449"/>
      <c r="Q11" s="450"/>
      <c r="R11" s="450"/>
      <c r="S11" s="450"/>
      <c r="T11" s="450"/>
      <c r="U11" s="451"/>
      <c r="V11" s="449"/>
      <c r="W11" s="450"/>
      <c r="X11" s="450"/>
      <c r="Y11" s="450"/>
      <c r="Z11" s="450"/>
      <c r="AA11" s="451"/>
      <c r="AB11" s="449"/>
      <c r="AC11" s="450"/>
      <c r="AD11" s="450"/>
      <c r="AE11" s="450"/>
      <c r="AF11" s="450"/>
      <c r="AG11" s="451"/>
      <c r="AH11" s="440"/>
      <c r="AI11" s="441"/>
      <c r="AJ11" s="441"/>
      <c r="AK11" s="441"/>
      <c r="AL11" s="441"/>
      <c r="AM11" s="442"/>
      <c r="AN11" s="81"/>
      <c r="AO11" s="474"/>
      <c r="AP11" s="475"/>
      <c r="AQ11" s="475"/>
      <c r="AR11" s="475"/>
      <c r="AS11" s="475"/>
      <c r="AT11" s="47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69"/>
      <c r="C12" s="469"/>
      <c r="D12" s="470"/>
      <c r="E12" s="462"/>
      <c r="F12" s="463"/>
      <c r="G12" s="463"/>
      <c r="H12" s="463"/>
      <c r="I12" s="464"/>
      <c r="J12" s="449" t="str">
        <f>IF(AND('Mapa de Riesgos'!$H$66="Muy Alta",'Mapa de Riesgos'!$L$66="Leve"),CONCATENATE("R",'Mapa de Riesgos'!$A$66),"")</f>
        <v/>
      </c>
      <c r="K12" s="450"/>
      <c r="L12" s="450" t="str">
        <f>IF(AND('Mapa de Riesgos'!$H$84="Muy Alta",'Mapa de Riesgos'!$L$84="Leve"),CONCATENATE("R",'Mapa de Riesgos'!$A$84),"")</f>
        <v/>
      </c>
      <c r="M12" s="450"/>
      <c r="N12" s="450" t="str">
        <f>IF(AND('Mapa de Riesgos'!$H$90="Muy Alta",'Mapa de Riesgos'!$L$90="Leve"),CONCATENATE("R",'Mapa de Riesgos'!$A$90),"")</f>
        <v/>
      </c>
      <c r="O12" s="451"/>
      <c r="P12" s="449" t="str">
        <f>IF(AND('Mapa de Riesgos'!$H$66="Muy Alta",'Mapa de Riesgos'!$L$66="Menor"),CONCATENATE("R",'Mapa de Riesgos'!$A$66),"")</f>
        <v/>
      </c>
      <c r="Q12" s="450"/>
      <c r="R12" s="450" t="str">
        <f>IF(AND('Mapa de Riesgos'!$H$84="Muy Alta",'Mapa de Riesgos'!$L$84="Menor"),CONCATENATE("R",'Mapa de Riesgos'!$A$84),"")</f>
        <v/>
      </c>
      <c r="S12" s="450"/>
      <c r="T12" s="450" t="str">
        <f>IF(AND('Mapa de Riesgos'!$H$90="Muy Alta",'Mapa de Riesgos'!$L$90="Menor"),CONCATENATE("R",'Mapa de Riesgos'!$A$90),"")</f>
        <v/>
      </c>
      <c r="U12" s="451"/>
      <c r="V12" s="449" t="str">
        <f>IF(AND('Mapa de Riesgos'!$H$66="Muy Alta",'Mapa de Riesgos'!$L$66="Moderado"),CONCATENATE("R",'Mapa de Riesgos'!$A$66),"")</f>
        <v/>
      </c>
      <c r="W12" s="450"/>
      <c r="X12" s="450" t="str">
        <f>IF(AND('Mapa de Riesgos'!$H$84="Muy Alta",'Mapa de Riesgos'!$L$84="Moderado"),CONCATENATE("R",'Mapa de Riesgos'!$A$84),"")</f>
        <v/>
      </c>
      <c r="Y12" s="450"/>
      <c r="Z12" s="450" t="str">
        <f>IF(AND('Mapa de Riesgos'!$H$90="Muy Alta",'Mapa de Riesgos'!$L$90="Moderado"),CONCATENATE("R",'Mapa de Riesgos'!$A$90),"")</f>
        <v/>
      </c>
      <c r="AA12" s="451"/>
      <c r="AB12" s="449" t="str">
        <f>IF(AND('Mapa de Riesgos'!$H$66="Muy Alta",'Mapa de Riesgos'!$L$66="Mayor"),CONCATENATE("R",'Mapa de Riesgos'!$A$66),"")</f>
        <v/>
      </c>
      <c r="AC12" s="450"/>
      <c r="AD12" s="450" t="str">
        <f>IF(AND('Mapa de Riesgos'!$H$84="Muy Alta",'Mapa de Riesgos'!$L$84="Mayor"),CONCATENATE("R",'Mapa de Riesgos'!$A$84),"")</f>
        <v/>
      </c>
      <c r="AE12" s="450"/>
      <c r="AF12" s="450" t="str">
        <f>IF(AND('Mapa de Riesgos'!$H$90="Muy Alta",'Mapa de Riesgos'!$L$90="Mayor"),CONCATENATE("R",'Mapa de Riesgos'!$A$90),"")</f>
        <v/>
      </c>
      <c r="AG12" s="451"/>
      <c r="AH12" s="440" t="str">
        <f>IF(AND('Mapa de Riesgos'!$H$66="Muy Alta",'Mapa de Riesgos'!$L$66="Catastrófico"),CONCATENATE("R",'Mapa de Riesgos'!$A$66),"")</f>
        <v/>
      </c>
      <c r="AI12" s="441"/>
      <c r="AJ12" s="441" t="str">
        <f>IF(AND('Mapa de Riesgos'!$H$84="Muy Alta",'Mapa de Riesgos'!$L$84="Catastrófico"),CONCATENATE("R",'Mapa de Riesgos'!$A$84),"")</f>
        <v/>
      </c>
      <c r="AK12" s="441"/>
      <c r="AL12" s="441" t="str">
        <f>IF(AND('Mapa de Riesgos'!$H$90="Muy Alta",'Mapa de Riesgos'!$L$90="Catastrófico"),CONCATENATE("R",'Mapa de Riesgos'!$A$90),"")</f>
        <v/>
      </c>
      <c r="AM12" s="442"/>
      <c r="AN12" s="81"/>
      <c r="AO12" s="474"/>
      <c r="AP12" s="475"/>
      <c r="AQ12" s="475"/>
      <c r="AR12" s="475"/>
      <c r="AS12" s="475"/>
      <c r="AT12" s="47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69"/>
      <c r="C13" s="469"/>
      <c r="D13" s="470"/>
      <c r="E13" s="465"/>
      <c r="F13" s="466"/>
      <c r="G13" s="466"/>
      <c r="H13" s="466"/>
      <c r="I13" s="467"/>
      <c r="J13" s="449"/>
      <c r="K13" s="450"/>
      <c r="L13" s="450"/>
      <c r="M13" s="450"/>
      <c r="N13" s="450"/>
      <c r="O13" s="451"/>
      <c r="P13" s="449"/>
      <c r="Q13" s="450"/>
      <c r="R13" s="450"/>
      <c r="S13" s="450"/>
      <c r="T13" s="450"/>
      <c r="U13" s="451"/>
      <c r="V13" s="449"/>
      <c r="W13" s="450"/>
      <c r="X13" s="450"/>
      <c r="Y13" s="450"/>
      <c r="Z13" s="450"/>
      <c r="AA13" s="451"/>
      <c r="AB13" s="449"/>
      <c r="AC13" s="450"/>
      <c r="AD13" s="450"/>
      <c r="AE13" s="450"/>
      <c r="AF13" s="450"/>
      <c r="AG13" s="451"/>
      <c r="AH13" s="443"/>
      <c r="AI13" s="444"/>
      <c r="AJ13" s="444"/>
      <c r="AK13" s="444"/>
      <c r="AL13" s="444"/>
      <c r="AM13" s="445"/>
      <c r="AN13" s="81"/>
      <c r="AO13" s="477"/>
      <c r="AP13" s="478"/>
      <c r="AQ13" s="478"/>
      <c r="AR13" s="478"/>
      <c r="AS13" s="478"/>
      <c r="AT13" s="47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69"/>
      <c r="C14" s="469"/>
      <c r="D14" s="470"/>
      <c r="E14" s="459" t="s">
        <v>194</v>
      </c>
      <c r="F14" s="460"/>
      <c r="G14" s="460"/>
      <c r="H14" s="460"/>
      <c r="I14" s="460"/>
      <c r="J14" s="437" t="str">
        <f>IF(AND('Mapa de Riesgos'!$H$12="Alta",'Mapa de Riesgos'!$L$12="Leve"),CONCATENATE("R",'Mapa de Riesgos'!$A$12),"")</f>
        <v/>
      </c>
      <c r="K14" s="438"/>
      <c r="L14" s="438" t="str">
        <f>IF(AND('Mapa de Riesgos'!$H$18="Alta",'Mapa de Riesgos'!$L$18="Leve"),CONCATENATE("R",'Mapa de Riesgos'!$A$18),"")</f>
        <v/>
      </c>
      <c r="M14" s="438"/>
      <c r="N14" s="438" t="str">
        <f>IF(AND('Mapa de Riesgos'!$H$24="Alta",'Mapa de Riesgos'!$L$24="Leve"),CONCATENATE("R",'Mapa de Riesgos'!$A$24),"")</f>
        <v/>
      </c>
      <c r="O14" s="439"/>
      <c r="P14" s="437" t="str">
        <f>IF(AND('Mapa de Riesgos'!$H$12="Alta",'Mapa de Riesgos'!$L$12="Menor"),CONCATENATE("R",'Mapa de Riesgos'!$A$12),"")</f>
        <v/>
      </c>
      <c r="Q14" s="438"/>
      <c r="R14" s="438" t="str">
        <f>IF(AND('Mapa de Riesgos'!$H$18="Alta",'Mapa de Riesgos'!$L$18="Menor"),CONCATENATE("R",'Mapa de Riesgos'!$A$18),"")</f>
        <v/>
      </c>
      <c r="S14" s="438"/>
      <c r="T14" s="438" t="str">
        <f>IF(AND('Mapa de Riesgos'!$H$24="Alta",'Mapa de Riesgos'!$L$24="Menor"),CONCATENATE("R",'Mapa de Riesgos'!$A$24),"")</f>
        <v/>
      </c>
      <c r="U14" s="439"/>
      <c r="V14" s="455" t="str">
        <f>IF(AND('Mapa de Riesgos'!$H$12="Alta",'Mapa de Riesgos'!$L$12="Moderado"),CONCATENATE("R",'Mapa de Riesgos'!$A$12),"")</f>
        <v/>
      </c>
      <c r="W14" s="456"/>
      <c r="X14" s="456" t="str">
        <f>IF(AND('Mapa de Riesgos'!$H$18="Alta",'Mapa de Riesgos'!$L$18="Moderado"),CONCATENATE("R",'Mapa de Riesgos'!$A$18),"")</f>
        <v/>
      </c>
      <c r="Y14" s="456"/>
      <c r="Z14" s="456" t="str">
        <f>IF(AND('Mapa de Riesgos'!$H$24="Alta",'Mapa de Riesgos'!$L$24="Moderado"),CONCATENATE("R",'Mapa de Riesgos'!$A$24),"")</f>
        <v/>
      </c>
      <c r="AA14" s="457"/>
      <c r="AB14" s="455" t="str">
        <f>IF(AND('Mapa de Riesgos'!$H$12="Alta",'Mapa de Riesgos'!$L$12="Mayor"),CONCATENATE("R",'Mapa de Riesgos'!$A$12),"")</f>
        <v/>
      </c>
      <c r="AC14" s="456"/>
      <c r="AD14" s="456" t="str">
        <f>IF(AND('Mapa de Riesgos'!$H$18="Alta",'Mapa de Riesgos'!$L$18="Mayor"),CONCATENATE("R",'Mapa de Riesgos'!$A$18),"")</f>
        <v/>
      </c>
      <c r="AE14" s="456"/>
      <c r="AF14" s="456" t="str">
        <f>IF(AND('Mapa de Riesgos'!$H$24="Alta",'Mapa de Riesgos'!$L$24="Mayor"),CONCATENATE("R",'Mapa de Riesgos'!$A$24),"")</f>
        <v/>
      </c>
      <c r="AG14" s="457"/>
      <c r="AH14" s="446" t="str">
        <f>IF(AND('Mapa de Riesgos'!$H$12="Alta",'Mapa de Riesgos'!$L$12="Catastrófico"),CONCATENATE("R",'Mapa de Riesgos'!$A$12),"")</f>
        <v/>
      </c>
      <c r="AI14" s="447"/>
      <c r="AJ14" s="447" t="str">
        <f>IF(AND('Mapa de Riesgos'!$H$18="Alta",'Mapa de Riesgos'!$L$18="Catastrófico"),CONCATENATE("R",'Mapa de Riesgos'!$A$18),"")</f>
        <v/>
      </c>
      <c r="AK14" s="447"/>
      <c r="AL14" s="447" t="str">
        <f>IF(AND('Mapa de Riesgos'!$H$24="Alta",'Mapa de Riesgos'!$L$24="Catastrófico"),CONCATENATE("R",'Mapa de Riesgos'!$A$24),"")</f>
        <v/>
      </c>
      <c r="AM14" s="448"/>
      <c r="AN14" s="81"/>
      <c r="AO14" s="480" t="s">
        <v>195</v>
      </c>
      <c r="AP14" s="481"/>
      <c r="AQ14" s="481"/>
      <c r="AR14" s="481"/>
      <c r="AS14" s="481"/>
      <c r="AT14" s="48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69"/>
      <c r="C15" s="469"/>
      <c r="D15" s="470"/>
      <c r="E15" s="462"/>
      <c r="F15" s="463"/>
      <c r="G15" s="463"/>
      <c r="H15" s="463"/>
      <c r="I15" s="463"/>
      <c r="J15" s="431"/>
      <c r="K15" s="432"/>
      <c r="L15" s="432"/>
      <c r="M15" s="432"/>
      <c r="N15" s="432"/>
      <c r="O15" s="433"/>
      <c r="P15" s="431"/>
      <c r="Q15" s="432"/>
      <c r="R15" s="432"/>
      <c r="S15" s="432"/>
      <c r="T15" s="432"/>
      <c r="U15" s="433"/>
      <c r="V15" s="449"/>
      <c r="W15" s="450"/>
      <c r="X15" s="450"/>
      <c r="Y15" s="450"/>
      <c r="Z15" s="450"/>
      <c r="AA15" s="451"/>
      <c r="AB15" s="449"/>
      <c r="AC15" s="450"/>
      <c r="AD15" s="450"/>
      <c r="AE15" s="450"/>
      <c r="AF15" s="450"/>
      <c r="AG15" s="451"/>
      <c r="AH15" s="440"/>
      <c r="AI15" s="441"/>
      <c r="AJ15" s="441"/>
      <c r="AK15" s="441"/>
      <c r="AL15" s="441"/>
      <c r="AM15" s="442"/>
      <c r="AN15" s="81"/>
      <c r="AO15" s="483"/>
      <c r="AP15" s="484"/>
      <c r="AQ15" s="484"/>
      <c r="AR15" s="484"/>
      <c r="AS15" s="484"/>
      <c r="AT15" s="48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69"/>
      <c r="C16" s="469"/>
      <c r="D16" s="470"/>
      <c r="E16" s="462"/>
      <c r="F16" s="463"/>
      <c r="G16" s="463"/>
      <c r="H16" s="463"/>
      <c r="I16" s="463"/>
      <c r="J16" s="431" t="str">
        <f>IF(AND('Mapa de Riesgos'!$H$30="Alta",'Mapa de Riesgos'!$L$30="Leve"),CONCATENATE("R",'Mapa de Riesgos'!$A$30),"")</f>
        <v/>
      </c>
      <c r="K16" s="432"/>
      <c r="L16" s="432" t="str">
        <f>IF(AND('Mapa de Riesgos'!$H$36="Alta",'Mapa de Riesgos'!$L$36="Leve"),CONCATENATE("R",'Mapa de Riesgos'!$A$36),"")</f>
        <v/>
      </c>
      <c r="M16" s="432"/>
      <c r="N16" s="432" t="str">
        <f>IF(AND('Mapa de Riesgos'!$H$42="Alta",'Mapa de Riesgos'!$L$42="Leve"),CONCATENATE("R",'Mapa de Riesgos'!$A$42),"")</f>
        <v/>
      </c>
      <c r="O16" s="433"/>
      <c r="P16" s="431" t="str">
        <f>IF(AND('Mapa de Riesgos'!$H$30="Alta",'Mapa de Riesgos'!$L$30="Menor"),CONCATENATE("R",'Mapa de Riesgos'!$A$30),"")</f>
        <v/>
      </c>
      <c r="Q16" s="432"/>
      <c r="R16" s="432" t="str">
        <f>IF(AND('Mapa de Riesgos'!$H$36="Alta",'Mapa de Riesgos'!$L$36="Menor"),CONCATENATE("R",'Mapa de Riesgos'!$A$36),"")</f>
        <v/>
      </c>
      <c r="S16" s="432"/>
      <c r="T16" s="432" t="str">
        <f>IF(AND('Mapa de Riesgos'!$H$42="Alta",'Mapa de Riesgos'!$L$42="Menor"),CONCATENATE("R",'Mapa de Riesgos'!$A$42),"")</f>
        <v/>
      </c>
      <c r="U16" s="433"/>
      <c r="V16" s="449" t="str">
        <f>IF(AND('Mapa de Riesgos'!$H$30="Alta",'Mapa de Riesgos'!$L$30="Moderado"),CONCATENATE("R",'Mapa de Riesgos'!$A$30),"")</f>
        <v/>
      </c>
      <c r="W16" s="450"/>
      <c r="X16" s="450" t="str">
        <f>IF(AND('Mapa de Riesgos'!$H$36="Alta",'Mapa de Riesgos'!$L$36="Moderado"),CONCATENATE("R",'Mapa de Riesgos'!$A$36),"")</f>
        <v/>
      </c>
      <c r="Y16" s="450"/>
      <c r="Z16" s="450" t="str">
        <f>IF(AND('Mapa de Riesgos'!$H$42="Alta",'Mapa de Riesgos'!$L$42="Moderado"),CONCATENATE("R",'Mapa de Riesgos'!$A$42),"")</f>
        <v/>
      </c>
      <c r="AA16" s="451"/>
      <c r="AB16" s="449" t="str">
        <f>IF(AND('Mapa de Riesgos'!$H$30="Alta",'Mapa de Riesgos'!$L$30="Mayor"),CONCATENATE("R",'Mapa de Riesgos'!$A$30),"")</f>
        <v/>
      </c>
      <c r="AC16" s="450"/>
      <c r="AD16" s="450" t="str">
        <f>IF(AND('Mapa de Riesgos'!$H$36="Alta",'Mapa de Riesgos'!$L$36="Mayor"),CONCATENATE("R",'Mapa de Riesgos'!$A$36),"")</f>
        <v/>
      </c>
      <c r="AE16" s="450"/>
      <c r="AF16" s="450" t="str">
        <f>IF(AND('Mapa de Riesgos'!$H$42="Alta",'Mapa de Riesgos'!$L$42="Mayor"),CONCATENATE("R",'Mapa de Riesgos'!$A$42),"")</f>
        <v/>
      </c>
      <c r="AG16" s="451"/>
      <c r="AH16" s="440" t="str">
        <f>IF(AND('Mapa de Riesgos'!$H$30="Alta",'Mapa de Riesgos'!$L$30="Catastrófico"),CONCATENATE("R",'Mapa de Riesgos'!$A$30),"")</f>
        <v/>
      </c>
      <c r="AI16" s="441"/>
      <c r="AJ16" s="441" t="str">
        <f>IF(AND('Mapa de Riesgos'!$H$36="Alta",'Mapa de Riesgos'!$L$36="Catastrófico"),CONCATENATE("R",'Mapa de Riesgos'!$A$36),"")</f>
        <v/>
      </c>
      <c r="AK16" s="441"/>
      <c r="AL16" s="441" t="str">
        <f>IF(AND('Mapa de Riesgos'!$H$42="Alta",'Mapa de Riesgos'!$L$42="Catastrófico"),CONCATENATE("R",'Mapa de Riesgos'!$A$42),"")</f>
        <v/>
      </c>
      <c r="AM16" s="442"/>
      <c r="AN16" s="81"/>
      <c r="AO16" s="483"/>
      <c r="AP16" s="484"/>
      <c r="AQ16" s="484"/>
      <c r="AR16" s="484"/>
      <c r="AS16" s="484"/>
      <c r="AT16" s="48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69"/>
      <c r="C17" s="469"/>
      <c r="D17" s="470"/>
      <c r="E17" s="462"/>
      <c r="F17" s="463"/>
      <c r="G17" s="463"/>
      <c r="H17" s="463"/>
      <c r="I17" s="463"/>
      <c r="J17" s="431"/>
      <c r="K17" s="432"/>
      <c r="L17" s="432"/>
      <c r="M17" s="432"/>
      <c r="N17" s="432"/>
      <c r="O17" s="433"/>
      <c r="P17" s="431"/>
      <c r="Q17" s="432"/>
      <c r="R17" s="432"/>
      <c r="S17" s="432"/>
      <c r="T17" s="432"/>
      <c r="U17" s="433"/>
      <c r="V17" s="449"/>
      <c r="W17" s="450"/>
      <c r="X17" s="450"/>
      <c r="Y17" s="450"/>
      <c r="Z17" s="450"/>
      <c r="AA17" s="451"/>
      <c r="AB17" s="449"/>
      <c r="AC17" s="450"/>
      <c r="AD17" s="450"/>
      <c r="AE17" s="450"/>
      <c r="AF17" s="450"/>
      <c r="AG17" s="451"/>
      <c r="AH17" s="440"/>
      <c r="AI17" s="441"/>
      <c r="AJ17" s="441"/>
      <c r="AK17" s="441"/>
      <c r="AL17" s="441"/>
      <c r="AM17" s="442"/>
      <c r="AN17" s="81"/>
      <c r="AO17" s="483"/>
      <c r="AP17" s="484"/>
      <c r="AQ17" s="484"/>
      <c r="AR17" s="484"/>
      <c r="AS17" s="484"/>
      <c r="AT17" s="485"/>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69"/>
      <c r="C18" s="469"/>
      <c r="D18" s="470"/>
      <c r="E18" s="462"/>
      <c r="F18" s="463"/>
      <c r="G18" s="463"/>
      <c r="H18" s="463"/>
      <c r="I18" s="463"/>
      <c r="J18" s="431" t="str">
        <f>IF(AND('Mapa de Riesgos'!$H$48="Alta",'Mapa de Riesgos'!$L$48="Leve"),CONCATENATE("R",'Mapa de Riesgos'!$A$48),"")</f>
        <v/>
      </c>
      <c r="K18" s="432"/>
      <c r="L18" s="432" t="str">
        <f>IF(AND('Mapa de Riesgos'!$H$54="Alta",'Mapa de Riesgos'!$L$54="Leve"),CONCATENATE("R",'Mapa de Riesgos'!$A$54),"")</f>
        <v/>
      </c>
      <c r="M18" s="432"/>
      <c r="N18" s="432" t="str">
        <f>IF(AND('Mapa de Riesgos'!$H$60="Alta",'Mapa de Riesgos'!$L$60="Leve"),CONCATENATE("R",'Mapa de Riesgos'!$A$60),"")</f>
        <v/>
      </c>
      <c r="O18" s="433"/>
      <c r="P18" s="431" t="str">
        <f>IF(AND('Mapa de Riesgos'!$H$48="Alta",'Mapa de Riesgos'!$L$48="Menor"),CONCATENATE("R",'Mapa de Riesgos'!$A$48),"")</f>
        <v/>
      </c>
      <c r="Q18" s="432"/>
      <c r="R18" s="432" t="str">
        <f>IF(AND('Mapa de Riesgos'!$H$54="Alta",'Mapa de Riesgos'!$L$54="Menor"),CONCATENATE("R",'Mapa de Riesgos'!$A$54),"")</f>
        <v/>
      </c>
      <c r="S18" s="432"/>
      <c r="T18" s="432" t="str">
        <f>IF(AND('Mapa de Riesgos'!$H$60="Alta",'Mapa de Riesgos'!$L$60="Menor"),CONCATENATE("R",'Mapa de Riesgos'!$A$60),"")</f>
        <v/>
      </c>
      <c r="U18" s="433"/>
      <c r="V18" s="449" t="str">
        <f>IF(AND('Mapa de Riesgos'!$H$48="Alta",'Mapa de Riesgos'!$L$48="Moderado"),CONCATENATE("R",'Mapa de Riesgos'!$A$48),"")</f>
        <v/>
      </c>
      <c r="W18" s="450"/>
      <c r="X18" s="450" t="str">
        <f>IF(AND('Mapa de Riesgos'!$H$54="Alta",'Mapa de Riesgos'!$L$54="Moderado"),CONCATENATE("R",'Mapa de Riesgos'!$A$54),"")</f>
        <v/>
      </c>
      <c r="Y18" s="450"/>
      <c r="Z18" s="450" t="str">
        <f>IF(AND('Mapa de Riesgos'!$H$60="Alta",'Mapa de Riesgos'!$L$60="Moderado"),CONCATENATE("R",'Mapa de Riesgos'!$A$60),"")</f>
        <v/>
      </c>
      <c r="AA18" s="451"/>
      <c r="AB18" s="449" t="str">
        <f>IF(AND('Mapa de Riesgos'!$H$48="Alta",'Mapa de Riesgos'!$L$48="Mayor"),CONCATENATE("R",'Mapa de Riesgos'!$A$48),"")</f>
        <v/>
      </c>
      <c r="AC18" s="450"/>
      <c r="AD18" s="450" t="str">
        <f>IF(AND('Mapa de Riesgos'!$H$54="Alta",'Mapa de Riesgos'!$L$54="Mayor"),CONCATENATE("R",'Mapa de Riesgos'!$A$54),"")</f>
        <v/>
      </c>
      <c r="AE18" s="450"/>
      <c r="AF18" s="450" t="str">
        <f>IF(AND('Mapa de Riesgos'!$H$60="Alta",'Mapa de Riesgos'!$L$60="Mayor"),CONCATENATE("R",'Mapa de Riesgos'!$A$60),"")</f>
        <v/>
      </c>
      <c r="AG18" s="451"/>
      <c r="AH18" s="440" t="str">
        <f>IF(AND('Mapa de Riesgos'!$H$48="Alta",'Mapa de Riesgos'!$L$48="Catastrófico"),CONCATENATE("R",'Mapa de Riesgos'!$A$48),"")</f>
        <v/>
      </c>
      <c r="AI18" s="441"/>
      <c r="AJ18" s="441" t="str">
        <f>IF(AND('Mapa de Riesgos'!$H$54="Alta",'Mapa de Riesgos'!$L$54="Catastrófico"),CONCATENATE("R",'Mapa de Riesgos'!$A$54),"")</f>
        <v/>
      </c>
      <c r="AK18" s="441"/>
      <c r="AL18" s="441" t="str">
        <f>IF(AND('Mapa de Riesgos'!$H$60="Alta",'Mapa de Riesgos'!$L$60="Catastrófico"),CONCATENATE("R",'Mapa de Riesgos'!$A$60),"")</f>
        <v/>
      </c>
      <c r="AM18" s="442"/>
      <c r="AN18" s="81"/>
      <c r="AO18" s="483"/>
      <c r="AP18" s="484"/>
      <c r="AQ18" s="484"/>
      <c r="AR18" s="484"/>
      <c r="AS18" s="484"/>
      <c r="AT18" s="485"/>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69"/>
      <c r="C19" s="469"/>
      <c r="D19" s="470"/>
      <c r="E19" s="462"/>
      <c r="F19" s="463"/>
      <c r="G19" s="463"/>
      <c r="H19" s="463"/>
      <c r="I19" s="463"/>
      <c r="J19" s="431"/>
      <c r="K19" s="432"/>
      <c r="L19" s="432"/>
      <c r="M19" s="432"/>
      <c r="N19" s="432"/>
      <c r="O19" s="433"/>
      <c r="P19" s="431"/>
      <c r="Q19" s="432"/>
      <c r="R19" s="432"/>
      <c r="S19" s="432"/>
      <c r="T19" s="432"/>
      <c r="U19" s="433"/>
      <c r="V19" s="449"/>
      <c r="W19" s="450"/>
      <c r="X19" s="450"/>
      <c r="Y19" s="450"/>
      <c r="Z19" s="450"/>
      <c r="AA19" s="451"/>
      <c r="AB19" s="449"/>
      <c r="AC19" s="450"/>
      <c r="AD19" s="450"/>
      <c r="AE19" s="450"/>
      <c r="AF19" s="450"/>
      <c r="AG19" s="451"/>
      <c r="AH19" s="440"/>
      <c r="AI19" s="441"/>
      <c r="AJ19" s="441"/>
      <c r="AK19" s="441"/>
      <c r="AL19" s="441"/>
      <c r="AM19" s="442"/>
      <c r="AN19" s="81"/>
      <c r="AO19" s="483"/>
      <c r="AP19" s="484"/>
      <c r="AQ19" s="484"/>
      <c r="AR19" s="484"/>
      <c r="AS19" s="484"/>
      <c r="AT19" s="485"/>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69"/>
      <c r="C20" s="469"/>
      <c r="D20" s="470"/>
      <c r="E20" s="462"/>
      <c r="F20" s="463"/>
      <c r="G20" s="463"/>
      <c r="H20" s="463"/>
      <c r="I20" s="463"/>
      <c r="J20" s="431" t="str">
        <f>IF(AND('Mapa de Riesgos'!$H$66="Alta",'Mapa de Riesgos'!$L$66="Leve"),CONCATENATE("R",'Mapa de Riesgos'!$A$66),"")</f>
        <v/>
      </c>
      <c r="K20" s="432"/>
      <c r="L20" s="432" t="str">
        <f>IF(AND('Mapa de Riesgos'!$H$84="Alta",'Mapa de Riesgos'!$L$84="Leve"),CONCATENATE("R",'Mapa de Riesgos'!$A$84),"")</f>
        <v/>
      </c>
      <c r="M20" s="432"/>
      <c r="N20" s="432" t="str">
        <f>IF(AND('Mapa de Riesgos'!$H$90="Alta",'Mapa de Riesgos'!$L$90="Leve"),CONCATENATE("R",'Mapa de Riesgos'!$A$90),"")</f>
        <v/>
      </c>
      <c r="O20" s="433"/>
      <c r="P20" s="431" t="str">
        <f>IF(AND('Mapa de Riesgos'!$H$66="Alta",'Mapa de Riesgos'!$L$66="Menor"),CONCATENATE("R",'Mapa de Riesgos'!$A$66),"")</f>
        <v/>
      </c>
      <c r="Q20" s="432"/>
      <c r="R20" s="432" t="str">
        <f>IF(AND('Mapa de Riesgos'!$H$84="Alta",'Mapa de Riesgos'!$L$84="Menor"),CONCATENATE("R",'Mapa de Riesgos'!$A$84),"")</f>
        <v/>
      </c>
      <c r="S20" s="432"/>
      <c r="T20" s="432" t="str">
        <f>IF(AND('Mapa de Riesgos'!$H$90="Alta",'Mapa de Riesgos'!$L$90="Menor"),CONCATENATE("R",'Mapa de Riesgos'!$A$90),"")</f>
        <v/>
      </c>
      <c r="U20" s="433"/>
      <c r="V20" s="449" t="str">
        <f>IF(AND('Mapa de Riesgos'!$H$66="Alta",'Mapa de Riesgos'!$L$66="Moderado"),CONCATENATE("R",'Mapa de Riesgos'!$A$66),"")</f>
        <v/>
      </c>
      <c r="W20" s="450"/>
      <c r="X20" s="450" t="str">
        <f>IF(AND('Mapa de Riesgos'!$H$84="Alta",'Mapa de Riesgos'!$L$84="Moderado"),CONCATENATE("R",'Mapa de Riesgos'!$A$84),"")</f>
        <v/>
      </c>
      <c r="Y20" s="450"/>
      <c r="Z20" s="450" t="str">
        <f>IF(AND('Mapa de Riesgos'!$H$90="Alta",'Mapa de Riesgos'!$L$90="Moderado"),CONCATENATE("R",'Mapa de Riesgos'!$A$90),"")</f>
        <v/>
      </c>
      <c r="AA20" s="451"/>
      <c r="AB20" s="449" t="str">
        <f>IF(AND('Mapa de Riesgos'!$H$66="Alta",'Mapa de Riesgos'!$L$66="Mayor"),CONCATENATE("R",'Mapa de Riesgos'!$A$66),"")</f>
        <v/>
      </c>
      <c r="AC20" s="450"/>
      <c r="AD20" s="450" t="str">
        <f>IF(AND('Mapa de Riesgos'!$H$84="Alta",'Mapa de Riesgos'!$L$84="Mayor"),CONCATENATE("R",'Mapa de Riesgos'!$A$84),"")</f>
        <v/>
      </c>
      <c r="AE20" s="450"/>
      <c r="AF20" s="450" t="str">
        <f>IF(AND('Mapa de Riesgos'!$H$90="Alta",'Mapa de Riesgos'!$L$90="Mayor"),CONCATENATE("R",'Mapa de Riesgos'!$A$90),"")</f>
        <v/>
      </c>
      <c r="AG20" s="451"/>
      <c r="AH20" s="440" t="str">
        <f>IF(AND('Mapa de Riesgos'!$H$66="Alta",'Mapa de Riesgos'!$L$66="Catastrófico"),CONCATENATE("R",'Mapa de Riesgos'!$A$66),"")</f>
        <v/>
      </c>
      <c r="AI20" s="441"/>
      <c r="AJ20" s="441" t="str">
        <f>IF(AND('Mapa de Riesgos'!$H$84="Alta",'Mapa de Riesgos'!$L$84="Catastrófico"),CONCATENATE("R",'Mapa de Riesgos'!$A$84),"")</f>
        <v/>
      </c>
      <c r="AK20" s="441"/>
      <c r="AL20" s="441" t="str">
        <f>IF(AND('Mapa de Riesgos'!$H$90="Alta",'Mapa de Riesgos'!$L$90="Catastrófico"),CONCATENATE("R",'Mapa de Riesgos'!$A$90),"")</f>
        <v/>
      </c>
      <c r="AM20" s="442"/>
      <c r="AN20" s="81"/>
      <c r="AO20" s="483"/>
      <c r="AP20" s="484"/>
      <c r="AQ20" s="484"/>
      <c r="AR20" s="484"/>
      <c r="AS20" s="484"/>
      <c r="AT20" s="485"/>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69"/>
      <c r="C21" s="469"/>
      <c r="D21" s="470"/>
      <c r="E21" s="465"/>
      <c r="F21" s="466"/>
      <c r="G21" s="466"/>
      <c r="H21" s="466"/>
      <c r="I21" s="466"/>
      <c r="J21" s="434"/>
      <c r="K21" s="435"/>
      <c r="L21" s="435"/>
      <c r="M21" s="435"/>
      <c r="N21" s="435"/>
      <c r="O21" s="436"/>
      <c r="P21" s="434"/>
      <c r="Q21" s="435"/>
      <c r="R21" s="435"/>
      <c r="S21" s="435"/>
      <c r="T21" s="435"/>
      <c r="U21" s="436"/>
      <c r="V21" s="452"/>
      <c r="W21" s="453"/>
      <c r="X21" s="453"/>
      <c r="Y21" s="453"/>
      <c r="Z21" s="453"/>
      <c r="AA21" s="454"/>
      <c r="AB21" s="452"/>
      <c r="AC21" s="453"/>
      <c r="AD21" s="453"/>
      <c r="AE21" s="453"/>
      <c r="AF21" s="453"/>
      <c r="AG21" s="454"/>
      <c r="AH21" s="443"/>
      <c r="AI21" s="444"/>
      <c r="AJ21" s="444"/>
      <c r="AK21" s="444"/>
      <c r="AL21" s="444"/>
      <c r="AM21" s="445"/>
      <c r="AN21" s="81"/>
      <c r="AO21" s="486"/>
      <c r="AP21" s="487"/>
      <c r="AQ21" s="487"/>
      <c r="AR21" s="487"/>
      <c r="AS21" s="487"/>
      <c r="AT21" s="48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69"/>
      <c r="C22" s="469"/>
      <c r="D22" s="470"/>
      <c r="E22" s="459" t="s">
        <v>196</v>
      </c>
      <c r="F22" s="460"/>
      <c r="G22" s="460"/>
      <c r="H22" s="460"/>
      <c r="I22" s="461"/>
      <c r="J22" s="437" t="str">
        <f>IF(AND('Mapa de Riesgos'!$H$12="Media",'Mapa de Riesgos'!$L$12="Leve"),CONCATENATE("R",'Mapa de Riesgos'!$A$12),"")</f>
        <v/>
      </c>
      <c r="K22" s="438"/>
      <c r="L22" s="438" t="str">
        <f>IF(AND('Mapa de Riesgos'!$H$18="Media",'Mapa de Riesgos'!$L$18="Leve"),CONCATENATE("R",'Mapa de Riesgos'!$A$18),"")</f>
        <v/>
      </c>
      <c r="M22" s="438"/>
      <c r="N22" s="438" t="str">
        <f>IF(AND('Mapa de Riesgos'!$H$24="Media",'Mapa de Riesgos'!$L$24="Leve"),CONCATENATE("R",'Mapa de Riesgos'!$A$24),"")</f>
        <v/>
      </c>
      <c r="O22" s="439"/>
      <c r="P22" s="437" t="str">
        <f>IF(AND('Mapa de Riesgos'!$H$12="Media",'Mapa de Riesgos'!$L$12="Menor"),CONCATENATE("R",'Mapa de Riesgos'!$A$12),"")</f>
        <v/>
      </c>
      <c r="Q22" s="438"/>
      <c r="R22" s="438" t="str">
        <f>IF(AND('Mapa de Riesgos'!$H$18="Media",'Mapa de Riesgos'!$L$18="Menor"),CONCATENATE("R",'Mapa de Riesgos'!$A$18),"")</f>
        <v/>
      </c>
      <c r="S22" s="438"/>
      <c r="T22" s="438" t="str">
        <f>IF(AND('Mapa de Riesgos'!$H$24="Media",'Mapa de Riesgos'!$L$24="Menor"),CONCATENATE("R",'Mapa de Riesgos'!$A$24),"")</f>
        <v/>
      </c>
      <c r="U22" s="439"/>
      <c r="V22" s="437" t="str">
        <f>IF(AND('Mapa de Riesgos'!$H$12="Media",'Mapa de Riesgos'!$L$12="Moderado"),CONCATENATE("R",'Mapa de Riesgos'!$A$12),"")</f>
        <v/>
      </c>
      <c r="W22" s="438"/>
      <c r="X22" s="438" t="str">
        <f>IF(AND('Mapa de Riesgos'!$H$18="Media",'Mapa de Riesgos'!$L$18="Moderado"),CONCATENATE("R",'Mapa de Riesgos'!$A$18),"")</f>
        <v>R2</v>
      </c>
      <c r="Y22" s="438"/>
      <c r="Z22" s="438" t="str">
        <f>IF(AND('Mapa de Riesgos'!$H$24="Media",'Mapa de Riesgos'!$L$24="Moderado"),CONCATENATE("R",'Mapa de Riesgos'!$A$24),"")</f>
        <v/>
      </c>
      <c r="AA22" s="439"/>
      <c r="AB22" s="455" t="str">
        <f>IF(AND('Mapa de Riesgos'!$H$12="Media",'Mapa de Riesgos'!$L$12="Mayor"),CONCATENATE("R",'Mapa de Riesgos'!$A$12),"")</f>
        <v/>
      </c>
      <c r="AC22" s="456"/>
      <c r="AD22" s="456" t="str">
        <f>IF(AND('Mapa de Riesgos'!$H$18="Media",'Mapa de Riesgos'!$L$18="Mayor"),CONCATENATE("R",'Mapa de Riesgos'!$A$18),"")</f>
        <v/>
      </c>
      <c r="AE22" s="456"/>
      <c r="AF22" s="456" t="str">
        <f>IF(AND('Mapa de Riesgos'!$H$24="Media",'Mapa de Riesgos'!$L$24="Mayor"),CONCATENATE("R",'Mapa de Riesgos'!$A$24),"")</f>
        <v/>
      </c>
      <c r="AG22" s="457"/>
      <c r="AH22" s="446" t="str">
        <f>IF(AND('Mapa de Riesgos'!$H$12="Media",'Mapa de Riesgos'!$L$12="Catastrófico"),CONCATENATE("R",'Mapa de Riesgos'!$A$12),"")</f>
        <v/>
      </c>
      <c r="AI22" s="447"/>
      <c r="AJ22" s="447" t="str">
        <f>IF(AND('Mapa de Riesgos'!$H$18="Media",'Mapa de Riesgos'!$L$18="Catastrófico"),CONCATENATE("R",'Mapa de Riesgos'!$A$18),"")</f>
        <v/>
      </c>
      <c r="AK22" s="447"/>
      <c r="AL22" s="447" t="str">
        <f>IF(AND('Mapa de Riesgos'!$H$24="Media",'Mapa de Riesgos'!$L$24="Catastrófico"),CONCATENATE("R",'Mapa de Riesgos'!$A$24),"")</f>
        <v/>
      </c>
      <c r="AM22" s="448"/>
      <c r="AN22" s="81"/>
      <c r="AO22" s="489" t="s">
        <v>197</v>
      </c>
      <c r="AP22" s="490"/>
      <c r="AQ22" s="490"/>
      <c r="AR22" s="490"/>
      <c r="AS22" s="490"/>
      <c r="AT22" s="49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69"/>
      <c r="C23" s="469"/>
      <c r="D23" s="470"/>
      <c r="E23" s="462"/>
      <c r="F23" s="463"/>
      <c r="G23" s="463"/>
      <c r="H23" s="463"/>
      <c r="I23" s="464"/>
      <c r="J23" s="431"/>
      <c r="K23" s="432"/>
      <c r="L23" s="432"/>
      <c r="M23" s="432"/>
      <c r="N23" s="432"/>
      <c r="O23" s="433"/>
      <c r="P23" s="431"/>
      <c r="Q23" s="432"/>
      <c r="R23" s="432"/>
      <c r="S23" s="432"/>
      <c r="T23" s="432"/>
      <c r="U23" s="433"/>
      <c r="V23" s="431"/>
      <c r="W23" s="432"/>
      <c r="X23" s="432"/>
      <c r="Y23" s="432"/>
      <c r="Z23" s="432"/>
      <c r="AA23" s="433"/>
      <c r="AB23" s="449"/>
      <c r="AC23" s="450"/>
      <c r="AD23" s="450"/>
      <c r="AE23" s="450"/>
      <c r="AF23" s="450"/>
      <c r="AG23" s="451"/>
      <c r="AH23" s="440"/>
      <c r="AI23" s="441"/>
      <c r="AJ23" s="441"/>
      <c r="AK23" s="441"/>
      <c r="AL23" s="441"/>
      <c r="AM23" s="442"/>
      <c r="AN23" s="81"/>
      <c r="AO23" s="492"/>
      <c r="AP23" s="493"/>
      <c r="AQ23" s="493"/>
      <c r="AR23" s="493"/>
      <c r="AS23" s="493"/>
      <c r="AT23" s="49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69"/>
      <c r="C24" s="469"/>
      <c r="D24" s="470"/>
      <c r="E24" s="462"/>
      <c r="F24" s="463"/>
      <c r="G24" s="463"/>
      <c r="H24" s="463"/>
      <c r="I24" s="464"/>
      <c r="J24" s="431" t="str">
        <f>IF(AND('Mapa de Riesgos'!$H$30="Media",'Mapa de Riesgos'!$L$30="Leve"),CONCATENATE("R",'Mapa de Riesgos'!$A$30),"")</f>
        <v/>
      </c>
      <c r="K24" s="432"/>
      <c r="L24" s="432" t="str">
        <f>IF(AND('Mapa de Riesgos'!$H$36="Media",'Mapa de Riesgos'!$L$36="Leve"),CONCATENATE("R",'Mapa de Riesgos'!$A$36),"")</f>
        <v/>
      </c>
      <c r="M24" s="432"/>
      <c r="N24" s="432" t="str">
        <f>IF(AND('Mapa de Riesgos'!$H$42="Media",'Mapa de Riesgos'!$L$42="Leve"),CONCATENATE("R",'Mapa de Riesgos'!$A$42),"")</f>
        <v/>
      </c>
      <c r="O24" s="433"/>
      <c r="P24" s="431" t="str">
        <f>IF(AND('Mapa de Riesgos'!$H$30="Media",'Mapa de Riesgos'!$L$30="Menor"),CONCATENATE("R",'Mapa de Riesgos'!$A$30),"")</f>
        <v/>
      </c>
      <c r="Q24" s="432"/>
      <c r="R24" s="432" t="str">
        <f>IF(AND('Mapa de Riesgos'!$H$36="Media",'Mapa de Riesgos'!$L$36="Menor"),CONCATENATE("R",'Mapa de Riesgos'!$A$36),"")</f>
        <v/>
      </c>
      <c r="S24" s="432"/>
      <c r="T24" s="432" t="str">
        <f>IF(AND('Mapa de Riesgos'!$H$42="Media",'Mapa de Riesgos'!$L$42="Menor"),CONCATENATE("R",'Mapa de Riesgos'!$A$42),"")</f>
        <v/>
      </c>
      <c r="U24" s="433"/>
      <c r="V24" s="431" t="str">
        <f>IF(AND('Mapa de Riesgos'!$H$30="Media",'Mapa de Riesgos'!$L$30="Moderado"),CONCATENATE("R",'Mapa de Riesgos'!$A$30),"")</f>
        <v/>
      </c>
      <c r="W24" s="432"/>
      <c r="X24" s="432" t="str">
        <f>IF(AND('Mapa de Riesgos'!$H$36="Media",'Mapa de Riesgos'!$L$36="Moderado"),CONCATENATE("R",'Mapa de Riesgos'!$A$36),"")</f>
        <v/>
      </c>
      <c r="Y24" s="432"/>
      <c r="Z24" s="432" t="str">
        <f>IF(AND('Mapa de Riesgos'!$H$42="Media",'Mapa de Riesgos'!$L$42="Moderado"),CONCATENATE("R",'Mapa de Riesgos'!$A$42),"")</f>
        <v/>
      </c>
      <c r="AA24" s="433"/>
      <c r="AB24" s="449" t="str">
        <f>IF(AND('Mapa de Riesgos'!$H$30="Media",'Mapa de Riesgos'!$L$30="Mayor"),CONCATENATE("R",'Mapa de Riesgos'!$A$30),"")</f>
        <v/>
      </c>
      <c r="AC24" s="450"/>
      <c r="AD24" s="450" t="str">
        <f>IF(AND('Mapa de Riesgos'!$H$36="Media",'Mapa de Riesgos'!$L$36="Mayor"),CONCATENATE("R",'Mapa de Riesgos'!$A$36),"")</f>
        <v/>
      </c>
      <c r="AE24" s="450"/>
      <c r="AF24" s="450" t="str">
        <f>IF(AND('Mapa de Riesgos'!$H$42="Media",'Mapa de Riesgos'!$L$42="Mayor"),CONCATENATE("R",'Mapa de Riesgos'!$A$42),"")</f>
        <v/>
      </c>
      <c r="AG24" s="451"/>
      <c r="AH24" s="440" t="str">
        <f>IF(AND('Mapa de Riesgos'!$H$30="Media",'Mapa de Riesgos'!$L$30="Catastrófico"),CONCATENATE("R",'Mapa de Riesgos'!$A$30),"")</f>
        <v/>
      </c>
      <c r="AI24" s="441"/>
      <c r="AJ24" s="441" t="str">
        <f>IF(AND('Mapa de Riesgos'!$H$36="Media",'Mapa de Riesgos'!$L$36="Catastrófico"),CONCATENATE("R",'Mapa de Riesgos'!$A$36),"")</f>
        <v/>
      </c>
      <c r="AK24" s="441"/>
      <c r="AL24" s="441" t="str">
        <f>IF(AND('Mapa de Riesgos'!$H$42="Media",'Mapa de Riesgos'!$L$42="Catastrófico"),CONCATENATE("R",'Mapa de Riesgos'!$A$42),"")</f>
        <v/>
      </c>
      <c r="AM24" s="442"/>
      <c r="AN24" s="81"/>
      <c r="AO24" s="492"/>
      <c r="AP24" s="493"/>
      <c r="AQ24" s="493"/>
      <c r="AR24" s="493"/>
      <c r="AS24" s="493"/>
      <c r="AT24" s="49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69"/>
      <c r="C25" s="469"/>
      <c r="D25" s="470"/>
      <c r="E25" s="462"/>
      <c r="F25" s="463"/>
      <c r="G25" s="463"/>
      <c r="H25" s="463"/>
      <c r="I25" s="464"/>
      <c r="J25" s="431"/>
      <c r="K25" s="432"/>
      <c r="L25" s="432"/>
      <c r="M25" s="432"/>
      <c r="N25" s="432"/>
      <c r="O25" s="433"/>
      <c r="P25" s="431"/>
      <c r="Q25" s="432"/>
      <c r="R25" s="432"/>
      <c r="S25" s="432"/>
      <c r="T25" s="432"/>
      <c r="U25" s="433"/>
      <c r="V25" s="431"/>
      <c r="W25" s="432"/>
      <c r="X25" s="432"/>
      <c r="Y25" s="432"/>
      <c r="Z25" s="432"/>
      <c r="AA25" s="433"/>
      <c r="AB25" s="449"/>
      <c r="AC25" s="450"/>
      <c r="AD25" s="450"/>
      <c r="AE25" s="450"/>
      <c r="AF25" s="450"/>
      <c r="AG25" s="451"/>
      <c r="AH25" s="440"/>
      <c r="AI25" s="441"/>
      <c r="AJ25" s="441"/>
      <c r="AK25" s="441"/>
      <c r="AL25" s="441"/>
      <c r="AM25" s="442"/>
      <c r="AN25" s="81"/>
      <c r="AO25" s="492"/>
      <c r="AP25" s="493"/>
      <c r="AQ25" s="493"/>
      <c r="AR25" s="493"/>
      <c r="AS25" s="493"/>
      <c r="AT25" s="49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69"/>
      <c r="C26" s="469"/>
      <c r="D26" s="470"/>
      <c r="E26" s="462"/>
      <c r="F26" s="463"/>
      <c r="G26" s="463"/>
      <c r="H26" s="463"/>
      <c r="I26" s="464"/>
      <c r="J26" s="431" t="str">
        <f>IF(AND('Mapa de Riesgos'!$H$48="Media",'Mapa de Riesgos'!$L$48="Leve"),CONCATENATE("R",'Mapa de Riesgos'!$A$48),"")</f>
        <v/>
      </c>
      <c r="K26" s="432"/>
      <c r="L26" s="432" t="str">
        <f>IF(AND('Mapa de Riesgos'!$H$54="Media",'Mapa de Riesgos'!$L$54="Leve"),CONCATENATE("R",'Mapa de Riesgos'!$A$54),"")</f>
        <v/>
      </c>
      <c r="M26" s="432"/>
      <c r="N26" s="432" t="str">
        <f>IF(AND('Mapa de Riesgos'!$H$60="Media",'Mapa de Riesgos'!$L$60="Leve"),CONCATENATE("R",'Mapa de Riesgos'!$A$60),"")</f>
        <v/>
      </c>
      <c r="O26" s="433"/>
      <c r="P26" s="431" t="str">
        <f>IF(AND('Mapa de Riesgos'!$H$48="Media",'Mapa de Riesgos'!$L$48="Menor"),CONCATENATE("R",'Mapa de Riesgos'!$A$48),"")</f>
        <v/>
      </c>
      <c r="Q26" s="432"/>
      <c r="R26" s="432" t="str">
        <f>IF(AND('Mapa de Riesgos'!$H$54="Media",'Mapa de Riesgos'!$L$54="Menor"),CONCATENATE("R",'Mapa de Riesgos'!$A$54),"")</f>
        <v/>
      </c>
      <c r="S26" s="432"/>
      <c r="T26" s="432" t="str">
        <f>IF(AND('Mapa de Riesgos'!$H$60="Media",'Mapa de Riesgos'!$L$60="Menor"),CONCATENATE("R",'Mapa de Riesgos'!$A$60),"")</f>
        <v/>
      </c>
      <c r="U26" s="433"/>
      <c r="V26" s="431" t="str">
        <f>IF(AND('Mapa de Riesgos'!$H$48="Media",'Mapa de Riesgos'!$L$48="Moderado"),CONCATENATE("R",'Mapa de Riesgos'!$A$48),"")</f>
        <v/>
      </c>
      <c r="W26" s="432"/>
      <c r="X26" s="432" t="str">
        <f>IF(AND('Mapa de Riesgos'!$H$54="Media",'Mapa de Riesgos'!$L$54="Moderado"),CONCATENATE("R",'Mapa de Riesgos'!$A$54),"")</f>
        <v/>
      </c>
      <c r="Y26" s="432"/>
      <c r="Z26" s="432" t="str">
        <f>IF(AND('Mapa de Riesgos'!$H$60="Media",'Mapa de Riesgos'!$L$60="Moderado"),CONCATENATE("R",'Mapa de Riesgos'!$A$60),"")</f>
        <v/>
      </c>
      <c r="AA26" s="433"/>
      <c r="AB26" s="449" t="str">
        <f>IF(AND('Mapa de Riesgos'!$H$48="Media",'Mapa de Riesgos'!$L$48="Mayor"),CONCATENATE("R",'Mapa de Riesgos'!$A$48),"")</f>
        <v/>
      </c>
      <c r="AC26" s="450"/>
      <c r="AD26" s="450" t="str">
        <f>IF(AND('Mapa de Riesgos'!$H$54="Media",'Mapa de Riesgos'!$L$54="Mayor"),CONCATENATE("R",'Mapa de Riesgos'!$A$54),"")</f>
        <v/>
      </c>
      <c r="AE26" s="450"/>
      <c r="AF26" s="450" t="str">
        <f>IF(AND('Mapa de Riesgos'!$H$60="Media",'Mapa de Riesgos'!$L$60="Mayor"),CONCATENATE("R",'Mapa de Riesgos'!$A$60),"")</f>
        <v/>
      </c>
      <c r="AG26" s="451"/>
      <c r="AH26" s="440" t="str">
        <f>IF(AND('Mapa de Riesgos'!$H$48="Media",'Mapa de Riesgos'!$L$48="Catastrófico"),CONCATENATE("R",'Mapa de Riesgos'!$A$48),"")</f>
        <v/>
      </c>
      <c r="AI26" s="441"/>
      <c r="AJ26" s="441" t="str">
        <f>IF(AND('Mapa de Riesgos'!$H$54="Media",'Mapa de Riesgos'!$L$54="Catastrófico"),CONCATENATE("R",'Mapa de Riesgos'!$A$54),"")</f>
        <v/>
      </c>
      <c r="AK26" s="441"/>
      <c r="AL26" s="441" t="str">
        <f>IF(AND('Mapa de Riesgos'!$H$60="Media",'Mapa de Riesgos'!$L$60="Catastrófico"),CONCATENATE("R",'Mapa de Riesgos'!$A$60),"")</f>
        <v/>
      </c>
      <c r="AM26" s="442"/>
      <c r="AN26" s="81"/>
      <c r="AO26" s="492"/>
      <c r="AP26" s="493"/>
      <c r="AQ26" s="493"/>
      <c r="AR26" s="493"/>
      <c r="AS26" s="493"/>
      <c r="AT26" s="49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69"/>
      <c r="C27" s="469"/>
      <c r="D27" s="470"/>
      <c r="E27" s="462"/>
      <c r="F27" s="463"/>
      <c r="G27" s="463"/>
      <c r="H27" s="463"/>
      <c r="I27" s="464"/>
      <c r="J27" s="431"/>
      <c r="K27" s="432"/>
      <c r="L27" s="432"/>
      <c r="M27" s="432"/>
      <c r="N27" s="432"/>
      <c r="O27" s="433"/>
      <c r="P27" s="431"/>
      <c r="Q27" s="432"/>
      <c r="R27" s="432"/>
      <c r="S27" s="432"/>
      <c r="T27" s="432"/>
      <c r="U27" s="433"/>
      <c r="V27" s="431"/>
      <c r="W27" s="432"/>
      <c r="X27" s="432"/>
      <c r="Y27" s="432"/>
      <c r="Z27" s="432"/>
      <c r="AA27" s="433"/>
      <c r="AB27" s="449"/>
      <c r="AC27" s="450"/>
      <c r="AD27" s="450"/>
      <c r="AE27" s="450"/>
      <c r="AF27" s="450"/>
      <c r="AG27" s="451"/>
      <c r="AH27" s="440"/>
      <c r="AI27" s="441"/>
      <c r="AJ27" s="441"/>
      <c r="AK27" s="441"/>
      <c r="AL27" s="441"/>
      <c r="AM27" s="442"/>
      <c r="AN27" s="81"/>
      <c r="AO27" s="492"/>
      <c r="AP27" s="493"/>
      <c r="AQ27" s="493"/>
      <c r="AR27" s="493"/>
      <c r="AS27" s="493"/>
      <c r="AT27" s="494"/>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69"/>
      <c r="C28" s="469"/>
      <c r="D28" s="470"/>
      <c r="E28" s="462"/>
      <c r="F28" s="463"/>
      <c r="G28" s="463"/>
      <c r="H28" s="463"/>
      <c r="I28" s="464"/>
      <c r="J28" s="431" t="str">
        <f>IF(AND('Mapa de Riesgos'!$H$66="Media",'Mapa de Riesgos'!$L$66="Leve"),CONCATENATE("R",'Mapa de Riesgos'!$A$66),"")</f>
        <v/>
      </c>
      <c r="K28" s="432"/>
      <c r="L28" s="432" t="str">
        <f>IF(AND('Mapa de Riesgos'!$H$84="Media",'Mapa de Riesgos'!$L$84="Leve"),CONCATENATE("R",'Mapa de Riesgos'!$A$84),"")</f>
        <v/>
      </c>
      <c r="M28" s="432"/>
      <c r="N28" s="432" t="str">
        <f>IF(AND('Mapa de Riesgos'!$H$90="Media",'Mapa de Riesgos'!$L$90="Leve"),CONCATENATE("R",'Mapa de Riesgos'!$A$90),"")</f>
        <v/>
      </c>
      <c r="O28" s="433"/>
      <c r="P28" s="431" t="str">
        <f>IF(AND('Mapa de Riesgos'!$H$66="Media",'Mapa de Riesgos'!$L$66="Menor"),CONCATENATE("R",'Mapa de Riesgos'!$A$66),"")</f>
        <v/>
      </c>
      <c r="Q28" s="432"/>
      <c r="R28" s="432" t="str">
        <f>IF(AND('Mapa de Riesgos'!$H$84="Media",'Mapa de Riesgos'!$L$84="Menor"),CONCATENATE("R",'Mapa de Riesgos'!$A$84),"")</f>
        <v/>
      </c>
      <c r="S28" s="432"/>
      <c r="T28" s="432" t="str">
        <f>IF(AND('Mapa de Riesgos'!$H$90="Media",'Mapa de Riesgos'!$L$90="Menor"),CONCATENATE("R",'Mapa de Riesgos'!$A$90),"")</f>
        <v/>
      </c>
      <c r="U28" s="433"/>
      <c r="V28" s="431" t="str">
        <f>IF(AND('Mapa de Riesgos'!$H$66="Media",'Mapa de Riesgos'!$L$66="Moderado"),CONCATENATE("R",'Mapa de Riesgos'!$A$66),"")</f>
        <v/>
      </c>
      <c r="W28" s="432"/>
      <c r="X28" s="432" t="str">
        <f>IF(AND('Mapa de Riesgos'!$H$84="Media",'Mapa de Riesgos'!$L$84="Moderado"),CONCATENATE("R",'Mapa de Riesgos'!$A$84),"")</f>
        <v/>
      </c>
      <c r="Y28" s="432"/>
      <c r="Z28" s="432" t="str">
        <f>IF(AND('Mapa de Riesgos'!$H$90="Media",'Mapa de Riesgos'!$L$90="Moderado"),CONCATENATE("R",'Mapa de Riesgos'!$A$90),"")</f>
        <v/>
      </c>
      <c r="AA28" s="433"/>
      <c r="AB28" s="449" t="str">
        <f>IF(AND('Mapa de Riesgos'!$H$66="Media",'Mapa de Riesgos'!$L$66="Mayor"),CONCATENATE("R",'Mapa de Riesgos'!$A$66),"")</f>
        <v/>
      </c>
      <c r="AC28" s="450"/>
      <c r="AD28" s="450" t="str">
        <f>IF(AND('Mapa de Riesgos'!$H$84="Media",'Mapa de Riesgos'!$L$84="Mayor"),CONCATENATE("R",'Mapa de Riesgos'!$A$84),"")</f>
        <v/>
      </c>
      <c r="AE28" s="450"/>
      <c r="AF28" s="450" t="str">
        <f>IF(AND('Mapa de Riesgos'!$H$90="Media",'Mapa de Riesgos'!$L$90="Mayor"),CONCATENATE("R",'Mapa de Riesgos'!$A$90),"")</f>
        <v/>
      </c>
      <c r="AG28" s="451"/>
      <c r="AH28" s="440" t="str">
        <f>IF(AND('Mapa de Riesgos'!$H$66="Media",'Mapa de Riesgos'!$L$66="Catastrófico"),CONCATENATE("R",'Mapa de Riesgos'!$A$66),"")</f>
        <v/>
      </c>
      <c r="AI28" s="441"/>
      <c r="AJ28" s="441" t="str">
        <f>IF(AND('Mapa de Riesgos'!$H$84="Media",'Mapa de Riesgos'!$L$84="Catastrófico"),CONCATENATE("R",'Mapa de Riesgos'!$A$84),"")</f>
        <v/>
      </c>
      <c r="AK28" s="441"/>
      <c r="AL28" s="441" t="str">
        <f>IF(AND('Mapa de Riesgos'!$H$90="Media",'Mapa de Riesgos'!$L$90="Catastrófico"),CONCATENATE("R",'Mapa de Riesgos'!$A$90),"")</f>
        <v/>
      </c>
      <c r="AM28" s="442"/>
      <c r="AN28" s="81"/>
      <c r="AO28" s="492"/>
      <c r="AP28" s="493"/>
      <c r="AQ28" s="493"/>
      <c r="AR28" s="493"/>
      <c r="AS28" s="493"/>
      <c r="AT28" s="494"/>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69"/>
      <c r="C29" s="469"/>
      <c r="D29" s="470"/>
      <c r="E29" s="465"/>
      <c r="F29" s="466"/>
      <c r="G29" s="466"/>
      <c r="H29" s="466"/>
      <c r="I29" s="467"/>
      <c r="J29" s="431"/>
      <c r="K29" s="432"/>
      <c r="L29" s="432"/>
      <c r="M29" s="432"/>
      <c r="N29" s="432"/>
      <c r="O29" s="433"/>
      <c r="P29" s="434"/>
      <c r="Q29" s="435"/>
      <c r="R29" s="435"/>
      <c r="S29" s="435"/>
      <c r="T29" s="435"/>
      <c r="U29" s="436"/>
      <c r="V29" s="434"/>
      <c r="W29" s="435"/>
      <c r="X29" s="435"/>
      <c r="Y29" s="435"/>
      <c r="Z29" s="435"/>
      <c r="AA29" s="436"/>
      <c r="AB29" s="452"/>
      <c r="AC29" s="453"/>
      <c r="AD29" s="453"/>
      <c r="AE29" s="453"/>
      <c r="AF29" s="453"/>
      <c r="AG29" s="454"/>
      <c r="AH29" s="443"/>
      <c r="AI29" s="444"/>
      <c r="AJ29" s="444"/>
      <c r="AK29" s="444"/>
      <c r="AL29" s="444"/>
      <c r="AM29" s="445"/>
      <c r="AN29" s="81"/>
      <c r="AO29" s="495"/>
      <c r="AP29" s="496"/>
      <c r="AQ29" s="496"/>
      <c r="AR29" s="496"/>
      <c r="AS29" s="496"/>
      <c r="AT29" s="49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69"/>
      <c r="C30" s="469"/>
      <c r="D30" s="470"/>
      <c r="E30" s="459" t="s">
        <v>198</v>
      </c>
      <c r="F30" s="460"/>
      <c r="G30" s="460"/>
      <c r="H30" s="460"/>
      <c r="I30" s="460"/>
      <c r="J30" s="428" t="str">
        <f>IF(AND('Mapa de Riesgos'!$H$12="Baja",'Mapa de Riesgos'!$L$12="Leve"),CONCATENATE("R",'Mapa de Riesgos'!$A$12),"")</f>
        <v/>
      </c>
      <c r="K30" s="429"/>
      <c r="L30" s="429" t="str">
        <f>IF(AND('Mapa de Riesgos'!$H$18="Baja",'Mapa de Riesgos'!$L$18="Leve"),CONCATENATE("R",'Mapa de Riesgos'!$A$18),"")</f>
        <v/>
      </c>
      <c r="M30" s="429"/>
      <c r="N30" s="429" t="str">
        <f>IF(AND('Mapa de Riesgos'!$H$24="Baja",'Mapa de Riesgos'!$L$24="Leve"),CONCATENATE("R",'Mapa de Riesgos'!$A$24),"")</f>
        <v/>
      </c>
      <c r="O30" s="430"/>
      <c r="P30" s="438" t="str">
        <f>IF(AND('Mapa de Riesgos'!$H$12="Baja",'Mapa de Riesgos'!$L$12="Menor"),CONCATENATE("R",'Mapa de Riesgos'!$A$12),"")</f>
        <v/>
      </c>
      <c r="Q30" s="438"/>
      <c r="R30" s="438" t="str">
        <f>IF(AND('Mapa de Riesgos'!$H$18="Baja",'Mapa de Riesgos'!$L$18="Menor"),CONCATENATE("R",'Mapa de Riesgos'!$A$18),"")</f>
        <v/>
      </c>
      <c r="S30" s="438"/>
      <c r="T30" s="438" t="str">
        <f>IF(AND('Mapa de Riesgos'!$H$24="Baja",'Mapa de Riesgos'!$L$24="Menor"),CONCATENATE("R",'Mapa de Riesgos'!$A$24),"")</f>
        <v>R3</v>
      </c>
      <c r="U30" s="439"/>
      <c r="V30" s="437" t="str">
        <f>IF(AND('Mapa de Riesgos'!$H$12="Baja",'Mapa de Riesgos'!$L$12="Moderado"),CONCATENATE("R",'Mapa de Riesgos'!$A$12),"")</f>
        <v/>
      </c>
      <c r="W30" s="438"/>
      <c r="X30" s="438" t="str">
        <f>IF(AND('Mapa de Riesgos'!$H$18="Baja",'Mapa de Riesgos'!$L$18="Moderado"),CONCATENATE("R",'Mapa de Riesgos'!$A$18),"")</f>
        <v/>
      </c>
      <c r="Y30" s="438"/>
      <c r="Z30" s="438" t="str">
        <f>IF(AND('Mapa de Riesgos'!$H$24="Baja",'Mapa de Riesgos'!$L$24="Moderado"),CONCATENATE("R",'Mapa de Riesgos'!$A$24),"")</f>
        <v/>
      </c>
      <c r="AA30" s="439"/>
      <c r="AB30" s="455" t="str">
        <f>IF(AND('Mapa de Riesgos'!$H$12="Baja",'Mapa de Riesgos'!$L$12="Mayor"),CONCATENATE("R",'Mapa de Riesgos'!$A$12),"")</f>
        <v>R1</v>
      </c>
      <c r="AC30" s="456"/>
      <c r="AD30" s="456" t="str">
        <f>IF(AND('Mapa de Riesgos'!$H$18="Baja",'Mapa de Riesgos'!$L$18="Mayor"),CONCATENATE("R",'Mapa de Riesgos'!$A$18),"")</f>
        <v/>
      </c>
      <c r="AE30" s="456"/>
      <c r="AF30" s="456" t="str">
        <f>IF(AND('Mapa de Riesgos'!$H$24="Baja",'Mapa de Riesgos'!$L$24="Mayor"),CONCATENATE("R",'Mapa de Riesgos'!$A$24),"")</f>
        <v/>
      </c>
      <c r="AG30" s="457"/>
      <c r="AH30" s="446" t="str">
        <f>IF(AND('Mapa de Riesgos'!$H$12="Baja",'Mapa de Riesgos'!$L$12="Catastrófico"),CONCATENATE("R",'Mapa de Riesgos'!$A$12),"")</f>
        <v/>
      </c>
      <c r="AI30" s="447"/>
      <c r="AJ30" s="447" t="str">
        <f>IF(AND('Mapa de Riesgos'!$H$18="Baja",'Mapa de Riesgos'!$L$18="Catastrófico"),CONCATENATE("R",'Mapa de Riesgos'!$A$18),"")</f>
        <v/>
      </c>
      <c r="AK30" s="447"/>
      <c r="AL30" s="447" t="str">
        <f>IF(AND('Mapa de Riesgos'!$H$24="Baja",'Mapa de Riesgos'!$L$24="Catastrófico"),CONCATENATE("R",'Mapa de Riesgos'!$A$24),"")</f>
        <v/>
      </c>
      <c r="AM30" s="448"/>
      <c r="AN30" s="81"/>
      <c r="AO30" s="498" t="s">
        <v>199</v>
      </c>
      <c r="AP30" s="499"/>
      <c r="AQ30" s="499"/>
      <c r="AR30" s="499"/>
      <c r="AS30" s="499"/>
      <c r="AT30" s="50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69"/>
      <c r="C31" s="469"/>
      <c r="D31" s="470"/>
      <c r="E31" s="462"/>
      <c r="F31" s="463"/>
      <c r="G31" s="463"/>
      <c r="H31" s="463"/>
      <c r="I31" s="463"/>
      <c r="J31" s="422"/>
      <c r="K31" s="423"/>
      <c r="L31" s="423"/>
      <c r="M31" s="423"/>
      <c r="N31" s="423"/>
      <c r="O31" s="424"/>
      <c r="P31" s="432"/>
      <c r="Q31" s="432"/>
      <c r="R31" s="432"/>
      <c r="S31" s="432"/>
      <c r="T31" s="432"/>
      <c r="U31" s="433"/>
      <c r="V31" s="431"/>
      <c r="W31" s="432"/>
      <c r="X31" s="432"/>
      <c r="Y31" s="432"/>
      <c r="Z31" s="432"/>
      <c r="AA31" s="433"/>
      <c r="AB31" s="449"/>
      <c r="AC31" s="450"/>
      <c r="AD31" s="450"/>
      <c r="AE31" s="450"/>
      <c r="AF31" s="450"/>
      <c r="AG31" s="451"/>
      <c r="AH31" s="440"/>
      <c r="AI31" s="441"/>
      <c r="AJ31" s="441"/>
      <c r="AK31" s="441"/>
      <c r="AL31" s="441"/>
      <c r="AM31" s="442"/>
      <c r="AN31" s="81"/>
      <c r="AO31" s="501"/>
      <c r="AP31" s="502"/>
      <c r="AQ31" s="502"/>
      <c r="AR31" s="502"/>
      <c r="AS31" s="502"/>
      <c r="AT31" s="50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69"/>
      <c r="C32" s="469"/>
      <c r="D32" s="470"/>
      <c r="E32" s="462"/>
      <c r="F32" s="463"/>
      <c r="G32" s="463"/>
      <c r="H32" s="463"/>
      <c r="I32" s="463"/>
      <c r="J32" s="422" t="str">
        <f>IF(AND('Mapa de Riesgos'!$H$30="Baja",'Mapa de Riesgos'!$L$30="Leve"),CONCATENATE("R",'Mapa de Riesgos'!$A$30),"")</f>
        <v/>
      </c>
      <c r="K32" s="423"/>
      <c r="L32" s="423" t="str">
        <f>IF(AND('Mapa de Riesgos'!$H$36="Baja",'Mapa de Riesgos'!$L$36="Leve"),CONCATENATE("R",'Mapa de Riesgos'!$A$36),"")</f>
        <v/>
      </c>
      <c r="M32" s="423"/>
      <c r="N32" s="423" t="str">
        <f>IF(AND('Mapa de Riesgos'!$H$42="Baja",'Mapa de Riesgos'!$L$42="Leve"),CONCATENATE("R",'Mapa de Riesgos'!$A$42),"")</f>
        <v/>
      </c>
      <c r="O32" s="424"/>
      <c r="P32" s="432" t="str">
        <f>IF(AND('Mapa de Riesgos'!$H$30="Baja",'Mapa de Riesgos'!$L$30="Menor"),CONCATENATE("R",'Mapa de Riesgos'!$A$30),"")</f>
        <v/>
      </c>
      <c r="Q32" s="432"/>
      <c r="R32" s="432" t="str">
        <f>IF(AND('Mapa de Riesgos'!$H$36="Baja",'Mapa de Riesgos'!$L$36="Menor"),CONCATENATE("R",'Mapa de Riesgos'!$A$36),"")</f>
        <v/>
      </c>
      <c r="S32" s="432"/>
      <c r="T32" s="432" t="str">
        <f>IF(AND('Mapa de Riesgos'!$H$42="Baja",'Mapa de Riesgos'!$L$42="Menor"),CONCATENATE("R",'Mapa de Riesgos'!$A$42),"")</f>
        <v/>
      </c>
      <c r="U32" s="433"/>
      <c r="V32" s="431" t="str">
        <f>IF(AND('Mapa de Riesgos'!$H$30="Baja",'Mapa de Riesgos'!$L$30="Moderado"),CONCATENATE("R",'Mapa de Riesgos'!$A$30),"")</f>
        <v/>
      </c>
      <c r="W32" s="432"/>
      <c r="X32" s="432" t="str">
        <f>IF(AND('Mapa de Riesgos'!$H$36="Baja",'Mapa de Riesgos'!$L$36="Moderado"),CONCATENATE("R",'Mapa de Riesgos'!$A$36),"")</f>
        <v/>
      </c>
      <c r="Y32" s="432"/>
      <c r="Z32" s="432" t="str">
        <f>IF(AND('Mapa de Riesgos'!$H$42="Baja",'Mapa de Riesgos'!$L$42="Moderado"),CONCATENATE("R",'Mapa de Riesgos'!$A$42),"")</f>
        <v/>
      </c>
      <c r="AA32" s="433"/>
      <c r="AB32" s="449" t="str">
        <f>IF(AND('Mapa de Riesgos'!$H$30="Baja",'Mapa de Riesgos'!$L$30="Mayor"),CONCATENATE("R",'Mapa de Riesgos'!$A$30),"")</f>
        <v/>
      </c>
      <c r="AC32" s="450"/>
      <c r="AD32" s="450" t="str">
        <f>IF(AND('Mapa de Riesgos'!$H$36="Baja",'Mapa de Riesgos'!$L$36="Mayor"),CONCATENATE("R",'Mapa de Riesgos'!$A$36),"")</f>
        <v/>
      </c>
      <c r="AE32" s="450"/>
      <c r="AF32" s="450" t="str">
        <f>IF(AND('Mapa de Riesgos'!$H$42="Baja",'Mapa de Riesgos'!$L$42="Mayor"),CONCATENATE("R",'Mapa de Riesgos'!$A$42),"")</f>
        <v/>
      </c>
      <c r="AG32" s="451"/>
      <c r="AH32" s="440" t="str">
        <f>IF(AND('Mapa de Riesgos'!$H$30="Baja",'Mapa de Riesgos'!$L$30="Catastrófico"),CONCATENATE("R",'Mapa de Riesgos'!$A$30),"")</f>
        <v/>
      </c>
      <c r="AI32" s="441"/>
      <c r="AJ32" s="441" t="str">
        <f>IF(AND('Mapa de Riesgos'!$H$36="Baja",'Mapa de Riesgos'!$L$36="Catastrófico"),CONCATENATE("R",'Mapa de Riesgos'!$A$36),"")</f>
        <v/>
      </c>
      <c r="AK32" s="441"/>
      <c r="AL32" s="441" t="str">
        <f>IF(AND('Mapa de Riesgos'!$H$42="Baja",'Mapa de Riesgos'!$L$42="Catastrófico"),CONCATENATE("R",'Mapa de Riesgos'!$A$42),"")</f>
        <v/>
      </c>
      <c r="AM32" s="442"/>
      <c r="AN32" s="81"/>
      <c r="AO32" s="501"/>
      <c r="AP32" s="502"/>
      <c r="AQ32" s="502"/>
      <c r="AR32" s="502"/>
      <c r="AS32" s="502"/>
      <c r="AT32" s="50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69"/>
      <c r="C33" s="469"/>
      <c r="D33" s="470"/>
      <c r="E33" s="462"/>
      <c r="F33" s="463"/>
      <c r="G33" s="463"/>
      <c r="H33" s="463"/>
      <c r="I33" s="463"/>
      <c r="J33" s="422"/>
      <c r="K33" s="423"/>
      <c r="L33" s="423"/>
      <c r="M33" s="423"/>
      <c r="N33" s="423"/>
      <c r="O33" s="424"/>
      <c r="P33" s="432"/>
      <c r="Q33" s="432"/>
      <c r="R33" s="432"/>
      <c r="S33" s="432"/>
      <c r="T33" s="432"/>
      <c r="U33" s="433"/>
      <c r="V33" s="431"/>
      <c r="W33" s="432"/>
      <c r="X33" s="432"/>
      <c r="Y33" s="432"/>
      <c r="Z33" s="432"/>
      <c r="AA33" s="433"/>
      <c r="AB33" s="449"/>
      <c r="AC33" s="450"/>
      <c r="AD33" s="450"/>
      <c r="AE33" s="450"/>
      <c r="AF33" s="450"/>
      <c r="AG33" s="451"/>
      <c r="AH33" s="440"/>
      <c r="AI33" s="441"/>
      <c r="AJ33" s="441"/>
      <c r="AK33" s="441"/>
      <c r="AL33" s="441"/>
      <c r="AM33" s="442"/>
      <c r="AN33" s="81"/>
      <c r="AO33" s="501"/>
      <c r="AP33" s="502"/>
      <c r="AQ33" s="502"/>
      <c r="AR33" s="502"/>
      <c r="AS33" s="502"/>
      <c r="AT33" s="50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69"/>
      <c r="C34" s="469"/>
      <c r="D34" s="470"/>
      <c r="E34" s="462"/>
      <c r="F34" s="463"/>
      <c r="G34" s="463"/>
      <c r="H34" s="463"/>
      <c r="I34" s="463"/>
      <c r="J34" s="422" t="str">
        <f>IF(AND('Mapa de Riesgos'!$H$48="Baja",'Mapa de Riesgos'!$L$48="Leve"),CONCATENATE("R",'Mapa de Riesgos'!$A$48),"")</f>
        <v/>
      </c>
      <c r="K34" s="423"/>
      <c r="L34" s="423" t="str">
        <f>IF(AND('Mapa de Riesgos'!$H$54="Baja",'Mapa de Riesgos'!$L$54="Leve"),CONCATENATE("R",'Mapa de Riesgos'!$A$54),"")</f>
        <v/>
      </c>
      <c r="M34" s="423"/>
      <c r="N34" s="423" t="str">
        <f>IF(AND('Mapa de Riesgos'!$H$60="Baja",'Mapa de Riesgos'!$L$60="Leve"),CONCATENATE("R",'Mapa de Riesgos'!$A$60),"")</f>
        <v/>
      </c>
      <c r="O34" s="424"/>
      <c r="P34" s="432" t="str">
        <f>IF(AND('Mapa de Riesgos'!$H$48="Baja",'Mapa de Riesgos'!$L$48="Menor"),CONCATENATE("R",'Mapa de Riesgos'!$A$48),"")</f>
        <v/>
      </c>
      <c r="Q34" s="432"/>
      <c r="R34" s="432" t="str">
        <f>IF(AND('Mapa de Riesgos'!$H$54="Baja",'Mapa de Riesgos'!$L$54="Menor"),CONCATENATE("R",'Mapa de Riesgos'!$A$54),"")</f>
        <v/>
      </c>
      <c r="S34" s="432"/>
      <c r="T34" s="432" t="str">
        <f>IF(AND('Mapa de Riesgos'!$H$60="Baja",'Mapa de Riesgos'!$L$60="Menor"),CONCATENATE("R",'Mapa de Riesgos'!$A$60),"")</f>
        <v/>
      </c>
      <c r="U34" s="433"/>
      <c r="V34" s="431" t="str">
        <f>IF(AND('Mapa de Riesgos'!$H$48="Baja",'Mapa de Riesgos'!$L$48="Moderado"),CONCATENATE("R",'Mapa de Riesgos'!$A$48),"")</f>
        <v/>
      </c>
      <c r="W34" s="432"/>
      <c r="X34" s="432" t="str">
        <f>IF(AND('Mapa de Riesgos'!$H$54="Baja",'Mapa de Riesgos'!$L$54="Moderado"),CONCATENATE("R",'Mapa de Riesgos'!$A$54),"")</f>
        <v/>
      </c>
      <c r="Y34" s="432"/>
      <c r="Z34" s="432" t="str">
        <f>IF(AND('Mapa de Riesgos'!$H$60="Baja",'Mapa de Riesgos'!$L$60="Moderado"),CONCATENATE("R",'Mapa de Riesgos'!$A$60),"")</f>
        <v/>
      </c>
      <c r="AA34" s="433"/>
      <c r="AB34" s="449" t="str">
        <f>IF(AND('Mapa de Riesgos'!$H$48="Baja",'Mapa de Riesgos'!$L$48="Mayor"),CONCATENATE("R",'Mapa de Riesgos'!$A$48),"")</f>
        <v/>
      </c>
      <c r="AC34" s="450"/>
      <c r="AD34" s="450" t="str">
        <f>IF(AND('Mapa de Riesgos'!$H$54="Baja",'Mapa de Riesgos'!$L$54="Mayor"),CONCATENATE("R",'Mapa de Riesgos'!$A$54),"")</f>
        <v/>
      </c>
      <c r="AE34" s="450"/>
      <c r="AF34" s="450" t="str">
        <f>IF(AND('Mapa de Riesgos'!$H$60="Baja",'Mapa de Riesgos'!$L$60="Mayor"),CONCATENATE("R",'Mapa de Riesgos'!$A$60),"")</f>
        <v/>
      </c>
      <c r="AG34" s="451"/>
      <c r="AH34" s="440" t="str">
        <f>IF(AND('Mapa de Riesgos'!$H$48="Baja",'Mapa de Riesgos'!$L$48="Catastrófico"),CONCATENATE("R",'Mapa de Riesgos'!$A$48),"")</f>
        <v/>
      </c>
      <c r="AI34" s="441"/>
      <c r="AJ34" s="441" t="str">
        <f>IF(AND('Mapa de Riesgos'!$H$54="Baja",'Mapa de Riesgos'!$L$54="Catastrófico"),CONCATENATE("R",'Mapa de Riesgos'!$A$54),"")</f>
        <v/>
      </c>
      <c r="AK34" s="441"/>
      <c r="AL34" s="441" t="str">
        <f>IF(AND('Mapa de Riesgos'!$H$60="Baja",'Mapa de Riesgos'!$L$60="Catastrófico"),CONCATENATE("R",'Mapa de Riesgos'!$A$60),"")</f>
        <v/>
      </c>
      <c r="AM34" s="442"/>
      <c r="AN34" s="81"/>
      <c r="AO34" s="501"/>
      <c r="AP34" s="502"/>
      <c r="AQ34" s="502"/>
      <c r="AR34" s="502"/>
      <c r="AS34" s="502"/>
      <c r="AT34" s="50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69"/>
      <c r="C35" s="469"/>
      <c r="D35" s="470"/>
      <c r="E35" s="462"/>
      <c r="F35" s="463"/>
      <c r="G35" s="463"/>
      <c r="H35" s="463"/>
      <c r="I35" s="463"/>
      <c r="J35" s="422"/>
      <c r="K35" s="423"/>
      <c r="L35" s="423"/>
      <c r="M35" s="423"/>
      <c r="N35" s="423"/>
      <c r="O35" s="424"/>
      <c r="P35" s="432"/>
      <c r="Q35" s="432"/>
      <c r="R35" s="432"/>
      <c r="S35" s="432"/>
      <c r="T35" s="432"/>
      <c r="U35" s="433"/>
      <c r="V35" s="431"/>
      <c r="W35" s="432"/>
      <c r="X35" s="432"/>
      <c r="Y35" s="432"/>
      <c r="Z35" s="432"/>
      <c r="AA35" s="433"/>
      <c r="AB35" s="449"/>
      <c r="AC35" s="450"/>
      <c r="AD35" s="450"/>
      <c r="AE35" s="450"/>
      <c r="AF35" s="450"/>
      <c r="AG35" s="451"/>
      <c r="AH35" s="440"/>
      <c r="AI35" s="441"/>
      <c r="AJ35" s="441"/>
      <c r="AK35" s="441"/>
      <c r="AL35" s="441"/>
      <c r="AM35" s="442"/>
      <c r="AN35" s="81"/>
      <c r="AO35" s="501"/>
      <c r="AP35" s="502"/>
      <c r="AQ35" s="502"/>
      <c r="AR35" s="502"/>
      <c r="AS35" s="502"/>
      <c r="AT35" s="50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69"/>
      <c r="C36" s="469"/>
      <c r="D36" s="470"/>
      <c r="E36" s="462"/>
      <c r="F36" s="463"/>
      <c r="G36" s="463"/>
      <c r="H36" s="463"/>
      <c r="I36" s="463"/>
      <c r="J36" s="422" t="str">
        <f>IF(AND('Mapa de Riesgos'!$H$66="Baja",'Mapa de Riesgos'!$L$66="Leve"),CONCATENATE("R",'Mapa de Riesgos'!$A$66),"")</f>
        <v/>
      </c>
      <c r="K36" s="423"/>
      <c r="L36" s="423" t="str">
        <f>IF(AND('Mapa de Riesgos'!$H$84="Baja",'Mapa de Riesgos'!$L$84="Leve"),CONCATENATE("R",'Mapa de Riesgos'!$A$84),"")</f>
        <v/>
      </c>
      <c r="M36" s="423"/>
      <c r="N36" s="423" t="str">
        <f>IF(AND('Mapa de Riesgos'!$H$90="Baja",'Mapa de Riesgos'!$L$90="Leve"),CONCATENATE("R",'Mapa de Riesgos'!$A$90),"")</f>
        <v/>
      </c>
      <c r="O36" s="424"/>
      <c r="P36" s="432" t="str">
        <f>IF(AND('Mapa de Riesgos'!$H$66="Baja",'Mapa de Riesgos'!$L$66="Menor"),CONCATENATE("R",'Mapa de Riesgos'!$A$66),"")</f>
        <v/>
      </c>
      <c r="Q36" s="432"/>
      <c r="R36" s="432" t="str">
        <f>IF(AND('Mapa de Riesgos'!$H$84="Baja",'Mapa de Riesgos'!$L$84="Menor"),CONCATENATE("R",'Mapa de Riesgos'!$A$84),"")</f>
        <v/>
      </c>
      <c r="S36" s="432"/>
      <c r="T36" s="432" t="str">
        <f>IF(AND('Mapa de Riesgos'!$H$90="Baja",'Mapa de Riesgos'!$L$90="Menor"),CONCATENATE("R",'Mapa de Riesgos'!$A$90),"")</f>
        <v/>
      </c>
      <c r="U36" s="433"/>
      <c r="V36" s="431" t="str">
        <f>IF(AND('Mapa de Riesgos'!$H$66="Baja",'Mapa de Riesgos'!$L$66="Moderado"),CONCATENATE("R",'Mapa de Riesgos'!$A$66),"")</f>
        <v/>
      </c>
      <c r="W36" s="432"/>
      <c r="X36" s="432" t="str">
        <f>IF(AND('Mapa de Riesgos'!$H$84="Baja",'Mapa de Riesgos'!$L$84="Moderado"),CONCATENATE("R",'Mapa de Riesgos'!$A$84),"")</f>
        <v/>
      </c>
      <c r="Y36" s="432"/>
      <c r="Z36" s="432" t="str">
        <f>IF(AND('Mapa de Riesgos'!$H$90="Baja",'Mapa de Riesgos'!$L$90="Moderado"),CONCATENATE("R",'Mapa de Riesgos'!$A$90),"")</f>
        <v/>
      </c>
      <c r="AA36" s="433"/>
      <c r="AB36" s="449" t="str">
        <f>IF(AND('Mapa de Riesgos'!$H$66="Baja",'Mapa de Riesgos'!$L$66="Mayor"),CONCATENATE("R",'Mapa de Riesgos'!$A$66),"")</f>
        <v/>
      </c>
      <c r="AC36" s="450"/>
      <c r="AD36" s="450" t="str">
        <f>IF(AND('Mapa de Riesgos'!$H$84="Baja",'Mapa de Riesgos'!$L$84="Mayor"),CONCATENATE("R",'Mapa de Riesgos'!$A$84),"")</f>
        <v/>
      </c>
      <c r="AE36" s="450"/>
      <c r="AF36" s="450" t="str">
        <f>IF(AND('Mapa de Riesgos'!$H$90="Baja",'Mapa de Riesgos'!$L$90="Mayor"),CONCATENATE("R",'Mapa de Riesgos'!$A$90),"")</f>
        <v/>
      </c>
      <c r="AG36" s="451"/>
      <c r="AH36" s="440" t="str">
        <f>IF(AND('Mapa de Riesgos'!$H$66="Baja",'Mapa de Riesgos'!$L$66="Catastrófico"),CONCATENATE("R",'Mapa de Riesgos'!$A$66),"")</f>
        <v/>
      </c>
      <c r="AI36" s="441"/>
      <c r="AJ36" s="441" t="str">
        <f>IF(AND('Mapa de Riesgos'!$H$84="Baja",'Mapa de Riesgos'!$L$84="Catastrófico"),CONCATENATE("R",'Mapa de Riesgos'!$A$84),"")</f>
        <v/>
      </c>
      <c r="AK36" s="441"/>
      <c r="AL36" s="441" t="str">
        <f>IF(AND('Mapa de Riesgos'!$H$90="Baja",'Mapa de Riesgos'!$L$90="Catastrófico"),CONCATENATE("R",'Mapa de Riesgos'!$A$90),"")</f>
        <v/>
      </c>
      <c r="AM36" s="442"/>
      <c r="AN36" s="81"/>
      <c r="AO36" s="501"/>
      <c r="AP36" s="502"/>
      <c r="AQ36" s="502"/>
      <c r="AR36" s="502"/>
      <c r="AS36" s="502"/>
      <c r="AT36" s="503"/>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69"/>
      <c r="C37" s="469"/>
      <c r="D37" s="470"/>
      <c r="E37" s="465"/>
      <c r="F37" s="466"/>
      <c r="G37" s="466"/>
      <c r="H37" s="466"/>
      <c r="I37" s="466"/>
      <c r="J37" s="425"/>
      <c r="K37" s="426"/>
      <c r="L37" s="426"/>
      <c r="M37" s="426"/>
      <c r="N37" s="426"/>
      <c r="O37" s="427"/>
      <c r="P37" s="435"/>
      <c r="Q37" s="435"/>
      <c r="R37" s="435"/>
      <c r="S37" s="435"/>
      <c r="T37" s="435"/>
      <c r="U37" s="436"/>
      <c r="V37" s="434"/>
      <c r="W37" s="435"/>
      <c r="X37" s="435"/>
      <c r="Y37" s="435"/>
      <c r="Z37" s="435"/>
      <c r="AA37" s="436"/>
      <c r="AB37" s="452"/>
      <c r="AC37" s="453"/>
      <c r="AD37" s="453"/>
      <c r="AE37" s="453"/>
      <c r="AF37" s="453"/>
      <c r="AG37" s="454"/>
      <c r="AH37" s="443"/>
      <c r="AI37" s="444"/>
      <c r="AJ37" s="444"/>
      <c r="AK37" s="444"/>
      <c r="AL37" s="444"/>
      <c r="AM37" s="445"/>
      <c r="AN37" s="81"/>
      <c r="AO37" s="504"/>
      <c r="AP37" s="505"/>
      <c r="AQ37" s="505"/>
      <c r="AR37" s="505"/>
      <c r="AS37" s="505"/>
      <c r="AT37" s="506"/>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69"/>
      <c r="C38" s="469"/>
      <c r="D38" s="470"/>
      <c r="E38" s="459" t="s">
        <v>200</v>
      </c>
      <c r="F38" s="460"/>
      <c r="G38" s="460"/>
      <c r="H38" s="460"/>
      <c r="I38" s="461"/>
      <c r="J38" s="428" t="str">
        <f>IF(AND('Mapa de Riesgos'!$H$12="Muy Baja",'Mapa de Riesgos'!$L$12="Leve"),CONCATENATE("R",'Mapa de Riesgos'!$A$12),"")</f>
        <v/>
      </c>
      <c r="K38" s="429"/>
      <c r="L38" s="429" t="str">
        <f>IF(AND('Mapa de Riesgos'!$H$18="Muy Baja",'Mapa de Riesgos'!$L$18="Leve"),CONCATENATE("R",'Mapa de Riesgos'!$A$18),"")</f>
        <v/>
      </c>
      <c r="M38" s="429"/>
      <c r="N38" s="429" t="str">
        <f>IF(AND('Mapa de Riesgos'!$H$24="Muy Baja",'Mapa de Riesgos'!$L$24="Leve"),CONCATENATE("R",'Mapa de Riesgos'!$A$24),"")</f>
        <v/>
      </c>
      <c r="O38" s="430"/>
      <c r="P38" s="428" t="str">
        <f>IF(AND('Mapa de Riesgos'!$H$12="Muy Baja",'Mapa de Riesgos'!$L$12="Menor"),CONCATENATE("R",'Mapa de Riesgos'!$A$12),"")</f>
        <v/>
      </c>
      <c r="Q38" s="429"/>
      <c r="R38" s="429" t="str">
        <f>IF(AND('Mapa de Riesgos'!$H$18="Muy Baja",'Mapa de Riesgos'!$L$18="Menor"),CONCATENATE("R",'Mapa de Riesgos'!$A$18),"")</f>
        <v/>
      </c>
      <c r="S38" s="429"/>
      <c r="T38" s="429" t="str">
        <f>IF(AND('Mapa de Riesgos'!$H$24="Muy Baja",'Mapa de Riesgos'!$L$24="Menor"),CONCATENATE("R",'Mapa de Riesgos'!$A$24),"")</f>
        <v/>
      </c>
      <c r="U38" s="430"/>
      <c r="V38" s="437" t="str">
        <f>IF(AND('Mapa de Riesgos'!$H$12="Muy Baja",'Mapa de Riesgos'!$L$12="Moderado"),CONCATENATE("R",'Mapa de Riesgos'!$A$12),"")</f>
        <v/>
      </c>
      <c r="W38" s="438"/>
      <c r="X38" s="438" t="str">
        <f>IF(AND('Mapa de Riesgos'!$H$18="Muy Baja",'Mapa de Riesgos'!$L$18="Moderado"),CONCATENATE("R",'Mapa de Riesgos'!$A$18),"")</f>
        <v/>
      </c>
      <c r="Y38" s="438"/>
      <c r="Z38" s="438" t="str">
        <f>IF(AND('Mapa de Riesgos'!$H$24="Muy Baja",'Mapa de Riesgos'!$L$24="Moderado"),CONCATENATE("R",'Mapa de Riesgos'!$A$24),"")</f>
        <v/>
      </c>
      <c r="AA38" s="439"/>
      <c r="AB38" s="455" t="str">
        <f>IF(AND('Mapa de Riesgos'!$H$12="Muy Baja",'Mapa de Riesgos'!$L$12="Mayor"),CONCATENATE("R",'Mapa de Riesgos'!$A$12),"")</f>
        <v/>
      </c>
      <c r="AC38" s="456"/>
      <c r="AD38" s="456" t="str">
        <f>IF(AND('Mapa de Riesgos'!$H$18="Muy Baja",'Mapa de Riesgos'!$L$18="Mayor"),CONCATENATE("R",'Mapa de Riesgos'!$A$18),"")</f>
        <v/>
      </c>
      <c r="AE38" s="456"/>
      <c r="AF38" s="456" t="str">
        <f>IF(AND('Mapa de Riesgos'!$H$24="Muy Baja",'Mapa de Riesgos'!$L$24="Mayor"),CONCATENATE("R",'Mapa de Riesgos'!$A$24),"")</f>
        <v/>
      </c>
      <c r="AG38" s="457"/>
      <c r="AH38" s="446" t="str">
        <f>IF(AND('Mapa de Riesgos'!$H$12="Muy Baja",'Mapa de Riesgos'!$L$12="Catastrófico"),CONCATENATE("R",'Mapa de Riesgos'!$A$12),"")</f>
        <v/>
      </c>
      <c r="AI38" s="447"/>
      <c r="AJ38" s="447" t="str">
        <f>IF(AND('Mapa de Riesgos'!$H$18="Muy Baja",'Mapa de Riesgos'!$L$18="Catastrófico"),CONCATENATE("R",'Mapa de Riesgos'!$A$18),"")</f>
        <v/>
      </c>
      <c r="AK38" s="447"/>
      <c r="AL38" s="447" t="str">
        <f>IF(AND('Mapa de Riesgos'!$H$24="Muy Baja",'Mapa de Riesgos'!$L$24="Catastrófico"),CONCATENATE("R",'Mapa de Riesgos'!$A$24),"")</f>
        <v/>
      </c>
      <c r="AM38" s="448"/>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69"/>
      <c r="C39" s="469"/>
      <c r="D39" s="470"/>
      <c r="E39" s="462"/>
      <c r="F39" s="463"/>
      <c r="G39" s="463"/>
      <c r="H39" s="463"/>
      <c r="I39" s="464"/>
      <c r="J39" s="422"/>
      <c r="K39" s="423"/>
      <c r="L39" s="423"/>
      <c r="M39" s="423"/>
      <c r="N39" s="423"/>
      <c r="O39" s="424"/>
      <c r="P39" s="422"/>
      <c r="Q39" s="423"/>
      <c r="R39" s="423"/>
      <c r="S39" s="423"/>
      <c r="T39" s="423"/>
      <c r="U39" s="424"/>
      <c r="V39" s="431"/>
      <c r="W39" s="432"/>
      <c r="X39" s="432"/>
      <c r="Y39" s="432"/>
      <c r="Z39" s="432"/>
      <c r="AA39" s="433"/>
      <c r="AB39" s="449"/>
      <c r="AC39" s="450"/>
      <c r="AD39" s="450"/>
      <c r="AE39" s="450"/>
      <c r="AF39" s="450"/>
      <c r="AG39" s="451"/>
      <c r="AH39" s="440"/>
      <c r="AI39" s="441"/>
      <c r="AJ39" s="441"/>
      <c r="AK39" s="441"/>
      <c r="AL39" s="441"/>
      <c r="AM39" s="442"/>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69"/>
      <c r="C40" s="469"/>
      <c r="D40" s="470"/>
      <c r="E40" s="462"/>
      <c r="F40" s="463"/>
      <c r="G40" s="463"/>
      <c r="H40" s="463"/>
      <c r="I40" s="464"/>
      <c r="J40" s="422" t="str">
        <f>IF(AND('Mapa de Riesgos'!$H$30="Muy Baja",'Mapa de Riesgos'!$L$30="Leve"),CONCATENATE("R",'Mapa de Riesgos'!$A$30),"")</f>
        <v/>
      </c>
      <c r="K40" s="423"/>
      <c r="L40" s="423" t="str">
        <f>IF(AND('Mapa de Riesgos'!$H$36="Muy Baja",'Mapa de Riesgos'!$L$36="Leve"),CONCATENATE("R",'Mapa de Riesgos'!$A$36),"")</f>
        <v/>
      </c>
      <c r="M40" s="423"/>
      <c r="N40" s="423" t="str">
        <f>IF(AND('Mapa de Riesgos'!$H$42="Muy Baja",'Mapa de Riesgos'!$L$42="Leve"),CONCATENATE("R",'Mapa de Riesgos'!$A$42),"")</f>
        <v/>
      </c>
      <c r="O40" s="424"/>
      <c r="P40" s="422" t="str">
        <f>IF(AND('Mapa de Riesgos'!$H$30="Muy Baja",'Mapa de Riesgos'!$L$30="Menor"),CONCATENATE("R",'Mapa de Riesgos'!$A$30),"")</f>
        <v/>
      </c>
      <c r="Q40" s="423"/>
      <c r="R40" s="423" t="str">
        <f>IF(AND('Mapa de Riesgos'!$H$36="Muy Baja",'Mapa de Riesgos'!$L$36="Menor"),CONCATENATE("R",'Mapa de Riesgos'!$A$36),"")</f>
        <v/>
      </c>
      <c r="S40" s="423"/>
      <c r="T40" s="423" t="str">
        <f>IF(AND('Mapa de Riesgos'!$H$42="Muy Baja",'Mapa de Riesgos'!$L$42="Menor"),CONCATENATE("R",'Mapa de Riesgos'!$A$42),"")</f>
        <v/>
      </c>
      <c r="U40" s="424"/>
      <c r="V40" s="431" t="str">
        <f>IF(AND('Mapa de Riesgos'!$H$30="Muy Baja",'Mapa de Riesgos'!$L$30="Moderado"),CONCATENATE("R",'Mapa de Riesgos'!$A$30),"")</f>
        <v/>
      </c>
      <c r="W40" s="432"/>
      <c r="X40" s="432" t="str">
        <f>IF(AND('Mapa de Riesgos'!$H$36="Muy Baja",'Mapa de Riesgos'!$L$36="Moderado"),CONCATENATE("R",'Mapa de Riesgos'!$A$36),"")</f>
        <v/>
      </c>
      <c r="Y40" s="432"/>
      <c r="Z40" s="432" t="str">
        <f>IF(AND('Mapa de Riesgos'!$H$42="Muy Baja",'Mapa de Riesgos'!$L$42="Moderado"),CONCATENATE("R",'Mapa de Riesgos'!$A$42),"")</f>
        <v/>
      </c>
      <c r="AA40" s="433"/>
      <c r="AB40" s="449" t="str">
        <f>IF(AND('Mapa de Riesgos'!$H$30="Muy Baja",'Mapa de Riesgos'!$L$30="Mayor"),CONCATENATE("R",'Mapa de Riesgos'!$A$30),"")</f>
        <v/>
      </c>
      <c r="AC40" s="450"/>
      <c r="AD40" s="450" t="str">
        <f>IF(AND('Mapa de Riesgos'!$H$36="Muy Baja",'Mapa de Riesgos'!$L$36="Mayor"),CONCATENATE("R",'Mapa de Riesgos'!$A$36),"")</f>
        <v/>
      </c>
      <c r="AE40" s="450"/>
      <c r="AF40" s="450" t="str">
        <f>IF(AND('Mapa de Riesgos'!$H$42="Muy Baja",'Mapa de Riesgos'!$L$42="Mayor"),CONCATENATE("R",'Mapa de Riesgos'!$A$42),"")</f>
        <v/>
      </c>
      <c r="AG40" s="451"/>
      <c r="AH40" s="440" t="str">
        <f>IF(AND('Mapa de Riesgos'!$H$30="Muy Baja",'Mapa de Riesgos'!$L$30="Catastrófico"),CONCATENATE("R",'Mapa de Riesgos'!$A$30),"")</f>
        <v/>
      </c>
      <c r="AI40" s="441"/>
      <c r="AJ40" s="441" t="str">
        <f>IF(AND('Mapa de Riesgos'!$H$36="Muy Baja",'Mapa de Riesgos'!$L$36="Catastrófico"),CONCATENATE("R",'Mapa de Riesgos'!$A$36),"")</f>
        <v/>
      </c>
      <c r="AK40" s="441"/>
      <c r="AL40" s="441" t="str">
        <f>IF(AND('Mapa de Riesgos'!$H$42="Muy Baja",'Mapa de Riesgos'!$L$42="Catastrófico"),CONCATENATE("R",'Mapa de Riesgos'!$A$42),"")</f>
        <v/>
      </c>
      <c r="AM40" s="442"/>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69"/>
      <c r="C41" s="469"/>
      <c r="D41" s="470"/>
      <c r="E41" s="462"/>
      <c r="F41" s="463"/>
      <c r="G41" s="463"/>
      <c r="H41" s="463"/>
      <c r="I41" s="464"/>
      <c r="J41" s="422"/>
      <c r="K41" s="423"/>
      <c r="L41" s="423"/>
      <c r="M41" s="423"/>
      <c r="N41" s="423"/>
      <c r="O41" s="424"/>
      <c r="P41" s="422"/>
      <c r="Q41" s="423"/>
      <c r="R41" s="423"/>
      <c r="S41" s="423"/>
      <c r="T41" s="423"/>
      <c r="U41" s="424"/>
      <c r="V41" s="431"/>
      <c r="W41" s="432"/>
      <c r="X41" s="432"/>
      <c r="Y41" s="432"/>
      <c r="Z41" s="432"/>
      <c r="AA41" s="433"/>
      <c r="AB41" s="449"/>
      <c r="AC41" s="450"/>
      <c r="AD41" s="450"/>
      <c r="AE41" s="450"/>
      <c r="AF41" s="450"/>
      <c r="AG41" s="451"/>
      <c r="AH41" s="440"/>
      <c r="AI41" s="441"/>
      <c r="AJ41" s="441"/>
      <c r="AK41" s="441"/>
      <c r="AL41" s="441"/>
      <c r="AM41" s="442"/>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69"/>
      <c r="C42" s="469"/>
      <c r="D42" s="470"/>
      <c r="E42" s="462"/>
      <c r="F42" s="463"/>
      <c r="G42" s="463"/>
      <c r="H42" s="463"/>
      <c r="I42" s="464"/>
      <c r="J42" s="422" t="str">
        <f>IF(AND('Mapa de Riesgos'!$H$48="Muy Baja",'Mapa de Riesgos'!$L$48="Leve"),CONCATENATE("R",'Mapa de Riesgos'!$A$48),"")</f>
        <v/>
      </c>
      <c r="K42" s="423"/>
      <c r="L42" s="423" t="str">
        <f>IF(AND('Mapa de Riesgos'!$H$54="Muy Baja",'Mapa de Riesgos'!$L$54="Leve"),CONCATENATE("R",'Mapa de Riesgos'!$A$54),"")</f>
        <v/>
      </c>
      <c r="M42" s="423"/>
      <c r="N42" s="423" t="str">
        <f>IF(AND('Mapa de Riesgos'!$H$60="Muy Baja",'Mapa de Riesgos'!$L$60="Leve"),CONCATENATE("R",'Mapa de Riesgos'!$A$60),"")</f>
        <v/>
      </c>
      <c r="O42" s="424"/>
      <c r="P42" s="422" t="str">
        <f>IF(AND('Mapa de Riesgos'!$H$48="Muy Baja",'Mapa de Riesgos'!$L$48="Menor"),CONCATENATE("R",'Mapa de Riesgos'!$A$48),"")</f>
        <v/>
      </c>
      <c r="Q42" s="423"/>
      <c r="R42" s="423" t="str">
        <f>IF(AND('Mapa de Riesgos'!$H$54="Muy Baja",'Mapa de Riesgos'!$L$54="Menor"),CONCATENATE("R",'Mapa de Riesgos'!$A$54),"")</f>
        <v/>
      </c>
      <c r="S42" s="423"/>
      <c r="T42" s="423" t="str">
        <f>IF(AND('Mapa de Riesgos'!$H$60="Muy Baja",'Mapa de Riesgos'!$L$60="Menor"),CONCATENATE("R",'Mapa de Riesgos'!$A$60),"")</f>
        <v/>
      </c>
      <c r="U42" s="424"/>
      <c r="V42" s="431" t="str">
        <f>IF(AND('Mapa de Riesgos'!$H$48="Muy Baja",'Mapa de Riesgos'!$L$48="Moderado"),CONCATENATE("R",'Mapa de Riesgos'!$A$48),"")</f>
        <v/>
      </c>
      <c r="W42" s="432"/>
      <c r="X42" s="432" t="str">
        <f>IF(AND('Mapa de Riesgos'!$H$54="Muy Baja",'Mapa de Riesgos'!$L$54="Moderado"),CONCATENATE("R",'Mapa de Riesgos'!$A$54),"")</f>
        <v/>
      </c>
      <c r="Y42" s="432"/>
      <c r="Z42" s="432" t="str">
        <f>IF(AND('Mapa de Riesgos'!$H$60="Muy Baja",'Mapa de Riesgos'!$L$60="Moderado"),CONCATENATE("R",'Mapa de Riesgos'!$A$60),"")</f>
        <v/>
      </c>
      <c r="AA42" s="433"/>
      <c r="AB42" s="449" t="str">
        <f>IF(AND('Mapa de Riesgos'!$H$48="Muy Baja",'Mapa de Riesgos'!$L$48="Mayor"),CONCATENATE("R",'Mapa de Riesgos'!$A$48),"")</f>
        <v/>
      </c>
      <c r="AC42" s="450"/>
      <c r="AD42" s="450" t="str">
        <f>IF(AND('Mapa de Riesgos'!$H$54="Muy Baja",'Mapa de Riesgos'!$L$54="Mayor"),CONCATENATE("R",'Mapa de Riesgos'!$A$54),"")</f>
        <v/>
      </c>
      <c r="AE42" s="450"/>
      <c r="AF42" s="450" t="str">
        <f>IF(AND('Mapa de Riesgos'!$H$60="Muy Baja",'Mapa de Riesgos'!$L$60="Mayor"),CONCATENATE("R",'Mapa de Riesgos'!$A$60),"")</f>
        <v/>
      </c>
      <c r="AG42" s="451"/>
      <c r="AH42" s="440" t="str">
        <f>IF(AND('Mapa de Riesgos'!$H$48="Muy Baja",'Mapa de Riesgos'!$L$48="Catastrófico"),CONCATENATE("R",'Mapa de Riesgos'!$A$48),"")</f>
        <v/>
      </c>
      <c r="AI42" s="441"/>
      <c r="AJ42" s="441" t="str">
        <f>IF(AND('Mapa de Riesgos'!$H$54="Muy Baja",'Mapa de Riesgos'!$L$54="Catastrófico"),CONCATENATE("R",'Mapa de Riesgos'!$A$54),"")</f>
        <v/>
      </c>
      <c r="AK42" s="441"/>
      <c r="AL42" s="441" t="str">
        <f>IF(AND('Mapa de Riesgos'!$H$60="Muy Baja",'Mapa de Riesgos'!$L$60="Catastrófico"),CONCATENATE("R",'Mapa de Riesgos'!$A$60),"")</f>
        <v/>
      </c>
      <c r="AM42" s="442"/>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69"/>
      <c r="C43" s="469"/>
      <c r="D43" s="470"/>
      <c r="E43" s="462"/>
      <c r="F43" s="463"/>
      <c r="G43" s="463"/>
      <c r="H43" s="463"/>
      <c r="I43" s="464"/>
      <c r="J43" s="422"/>
      <c r="K43" s="423"/>
      <c r="L43" s="423"/>
      <c r="M43" s="423"/>
      <c r="N43" s="423"/>
      <c r="O43" s="424"/>
      <c r="P43" s="422"/>
      <c r="Q43" s="423"/>
      <c r="R43" s="423"/>
      <c r="S43" s="423"/>
      <c r="T43" s="423"/>
      <c r="U43" s="424"/>
      <c r="V43" s="431"/>
      <c r="W43" s="432"/>
      <c r="X43" s="432"/>
      <c r="Y43" s="432"/>
      <c r="Z43" s="432"/>
      <c r="AA43" s="433"/>
      <c r="AB43" s="449"/>
      <c r="AC43" s="450"/>
      <c r="AD43" s="450"/>
      <c r="AE43" s="450"/>
      <c r="AF43" s="450"/>
      <c r="AG43" s="451"/>
      <c r="AH43" s="440"/>
      <c r="AI43" s="441"/>
      <c r="AJ43" s="441"/>
      <c r="AK43" s="441"/>
      <c r="AL43" s="441"/>
      <c r="AM43" s="442"/>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69"/>
      <c r="C44" s="469"/>
      <c r="D44" s="470"/>
      <c r="E44" s="462"/>
      <c r="F44" s="463"/>
      <c r="G44" s="463"/>
      <c r="H44" s="463"/>
      <c r="I44" s="464"/>
      <c r="J44" s="422" t="str">
        <f>IF(AND('Mapa de Riesgos'!$H$66="Muy Baja",'Mapa de Riesgos'!$L$66="Leve"),CONCATENATE("R",'Mapa de Riesgos'!$A$66),"")</f>
        <v/>
      </c>
      <c r="K44" s="423"/>
      <c r="L44" s="423" t="str">
        <f>IF(AND('Mapa de Riesgos'!$H$84="Muy Baja",'Mapa de Riesgos'!$L$84="Leve"),CONCATENATE("R",'Mapa de Riesgos'!$A$84),"")</f>
        <v/>
      </c>
      <c r="M44" s="423"/>
      <c r="N44" s="423" t="str">
        <f>IF(AND('Mapa de Riesgos'!$H$90="Muy Baja",'Mapa de Riesgos'!$L$90="Leve"),CONCATENATE("R",'Mapa de Riesgos'!$A$90),"")</f>
        <v/>
      </c>
      <c r="O44" s="424"/>
      <c r="P44" s="422" t="str">
        <f>IF(AND('Mapa de Riesgos'!$H$66="Muy Baja",'Mapa de Riesgos'!$L$66="Menor"),CONCATENATE("R",'Mapa de Riesgos'!$A$66),"")</f>
        <v/>
      </c>
      <c r="Q44" s="423"/>
      <c r="R44" s="423" t="str">
        <f>IF(AND('Mapa de Riesgos'!$H$84="Muy Baja",'Mapa de Riesgos'!$L$84="Menor"),CONCATENATE("R",'Mapa de Riesgos'!$A$84),"")</f>
        <v/>
      </c>
      <c r="S44" s="423"/>
      <c r="T44" s="423" t="str">
        <f>IF(AND('Mapa de Riesgos'!$H$90="Muy Baja",'Mapa de Riesgos'!$L$90="Menor"),CONCATENATE("R",'Mapa de Riesgos'!$A$90),"")</f>
        <v/>
      </c>
      <c r="U44" s="424"/>
      <c r="V44" s="431" t="str">
        <f>IF(AND('Mapa de Riesgos'!$H$66="Muy Baja",'Mapa de Riesgos'!$L$66="Moderado"),CONCATENATE("R",'Mapa de Riesgos'!$A$66),"")</f>
        <v/>
      </c>
      <c r="W44" s="432"/>
      <c r="X44" s="432" t="str">
        <f>IF(AND('Mapa de Riesgos'!$H$84="Muy Baja",'Mapa de Riesgos'!$L$84="Moderado"),CONCATENATE("R",'Mapa de Riesgos'!$A$84),"")</f>
        <v/>
      </c>
      <c r="Y44" s="432"/>
      <c r="Z44" s="432" t="str">
        <f>IF(AND('Mapa de Riesgos'!$H$90="Muy Baja",'Mapa de Riesgos'!$L$90="Moderado"),CONCATENATE("R",'Mapa de Riesgos'!$A$90),"")</f>
        <v/>
      </c>
      <c r="AA44" s="433"/>
      <c r="AB44" s="449" t="str">
        <f>IF(AND('Mapa de Riesgos'!$H$66="Muy Baja",'Mapa de Riesgos'!$L$66="Mayor"),CONCATENATE("R",'Mapa de Riesgos'!$A$66),"")</f>
        <v/>
      </c>
      <c r="AC44" s="450"/>
      <c r="AD44" s="450" t="str">
        <f>IF(AND('Mapa de Riesgos'!$H$84="Muy Baja",'Mapa de Riesgos'!$L$84="Mayor"),CONCATENATE("R",'Mapa de Riesgos'!$A$84),"")</f>
        <v/>
      </c>
      <c r="AE44" s="450"/>
      <c r="AF44" s="450" t="str">
        <f>IF(AND('Mapa de Riesgos'!$H$90="Muy Baja",'Mapa de Riesgos'!$L$90="Mayor"),CONCATENATE("R",'Mapa de Riesgos'!$A$90),"")</f>
        <v/>
      </c>
      <c r="AG44" s="451"/>
      <c r="AH44" s="440" t="str">
        <f>IF(AND('Mapa de Riesgos'!$H$66="Muy Baja",'Mapa de Riesgos'!$L$66="Catastrófico"),CONCATENATE("R",'Mapa de Riesgos'!$A$66),"")</f>
        <v/>
      </c>
      <c r="AI44" s="441"/>
      <c r="AJ44" s="441" t="str">
        <f>IF(AND('Mapa de Riesgos'!$H$84="Muy Baja",'Mapa de Riesgos'!$L$84="Catastrófico"),CONCATENATE("R",'Mapa de Riesgos'!$A$84),"")</f>
        <v/>
      </c>
      <c r="AK44" s="441"/>
      <c r="AL44" s="441" t="str">
        <f>IF(AND('Mapa de Riesgos'!$H$90="Muy Baja",'Mapa de Riesgos'!$L$90="Catastrófico"),CONCATENATE("R",'Mapa de Riesgos'!$A$90),"")</f>
        <v/>
      </c>
      <c r="AM44" s="442"/>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69"/>
      <c r="C45" s="469"/>
      <c r="D45" s="470"/>
      <c r="E45" s="465"/>
      <c r="F45" s="466"/>
      <c r="G45" s="466"/>
      <c r="H45" s="466"/>
      <c r="I45" s="467"/>
      <c r="J45" s="425"/>
      <c r="K45" s="426"/>
      <c r="L45" s="426"/>
      <c r="M45" s="426"/>
      <c r="N45" s="426"/>
      <c r="O45" s="427"/>
      <c r="P45" s="425"/>
      <c r="Q45" s="426"/>
      <c r="R45" s="426"/>
      <c r="S45" s="426"/>
      <c r="T45" s="426"/>
      <c r="U45" s="427"/>
      <c r="V45" s="434"/>
      <c r="W45" s="435"/>
      <c r="X45" s="435"/>
      <c r="Y45" s="435"/>
      <c r="Z45" s="435"/>
      <c r="AA45" s="436"/>
      <c r="AB45" s="452"/>
      <c r="AC45" s="453"/>
      <c r="AD45" s="453"/>
      <c r="AE45" s="453"/>
      <c r="AF45" s="453"/>
      <c r="AG45" s="454"/>
      <c r="AH45" s="443"/>
      <c r="AI45" s="444"/>
      <c r="AJ45" s="444"/>
      <c r="AK45" s="444"/>
      <c r="AL45" s="444"/>
      <c r="AM45" s="445"/>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59" t="s">
        <v>201</v>
      </c>
      <c r="K46" s="460"/>
      <c r="L46" s="460"/>
      <c r="M46" s="460"/>
      <c r="N46" s="460"/>
      <c r="O46" s="461"/>
      <c r="P46" s="459" t="s">
        <v>202</v>
      </c>
      <c r="Q46" s="460"/>
      <c r="R46" s="460"/>
      <c r="S46" s="460"/>
      <c r="T46" s="460"/>
      <c r="U46" s="461"/>
      <c r="V46" s="459" t="s">
        <v>203</v>
      </c>
      <c r="W46" s="460"/>
      <c r="X46" s="460"/>
      <c r="Y46" s="460"/>
      <c r="Z46" s="460"/>
      <c r="AA46" s="461"/>
      <c r="AB46" s="459" t="s">
        <v>204</v>
      </c>
      <c r="AC46" s="468"/>
      <c r="AD46" s="460"/>
      <c r="AE46" s="460"/>
      <c r="AF46" s="460"/>
      <c r="AG46" s="461"/>
      <c r="AH46" s="459" t="s">
        <v>205</v>
      </c>
      <c r="AI46" s="460"/>
      <c r="AJ46" s="460"/>
      <c r="AK46" s="460"/>
      <c r="AL46" s="460"/>
      <c r="AM46" s="46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36" t="s">
        <v>206</v>
      </c>
      <c r="C2" s="537"/>
      <c r="D2" s="537"/>
      <c r="E2" s="537"/>
      <c r="F2" s="537"/>
      <c r="G2" s="537"/>
      <c r="H2" s="537"/>
      <c r="I2" s="537"/>
      <c r="J2" s="458" t="s">
        <v>23</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37"/>
      <c r="C3" s="537"/>
      <c r="D3" s="537"/>
      <c r="E3" s="537"/>
      <c r="F3" s="537"/>
      <c r="G3" s="537"/>
      <c r="H3" s="537"/>
      <c r="I3" s="537"/>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37"/>
      <c r="C4" s="537"/>
      <c r="D4" s="537"/>
      <c r="E4" s="537"/>
      <c r="F4" s="537"/>
      <c r="G4" s="537"/>
      <c r="H4" s="537"/>
      <c r="I4" s="537"/>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69" t="s">
        <v>191</v>
      </c>
      <c r="C6" s="469"/>
      <c r="D6" s="470"/>
      <c r="E6" s="507" t="s">
        <v>192</v>
      </c>
      <c r="F6" s="508"/>
      <c r="G6" s="508"/>
      <c r="H6" s="508"/>
      <c r="I6" s="509"/>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27" t="s">
        <v>193</v>
      </c>
      <c r="AP6" s="528"/>
      <c r="AQ6" s="528"/>
      <c r="AR6" s="528"/>
      <c r="AS6" s="528"/>
      <c r="AT6" s="529"/>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69"/>
      <c r="C7" s="469"/>
      <c r="D7" s="470"/>
      <c r="E7" s="510"/>
      <c r="F7" s="511"/>
      <c r="G7" s="511"/>
      <c r="H7" s="511"/>
      <c r="I7" s="512"/>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0"/>
      <c r="AP7" s="531"/>
      <c r="AQ7" s="531"/>
      <c r="AR7" s="531"/>
      <c r="AS7" s="531"/>
      <c r="AT7" s="532"/>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69"/>
      <c r="C8" s="469"/>
      <c r="D8" s="470"/>
      <c r="E8" s="510"/>
      <c r="F8" s="511"/>
      <c r="G8" s="511"/>
      <c r="H8" s="511"/>
      <c r="I8" s="512"/>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0"/>
      <c r="AP8" s="531"/>
      <c r="AQ8" s="531"/>
      <c r="AR8" s="531"/>
      <c r="AS8" s="531"/>
      <c r="AT8" s="532"/>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69"/>
      <c r="C9" s="469"/>
      <c r="D9" s="470"/>
      <c r="E9" s="510"/>
      <c r="F9" s="511"/>
      <c r="G9" s="511"/>
      <c r="H9" s="511"/>
      <c r="I9" s="512"/>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0"/>
      <c r="AP9" s="531"/>
      <c r="AQ9" s="531"/>
      <c r="AR9" s="531"/>
      <c r="AS9" s="531"/>
      <c r="AT9" s="532"/>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69"/>
      <c r="C10" s="469"/>
      <c r="D10" s="470"/>
      <c r="E10" s="510"/>
      <c r="F10" s="511"/>
      <c r="G10" s="511"/>
      <c r="H10" s="511"/>
      <c r="I10" s="512"/>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0"/>
      <c r="AP10" s="531"/>
      <c r="AQ10" s="531"/>
      <c r="AR10" s="531"/>
      <c r="AS10" s="531"/>
      <c r="AT10" s="532"/>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69"/>
      <c r="C11" s="469"/>
      <c r="D11" s="470"/>
      <c r="E11" s="510"/>
      <c r="F11" s="511"/>
      <c r="G11" s="511"/>
      <c r="H11" s="511"/>
      <c r="I11" s="512"/>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0"/>
      <c r="AP11" s="531"/>
      <c r="AQ11" s="531"/>
      <c r="AR11" s="531"/>
      <c r="AS11" s="531"/>
      <c r="AT11" s="532"/>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69"/>
      <c r="C12" s="469"/>
      <c r="D12" s="470"/>
      <c r="E12" s="510"/>
      <c r="F12" s="511"/>
      <c r="G12" s="511"/>
      <c r="H12" s="511"/>
      <c r="I12" s="512"/>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0"/>
      <c r="AP12" s="531"/>
      <c r="AQ12" s="531"/>
      <c r="AR12" s="531"/>
      <c r="AS12" s="531"/>
      <c r="AT12" s="532"/>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69"/>
      <c r="C13" s="469"/>
      <c r="D13" s="470"/>
      <c r="E13" s="510"/>
      <c r="F13" s="511"/>
      <c r="G13" s="511"/>
      <c r="H13" s="511"/>
      <c r="I13" s="512"/>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0"/>
      <c r="AP13" s="531"/>
      <c r="AQ13" s="531"/>
      <c r="AR13" s="531"/>
      <c r="AS13" s="531"/>
      <c r="AT13" s="532"/>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69"/>
      <c r="C14" s="469"/>
      <c r="D14" s="470"/>
      <c r="E14" s="510"/>
      <c r="F14" s="511"/>
      <c r="G14" s="511"/>
      <c r="H14" s="511"/>
      <c r="I14" s="512"/>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0"/>
      <c r="AP14" s="531"/>
      <c r="AQ14" s="531"/>
      <c r="AR14" s="531"/>
      <c r="AS14" s="531"/>
      <c r="AT14" s="53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69"/>
      <c r="C15" s="469"/>
      <c r="D15" s="470"/>
      <c r="E15" s="513"/>
      <c r="F15" s="514"/>
      <c r="G15" s="514"/>
      <c r="H15" s="514"/>
      <c r="I15" s="515"/>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33"/>
      <c r="AP15" s="534"/>
      <c r="AQ15" s="534"/>
      <c r="AR15" s="534"/>
      <c r="AS15" s="534"/>
      <c r="AT15" s="53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69"/>
      <c r="C16" s="469"/>
      <c r="D16" s="470"/>
      <c r="E16" s="507" t="s">
        <v>194</v>
      </c>
      <c r="F16" s="508"/>
      <c r="G16" s="508"/>
      <c r="H16" s="508"/>
      <c r="I16" s="508"/>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17" t="s">
        <v>195</v>
      </c>
      <c r="AP16" s="518"/>
      <c r="AQ16" s="518"/>
      <c r="AR16" s="518"/>
      <c r="AS16" s="518"/>
      <c r="AT16" s="51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69"/>
      <c r="C17" s="469"/>
      <c r="D17" s="470"/>
      <c r="E17" s="526"/>
      <c r="F17" s="511"/>
      <c r="G17" s="511"/>
      <c r="H17" s="511"/>
      <c r="I17" s="511"/>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20"/>
      <c r="AP17" s="521"/>
      <c r="AQ17" s="521"/>
      <c r="AR17" s="521"/>
      <c r="AS17" s="521"/>
      <c r="AT17" s="52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69"/>
      <c r="C18" s="469"/>
      <c r="D18" s="470"/>
      <c r="E18" s="510"/>
      <c r="F18" s="511"/>
      <c r="G18" s="511"/>
      <c r="H18" s="511"/>
      <c r="I18" s="511"/>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20"/>
      <c r="AP18" s="521"/>
      <c r="AQ18" s="521"/>
      <c r="AR18" s="521"/>
      <c r="AS18" s="521"/>
      <c r="AT18" s="52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69"/>
      <c r="C19" s="469"/>
      <c r="D19" s="470"/>
      <c r="E19" s="510"/>
      <c r="F19" s="511"/>
      <c r="G19" s="511"/>
      <c r="H19" s="511"/>
      <c r="I19" s="511"/>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20"/>
      <c r="AP19" s="521"/>
      <c r="AQ19" s="521"/>
      <c r="AR19" s="521"/>
      <c r="AS19" s="521"/>
      <c r="AT19" s="52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69"/>
      <c r="C20" s="469"/>
      <c r="D20" s="470"/>
      <c r="E20" s="510"/>
      <c r="F20" s="511"/>
      <c r="G20" s="511"/>
      <c r="H20" s="511"/>
      <c r="I20" s="511"/>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20"/>
      <c r="AP20" s="521"/>
      <c r="AQ20" s="521"/>
      <c r="AR20" s="521"/>
      <c r="AS20" s="521"/>
      <c r="AT20" s="52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69"/>
      <c r="C21" s="469"/>
      <c r="D21" s="470"/>
      <c r="E21" s="510"/>
      <c r="F21" s="511"/>
      <c r="G21" s="511"/>
      <c r="H21" s="511"/>
      <c r="I21" s="511"/>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20"/>
      <c r="AP21" s="521"/>
      <c r="AQ21" s="521"/>
      <c r="AR21" s="521"/>
      <c r="AS21" s="521"/>
      <c r="AT21" s="52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69"/>
      <c r="C22" s="469"/>
      <c r="D22" s="470"/>
      <c r="E22" s="510"/>
      <c r="F22" s="511"/>
      <c r="G22" s="511"/>
      <c r="H22" s="511"/>
      <c r="I22" s="511"/>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20"/>
      <c r="AP22" s="521"/>
      <c r="AQ22" s="521"/>
      <c r="AR22" s="521"/>
      <c r="AS22" s="521"/>
      <c r="AT22" s="52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69"/>
      <c r="C23" s="469"/>
      <c r="D23" s="470"/>
      <c r="E23" s="510"/>
      <c r="F23" s="511"/>
      <c r="G23" s="511"/>
      <c r="H23" s="511"/>
      <c r="I23" s="511"/>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20"/>
      <c r="AP23" s="521"/>
      <c r="AQ23" s="521"/>
      <c r="AR23" s="521"/>
      <c r="AS23" s="521"/>
      <c r="AT23" s="52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69"/>
      <c r="C24" s="469"/>
      <c r="D24" s="470"/>
      <c r="E24" s="510"/>
      <c r="F24" s="511"/>
      <c r="G24" s="511"/>
      <c r="H24" s="511"/>
      <c r="I24" s="511"/>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20"/>
      <c r="AP24" s="521"/>
      <c r="AQ24" s="521"/>
      <c r="AR24" s="521"/>
      <c r="AS24" s="521"/>
      <c r="AT24" s="52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69"/>
      <c r="C25" s="469"/>
      <c r="D25" s="470"/>
      <c r="E25" s="513"/>
      <c r="F25" s="514"/>
      <c r="G25" s="514"/>
      <c r="H25" s="514"/>
      <c r="I25" s="514"/>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23"/>
      <c r="AP25" s="524"/>
      <c r="AQ25" s="524"/>
      <c r="AR25" s="524"/>
      <c r="AS25" s="524"/>
      <c r="AT25" s="52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69"/>
      <c r="C26" s="469"/>
      <c r="D26" s="470"/>
      <c r="E26" s="507" t="s">
        <v>196</v>
      </c>
      <c r="F26" s="508"/>
      <c r="G26" s="508"/>
      <c r="H26" s="508"/>
      <c r="I26" s="509"/>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47" t="s">
        <v>197</v>
      </c>
      <c r="AP26" s="548"/>
      <c r="AQ26" s="548"/>
      <c r="AR26" s="548"/>
      <c r="AS26" s="548"/>
      <c r="AT26" s="549"/>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69"/>
      <c r="C27" s="469"/>
      <c r="D27" s="470"/>
      <c r="E27" s="526"/>
      <c r="F27" s="511"/>
      <c r="G27" s="511"/>
      <c r="H27" s="511"/>
      <c r="I27" s="512"/>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0"/>
      <c r="AP27" s="551"/>
      <c r="AQ27" s="551"/>
      <c r="AR27" s="551"/>
      <c r="AS27" s="551"/>
      <c r="AT27" s="55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69"/>
      <c r="C28" s="469"/>
      <c r="D28" s="470"/>
      <c r="E28" s="510"/>
      <c r="F28" s="511"/>
      <c r="G28" s="511"/>
      <c r="H28" s="511"/>
      <c r="I28" s="512"/>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0"/>
      <c r="AP28" s="551"/>
      <c r="AQ28" s="551"/>
      <c r="AR28" s="551"/>
      <c r="AS28" s="551"/>
      <c r="AT28" s="55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69"/>
      <c r="C29" s="469"/>
      <c r="D29" s="470"/>
      <c r="E29" s="510"/>
      <c r="F29" s="511"/>
      <c r="G29" s="511"/>
      <c r="H29" s="511"/>
      <c r="I29" s="512"/>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0"/>
      <c r="AP29" s="551"/>
      <c r="AQ29" s="551"/>
      <c r="AR29" s="551"/>
      <c r="AS29" s="551"/>
      <c r="AT29" s="552"/>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69"/>
      <c r="C30" s="469"/>
      <c r="D30" s="470"/>
      <c r="E30" s="510"/>
      <c r="F30" s="511"/>
      <c r="G30" s="511"/>
      <c r="H30" s="511"/>
      <c r="I30" s="512"/>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0"/>
      <c r="AP30" s="551"/>
      <c r="AQ30" s="551"/>
      <c r="AR30" s="551"/>
      <c r="AS30" s="551"/>
      <c r="AT30" s="552"/>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69"/>
      <c r="C31" s="469"/>
      <c r="D31" s="470"/>
      <c r="E31" s="510"/>
      <c r="F31" s="511"/>
      <c r="G31" s="511"/>
      <c r="H31" s="511"/>
      <c r="I31" s="512"/>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0"/>
      <c r="AP31" s="551"/>
      <c r="AQ31" s="551"/>
      <c r="AR31" s="551"/>
      <c r="AS31" s="551"/>
      <c r="AT31" s="552"/>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69"/>
      <c r="C32" s="469"/>
      <c r="D32" s="470"/>
      <c r="E32" s="510"/>
      <c r="F32" s="511"/>
      <c r="G32" s="511"/>
      <c r="H32" s="511"/>
      <c r="I32" s="512"/>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0"/>
      <c r="AP32" s="551"/>
      <c r="AQ32" s="551"/>
      <c r="AR32" s="551"/>
      <c r="AS32" s="551"/>
      <c r="AT32" s="552"/>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69"/>
      <c r="C33" s="469"/>
      <c r="D33" s="470"/>
      <c r="E33" s="510"/>
      <c r="F33" s="511"/>
      <c r="G33" s="511"/>
      <c r="H33" s="511"/>
      <c r="I33" s="512"/>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0"/>
      <c r="AP33" s="551"/>
      <c r="AQ33" s="551"/>
      <c r="AR33" s="551"/>
      <c r="AS33" s="551"/>
      <c r="AT33" s="552"/>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69"/>
      <c r="C34" s="469"/>
      <c r="D34" s="470"/>
      <c r="E34" s="510"/>
      <c r="F34" s="511"/>
      <c r="G34" s="511"/>
      <c r="H34" s="511"/>
      <c r="I34" s="512"/>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0"/>
      <c r="AP34" s="551"/>
      <c r="AQ34" s="551"/>
      <c r="AR34" s="551"/>
      <c r="AS34" s="551"/>
      <c r="AT34" s="552"/>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69"/>
      <c r="C35" s="469"/>
      <c r="D35" s="470"/>
      <c r="E35" s="513"/>
      <c r="F35" s="514"/>
      <c r="G35" s="514"/>
      <c r="H35" s="514"/>
      <c r="I35" s="515"/>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53"/>
      <c r="AP35" s="554"/>
      <c r="AQ35" s="554"/>
      <c r="AR35" s="554"/>
      <c r="AS35" s="554"/>
      <c r="AT35" s="555"/>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69"/>
      <c r="C36" s="469"/>
      <c r="D36" s="470"/>
      <c r="E36" s="507" t="s">
        <v>198</v>
      </c>
      <c r="F36" s="508"/>
      <c r="G36" s="508"/>
      <c r="H36" s="508"/>
      <c r="I36" s="508"/>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38" t="s">
        <v>199</v>
      </c>
      <c r="AP36" s="539"/>
      <c r="AQ36" s="539"/>
      <c r="AR36" s="539"/>
      <c r="AS36" s="539"/>
      <c r="AT36" s="54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69"/>
      <c r="C37" s="469"/>
      <c r="D37" s="470"/>
      <c r="E37" s="526"/>
      <c r="F37" s="511"/>
      <c r="G37" s="511"/>
      <c r="H37" s="511"/>
      <c r="I37" s="511"/>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R2C1</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1"/>
      <c r="AP37" s="542"/>
      <c r="AQ37" s="542"/>
      <c r="AR37" s="542"/>
      <c r="AS37" s="542"/>
      <c r="AT37" s="54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69"/>
      <c r="C38" s="469"/>
      <c r="D38" s="470"/>
      <c r="E38" s="510"/>
      <c r="F38" s="511"/>
      <c r="G38" s="511"/>
      <c r="H38" s="511"/>
      <c r="I38" s="511"/>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R3C1</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1"/>
      <c r="AP38" s="542"/>
      <c r="AQ38" s="542"/>
      <c r="AR38" s="542"/>
      <c r="AS38" s="542"/>
      <c r="AT38" s="543"/>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69"/>
      <c r="C39" s="469"/>
      <c r="D39" s="470"/>
      <c r="E39" s="510"/>
      <c r="F39" s="511"/>
      <c r="G39" s="511"/>
      <c r="H39" s="511"/>
      <c r="I39" s="511"/>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1"/>
      <c r="AP39" s="542"/>
      <c r="AQ39" s="542"/>
      <c r="AR39" s="542"/>
      <c r="AS39" s="542"/>
      <c r="AT39" s="543"/>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69"/>
      <c r="C40" s="469"/>
      <c r="D40" s="470"/>
      <c r="E40" s="510"/>
      <c r="F40" s="511"/>
      <c r="G40" s="511"/>
      <c r="H40" s="511"/>
      <c r="I40" s="511"/>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1"/>
      <c r="AP40" s="542"/>
      <c r="AQ40" s="542"/>
      <c r="AR40" s="542"/>
      <c r="AS40" s="542"/>
      <c r="AT40" s="543"/>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69"/>
      <c r="C41" s="469"/>
      <c r="D41" s="470"/>
      <c r="E41" s="510"/>
      <c r="F41" s="511"/>
      <c r="G41" s="511"/>
      <c r="H41" s="511"/>
      <c r="I41" s="511"/>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1"/>
      <c r="AP41" s="542"/>
      <c r="AQ41" s="542"/>
      <c r="AR41" s="542"/>
      <c r="AS41" s="542"/>
      <c r="AT41" s="543"/>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69"/>
      <c r="C42" s="469"/>
      <c r="D42" s="470"/>
      <c r="E42" s="510"/>
      <c r="F42" s="511"/>
      <c r="G42" s="511"/>
      <c r="H42" s="511"/>
      <c r="I42" s="511"/>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1"/>
      <c r="AP42" s="542"/>
      <c r="AQ42" s="542"/>
      <c r="AR42" s="542"/>
      <c r="AS42" s="542"/>
      <c r="AT42" s="543"/>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69"/>
      <c r="C43" s="469"/>
      <c r="D43" s="470"/>
      <c r="E43" s="510"/>
      <c r="F43" s="511"/>
      <c r="G43" s="511"/>
      <c r="H43" s="511"/>
      <c r="I43" s="511"/>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1"/>
      <c r="AP43" s="542"/>
      <c r="AQ43" s="542"/>
      <c r="AR43" s="542"/>
      <c r="AS43" s="542"/>
      <c r="AT43" s="543"/>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69"/>
      <c r="C44" s="469"/>
      <c r="D44" s="470"/>
      <c r="E44" s="510"/>
      <c r="F44" s="511"/>
      <c r="G44" s="511"/>
      <c r="H44" s="511"/>
      <c r="I44" s="511"/>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1"/>
      <c r="AP44" s="542"/>
      <c r="AQ44" s="542"/>
      <c r="AR44" s="542"/>
      <c r="AS44" s="542"/>
      <c r="AT44" s="543"/>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69"/>
      <c r="C45" s="469"/>
      <c r="D45" s="470"/>
      <c r="E45" s="513"/>
      <c r="F45" s="514"/>
      <c r="G45" s="514"/>
      <c r="H45" s="514"/>
      <c r="I45" s="514"/>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44"/>
      <c r="AP45" s="545"/>
      <c r="AQ45" s="545"/>
      <c r="AR45" s="545"/>
      <c r="AS45" s="545"/>
      <c r="AT45" s="546"/>
    </row>
    <row r="46" spans="1:80" ht="46.5" customHeight="1">
      <c r="A46" s="81"/>
      <c r="B46" s="469"/>
      <c r="C46" s="469"/>
      <c r="D46" s="470"/>
      <c r="E46" s="507" t="s">
        <v>200</v>
      </c>
      <c r="F46" s="508"/>
      <c r="G46" s="508"/>
      <c r="H46" s="508"/>
      <c r="I46" s="509"/>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69"/>
      <c r="C47" s="469"/>
      <c r="D47" s="470"/>
      <c r="E47" s="526"/>
      <c r="F47" s="511"/>
      <c r="G47" s="511"/>
      <c r="H47" s="511"/>
      <c r="I47" s="512"/>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69"/>
      <c r="C48" s="469"/>
      <c r="D48" s="470"/>
      <c r="E48" s="526"/>
      <c r="F48" s="511"/>
      <c r="G48" s="511"/>
      <c r="H48" s="511"/>
      <c r="I48" s="512"/>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69"/>
      <c r="C49" s="469"/>
      <c r="D49" s="470"/>
      <c r="E49" s="510"/>
      <c r="F49" s="511"/>
      <c r="G49" s="511"/>
      <c r="H49" s="511"/>
      <c r="I49" s="512"/>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69"/>
      <c r="C50" s="469"/>
      <c r="D50" s="470"/>
      <c r="E50" s="510"/>
      <c r="F50" s="511"/>
      <c r="G50" s="511"/>
      <c r="H50" s="511"/>
      <c r="I50" s="512"/>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69"/>
      <c r="C51" s="469"/>
      <c r="D51" s="470"/>
      <c r="E51" s="510"/>
      <c r="F51" s="511"/>
      <c r="G51" s="511"/>
      <c r="H51" s="511"/>
      <c r="I51" s="512"/>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69"/>
      <c r="C52" s="469"/>
      <c r="D52" s="470"/>
      <c r="E52" s="510"/>
      <c r="F52" s="511"/>
      <c r="G52" s="511"/>
      <c r="H52" s="511"/>
      <c r="I52" s="512"/>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69"/>
      <c r="C53" s="469"/>
      <c r="D53" s="470"/>
      <c r="E53" s="510"/>
      <c r="F53" s="511"/>
      <c r="G53" s="511"/>
      <c r="H53" s="511"/>
      <c r="I53" s="512"/>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69"/>
      <c r="C54" s="469"/>
      <c r="D54" s="470"/>
      <c r="E54" s="510"/>
      <c r="F54" s="511"/>
      <c r="G54" s="511"/>
      <c r="H54" s="511"/>
      <c r="I54" s="512"/>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69"/>
      <c r="C55" s="469"/>
      <c r="D55" s="470"/>
      <c r="E55" s="513"/>
      <c r="F55" s="514"/>
      <c r="G55" s="514"/>
      <c r="H55" s="514"/>
      <c r="I55" s="515"/>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07" t="s">
        <v>201</v>
      </c>
      <c r="K56" s="508"/>
      <c r="L56" s="508"/>
      <c r="M56" s="508"/>
      <c r="N56" s="508"/>
      <c r="O56" s="509"/>
      <c r="P56" s="507" t="s">
        <v>202</v>
      </c>
      <c r="Q56" s="508"/>
      <c r="R56" s="508"/>
      <c r="S56" s="508"/>
      <c r="T56" s="508"/>
      <c r="U56" s="509"/>
      <c r="V56" s="507" t="s">
        <v>203</v>
      </c>
      <c r="W56" s="508"/>
      <c r="X56" s="508"/>
      <c r="Y56" s="508"/>
      <c r="Z56" s="508"/>
      <c r="AA56" s="509"/>
      <c r="AB56" s="507" t="s">
        <v>204</v>
      </c>
      <c r="AC56" s="516"/>
      <c r="AD56" s="508"/>
      <c r="AE56" s="508"/>
      <c r="AF56" s="508"/>
      <c r="AG56" s="509"/>
      <c r="AH56" s="507" t="s">
        <v>205</v>
      </c>
      <c r="AI56" s="508"/>
      <c r="AJ56" s="508"/>
      <c r="AK56" s="508"/>
      <c r="AL56" s="508"/>
      <c r="AM56" s="509"/>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10"/>
      <c r="K57" s="511"/>
      <c r="L57" s="511"/>
      <c r="M57" s="511"/>
      <c r="N57" s="511"/>
      <c r="O57" s="512"/>
      <c r="P57" s="510"/>
      <c r="Q57" s="511"/>
      <c r="R57" s="511"/>
      <c r="S57" s="511"/>
      <c r="T57" s="511"/>
      <c r="U57" s="512"/>
      <c r="V57" s="510"/>
      <c r="W57" s="511"/>
      <c r="X57" s="511"/>
      <c r="Y57" s="511"/>
      <c r="Z57" s="511"/>
      <c r="AA57" s="512"/>
      <c r="AB57" s="510"/>
      <c r="AC57" s="511"/>
      <c r="AD57" s="511"/>
      <c r="AE57" s="511"/>
      <c r="AF57" s="511"/>
      <c r="AG57" s="512"/>
      <c r="AH57" s="510"/>
      <c r="AI57" s="511"/>
      <c r="AJ57" s="511"/>
      <c r="AK57" s="511"/>
      <c r="AL57" s="511"/>
      <c r="AM57" s="512"/>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10"/>
      <c r="K58" s="511"/>
      <c r="L58" s="511"/>
      <c r="M58" s="511"/>
      <c r="N58" s="511"/>
      <c r="O58" s="512"/>
      <c r="P58" s="510"/>
      <c r="Q58" s="511"/>
      <c r="R58" s="511"/>
      <c r="S58" s="511"/>
      <c r="T58" s="511"/>
      <c r="U58" s="512"/>
      <c r="V58" s="510"/>
      <c r="W58" s="511"/>
      <c r="X58" s="511"/>
      <c r="Y58" s="511"/>
      <c r="Z58" s="511"/>
      <c r="AA58" s="512"/>
      <c r="AB58" s="510"/>
      <c r="AC58" s="511"/>
      <c r="AD58" s="511"/>
      <c r="AE58" s="511"/>
      <c r="AF58" s="511"/>
      <c r="AG58" s="512"/>
      <c r="AH58" s="510"/>
      <c r="AI58" s="511"/>
      <c r="AJ58" s="511"/>
      <c r="AK58" s="511"/>
      <c r="AL58" s="511"/>
      <c r="AM58" s="512"/>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10"/>
      <c r="K59" s="511"/>
      <c r="L59" s="511"/>
      <c r="M59" s="511"/>
      <c r="N59" s="511"/>
      <c r="O59" s="512"/>
      <c r="P59" s="510"/>
      <c r="Q59" s="511"/>
      <c r="R59" s="511"/>
      <c r="S59" s="511"/>
      <c r="T59" s="511"/>
      <c r="U59" s="512"/>
      <c r="V59" s="510"/>
      <c r="W59" s="511"/>
      <c r="X59" s="511"/>
      <c r="Y59" s="511"/>
      <c r="Z59" s="511"/>
      <c r="AA59" s="512"/>
      <c r="AB59" s="510"/>
      <c r="AC59" s="511"/>
      <c r="AD59" s="511"/>
      <c r="AE59" s="511"/>
      <c r="AF59" s="511"/>
      <c r="AG59" s="512"/>
      <c r="AH59" s="510"/>
      <c r="AI59" s="511"/>
      <c r="AJ59" s="511"/>
      <c r="AK59" s="511"/>
      <c r="AL59" s="511"/>
      <c r="AM59" s="512"/>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10"/>
      <c r="K60" s="511"/>
      <c r="L60" s="511"/>
      <c r="M60" s="511"/>
      <c r="N60" s="511"/>
      <c r="O60" s="512"/>
      <c r="P60" s="510"/>
      <c r="Q60" s="511"/>
      <c r="R60" s="511"/>
      <c r="S60" s="511"/>
      <c r="T60" s="511"/>
      <c r="U60" s="512"/>
      <c r="V60" s="510"/>
      <c r="W60" s="511"/>
      <c r="X60" s="511"/>
      <c r="Y60" s="511"/>
      <c r="Z60" s="511"/>
      <c r="AA60" s="512"/>
      <c r="AB60" s="510"/>
      <c r="AC60" s="511"/>
      <c r="AD60" s="511"/>
      <c r="AE60" s="511"/>
      <c r="AF60" s="511"/>
      <c r="AG60" s="512"/>
      <c r="AH60" s="510"/>
      <c r="AI60" s="511"/>
      <c r="AJ60" s="511"/>
      <c r="AK60" s="511"/>
      <c r="AL60" s="511"/>
      <c r="AM60" s="512"/>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13"/>
      <c r="K61" s="514"/>
      <c r="L61" s="514"/>
      <c r="M61" s="514"/>
      <c r="N61" s="514"/>
      <c r="O61" s="515"/>
      <c r="P61" s="513"/>
      <c r="Q61" s="514"/>
      <c r="R61" s="514"/>
      <c r="S61" s="514"/>
      <c r="T61" s="514"/>
      <c r="U61" s="515"/>
      <c r="V61" s="513"/>
      <c r="W61" s="514"/>
      <c r="X61" s="514"/>
      <c r="Y61" s="514"/>
      <c r="Z61" s="514"/>
      <c r="AA61" s="515"/>
      <c r="AB61" s="513"/>
      <c r="AC61" s="514"/>
      <c r="AD61" s="514"/>
      <c r="AE61" s="514"/>
      <c r="AF61" s="514"/>
      <c r="AG61" s="515"/>
      <c r="AH61" s="513"/>
      <c r="AI61" s="514"/>
      <c r="AJ61" s="514"/>
      <c r="AK61" s="514"/>
      <c r="AL61" s="514"/>
      <c r="AM61" s="515"/>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56" t="s">
        <v>207</v>
      </c>
      <c r="C1" s="556"/>
      <c r="D1" s="556"/>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208</v>
      </c>
      <c r="D3" s="11" t="s">
        <v>191</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209</v>
      </c>
      <c r="C4" s="13" t="s">
        <v>210</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211</v>
      </c>
      <c r="C5" s="16" t="s">
        <v>212</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213</v>
      </c>
      <c r="C6" s="16" t="s">
        <v>214</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215</v>
      </c>
      <c r="C7" s="16" t="s">
        <v>216</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217</v>
      </c>
      <c r="C8" s="16" t="s">
        <v>218</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57" t="s">
        <v>219</v>
      </c>
      <c r="C1" s="557"/>
      <c r="D1" s="557"/>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220</v>
      </c>
      <c r="D3" s="34" t="s">
        <v>221</v>
      </c>
      <c r="E3" s="81"/>
      <c r="F3" s="81"/>
      <c r="G3" s="81"/>
      <c r="H3" s="81"/>
      <c r="I3" s="81"/>
      <c r="J3" s="81"/>
      <c r="K3" s="81"/>
      <c r="L3" s="81"/>
      <c r="M3" s="81"/>
      <c r="N3" s="81"/>
      <c r="O3" s="81"/>
      <c r="P3" s="81"/>
      <c r="Q3" s="81"/>
      <c r="R3" s="81"/>
      <c r="S3" s="81"/>
      <c r="T3" s="81"/>
      <c r="U3" s="81"/>
    </row>
    <row r="4" spans="1:21" ht="33.75">
      <c r="A4" s="98" t="s">
        <v>222</v>
      </c>
      <c r="B4" s="37" t="s">
        <v>223</v>
      </c>
      <c r="C4" s="42" t="s">
        <v>224</v>
      </c>
      <c r="D4" s="35" t="s">
        <v>225</v>
      </c>
      <c r="E4" s="81"/>
      <c r="F4" s="81"/>
      <c r="G4" s="81"/>
      <c r="H4" s="81"/>
      <c r="I4" s="81"/>
      <c r="J4" s="81"/>
      <c r="K4" s="81"/>
      <c r="L4" s="81"/>
      <c r="M4" s="81"/>
      <c r="N4" s="81"/>
      <c r="O4" s="81"/>
      <c r="P4" s="81"/>
      <c r="Q4" s="81"/>
      <c r="R4" s="81"/>
      <c r="S4" s="81"/>
      <c r="T4" s="81"/>
      <c r="U4" s="81"/>
    </row>
    <row r="5" spans="1:21" ht="67.5">
      <c r="A5" s="98" t="s">
        <v>226</v>
      </c>
      <c r="B5" s="38" t="s">
        <v>227</v>
      </c>
      <c r="C5" s="43" t="s">
        <v>228</v>
      </c>
      <c r="D5" s="36" t="s">
        <v>229</v>
      </c>
      <c r="E5" s="81"/>
      <c r="F5" s="81"/>
      <c r="G5" s="81"/>
      <c r="H5" s="81"/>
      <c r="I5" s="81"/>
      <c r="J5" s="81"/>
      <c r="K5" s="81"/>
      <c r="L5" s="81"/>
      <c r="M5" s="81"/>
      <c r="N5" s="81"/>
      <c r="O5" s="81"/>
      <c r="P5" s="81"/>
      <c r="Q5" s="81"/>
      <c r="R5" s="81"/>
      <c r="S5" s="81"/>
      <c r="T5" s="81"/>
      <c r="U5" s="81"/>
    </row>
    <row r="6" spans="1:21" ht="67.5">
      <c r="A6" s="98" t="s">
        <v>197</v>
      </c>
      <c r="B6" s="39" t="s">
        <v>230</v>
      </c>
      <c r="C6" s="43" t="s">
        <v>231</v>
      </c>
      <c r="D6" s="36" t="s">
        <v>232</v>
      </c>
      <c r="E6" s="81"/>
      <c r="F6" s="81"/>
      <c r="G6" s="81"/>
      <c r="H6" s="81"/>
      <c r="I6" s="81"/>
      <c r="J6" s="81"/>
      <c r="K6" s="81"/>
      <c r="L6" s="81"/>
      <c r="M6" s="81"/>
      <c r="N6" s="81"/>
      <c r="O6" s="81"/>
      <c r="P6" s="81"/>
      <c r="Q6" s="81"/>
      <c r="R6" s="81"/>
      <c r="S6" s="81"/>
      <c r="T6" s="81"/>
      <c r="U6" s="81"/>
    </row>
    <row r="7" spans="1:21" ht="101.25">
      <c r="A7" s="98" t="s">
        <v>233</v>
      </c>
      <c r="B7" s="40" t="s">
        <v>234</v>
      </c>
      <c r="C7" s="43" t="s">
        <v>235</v>
      </c>
      <c r="D7" s="36" t="s">
        <v>236</v>
      </c>
      <c r="E7" s="81"/>
      <c r="F7" s="81"/>
      <c r="G7" s="81"/>
      <c r="H7" s="81"/>
      <c r="I7" s="81"/>
      <c r="J7" s="81"/>
      <c r="K7" s="81"/>
      <c r="L7" s="81"/>
      <c r="M7" s="81"/>
      <c r="N7" s="81"/>
      <c r="O7" s="81"/>
      <c r="P7" s="81"/>
      <c r="Q7" s="81"/>
      <c r="R7" s="81"/>
      <c r="S7" s="81"/>
      <c r="T7" s="81"/>
      <c r="U7" s="81"/>
    </row>
    <row r="8" spans="1:21" ht="67.5">
      <c r="A8" s="98" t="s">
        <v>237</v>
      </c>
      <c r="B8" s="41" t="s">
        <v>238</v>
      </c>
      <c r="C8" s="43" t="s">
        <v>239</v>
      </c>
      <c r="D8" s="36" t="s">
        <v>240</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241</v>
      </c>
      <c r="C11" s="98" t="s">
        <v>242</v>
      </c>
      <c r="D11" s="98" t="s">
        <v>243</v>
      </c>
      <c r="E11" s="81"/>
      <c r="F11" s="81"/>
      <c r="G11" s="81"/>
      <c r="H11" s="81"/>
      <c r="I11" s="81"/>
      <c r="J11" s="81"/>
      <c r="K11" s="81"/>
      <c r="L11" s="81"/>
      <c r="M11" s="81"/>
      <c r="N11" s="81"/>
      <c r="O11" s="81"/>
      <c r="P11" s="81"/>
      <c r="Q11" s="81"/>
      <c r="R11" s="81"/>
      <c r="S11" s="81"/>
      <c r="T11" s="81"/>
      <c r="U11" s="81"/>
    </row>
    <row r="12" spans="1:21">
      <c r="A12" s="98"/>
      <c r="B12" s="98" t="s">
        <v>244</v>
      </c>
      <c r="C12" s="98" t="s">
        <v>181</v>
      </c>
      <c r="D12" s="98" t="s">
        <v>245</v>
      </c>
      <c r="E12" s="81"/>
      <c r="F12" s="81"/>
      <c r="G12" s="81"/>
      <c r="H12" s="81"/>
      <c r="I12" s="81"/>
      <c r="J12" s="81"/>
      <c r="K12" s="81"/>
      <c r="L12" s="81"/>
      <c r="M12" s="81"/>
      <c r="N12" s="81"/>
      <c r="O12" s="81"/>
      <c r="P12" s="81"/>
      <c r="Q12" s="81"/>
      <c r="R12" s="81"/>
      <c r="S12" s="81"/>
      <c r="T12" s="81"/>
      <c r="U12" s="81"/>
    </row>
    <row r="13" spans="1:21">
      <c r="A13" s="98"/>
      <c r="B13" s="98"/>
      <c r="C13" s="98" t="s">
        <v>246</v>
      </c>
      <c r="D13" s="98" t="s">
        <v>172</v>
      </c>
      <c r="E13" s="81"/>
      <c r="F13" s="81"/>
      <c r="G13" s="81"/>
      <c r="H13" s="81"/>
      <c r="I13" s="81"/>
      <c r="J13" s="81"/>
      <c r="K13" s="81"/>
      <c r="L13" s="81"/>
      <c r="M13" s="81"/>
      <c r="N13" s="81"/>
      <c r="O13" s="81"/>
      <c r="P13" s="81"/>
      <c r="Q13" s="81"/>
      <c r="R13" s="81"/>
      <c r="S13" s="81"/>
      <c r="T13" s="81"/>
      <c r="U13" s="81"/>
    </row>
    <row r="14" spans="1:21">
      <c r="A14" s="98"/>
      <c r="B14" s="98"/>
      <c r="C14" s="98" t="s">
        <v>247</v>
      </c>
      <c r="D14" s="98" t="s">
        <v>158</v>
      </c>
      <c r="E14" s="81"/>
      <c r="F14" s="81"/>
      <c r="G14" s="81"/>
      <c r="H14" s="81"/>
      <c r="I14" s="81"/>
      <c r="J14" s="81"/>
      <c r="K14" s="81"/>
      <c r="L14" s="81"/>
      <c r="M14" s="81"/>
      <c r="N14" s="81"/>
      <c r="O14" s="81"/>
      <c r="P14" s="81"/>
      <c r="Q14" s="81"/>
      <c r="R14" s="81"/>
      <c r="S14" s="81"/>
      <c r="T14" s="81"/>
      <c r="U14" s="81"/>
    </row>
    <row r="15" spans="1:21">
      <c r="A15" s="98"/>
      <c r="B15" s="98"/>
      <c r="C15" s="98" t="s">
        <v>248</v>
      </c>
      <c r="D15" s="98" t="s">
        <v>249</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250</v>
      </c>
      <c r="C209" s="28" t="s">
        <v>251</v>
      </c>
      <c r="D209" s="31" t="s">
        <v>250</v>
      </c>
      <c r="E209" s="31" t="s">
        <v>251</v>
      </c>
    </row>
    <row r="210" spans="1:8" ht="21">
      <c r="A210" s="81"/>
      <c r="B210" s="29" t="s">
        <v>252</v>
      </c>
      <c r="C210" s="29" t="s">
        <v>253</v>
      </c>
      <c r="D210" t="s">
        <v>252</v>
      </c>
      <c r="F210" t="str">
        <f>IF(NOT(ISBLANK(D210)),D210,IF(NOT(ISBLANK(E210)),"     "&amp;E210,FALSE))</f>
        <v>Afectación Económica o presupuestal</v>
      </c>
      <c r="G210" t="s">
        <v>252</v>
      </c>
      <c r="H210" t="str">
        <f>IF(NOT(ISERROR(MATCH(G210,_xlfn.ANCHORARRAY(B221),0))),F223&amp;"Por favor no seleccionar los criterios de impacto",G210)</f>
        <v>❌Por favor no seleccionar los criterios de impacto</v>
      </c>
    </row>
    <row r="211" spans="1:8" ht="21">
      <c r="A211" s="81"/>
      <c r="B211" s="29" t="s">
        <v>252</v>
      </c>
      <c r="C211" s="29" t="s">
        <v>228</v>
      </c>
      <c r="E211" t="s">
        <v>253</v>
      </c>
      <c r="F211" t="str">
        <f t="shared" ref="F211:F221" si="0">IF(NOT(ISBLANK(D211)),D211,IF(NOT(ISBLANK(E211)),"     "&amp;E211,FALSE))</f>
        <v xml:space="preserve">     Afectación menor a 10 SMLMV .</v>
      </c>
    </row>
    <row r="212" spans="1:8" ht="21">
      <c r="A212" s="81"/>
      <c r="B212" s="29" t="s">
        <v>252</v>
      </c>
      <c r="C212" s="29" t="s">
        <v>231</v>
      </c>
      <c r="E212" t="s">
        <v>228</v>
      </c>
      <c r="F212" t="str">
        <f t="shared" si="0"/>
        <v xml:space="preserve">     Entre 10 y 50 SMLMV </v>
      </c>
    </row>
    <row r="213" spans="1:8" ht="21">
      <c r="A213" s="81"/>
      <c r="B213" s="29" t="s">
        <v>252</v>
      </c>
      <c r="C213" s="29" t="s">
        <v>235</v>
      </c>
      <c r="E213" t="s">
        <v>231</v>
      </c>
      <c r="F213" t="str">
        <f t="shared" si="0"/>
        <v xml:space="preserve">     Entre 50 y 100 SMLMV </v>
      </c>
    </row>
    <row r="214" spans="1:8" ht="21">
      <c r="A214" s="81"/>
      <c r="B214" s="29" t="s">
        <v>252</v>
      </c>
      <c r="C214" s="29" t="s">
        <v>239</v>
      </c>
      <c r="E214" t="s">
        <v>235</v>
      </c>
      <c r="F214" t="str">
        <f t="shared" si="0"/>
        <v xml:space="preserve">     Entre 100 y 500 SMLMV </v>
      </c>
    </row>
    <row r="215" spans="1:8" ht="21">
      <c r="A215" s="81"/>
      <c r="B215" s="29" t="s">
        <v>221</v>
      </c>
      <c r="C215" s="29" t="s">
        <v>225</v>
      </c>
      <c r="E215" t="s">
        <v>239</v>
      </c>
      <c r="F215" t="str">
        <f t="shared" si="0"/>
        <v xml:space="preserve">     Mayor a 500 SMLMV </v>
      </c>
    </row>
    <row r="216" spans="1:8" ht="21">
      <c r="A216" s="81"/>
      <c r="B216" s="29" t="s">
        <v>221</v>
      </c>
      <c r="C216" s="29" t="s">
        <v>229</v>
      </c>
      <c r="D216" t="s">
        <v>221</v>
      </c>
      <c r="F216" t="str">
        <f t="shared" si="0"/>
        <v>Pérdida Reputacional</v>
      </c>
    </row>
    <row r="217" spans="1:8" ht="21">
      <c r="A217" s="81"/>
      <c r="B217" s="29" t="s">
        <v>221</v>
      </c>
      <c r="C217" s="29" t="s">
        <v>232</v>
      </c>
      <c r="E217" t="s">
        <v>225</v>
      </c>
      <c r="F217" t="str">
        <f t="shared" si="0"/>
        <v xml:space="preserve">     El riesgo afecta la imagen de alguna área de la organización</v>
      </c>
    </row>
    <row r="218" spans="1:8" ht="21">
      <c r="A218" s="81"/>
      <c r="B218" s="29" t="s">
        <v>221</v>
      </c>
      <c r="C218" s="29" t="s">
        <v>236</v>
      </c>
      <c r="E218" t="s">
        <v>229</v>
      </c>
      <c r="F218" t="str">
        <f t="shared" si="0"/>
        <v xml:space="preserve">     El riesgo afecta la imagen de la entidad internamente, de conocimiento general, nivel interno, de junta dircetiva y accionistas y/o de provedores</v>
      </c>
    </row>
    <row r="219" spans="1:8" ht="21">
      <c r="A219" s="81"/>
      <c r="B219" s="29" t="s">
        <v>221</v>
      </c>
      <c r="C219" s="29" t="s">
        <v>240</v>
      </c>
      <c r="E219" t="s">
        <v>232</v>
      </c>
      <c r="F219" t="str">
        <f t="shared" si="0"/>
        <v xml:space="preserve">     El riesgo afecta la imagen de la entidad con algunos usuarios de relevancia frente al logro de los objetivos</v>
      </c>
    </row>
    <row r="220" spans="1:8">
      <c r="A220" s="81"/>
      <c r="B220" s="30"/>
      <c r="C220" s="30"/>
      <c r="E220" t="s">
        <v>236</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240</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254</v>
      </c>
    </row>
    <row r="224" spans="1:8">
      <c r="B224" s="21"/>
      <c r="C224" s="21"/>
      <c r="F224" s="33" t="s">
        <v>255</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58" t="s">
        <v>256</v>
      </c>
      <c r="C1" s="559"/>
      <c r="D1" s="559"/>
      <c r="E1" s="559"/>
      <c r="F1" s="560"/>
    </row>
    <row r="2" spans="2:6" ht="16.5" thickBot="1">
      <c r="B2" s="84"/>
      <c r="C2" s="84"/>
      <c r="D2" s="84"/>
      <c r="E2" s="84"/>
      <c r="F2" s="84"/>
    </row>
    <row r="3" spans="2:6" ht="16.5" thickBot="1">
      <c r="B3" s="562" t="s">
        <v>257</v>
      </c>
      <c r="C3" s="563"/>
      <c r="D3" s="563"/>
      <c r="E3" s="96" t="s">
        <v>258</v>
      </c>
      <c r="F3" s="97" t="s">
        <v>259</v>
      </c>
    </row>
    <row r="4" spans="2:6" ht="31.5">
      <c r="B4" s="564" t="s">
        <v>260</v>
      </c>
      <c r="C4" s="566" t="s">
        <v>147</v>
      </c>
      <c r="D4" s="85" t="s">
        <v>160</v>
      </c>
      <c r="E4" s="86" t="s">
        <v>261</v>
      </c>
      <c r="F4" s="87">
        <v>0.25</v>
      </c>
    </row>
    <row r="5" spans="2:6" ht="47.25">
      <c r="B5" s="565"/>
      <c r="C5" s="567"/>
      <c r="D5" s="88" t="s">
        <v>262</v>
      </c>
      <c r="E5" s="89" t="s">
        <v>263</v>
      </c>
      <c r="F5" s="90">
        <v>0.15</v>
      </c>
    </row>
    <row r="6" spans="2:6" ht="47.25">
      <c r="B6" s="565"/>
      <c r="C6" s="567"/>
      <c r="D6" s="88" t="s">
        <v>264</v>
      </c>
      <c r="E6" s="89" t="s">
        <v>265</v>
      </c>
      <c r="F6" s="90">
        <v>0.1</v>
      </c>
    </row>
    <row r="7" spans="2:6" ht="63">
      <c r="B7" s="565"/>
      <c r="C7" s="567" t="s">
        <v>148</v>
      </c>
      <c r="D7" s="88" t="s">
        <v>266</v>
      </c>
      <c r="E7" s="89" t="s">
        <v>267</v>
      </c>
      <c r="F7" s="90">
        <v>0.25</v>
      </c>
    </row>
    <row r="8" spans="2:6" ht="31.5">
      <c r="B8" s="565"/>
      <c r="C8" s="567"/>
      <c r="D8" s="88" t="s">
        <v>161</v>
      </c>
      <c r="E8" s="89" t="s">
        <v>268</v>
      </c>
      <c r="F8" s="90">
        <v>0.15</v>
      </c>
    </row>
    <row r="9" spans="2:6" ht="47.25">
      <c r="B9" s="565" t="s">
        <v>269</v>
      </c>
      <c r="C9" s="567" t="s">
        <v>150</v>
      </c>
      <c r="D9" s="88" t="s">
        <v>162</v>
      </c>
      <c r="E9" s="89" t="s">
        <v>270</v>
      </c>
      <c r="F9" s="91" t="s">
        <v>271</v>
      </c>
    </row>
    <row r="10" spans="2:6" ht="63">
      <c r="B10" s="565"/>
      <c r="C10" s="567"/>
      <c r="D10" s="88" t="s">
        <v>272</v>
      </c>
      <c r="E10" s="89" t="s">
        <v>273</v>
      </c>
      <c r="F10" s="91" t="s">
        <v>271</v>
      </c>
    </row>
    <row r="11" spans="2:6" ht="47.25">
      <c r="B11" s="565"/>
      <c r="C11" s="567" t="s">
        <v>151</v>
      </c>
      <c r="D11" s="88" t="s">
        <v>163</v>
      </c>
      <c r="E11" s="89" t="s">
        <v>274</v>
      </c>
      <c r="F11" s="91" t="s">
        <v>271</v>
      </c>
    </row>
    <row r="12" spans="2:6" ht="47.25">
      <c r="B12" s="565"/>
      <c r="C12" s="567"/>
      <c r="D12" s="88" t="s">
        <v>275</v>
      </c>
      <c r="E12" s="89" t="s">
        <v>276</v>
      </c>
      <c r="F12" s="91" t="s">
        <v>271</v>
      </c>
    </row>
    <row r="13" spans="2:6" ht="31.5">
      <c r="B13" s="565"/>
      <c r="C13" s="567" t="s">
        <v>152</v>
      </c>
      <c r="D13" s="88" t="s">
        <v>164</v>
      </c>
      <c r="E13" s="89" t="s">
        <v>277</v>
      </c>
      <c r="F13" s="91" t="s">
        <v>271</v>
      </c>
    </row>
    <row r="14" spans="2:6" ht="32.25" thickBot="1">
      <c r="B14" s="568"/>
      <c r="C14" s="569"/>
      <c r="D14" s="92" t="s">
        <v>278</v>
      </c>
      <c r="E14" s="93" t="s">
        <v>279</v>
      </c>
      <c r="F14" s="94" t="s">
        <v>271</v>
      </c>
    </row>
    <row r="15" spans="2:6" ht="49.5" customHeight="1">
      <c r="B15" s="561" t="s">
        <v>280</v>
      </c>
      <c r="C15" s="561"/>
      <c r="D15" s="561"/>
      <c r="E15" s="561"/>
      <c r="F15" s="561"/>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281</v>
      </c>
      <c r="E2" t="s">
        <v>282</v>
      </c>
    </row>
    <row r="3" spans="2:5">
      <c r="B3" t="s">
        <v>283</v>
      </c>
      <c r="E3" t="s">
        <v>168</v>
      </c>
    </row>
    <row r="4" spans="2:5">
      <c r="B4" t="s">
        <v>284</v>
      </c>
      <c r="E4" t="s">
        <v>177</v>
      </c>
    </row>
    <row r="5" spans="2:5">
      <c r="B5" t="s">
        <v>165</v>
      </c>
    </row>
    <row r="8" spans="2:5">
      <c r="B8" t="s">
        <v>285</v>
      </c>
    </row>
    <row r="9" spans="2:5">
      <c r="B9" t="s">
        <v>286</v>
      </c>
    </row>
    <row r="10" spans="2:5">
      <c r="B10" t="s">
        <v>287</v>
      </c>
    </row>
    <row r="13" spans="2:5">
      <c r="B13" t="s">
        <v>288</v>
      </c>
    </row>
    <row r="14" spans="2:5">
      <c r="B14" t="s">
        <v>157</v>
      </c>
    </row>
    <row r="15" spans="2:5">
      <c r="B15" t="s">
        <v>289</v>
      </c>
    </row>
    <row r="16" spans="2:5">
      <c r="B16" t="s">
        <v>290</v>
      </c>
    </row>
    <row r="17" spans="2:2">
      <c r="B17" t="s">
        <v>291</v>
      </c>
    </row>
    <row r="18" spans="2:2">
      <c r="B18" t="s">
        <v>292</v>
      </c>
    </row>
    <row r="19" spans="2:2">
      <c r="B19" t="s">
        <v>293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Marlyn Yulieth Prada Jaimes</cp:lastModifiedBy>
  <cp:revision/>
  <dcterms:created xsi:type="dcterms:W3CDTF">2020-03-24T23:12:47Z</dcterms:created>
  <dcterms:modified xsi:type="dcterms:W3CDTF">2023-03-15T14:23:46Z</dcterms:modified>
  <cp:category/>
  <cp:contentStatus/>
</cp:coreProperties>
</file>