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E:\ALCALDIA 2023\FORMULACION MRG 2023\INTERIOR ok\"/>
    </mc:Choice>
  </mc:AlternateContent>
  <xr:revisionPtr revIDLastSave="0" documentId="13_ncr:1_{9FA7FFBC-4FFB-4B57-89CE-81459229CF79}" xr6:coauthVersionLast="47" xr6:coauthVersionMax="47" xr10:uidLastSave="{00000000-0000-0000-0000-000000000000}"/>
  <bookViews>
    <workbookView xWindow="-120" yWindow="-120" windowWidth="20730" windowHeight="11040" tabRatio="882" activeTab="2" xr2:uid="{00000000-000D-0000-FFFF-FFFF00000000}"/>
  </bookViews>
  <sheets>
    <sheet name="Intructivo " sheetId="21" r:id="rId1"/>
    <sheet name="CONTEXTO" sheetId="23"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12"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33" i="1"/>
  <c r="K19" i="1"/>
  <c r="K31" i="1"/>
  <c r="K51" i="1"/>
  <c r="K56" i="1"/>
  <c r="K32" i="1"/>
  <c r="K40" i="1"/>
  <c r="K50" i="1"/>
  <c r="K29" i="1"/>
  <c r="K37" i="1"/>
  <c r="K49" i="1"/>
  <c r="K58" i="1"/>
  <c r="K41" i="1"/>
  <c r="K26" i="1"/>
  <c r="K52" i="1"/>
  <c r="K39" i="1"/>
  <c r="K43" i="1"/>
  <c r="K23" i="1"/>
  <c r="K21" i="1"/>
  <c r="K57" i="1"/>
  <c r="K20" i="1"/>
  <c r="K34" i="1"/>
  <c r="K28" i="1"/>
  <c r="K35" i="1"/>
  <c r="K44" i="1"/>
  <c r="K22"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5" i="1"/>
  <c r="Q35" i="1"/>
  <c r="T34" i="1"/>
  <c r="Q34" i="1"/>
  <c r="T33" i="1"/>
  <c r="Q33" i="1"/>
  <c r="T32" i="1"/>
  <c r="Q32" i="1"/>
  <c r="T31" i="1"/>
  <c r="Q31" i="1"/>
  <c r="Q30" i="1"/>
  <c r="H30" i="1"/>
  <c r="I30" i="1" s="1"/>
  <c r="T29" i="1"/>
  <c r="Q29" i="1"/>
  <c r="T28" i="1"/>
  <c r="Q28" i="1"/>
  <c r="T27" i="1"/>
  <c r="Q27" i="1"/>
  <c r="T26" i="1"/>
  <c r="Q26" i="1"/>
  <c r="T25" i="1"/>
  <c r="Q25" i="1"/>
  <c r="Q24" i="1"/>
  <c r="H24" i="1"/>
  <c r="I24" i="1" s="1"/>
  <c r="H18" i="1"/>
  <c r="Q17" i="1"/>
  <c r="Q16" i="1"/>
  <c r="T23" i="1"/>
  <c r="Q23" i="1"/>
  <c r="T22" i="1"/>
  <c r="Q22" i="1"/>
  <c r="T21" i="1"/>
  <c r="Q21" i="1"/>
  <c r="T20" i="1"/>
  <c r="Q20" i="1"/>
  <c r="T19" i="1"/>
  <c r="Q19" i="1"/>
  <c r="T18" i="1"/>
  <c r="Q18" i="1"/>
  <c r="X54" i="1" l="1"/>
  <c r="X27" i="1"/>
  <c r="X38" i="1"/>
  <c r="X46" i="1"/>
  <c r="X58" i="1"/>
  <c r="X32" i="1"/>
  <c r="X29" i="1"/>
  <c r="X40" i="1"/>
  <c r="X52" i="1"/>
  <c r="X35" i="1"/>
  <c r="X34" i="1"/>
  <c r="X33" i="1"/>
  <c r="AB55" i="1"/>
  <c r="X56" i="1"/>
  <c r="X55" i="1"/>
  <c r="X31" i="1"/>
  <c r="X30" i="1"/>
  <c r="X51" i="1"/>
  <c r="X50" i="1"/>
  <c r="X53" i="1"/>
  <c r="X57" i="1"/>
  <c r="X59" i="1"/>
  <c r="X24" i="1"/>
  <c r="X26" i="1"/>
  <c r="X28" i="1"/>
  <c r="X37" i="1"/>
  <c r="X36" i="1"/>
  <c r="X39" i="1"/>
  <c r="X41" i="1"/>
  <c r="X45" i="1"/>
  <c r="X44" i="1"/>
  <c r="X47" i="1"/>
  <c r="AB43" i="1"/>
  <c r="X43" i="1"/>
  <c r="X42" i="1"/>
  <c r="X48" i="1"/>
  <c r="AB31" i="1"/>
  <c r="AB37" i="1"/>
  <c r="AB52" i="1"/>
  <c r="AA52" i="1" s="1"/>
  <c r="AB53" i="1"/>
  <c r="AA53" i="1" s="1"/>
  <c r="I18" i="1"/>
  <c r="X18" i="1" s="1"/>
  <c r="Y54" i="1" l="1"/>
  <c r="Z54" i="1"/>
  <c r="Z55" i="1" s="1"/>
  <c r="Y53" i="1"/>
  <c r="Z53" i="1"/>
  <c r="Y52" i="1"/>
  <c r="Z52" i="1"/>
  <c r="Y48" i="1"/>
  <c r="Z48" i="1"/>
  <c r="X49" i="1" s="1"/>
  <c r="Y42" i="1"/>
  <c r="Z42" i="1"/>
  <c r="Z43" i="1" s="1"/>
  <c r="Y36" i="1"/>
  <c r="Z36" i="1"/>
  <c r="Y30" i="1"/>
  <c r="Z30" i="1"/>
  <c r="Z31" i="1" s="1"/>
  <c r="Y32" i="1" s="1"/>
  <c r="Y24" i="1"/>
  <c r="Z24" i="1"/>
  <c r="Y18" i="1"/>
  <c r="Z18" i="1"/>
  <c r="X19"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34" i="1"/>
  <c r="Y19" i="1"/>
  <c r="Z19" i="1"/>
  <c r="X20" i="1" s="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K42" i="1" l="1"/>
  <c r="L42" i="1" s="1"/>
  <c r="K30" i="1"/>
  <c r="L30"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4" i="1"/>
  <c r="AA54" i="1" s="1"/>
  <c r="AA12" i="1"/>
  <c r="AB18" i="1"/>
  <c r="AB24" i="1"/>
  <c r="AB48" i="1"/>
  <c r="AB36" i="1"/>
  <c r="AA36" i="1" s="1"/>
  <c r="AA48" i="1" l="1"/>
  <c r="V22" i="19" s="1"/>
  <c r="AB49" i="1"/>
  <c r="AA24" i="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38" i="1"/>
  <c r="AA37" i="1"/>
  <c r="AA43" i="1"/>
  <c r="AB44" i="1"/>
  <c r="AA44" i="1" s="1"/>
  <c r="AB45" i="1"/>
  <c r="AB50" i="1"/>
  <c r="AA50" i="1" s="1"/>
  <c r="AB51" i="1"/>
  <c r="AA51" i="1" s="1"/>
  <c r="AA49" i="1"/>
  <c r="AA55" i="1"/>
  <c r="AB56" i="1"/>
  <c r="AA31" i="1"/>
  <c r="AB32" i="1"/>
  <c r="P7" i="19" l="1"/>
  <c r="J7" i="19"/>
  <c r="AB17" i="19"/>
  <c r="AH17" i="19"/>
  <c r="V37" i="19"/>
  <c r="P17"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<sst xmlns="http://schemas.openxmlformats.org/spreadsheetml/2006/main" count="416" uniqueCount="291">
  <si>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</si>
  <si>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</si>
  <si>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</si>
  <si>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</si>
  <si>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</si>
  <si>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</si>
  <si>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</si>
  <si>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</si>
  <si>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</si>
  <si>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</si>
  <si>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</si>
  <si>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</si>
  <si>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</si>
  <si>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</si>
  <si>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</si>
  <si>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</si>
  <si>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</si>
  <si>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</si>
  <si>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</si>
  <si>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</si>
  <si>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</si>
  <si>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</si>
  <si>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</si>
  <si>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</si>
  <si>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</si>
  <si>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</si>
  <si>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</si>
  <si>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</si>
  <si>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</si>
  <si>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</si>
  <si>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</si>
  <si>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</si>
  <si>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</si>
  <si>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</si>
  <si>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</si>
  <si>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</si>
  <si>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</si>
  <si>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</si>
  <si>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</si>
  <si>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</si>
  <si>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</si>
  <si>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</si>
  <si>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</si>
  <si>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</si>
  <si>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</si>
  <si>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</si>
  <si>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</si>
  <si>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</si>
  <si>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</si>
  <si>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</si>
  <si>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</si>
  <si>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</si>
  <si>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</si>
  <si>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</si>
  <si>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</si>
  <si>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</si>
  <si>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</si>
  <si>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</si>
  <si>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</si>
  <si>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</si>
  <si>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</si>
  <si>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</si>
  <si>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</si>
  <si>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</si>
  <si>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</si>
  <si>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</si>
  <si>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</si>
  <si>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</si>
  <si>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</si>
  <si>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</si>
  <si>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</si>
  <si>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</si>
  <si>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</si>
  <si>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</si>
  <si>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</si>
  <si>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</si>
  <si>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</si>
  <si>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ALCANCE:</t>
  </si>
  <si>
    <t>OBJETIVOS ESTRATÉGICOS</t>
  </si>
  <si>
    <t>OBJETIVO DEL PROCESO</t>
  </si>
  <si>
    <t>PLANEACIÓN INSTITUCIONAL</t>
  </si>
  <si>
    <t>PUNTOS DE RIESGO EN LA CADENA DE VALOR</t>
  </si>
  <si>
    <t>MATRIZ DOFA</t>
  </si>
  <si>
    <t>DEBILIDADES</t>
  </si>
  <si>
    <t>AMENAZAS</t>
  </si>
  <si>
    <t>FORTALEZAS</t>
  </si>
  <si>
    <t>OPORTUNIDADES</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</si>
  <si>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</si>
  <si>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</si>
  <si>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</si>
  <si>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</si>
  <si>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</si>
  <si>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</si>
  <si>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</si>
  <si>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</si>
  <si>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</si>
  <si>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</si>
  <si>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</si>
  <si>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</si>
  <si>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</si>
  <si>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</si>
  <si>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</si>
  <si>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</si>
  <si>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</si>
  <si>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</si>
  <si>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</si>
  <si>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</si>
  <si>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</si>
  <si>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</si>
  <si>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</si>
  <si>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</si>
  <si>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</si>
  <si>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</si>
  <si>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</si>
  <si>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</si>
  <si>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</si>
  <si>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</si>
  <si>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</si>
  <si>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</si>
  <si>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</si>
  <si>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</si>
  <si>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</si>
  <si>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</si>
  <si>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</si>
  <si>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</si>
  <si>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</si>
  <si>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</si>
  <si>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</si>
  <si>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</si>
  <si>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</si>
  <si>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</si>
  <si>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</si>
  <si>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</si>
  <si>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</si>
  <si>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</si>
  <si>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</si>
  <si>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</si>
  <si>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</si>
  <si>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</si>
  <si>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</si>
  <si>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</si>
  <si>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</si>
  <si>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</si>
  <si>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</si>
  <si>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</si>
  <si>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</si>
  <si>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</si>
  <si>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</si>
  <si>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</si>
  <si>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</si>
  <si>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</si>
  <si>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</si>
  <si>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</si>
  <si>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</si>
  <si>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</si>
  <si>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</si>
  <si>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</si>
  <si>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</si>
  <si>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</si>
  <si>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</si>
  <si>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</si>
  <si>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</si>
  <si>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</si>
  <si>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</si>
  <si>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</si>
  <si>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</si>
  <si>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</si>
  <si>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</si>
  <si>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</si>
  <si>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</si>
  <si>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</si>
  <si>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</si>
  <si>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</si>
  <si>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</si>
  <si>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</si>
  <si>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</si>
  <si>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</si>
  <si>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</si>
  <si>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</si>
  <si>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</si>
  <si>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</si>
  <si>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</si>
  <si>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</si>
  <si>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</si>
  <si>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</si>
  <si>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</si>
  <si>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</si>
  <si>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</si>
  <si>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</si>
  <si>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</si>
  <si>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</si>
  <si>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</si>
  <si>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</si>
  <si>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</si>
  <si>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</si>
  <si>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</si>
  <si>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</si>
  <si>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</si>
  <si>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</si>
  <si>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</si>
  <si>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</si>
  <si>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</si>
  <si>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</si>
  <si>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</si>
  <si>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</si>
  <si>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</si>
  <si>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</si>
  <si>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</si>
  <si>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</si>
  <si>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</si>
  <si>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</si>
  <si>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</si>
  <si>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</si>
  <si>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</si>
  <si>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</si>
  <si>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</si>
  <si>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</si>
  <si>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</si>
  <si>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</si>
  <si>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</si>
  <si>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</si>
  <si>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</si>
  <si>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</si>
  <si>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</si>
  <si>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</si>
  <si>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</si>
  <si>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</si>
  <si>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</si>
  <si>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</si>
  <si>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</si>
  <si>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</si>
  <si>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</si>
  <si>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</si>
  <si>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</si>
  <si>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</si>
  <si>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</si>
  <si>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</si>
  <si>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</si>
  <si>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</si>
  <si>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</si>
  <si>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</si>
  <si>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</si>
  <si>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</si>
  <si>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</si>
  <si>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</si>
  <si>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</si>
  <si>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Gestión de recursos con organizaciones nacionales e internacionales.</t>
  </si>
  <si>
    <t>Destinación de recurso especificos para garantizar a la población victima del conflicto interno armado.</t>
  </si>
  <si>
    <t>Permanente acción para la mejora de los procesos de la entidad.</t>
  </si>
  <si>
    <t>Presencia institucional y proximidad ciudadana.</t>
  </si>
  <si>
    <t>Aplicación de la Ley 1523 de 2012.</t>
  </si>
  <si>
    <t>Interes y liderazgo general en la ciudadania en temas de Gestión del Riesgo de desastre.</t>
  </si>
  <si>
    <t>Políticas de transferencia de recursos.</t>
  </si>
  <si>
    <t>Interes y liderazgo general en riesgos para la población victima.</t>
  </si>
  <si>
    <t>Promoción de los Derechos Humanos</t>
  </si>
  <si>
    <t>Apoyo interinstitucional con entidades como Policía, Migración, Fiscalía y entre otros.</t>
  </si>
  <si>
    <t>Carencia de la oficina de Gestión del Riesgo del Desastre exigida por la Ley 1523 de 2012.</t>
  </si>
  <si>
    <t>Falta de bases de datos de los beneficiarios consolidada de todos programas sociales del municipio.</t>
  </si>
  <si>
    <t>El espacio fisico y elementos tecnicos y tecnologicos de las oficinas no es adecuado para el desarrollo de las actividades propias y de atención a la comunidad.</t>
  </si>
  <si>
    <t>Falta de compromiso institucional.</t>
  </si>
  <si>
    <t>Ubicaciones de oficinas y desarrollo de actividades con entornos de mayor afectación de seguridad.</t>
  </si>
  <si>
    <t>Perfiles inadecuados para los cargos.</t>
  </si>
  <si>
    <t>Tramitología y burocracia externa.</t>
  </si>
  <si>
    <t>Claridad en las funciones y competencias.</t>
  </si>
  <si>
    <t>Posibles alteraciones del Orden Público.</t>
  </si>
  <si>
    <t>Falta de comunicación interna.</t>
  </si>
  <si>
    <t>Baja credibilidad en la respuesta intitucional.</t>
  </si>
  <si>
    <t>Insuficiencia de recurso humano y financiero para atender toda la problemática del Municipio.</t>
  </si>
  <si>
    <t>Estudios de amenaza, vulnerabilidad y riesgo de algunos sectores de la ciudad. 
Ejecución y seguimiento de obras de mitigación en zonas de alto riesgo.
Formulación de proyectos.
Atención y asistencia de Victimas del Conflicto Interno Armado.</t>
  </si>
  <si>
    <t xml:space="preserve">Plan Municipal de Gestión del Riesgo 
EMRE
Informes de gestión de las actividades de los Programas ejecutados
Programa Población con Discapacidad
Programa Victimas del Conflicto Interno Armado
Plan de Acción Territorial - PAT
</t>
  </si>
  <si>
    <t>Direccionar el diseño, monitoreo y asesoría a los diferentes programas de las Secretarias de Desarrollo Social y del Interior mediante estrategias y acciones que promuevan la igualdad de derechos y oportunidades de los diversos grupos poblacionales de Bucaramanga.</t>
  </si>
  <si>
    <r>
      <rPr>
        <b/>
        <sz val="12"/>
        <rFont val="Arial Narrow"/>
        <family val="2"/>
      </rPr>
      <t>Gestión del Riesgos de Desastres:</t>
    </r>
    <r>
      <rPr>
        <b/>
        <i/>
        <sz val="12"/>
        <rFont val="Arial Narrow"/>
        <family val="2"/>
      </rPr>
      <t xml:space="preserve"> </t>
    </r>
    <r>
      <rPr>
        <sz val="12"/>
        <rFont val="Arial Narrow"/>
        <family val="2"/>
      </rPr>
      <t xml:space="preserve">Inicia con identificación de la población en zonas de alto riesgo y finaliza con atención a población afectada por fenomenos naturales o antropicos.
</t>
    </r>
    <r>
      <rPr>
        <b/>
        <sz val="12"/>
        <rFont val="Arial Narrow"/>
        <family val="2"/>
      </rPr>
      <t xml:space="preserve">Plazas de Mercado: </t>
    </r>
    <r>
      <rPr>
        <sz val="12"/>
        <rFont val="Arial Narrow"/>
        <family val="2"/>
      </rPr>
      <t xml:space="preserve"> Inicia con la planeación del mantenimiento y administración de las 4 plazas públicas para abastecer alimentariamente al Municipio de Bucaramanga.
</t>
    </r>
    <r>
      <rPr>
        <b/>
        <sz val="12"/>
        <rFont val="Arial Narrow"/>
        <family val="2"/>
      </rPr>
      <t>Atención a victimas del conflicto interno armado:</t>
    </r>
    <r>
      <rPr>
        <b/>
        <i/>
        <sz val="12"/>
        <rFont val="Arial Narrow"/>
        <family val="2"/>
      </rPr>
      <t xml:space="preserve">  </t>
    </r>
    <r>
      <rPr>
        <sz val="12"/>
        <rFont val="Arial Narrow"/>
        <family val="2"/>
      </rPr>
      <t>Inicia con la elaboración y aprobación del Plan de Acción Territorial PAT y finaliza con la atención, asistencia y garantía de los derechos de la población víctima del conflicto armado residente en el municipio de Bucaramanga.</t>
    </r>
  </si>
  <si>
    <t>Proyección y desarrollo comunitario.</t>
  </si>
  <si>
    <r>
      <rPr>
        <b/>
        <sz val="11"/>
        <rFont val="Calibri"/>
        <family val="2"/>
      </rPr>
      <t>Capacidades institucionales:</t>
    </r>
    <r>
      <rPr>
        <sz val="11"/>
        <rFont val="Calibri"/>
        <family val="2"/>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</si>
  <si>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Direccionar el diseño, monitoreo y asesoría a los diferentes programas las Secretarias de Desarrollo Social y del Interior mediante estrategias y acciones que promuevan la igualdad de derechos y oportunidades de los diversos grupos poblacionales de Bucaramanga.</t>
  </si>
  <si>
    <r>
      <rPr>
        <b/>
        <sz val="14"/>
        <color theme="1"/>
        <rFont val="Arial Narrow"/>
        <family val="2"/>
      </rPr>
      <t>Gestión del Riesgos de Desastres:</t>
    </r>
    <r>
      <rPr>
        <sz val="14"/>
        <color theme="1"/>
        <rFont val="Arial Narrow"/>
        <family val="2"/>
      </rPr>
      <t xml:space="preserve"> Identificación de la población en zonas de alto riesgo y atención a población afectada por fenomenos naturales o antropicos.
</t>
    </r>
    <r>
      <rPr>
        <b/>
        <sz val="14"/>
        <color theme="1"/>
        <rFont val="Arial Narrow"/>
        <family val="2"/>
      </rPr>
      <t xml:space="preserve">Plazas de Mercado: </t>
    </r>
    <r>
      <rPr>
        <sz val="14"/>
        <color theme="1"/>
        <rFont val="Arial Narrow"/>
        <family val="2"/>
      </rPr>
      <t xml:space="preserve"> Inicia con la planeación del mantenimiento y administración de las 4 plazas públicas para abastecer alimentariamente al Municipio de Bucaramanga.
</t>
    </r>
    <r>
      <rPr>
        <b/>
        <sz val="14"/>
        <color theme="1"/>
        <rFont val="Arial Narrow"/>
        <family val="2"/>
      </rPr>
      <t>Atención a victimas del conflicto interno armado:</t>
    </r>
    <r>
      <rPr>
        <sz val="14"/>
        <color theme="1"/>
        <rFont val="Arial Narrow"/>
        <family val="2"/>
      </rPr>
      <t xml:space="preserve">  Inicia con la elaboración y aprobación del Plan de Acción Territorial PAT y finaliza con la atención, asistencia y garantía de los derechos de la población víctima del conflicto armado residente en el municipio de Bucaramanga</t>
    </r>
  </si>
  <si>
    <t>Investigaciones y sanciones de entes de control</t>
  </si>
  <si>
    <t>Incumplimiento en la entrega de ayuda humanitaria inmediata y asistencia exequial para la población víctima del conflicto armado residente en Bucaramanga, debido a la demora en los procesos de contratación y continuidad de los mismos.</t>
  </si>
  <si>
    <t>Posibilidad de afectación económica y reputacional por investigaciones y sanciones de entes de control, debido al incumplimiento en la entrega de ayuda humanitaria inmediata y asistencia exequial para la población víctima del conflicto armado residente en Bucaramanga, en razón a la demora en la expedición del  acto administrativo  y el proceso de contratación y continuidad de los mismos.</t>
  </si>
  <si>
    <t>El Subsecretario del Interior y su equipo de trabajo del área del CAIV, revisa que las ayudas humanitarias se entreguen por medio de resoluciones a las víctimas del conflicto interno armado.</t>
  </si>
  <si>
    <t>El Subsecretario del Interior y su equipo de trabajo del área de proyectos y contratación, verifica los procesos prioritarios que continúan para la próxima vigencia por medio de una lista de chequeo.</t>
  </si>
  <si>
    <t>Generar el 100% de las ayudas humanitarias por medio de resoluciones a las víctimas del conflicto interno armado.</t>
  </si>
  <si>
    <t>Realizar una (1) lista de chequeo para priorizar los proyectos y contratos de la Secretaría del Interior para la vigencia 2024.</t>
  </si>
  <si>
    <t>Secretaria del Inteirior</t>
  </si>
  <si>
    <t>Posibilidad de afectación económica y reputacional por investigaciones y sanciones por entes de control debido al deficiente control en la supervisión y entrega de los insumos de aseo para atender la operatividad de las 4 Plazas de mercado a cargo del Municipio de Bucaramanga</t>
  </si>
  <si>
    <t>Investigaciones y sanciones por entes de control</t>
  </si>
  <si>
    <t xml:space="preserve">Deficiente control en la supervisión y entrega de los insumos de aseo para atender  la operatividad de las 4 Plazas de mercado a cargo del Municipio de Bucaramanga. </t>
  </si>
  <si>
    <t xml:space="preserve">El servidor público responsable del programa Plazas de Mercado, verifica la entrega de insumos del proveedor, de acuerdo con lo pactado en el contrato, mediante acta y formatos establecidos </t>
  </si>
  <si>
    <t>Realizar inspección ocular mensual a la entrega de insumos por parte del proveedor en las 4 plazas de mercado a cargo del municipio</t>
  </si>
  <si>
    <t>Lider de programa</t>
  </si>
  <si>
    <t>Secreario del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</si>
</sst>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2"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b/>
      <i/>
      <sz val="12"/>
      <name val="Arial Narrow"/>
      <family val="2"/>
    </font>
    <font>
      <b/>
      <sz val="11"/>
      <name val="Calibri"/>
      <family val="2"/>
    </font>
    <font>
      <sz val="11"/>
      <name val="Calibri"/>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right style="thin">
        <color indexed="64"/>
      </right>
      <top/>
      <bottom style="medium">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2" fillId="0" borderId="0" xfId="0" applyFont="1" applyAlignment="1">
      <alignment horizontal="center" vertical="center" wrapText="1"/>
    </xf>
    <xf numFmtId="0" fontId="63"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61" fillId="0" borderId="0" xfId="0" applyFont="1" applyAlignment="1">
      <alignment horizontal="center" vertical="center"/>
    </xf>
    <xf numFmtId="0" fontId="64"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8" fillId="17" borderId="104" xfId="0" applyFont="1" applyFill="1" applyBorder="1" applyAlignment="1">
      <alignment horizontal="center" vertical="center" wrapText="1"/>
    </xf>
    <xf numFmtId="0" fontId="59" fillId="0" borderId="17" xfId="0" applyFont="1" applyBorder="1" applyAlignment="1">
      <alignment horizontal="center" vertical="center" wrapText="1"/>
    </xf>
    <xf numFmtId="0" fontId="59" fillId="0" borderId="111" xfId="0" applyFont="1" applyBorder="1" applyAlignment="1">
      <alignment horizontal="center" vertical="center" wrapText="1"/>
    </xf>
    <xf numFmtId="0" fontId="59" fillId="0" borderId="95" xfId="0" applyFont="1" applyBorder="1" applyAlignment="1">
      <alignment horizontal="justify" vertical="center" wrapText="1"/>
    </xf>
    <xf numFmtId="0" fontId="1" fillId="0" borderId="2" xfId="0" applyFont="1" applyBorder="1" applyAlignment="1" applyProtection="1">
      <alignment horizontal="justify" vertical="center" wrapText="1"/>
      <protection locked="0"/>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65" fillId="0" borderId="37" xfId="0" applyFont="1" applyBorder="1" applyAlignment="1">
      <alignment horizontal="left" vertical="center" wrapText="1"/>
    </xf>
    <xf numFmtId="0" fontId="65" fillId="0" borderId="33" xfId="0" applyFont="1" applyBorder="1" applyAlignment="1">
      <alignment horizontal="left" vertical="center" wrapText="1"/>
    </xf>
    <xf numFmtId="0" fontId="65"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65" fillId="0" borderId="39" xfId="0" applyFont="1" applyBorder="1" applyAlignment="1">
      <alignment horizontal="left" vertical="center" wrapText="1"/>
    </xf>
    <xf numFmtId="0" fontId="65" fillId="0" borderId="40" xfId="0" applyFont="1" applyBorder="1" applyAlignment="1">
      <alignment horizontal="left" vertical="center" wrapText="1"/>
    </xf>
    <xf numFmtId="0" fontId="65" fillId="0" borderId="41" xfId="0" applyFont="1" applyBorder="1" applyAlignment="1">
      <alignment horizontal="left" vertical="center" wrapText="1"/>
    </xf>
    <xf numFmtId="0" fontId="1" fillId="0" borderId="109" xfId="0" applyFont="1" applyBorder="1" applyAlignment="1">
      <alignment horizontal="left"/>
    </xf>
    <xf numFmtId="0" fontId="1" fillId="0" borderId="103" xfId="0" applyFont="1" applyBorder="1" applyAlignment="1">
      <alignment horizontal="left"/>
    </xf>
    <xf numFmtId="0" fontId="59" fillId="0" borderId="107" xfId="0" applyFont="1" applyBorder="1" applyAlignment="1">
      <alignment horizontal="left" vertical="top" wrapText="1"/>
    </xf>
    <xf numFmtId="0" fontId="59" fillId="0" borderId="79" xfId="0" applyFont="1" applyBorder="1" applyAlignment="1">
      <alignment horizontal="left" vertical="top" wrapText="1"/>
    </xf>
    <xf numFmtId="0" fontId="59" fillId="0" borderId="108" xfId="0" applyFont="1" applyBorder="1" applyAlignment="1">
      <alignment horizontal="left" vertical="top" wrapText="1"/>
    </xf>
    <xf numFmtId="0" fontId="36" fillId="0" borderId="107" xfId="0" applyFont="1" applyBorder="1" applyAlignment="1">
      <alignment horizontal="left" vertical="center" wrapText="1"/>
    </xf>
    <xf numFmtId="0" fontId="36" fillId="0" borderId="108" xfId="0" applyFont="1" applyBorder="1" applyAlignment="1">
      <alignment horizontal="left" vertical="center" wrapText="1"/>
    </xf>
    <xf numFmtId="0" fontId="59" fillId="0" borderId="107" xfId="0" applyFont="1" applyBorder="1" applyAlignment="1">
      <alignment horizontal="left" vertical="center" wrapText="1"/>
    </xf>
    <xf numFmtId="0" fontId="59" fillId="0" borderId="79" xfId="0" applyFont="1" applyBorder="1" applyAlignment="1">
      <alignment horizontal="left" vertical="center" wrapText="1"/>
    </xf>
    <xf numFmtId="0" fontId="59" fillId="0" borderId="108" xfId="0" applyFont="1" applyBorder="1" applyAlignment="1">
      <alignment horizontal="left" vertical="center"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16" xfId="0" applyFont="1" applyFill="1" applyBorder="1" applyAlignment="1">
      <alignment horizontal="center" vertical="center" wrapText="1"/>
    </xf>
    <xf numFmtId="0" fontId="45" fillId="20" borderId="17" xfId="0" applyFont="1" applyFill="1" applyBorder="1" applyAlignment="1">
      <alignment horizontal="center" vertical="center" wrapText="1"/>
    </xf>
    <xf numFmtId="0" fontId="59" fillId="0" borderId="48" xfId="0" applyFont="1" applyBorder="1" applyAlignment="1">
      <alignment vertical="top" wrapText="1"/>
    </xf>
    <xf numFmtId="0" fontId="59" fillId="0" borderId="49" xfId="0" applyFont="1" applyBorder="1" applyAlignment="1">
      <alignment vertical="top" wrapText="1"/>
    </xf>
    <xf numFmtId="0" fontId="59" fillId="0" borderId="50" xfId="0" applyFont="1" applyBorder="1" applyAlignment="1">
      <alignment vertical="top" wrapText="1"/>
    </xf>
    <xf numFmtId="0" fontId="36" fillId="0" borderId="48" xfId="0" applyFont="1" applyBorder="1" applyAlignment="1">
      <alignment horizontal="left" vertical="center" wrapText="1"/>
    </xf>
    <xf numFmtId="0" fontId="36" fillId="0" borderId="50" xfId="0" applyFont="1" applyBorder="1" applyAlignment="1">
      <alignment horizontal="left" vertical="center" wrapText="1"/>
    </xf>
    <xf numFmtId="0" fontId="36" fillId="3" borderId="37" xfId="0" applyFont="1" applyFill="1" applyBorder="1" applyAlignment="1">
      <alignment horizontal="left" vertical="center" wrapText="1"/>
    </xf>
    <xf numFmtId="0" fontId="36" fillId="3" borderId="33" xfId="0" applyFont="1" applyFill="1" applyBorder="1" applyAlignment="1">
      <alignment horizontal="left" vertical="center" wrapText="1"/>
    </xf>
    <xf numFmtId="0" fontId="36" fillId="3" borderId="81" xfId="0" applyFont="1" applyFill="1" applyBorder="1" applyAlignment="1">
      <alignment horizontal="left" vertical="center" wrapText="1"/>
    </xf>
    <xf numFmtId="0" fontId="36" fillId="0" borderId="37"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81" xfId="0" applyFont="1" applyBorder="1" applyAlignment="1">
      <alignment horizontal="center" vertical="center" wrapText="1"/>
    </xf>
    <xf numFmtId="0" fontId="36" fillId="0" borderId="37" xfId="0" applyFont="1" applyBorder="1" applyAlignment="1">
      <alignment horizontal="left" vertical="center" wrapText="1"/>
    </xf>
    <xf numFmtId="0" fontId="36" fillId="0" borderId="38" xfId="0" applyFont="1" applyBorder="1" applyAlignment="1">
      <alignment horizontal="left" vertical="center" wrapText="1"/>
    </xf>
    <xf numFmtId="0" fontId="36" fillId="0" borderId="107" xfId="0" applyFont="1" applyBorder="1" applyAlignment="1">
      <alignment horizontal="center" vertical="center"/>
    </xf>
    <xf numFmtId="0" fontId="36" fillId="0" borderId="108" xfId="0" applyFont="1" applyBorder="1" applyAlignment="1">
      <alignment horizontal="center"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101" xfId="0" applyFont="1" applyFill="1" applyBorder="1" applyAlignment="1">
      <alignment horizontal="left" vertical="center"/>
    </xf>
    <xf numFmtId="0" fontId="65" fillId="0" borderId="39" xfId="0" applyFont="1" applyBorder="1" applyAlignment="1">
      <alignment horizontal="left" wrapText="1"/>
    </xf>
    <xf numFmtId="0" fontId="65" fillId="0" borderId="41" xfId="0" applyFont="1" applyBorder="1" applyAlignment="1">
      <alignment horizontal="left" wrapText="1"/>
    </xf>
    <xf numFmtId="0" fontId="36" fillId="0" borderId="33" xfId="0" applyFont="1" applyBorder="1" applyAlignment="1">
      <alignment horizontal="left" vertical="center" wrapText="1"/>
    </xf>
    <xf numFmtId="0" fontId="36" fillId="0" borderId="81" xfId="0" applyFont="1" applyBorder="1" applyAlignment="1">
      <alignment horizontal="left" vertical="center" wrapText="1"/>
    </xf>
    <xf numFmtId="0" fontId="36" fillId="0" borderId="37" xfId="0" applyFont="1" applyBorder="1" applyAlignment="1">
      <alignment horizontal="left" vertical="center"/>
    </xf>
    <xf numFmtId="0" fontId="36" fillId="0" borderId="38" xfId="0" applyFont="1" applyBorder="1" applyAlignment="1">
      <alignment horizontal="left" vertical="center"/>
    </xf>
    <xf numFmtId="0" fontId="36" fillId="0" borderId="98" xfId="0" applyFont="1" applyBorder="1" applyAlignment="1">
      <alignment horizontal="left" vertical="center"/>
    </xf>
    <xf numFmtId="0" fontId="36" fillId="0" borderId="105" xfId="0" applyFont="1" applyBorder="1" applyAlignment="1">
      <alignment horizontal="left" vertical="center"/>
    </xf>
    <xf numFmtId="0" fontId="36" fillId="0" borderId="99" xfId="0" applyFont="1" applyBorder="1" applyAlignment="1">
      <alignment horizontal="left" vertical="center"/>
    </xf>
    <xf numFmtId="0" fontId="36" fillId="0" borderId="106" xfId="0" applyFont="1" applyBorder="1" applyAlignment="1">
      <alignment horizontal="left" vertical="center"/>
    </xf>
    <xf numFmtId="0" fontId="62"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36" fillId="0" borderId="33" xfId="0" applyFont="1" applyBorder="1" applyAlignment="1">
      <alignment horizontal="left" vertical="center"/>
    </xf>
    <xf numFmtId="0" fontId="36" fillId="0" borderId="81" xfId="0" applyFont="1" applyBorder="1" applyAlignment="1">
      <alignment horizontal="left" vertical="center"/>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1" fillId="0" borderId="12"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0" xfId="0" applyFont="1" applyAlignment="1">
      <alignment horizontal="center" vertical="center" wrapText="1"/>
    </xf>
    <xf numFmtId="0" fontId="61" fillId="0" borderId="16" xfId="0" applyFont="1" applyBorder="1" applyAlignment="1">
      <alignment horizontal="center" vertical="center" wrapText="1"/>
    </xf>
    <xf numFmtId="0" fontId="61"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0" borderId="101" xfId="0" applyFont="1" applyBorder="1" applyAlignment="1">
      <alignment horizontal="left" vertical="center" wrapText="1" indent="1"/>
    </xf>
    <xf numFmtId="0" fontId="59" fillId="0" borderId="102" xfId="0" applyFont="1" applyBorder="1" applyAlignment="1">
      <alignment horizontal="left" vertical="center" wrapText="1" indent="1"/>
    </xf>
    <xf numFmtId="0" fontId="59" fillId="0" borderId="103" xfId="0" applyFont="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0"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67" fillId="2" borderId="6" xfId="0" applyFont="1" applyFill="1" applyBorder="1" applyAlignment="1">
      <alignment horizontal="left" vertical="center"/>
    </xf>
    <xf numFmtId="0" fontId="67" fillId="2" borderId="7" xfId="0" applyFont="1" applyFill="1" applyBorder="1" applyAlignment="1">
      <alignment horizontal="left" vertical="center"/>
    </xf>
    <xf numFmtId="0" fontId="54"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7" xfId="0" applyFont="1" applyFill="1" applyBorder="1" applyAlignment="1">
      <alignment horizontal="left" vertical="center"/>
    </xf>
    <xf numFmtId="0" fontId="66" fillId="2" borderId="28" xfId="0" applyFont="1" applyFill="1" applyBorder="1" applyAlignment="1">
      <alignment horizontal="center" vertical="center" wrapText="1"/>
    </xf>
    <xf numFmtId="0" fontId="66" fillId="2" borderId="29" xfId="0" applyFont="1" applyFill="1" applyBorder="1" applyAlignment="1">
      <alignment horizontal="center" vertical="center" wrapText="1"/>
    </xf>
    <xf numFmtId="0" fontId="66" fillId="2" borderId="30"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0" xfId="0" applyFont="1" applyFill="1" applyAlignment="1">
      <alignment horizontal="center" vertical="center" wrapText="1"/>
    </xf>
    <xf numFmtId="0" fontId="66" fillId="2" borderId="110" xfId="0" applyFont="1" applyFill="1" applyBorder="1" applyAlignment="1">
      <alignment horizontal="center" vertical="center" wrapText="1"/>
    </xf>
    <xf numFmtId="0" fontId="66" fillId="2" borderId="3" xfId="0" applyFont="1" applyFill="1" applyBorder="1" applyAlignment="1">
      <alignment horizontal="center" vertical="center" wrapText="1"/>
    </xf>
    <xf numFmtId="0" fontId="66" fillId="2" borderId="31" xfId="0" applyFont="1" applyFill="1" applyBorder="1" applyAlignment="1">
      <alignment horizontal="center" vertical="center" wrapText="1"/>
    </xf>
    <xf numFmtId="0" fontId="66" fillId="2" borderId="32" xfId="0" applyFont="1" applyFill="1" applyBorder="1" applyAlignment="1">
      <alignment horizontal="center" vertical="center" wrapText="1"/>
    </xf>
    <xf numFmtId="0" fontId="1" fillId="3" borderId="0" xfId="0" applyFont="1" applyFill="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1</xdr:col>
      <xdr:colOff>962025</xdr:colOff>
      <xdr:row>4</xdr:row>
      <xdr:rowOff>66675</xdr:rowOff>
    </xdr:to>
    <xdr:pic>
      <xdr:nvPicPr>
        <xdr:cNvPr id="2" name="Imagen 2" descr="escudo">
          <a:extLst>
            <a:ext uri="{FF2B5EF4-FFF2-40B4-BE49-F238E27FC236}">
              <a16:creationId xmlns:a16="http://schemas.microsoft.com/office/drawing/2014/main" id="{156E3A5E-A073-4880-BAB6-E67B6A459F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95275"/>
          <a:ext cx="6191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195" t="s">
        <v>0</v>
      </c>
      <c r="C2" s="196"/>
      <c r="D2" s="196"/>
      <c r="E2" s="196"/>
      <c r="F2" s="196"/>
      <c r="G2" s="196"/>
      <c r="H2" s="197"/>
    </row>
    <row r="3" spans="1:8" x14ac:dyDescent="0.25">
      <c r="B3" s="120"/>
      <c r="C3" s="121"/>
      <c r="D3" s="121"/>
      <c r="E3" s="121"/>
      <c r="F3" s="121"/>
      <c r="G3" s="121"/>
      <c r="H3" s="122"/>
    </row>
    <row r="4" spans="1:8" ht="63" customHeight="1" x14ac:dyDescent="0.25">
      <c r="B4" s="198" t="s">
        <v>1</v>
      </c>
      <c r="C4" s="199"/>
      <c r="D4" s="199"/>
      <c r="E4" s="199"/>
      <c r="F4" s="199"/>
      <c r="G4" s="199"/>
      <c r="H4" s="200"/>
    </row>
    <row r="5" spans="1:8" ht="63" customHeight="1" x14ac:dyDescent="0.25">
      <c r="B5" s="201"/>
      <c r="C5" s="202"/>
      <c r="D5" s="202"/>
      <c r="E5" s="202"/>
      <c r="F5" s="202"/>
      <c r="G5" s="202"/>
      <c r="H5" s="203"/>
    </row>
    <row r="6" spans="1:8" ht="16.5" x14ac:dyDescent="0.25">
      <c r="A6" s="123"/>
      <c r="B6" s="204" t="s">
        <v>2</v>
      </c>
      <c r="C6" s="205"/>
      <c r="D6" s="205"/>
      <c r="E6" s="205"/>
      <c r="F6" s="205"/>
      <c r="G6" s="205"/>
      <c r="H6" s="206"/>
    </row>
    <row r="7" spans="1:8" ht="95.25" customHeight="1" x14ac:dyDescent="0.25">
      <c r="A7" s="123"/>
      <c r="B7" s="207" t="s">
        <v>3</v>
      </c>
      <c r="C7" s="207"/>
      <c r="D7" s="207"/>
      <c r="E7" s="207"/>
      <c r="F7" s="207"/>
      <c r="G7" s="207"/>
      <c r="H7" s="208"/>
    </row>
    <row r="8" spans="1:8" ht="16.5" x14ac:dyDescent="0.25">
      <c r="A8" s="123"/>
      <c r="B8" s="124"/>
      <c r="C8" s="125"/>
      <c r="D8" s="125"/>
      <c r="E8" s="125"/>
      <c r="F8" s="125"/>
      <c r="G8" s="125"/>
      <c r="H8" s="126"/>
    </row>
    <row r="9" spans="1:8" ht="16.5" customHeight="1" x14ac:dyDescent="0.25">
      <c r="A9" s="123"/>
      <c r="B9" s="209" t="s">
        <v>4</v>
      </c>
      <c r="C9" s="209"/>
      <c r="D9" s="209"/>
      <c r="E9" s="209"/>
      <c r="F9" s="209"/>
      <c r="G9" s="209"/>
      <c r="H9" s="210"/>
    </row>
    <row r="10" spans="1:8" ht="16.5" customHeight="1" x14ac:dyDescent="0.25">
      <c r="A10" s="123"/>
      <c r="B10" s="209"/>
      <c r="C10" s="209"/>
      <c r="D10" s="209"/>
      <c r="E10" s="209"/>
      <c r="F10" s="209"/>
      <c r="G10" s="209"/>
      <c r="H10" s="210"/>
    </row>
    <row r="11" spans="1:8" ht="11.65" customHeight="1" x14ac:dyDescent="0.25">
      <c r="A11" s="123"/>
      <c r="B11" s="209"/>
      <c r="C11" s="209"/>
      <c r="D11" s="209"/>
      <c r="E11" s="209"/>
      <c r="F11" s="209"/>
      <c r="G11" s="209"/>
      <c r="H11" s="210"/>
    </row>
    <row r="12" spans="1:8" ht="11.65" customHeight="1" thickBot="1" x14ac:dyDescent="0.3">
      <c r="A12" s="123"/>
      <c r="B12" s="127"/>
      <c r="C12" s="127"/>
      <c r="D12" s="127"/>
      <c r="E12" s="127"/>
      <c r="F12" s="127"/>
      <c r="G12" s="127"/>
      <c r="H12" s="128"/>
    </row>
    <row r="13" spans="1:8" ht="15.4" customHeight="1" thickTop="1" x14ac:dyDescent="0.25">
      <c r="A13" s="123"/>
      <c r="B13" s="127"/>
      <c r="C13" s="191" t="s">
        <v>5</v>
      </c>
      <c r="D13" s="192"/>
      <c r="E13" s="193" t="s">
        <v>6</v>
      </c>
      <c r="F13" s="194"/>
      <c r="G13" s="127"/>
      <c r="H13" s="128"/>
    </row>
    <row r="14" spans="1:8" ht="11.65" customHeight="1" x14ac:dyDescent="0.25">
      <c r="A14" s="123"/>
      <c r="B14" s="127"/>
      <c r="C14" s="211" t="s">
        <v>7</v>
      </c>
      <c r="D14" s="212"/>
      <c r="E14" s="213" t="s">
        <v>8</v>
      </c>
      <c r="F14" s="214"/>
      <c r="G14" s="127"/>
      <c r="H14" s="128"/>
    </row>
    <row r="15" spans="1:8" ht="11.65" customHeight="1" x14ac:dyDescent="0.25">
      <c r="A15" s="123"/>
      <c r="B15" s="127"/>
      <c r="C15" s="211" t="s">
        <v>9</v>
      </c>
      <c r="D15" s="212"/>
      <c r="E15" s="213" t="s">
        <v>10</v>
      </c>
      <c r="F15" s="214"/>
      <c r="G15" s="127"/>
      <c r="H15" s="128"/>
    </row>
    <row r="16" spans="1:8" ht="11.65" customHeight="1" x14ac:dyDescent="0.25">
      <c r="A16" s="123"/>
      <c r="B16" s="127"/>
      <c r="C16" s="211" t="s">
        <v>11</v>
      </c>
      <c r="D16" s="212"/>
      <c r="E16" s="213" t="s">
        <v>12</v>
      </c>
      <c r="F16" s="214"/>
      <c r="G16" s="127"/>
      <c r="H16" s="128"/>
    </row>
    <row r="17" spans="1:8" ht="13.5" customHeight="1" x14ac:dyDescent="0.25">
      <c r="A17" s="123"/>
      <c r="B17" s="127"/>
      <c r="C17" s="211" t="s">
        <v>13</v>
      </c>
      <c r="D17" s="212"/>
      <c r="E17" s="213" t="s">
        <v>14</v>
      </c>
      <c r="F17" s="214"/>
      <c r="G17" s="127"/>
      <c r="H17" s="129"/>
    </row>
    <row r="18" spans="1:8" ht="12.4" customHeight="1" x14ac:dyDescent="0.25">
      <c r="A18" s="123"/>
      <c r="B18" s="127"/>
      <c r="C18" s="211" t="s">
        <v>15</v>
      </c>
      <c r="D18" s="212"/>
      <c r="E18" s="218" t="s">
        <v>16</v>
      </c>
      <c r="F18" s="214"/>
      <c r="G18" s="127"/>
      <c r="H18" s="128"/>
    </row>
    <row r="19" spans="1:8" ht="24" customHeight="1" thickBot="1" x14ac:dyDescent="0.3">
      <c r="A19" s="123"/>
      <c r="B19" s="127"/>
      <c r="C19" s="219" t="s">
        <v>17</v>
      </c>
      <c r="D19" s="220"/>
      <c r="E19" s="221" t="s">
        <v>18</v>
      </c>
      <c r="F19" s="222"/>
      <c r="G19" s="127"/>
      <c r="H19" s="128"/>
    </row>
    <row r="20" spans="1:8" ht="11.65" customHeight="1" thickTop="1" x14ac:dyDescent="0.25">
      <c r="A20" s="123"/>
      <c r="B20" s="127"/>
      <c r="C20" s="130"/>
      <c r="D20" s="130"/>
      <c r="E20" s="130"/>
      <c r="F20" s="130"/>
      <c r="G20" s="127"/>
      <c r="H20" s="128"/>
    </row>
    <row r="21" spans="1:8" ht="27.4" customHeight="1" thickBot="1" x14ac:dyDescent="0.3">
      <c r="A21" s="123"/>
      <c r="B21" s="223" t="s">
        <v>19</v>
      </c>
      <c r="C21" s="224"/>
      <c r="D21" s="224"/>
      <c r="E21" s="224"/>
      <c r="F21" s="224"/>
      <c r="G21" s="224"/>
      <c r="H21" s="225"/>
    </row>
    <row r="22" spans="1:8" ht="15.75" thickTop="1" x14ac:dyDescent="0.25">
      <c r="A22" s="123"/>
      <c r="B22" s="131"/>
      <c r="C22" s="226" t="s">
        <v>5</v>
      </c>
      <c r="D22" s="192"/>
      <c r="E22" s="193" t="s">
        <v>6</v>
      </c>
      <c r="F22" s="194"/>
      <c r="G22" s="130"/>
      <c r="H22" s="132"/>
    </row>
    <row r="23" spans="1:8" ht="13.5" customHeight="1" x14ac:dyDescent="0.25">
      <c r="A23" s="123"/>
      <c r="B23" s="133"/>
      <c r="C23" s="227" t="s">
        <v>7</v>
      </c>
      <c r="D23" s="228"/>
      <c r="E23" s="229" t="s">
        <v>8</v>
      </c>
      <c r="F23" s="230"/>
      <c r="G23" s="134"/>
      <c r="H23" s="135"/>
    </row>
    <row r="24" spans="1:8" ht="13.5" customHeight="1" x14ac:dyDescent="0.25">
      <c r="A24" s="123"/>
      <c r="B24" s="133"/>
      <c r="C24" s="215" t="s">
        <v>20</v>
      </c>
      <c r="D24" s="216"/>
      <c r="E24" s="217" t="s">
        <v>14</v>
      </c>
      <c r="F24" s="214"/>
      <c r="G24" s="134"/>
      <c r="H24" s="135"/>
    </row>
    <row r="25" spans="1:8" ht="13.5" customHeight="1" x14ac:dyDescent="0.25">
      <c r="A25" s="123"/>
      <c r="B25" s="133"/>
      <c r="C25" s="215" t="s">
        <v>9</v>
      </c>
      <c r="D25" s="216"/>
      <c r="E25" s="217" t="s">
        <v>10</v>
      </c>
      <c r="F25" s="214"/>
      <c r="G25" s="134"/>
      <c r="H25" s="135"/>
    </row>
    <row r="26" spans="1:8" ht="22.9" customHeight="1" x14ac:dyDescent="0.25">
      <c r="A26" s="123"/>
      <c r="B26" s="133"/>
      <c r="C26" s="215" t="s">
        <v>21</v>
      </c>
      <c r="D26" s="216"/>
      <c r="E26" s="231" t="s">
        <v>22</v>
      </c>
      <c r="F26" s="232"/>
      <c r="G26" s="134"/>
      <c r="H26" s="135"/>
    </row>
    <row r="27" spans="1:8" ht="69.75" customHeight="1" x14ac:dyDescent="0.25">
      <c r="A27" s="123"/>
      <c r="B27" s="133"/>
      <c r="C27" s="233" t="s">
        <v>23</v>
      </c>
      <c r="D27" s="234"/>
      <c r="E27" s="235" t="s">
        <v>24</v>
      </c>
      <c r="F27" s="236"/>
      <c r="G27" s="134"/>
      <c r="H27" s="136"/>
    </row>
    <row r="28" spans="1:8" ht="34.5" customHeight="1" x14ac:dyDescent="0.25">
      <c r="B28" s="137"/>
      <c r="C28" s="237" t="s">
        <v>25</v>
      </c>
      <c r="D28" s="234"/>
      <c r="E28" s="235" t="s">
        <v>26</v>
      </c>
      <c r="F28" s="236"/>
      <c r="G28" s="134"/>
      <c r="H28" s="136"/>
    </row>
    <row r="29" spans="1:8" ht="27.75" customHeight="1" x14ac:dyDescent="0.25">
      <c r="B29" s="137"/>
      <c r="C29" s="237" t="s">
        <v>27</v>
      </c>
      <c r="D29" s="234"/>
      <c r="E29" s="235" t="s">
        <v>28</v>
      </c>
      <c r="F29" s="236"/>
      <c r="G29" s="134"/>
      <c r="H29" s="136"/>
    </row>
    <row r="30" spans="1:8" ht="28.5" customHeight="1" x14ac:dyDescent="0.25">
      <c r="B30" s="137"/>
      <c r="C30" s="237" t="s">
        <v>29</v>
      </c>
      <c r="D30" s="234"/>
      <c r="E30" s="235" t="s">
        <v>30</v>
      </c>
      <c r="F30" s="236"/>
      <c r="G30" s="134"/>
      <c r="H30" s="136"/>
    </row>
    <row r="31" spans="1:8" ht="72.75" customHeight="1" x14ac:dyDescent="0.25">
      <c r="B31" s="137"/>
      <c r="C31" s="237" t="s">
        <v>31</v>
      </c>
      <c r="D31" s="234"/>
      <c r="E31" s="235" t="s">
        <v>32</v>
      </c>
      <c r="F31" s="236"/>
      <c r="G31" s="134"/>
      <c r="H31" s="136"/>
    </row>
    <row r="32" spans="1:8" ht="64.5" customHeight="1" x14ac:dyDescent="0.25">
      <c r="B32" s="137"/>
      <c r="C32" s="237" t="s">
        <v>33</v>
      </c>
      <c r="D32" s="234"/>
      <c r="E32" s="235" t="s">
        <v>34</v>
      </c>
      <c r="F32" s="236"/>
      <c r="G32" s="134"/>
      <c r="H32" s="136"/>
    </row>
    <row r="33" spans="2:8" ht="71.25" customHeight="1" x14ac:dyDescent="0.25">
      <c r="B33" s="137"/>
      <c r="C33" s="238" t="s">
        <v>35</v>
      </c>
      <c r="D33" s="233"/>
      <c r="E33" s="235" t="s">
        <v>36</v>
      </c>
      <c r="F33" s="236"/>
      <c r="G33" s="134"/>
      <c r="H33" s="136"/>
    </row>
    <row r="34" spans="2:8" ht="55.5" customHeight="1" x14ac:dyDescent="0.25">
      <c r="B34" s="137"/>
      <c r="C34" s="238" t="s">
        <v>37</v>
      </c>
      <c r="D34" s="233"/>
      <c r="E34" s="235" t="s">
        <v>38</v>
      </c>
      <c r="F34" s="236"/>
      <c r="G34" s="134"/>
      <c r="H34" s="136"/>
    </row>
    <row r="35" spans="2:8" ht="42" customHeight="1" x14ac:dyDescent="0.25">
      <c r="B35" s="137"/>
      <c r="C35" s="238" t="s">
        <v>39</v>
      </c>
      <c r="D35" s="233"/>
      <c r="E35" s="235" t="s">
        <v>40</v>
      </c>
      <c r="F35" s="236"/>
      <c r="G35" s="134"/>
      <c r="H35" s="136"/>
    </row>
    <row r="36" spans="2:8" ht="59.25" customHeight="1" x14ac:dyDescent="0.25">
      <c r="B36" s="137"/>
      <c r="C36" s="238" t="s">
        <v>41</v>
      </c>
      <c r="D36" s="233"/>
      <c r="E36" s="235" t="s">
        <v>42</v>
      </c>
      <c r="F36" s="236"/>
      <c r="G36" s="134"/>
      <c r="H36" s="136"/>
    </row>
    <row r="37" spans="2:8" ht="23.25" customHeight="1" x14ac:dyDescent="0.25">
      <c r="B37" s="137"/>
      <c r="C37" s="238" t="s">
        <v>43</v>
      </c>
      <c r="D37" s="233"/>
      <c r="E37" s="235" t="s">
        <v>44</v>
      </c>
      <c r="F37" s="236"/>
      <c r="G37" s="134"/>
      <c r="H37" s="136"/>
    </row>
    <row r="38" spans="2:8" ht="30.75" customHeight="1" x14ac:dyDescent="0.25">
      <c r="B38" s="137"/>
      <c r="C38" s="238" t="s">
        <v>45</v>
      </c>
      <c r="D38" s="233"/>
      <c r="E38" s="235" t="s">
        <v>46</v>
      </c>
      <c r="F38" s="236"/>
      <c r="G38" s="134"/>
      <c r="H38" s="136"/>
    </row>
    <row r="39" spans="2:8" ht="35.25" customHeight="1" x14ac:dyDescent="0.25">
      <c r="B39" s="137"/>
      <c r="C39" s="238" t="s">
        <v>45</v>
      </c>
      <c r="D39" s="233"/>
      <c r="E39" s="235" t="s">
        <v>46</v>
      </c>
      <c r="F39" s="236"/>
      <c r="G39" s="134"/>
      <c r="H39" s="136"/>
    </row>
    <row r="40" spans="2:8" ht="33" customHeight="1" x14ac:dyDescent="0.25">
      <c r="B40" s="137"/>
      <c r="C40" s="238" t="s">
        <v>47</v>
      </c>
      <c r="D40" s="233"/>
      <c r="E40" s="235" t="s">
        <v>48</v>
      </c>
      <c r="F40" s="236"/>
      <c r="G40" s="134"/>
      <c r="H40" s="136"/>
    </row>
    <row r="41" spans="2:8" ht="30" customHeight="1" x14ac:dyDescent="0.25">
      <c r="B41" s="137"/>
      <c r="C41" s="238" t="s">
        <v>49</v>
      </c>
      <c r="D41" s="233"/>
      <c r="E41" s="235" t="s">
        <v>50</v>
      </c>
      <c r="F41" s="236"/>
      <c r="G41" s="134"/>
      <c r="H41" s="136"/>
    </row>
    <row r="42" spans="2:8" ht="35.25" customHeight="1" x14ac:dyDescent="0.25">
      <c r="B42" s="137"/>
      <c r="C42" s="238" t="s">
        <v>51</v>
      </c>
      <c r="D42" s="233"/>
      <c r="E42" s="235" t="s">
        <v>52</v>
      </c>
      <c r="F42" s="236"/>
      <c r="G42" s="134"/>
      <c r="H42" s="136"/>
    </row>
    <row r="43" spans="2:8" ht="31.5" customHeight="1" x14ac:dyDescent="0.25">
      <c r="B43" s="137"/>
      <c r="C43" s="238" t="s">
        <v>53</v>
      </c>
      <c r="D43" s="233"/>
      <c r="E43" s="235" t="s">
        <v>54</v>
      </c>
      <c r="F43" s="236"/>
      <c r="G43" s="134"/>
      <c r="H43" s="136"/>
    </row>
    <row r="44" spans="2:8" ht="54" customHeight="1" x14ac:dyDescent="0.25">
      <c r="B44" s="137"/>
      <c r="C44" s="238" t="s">
        <v>55</v>
      </c>
      <c r="D44" s="233"/>
      <c r="E44" s="235" t="s">
        <v>56</v>
      </c>
      <c r="F44" s="236"/>
      <c r="G44" s="134"/>
      <c r="H44" s="136"/>
    </row>
    <row r="45" spans="2:8" ht="59.25" customHeight="1" x14ac:dyDescent="0.25">
      <c r="B45" s="137"/>
      <c r="C45" s="238" t="s">
        <v>57</v>
      </c>
      <c r="D45" s="233"/>
      <c r="E45" s="235" t="s">
        <v>58</v>
      </c>
      <c r="F45" s="236"/>
      <c r="G45" s="134"/>
      <c r="H45" s="136"/>
    </row>
    <row r="46" spans="2:8" ht="84" customHeight="1" x14ac:dyDescent="0.25">
      <c r="B46" s="137"/>
      <c r="C46" s="238" t="s">
        <v>59</v>
      </c>
      <c r="D46" s="233"/>
      <c r="E46" s="235" t="s">
        <v>60</v>
      </c>
      <c r="F46" s="236"/>
      <c r="G46" s="134"/>
      <c r="H46" s="136"/>
    </row>
    <row r="47" spans="2:8" ht="82.5" customHeight="1" x14ac:dyDescent="0.25">
      <c r="B47" s="137"/>
      <c r="C47" s="238" t="s">
        <v>61</v>
      </c>
      <c r="D47" s="233"/>
      <c r="E47" s="235" t="s">
        <v>62</v>
      </c>
      <c r="F47" s="236"/>
      <c r="G47" s="134"/>
      <c r="H47" s="136"/>
    </row>
    <row r="48" spans="2:8" ht="46.5" customHeight="1" thickBot="1" x14ac:dyDescent="0.3">
      <c r="B48" s="137"/>
      <c r="C48" s="239"/>
      <c r="D48" s="240"/>
      <c r="E48" s="241"/>
      <c r="F48" s="242"/>
      <c r="G48" s="134"/>
      <c r="H48" s="136"/>
    </row>
    <row r="49" spans="2:8" ht="6.75" customHeight="1" thickTop="1" x14ac:dyDescent="0.25">
      <c r="B49" s="137"/>
      <c r="C49" s="138"/>
      <c r="D49" s="138"/>
      <c r="E49" s="139"/>
      <c r="F49" s="139"/>
      <c r="G49" s="134"/>
      <c r="H49" s="136"/>
    </row>
    <row r="50" spans="2:8" x14ac:dyDescent="0.25">
      <c r="B50" s="137"/>
      <c r="C50" s="140"/>
      <c r="D50" s="140"/>
      <c r="E50" s="140"/>
      <c r="F50" s="140"/>
      <c r="G50" s="134"/>
      <c r="H50" s="136"/>
    </row>
    <row r="51" spans="2:8" ht="21" customHeight="1" x14ac:dyDescent="0.25">
      <c r="B51" s="141" t="s">
        <v>63</v>
      </c>
      <c r="C51" s="140"/>
      <c r="D51" s="140"/>
      <c r="E51" s="140"/>
      <c r="F51" s="140"/>
      <c r="G51" s="140"/>
      <c r="H51" s="142"/>
    </row>
    <row r="52" spans="2:8" ht="20.25" customHeight="1" x14ac:dyDescent="0.25">
      <c r="B52" s="141" t="s">
        <v>64</v>
      </c>
      <c r="C52" s="140"/>
      <c r="D52" s="140"/>
      <c r="E52" s="140"/>
      <c r="F52" s="140"/>
      <c r="G52" s="140"/>
      <c r="H52" s="142"/>
    </row>
    <row r="53" spans="2:8" ht="20.25" customHeight="1" x14ac:dyDescent="0.25">
      <c r="B53" s="141" t="s">
        <v>65</v>
      </c>
      <c r="C53" s="140"/>
      <c r="D53" s="140"/>
      <c r="E53" s="140"/>
      <c r="F53" s="140"/>
      <c r="G53" s="140"/>
      <c r="H53" s="142"/>
    </row>
    <row r="54" spans="2:8" ht="20.25" customHeight="1" x14ac:dyDescent="0.25">
      <c r="B54" s="141" t="s">
        <v>66</v>
      </c>
      <c r="C54" s="140"/>
      <c r="D54" s="140"/>
      <c r="E54" s="140"/>
      <c r="F54" s="140"/>
      <c r="G54" s="140"/>
      <c r="H54" s="142"/>
    </row>
    <row r="55" spans="2:8" ht="14.65" customHeight="1" x14ac:dyDescent="0.25">
      <c r="B55" s="141" t="s">
        <v>67</v>
      </c>
      <c r="C55" s="140"/>
      <c r="D55" s="140"/>
      <c r="E55" s="140"/>
      <c r="F55" s="140"/>
      <c r="G55" s="140"/>
      <c r="H55" s="142"/>
    </row>
    <row r="56" spans="2:8" ht="15.75" thickBot="1" x14ac:dyDescent="0.3">
      <c r="B56" s="143"/>
      <c r="C56" s="144"/>
      <c r="D56" s="144"/>
      <c r="E56" s="144"/>
      <c r="F56" s="144"/>
      <c r="G56" s="144"/>
      <c r="H56" s="145"/>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200</v>
      </c>
    </row>
    <row r="4" spans="1:1" x14ac:dyDescent="0.2">
      <c r="A4" s="10" t="s">
        <v>202</v>
      </c>
    </row>
    <row r="5" spans="1:1" x14ac:dyDescent="0.2">
      <c r="A5" s="10" t="s">
        <v>204</v>
      </c>
    </row>
    <row r="6" spans="1:1" x14ac:dyDescent="0.2">
      <c r="A6" s="10" t="s">
        <v>206</v>
      </c>
    </row>
    <row r="7" spans="1:1" x14ac:dyDescent="0.2">
      <c r="A7" s="10" t="s">
        <v>208</v>
      </c>
    </row>
    <row r="8" spans="1:1" x14ac:dyDescent="0.2">
      <c r="A8" s="10" t="s">
        <v>211</v>
      </c>
    </row>
    <row r="9" spans="1:1" x14ac:dyDescent="0.2">
      <c r="A9" s="10" t="s">
        <v>214</v>
      </c>
    </row>
    <row r="10" spans="1:1" x14ac:dyDescent="0.2">
      <c r="A10" s="10" t="s">
        <v>216</v>
      </c>
    </row>
    <row r="11" spans="1:1" x14ac:dyDescent="0.2">
      <c r="A11" s="10" t="s">
        <v>218</v>
      </c>
    </row>
    <row r="12" spans="1:1" x14ac:dyDescent="0.2">
      <c r="A12" s="10" t="s">
        <v>242</v>
      </c>
    </row>
    <row r="13" spans="1:1" x14ac:dyDescent="0.2">
      <c r="A13" s="10" t="s">
        <v>243</v>
      </c>
    </row>
    <row r="14" spans="1:1" x14ac:dyDescent="0.2">
      <c r="A14" s="10" t="s">
        <v>244</v>
      </c>
    </row>
    <row r="16" spans="1:1" x14ac:dyDescent="0.2">
      <c r="A16" s="10" t="s">
        <v>245</v>
      </c>
    </row>
    <row r="17" spans="1:1" x14ac:dyDescent="0.2">
      <c r="A17" s="10" t="s">
        <v>225</v>
      </c>
    </row>
    <row r="18" spans="1:1" x14ac:dyDescent="0.2">
      <c r="A18" s="10" t="s">
        <v>227</v>
      </c>
    </row>
    <row r="20" spans="1:1" x14ac:dyDescent="0.2">
      <c r="A20" s="10" t="s">
        <v>233</v>
      </c>
    </row>
    <row r="21" spans="1:1" x14ac:dyDescent="0.2">
      <c r="A21" s="10"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FC65E-A47E-4066-BD2C-82FF394ACE78}">
  <sheetPr>
    <tabColor theme="6" tint="0.39997558519241921"/>
  </sheetPr>
  <dimension ref="B1:AZ36"/>
  <sheetViews>
    <sheetView showGridLines="0" zoomScaleNormal="100" workbookViewId="0">
      <selection activeCell="B35" sqref="B35:D35"/>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6" t="s">
        <v>273</v>
      </c>
    </row>
    <row r="2" spans="2:52" ht="18" customHeight="1" thickBot="1" x14ac:dyDescent="0.3">
      <c r="B2" s="303"/>
      <c r="C2" s="306" t="s">
        <v>68</v>
      </c>
      <c r="D2" s="307"/>
      <c r="E2" s="307"/>
      <c r="F2" s="147" t="s">
        <v>69</v>
      </c>
      <c r="AZ2" s="146" t="s">
        <v>70</v>
      </c>
    </row>
    <row r="3" spans="2:52" ht="18" customHeight="1" thickBot="1" x14ac:dyDescent="0.3">
      <c r="B3" s="304"/>
      <c r="C3" s="308"/>
      <c r="D3" s="309"/>
      <c r="E3" s="309"/>
      <c r="F3" s="148" t="s">
        <v>71</v>
      </c>
      <c r="AZ3" s="146" t="s">
        <v>72</v>
      </c>
    </row>
    <row r="4" spans="2:52" ht="18" customHeight="1" thickBot="1" x14ac:dyDescent="0.3">
      <c r="B4" s="304"/>
      <c r="C4" s="308"/>
      <c r="D4" s="309"/>
      <c r="E4" s="309"/>
      <c r="F4" s="148" t="s">
        <v>73</v>
      </c>
      <c r="AZ4" s="146" t="s">
        <v>74</v>
      </c>
    </row>
    <row r="5" spans="2:52" ht="18" customHeight="1" thickBot="1" x14ac:dyDescent="0.3">
      <c r="B5" s="305"/>
      <c r="C5" s="310"/>
      <c r="D5" s="311"/>
      <c r="E5" s="311"/>
      <c r="F5" s="148" t="s">
        <v>75</v>
      </c>
      <c r="AZ5" s="149"/>
    </row>
    <row r="6" spans="2:52" ht="18" customHeight="1" thickBot="1" x14ac:dyDescent="0.3">
      <c r="B6" s="150"/>
      <c r="C6" s="151"/>
      <c r="D6" s="151"/>
      <c r="E6" s="151"/>
      <c r="F6" s="152"/>
      <c r="AZ6" s="149"/>
    </row>
    <row r="7" spans="2:52" ht="33.4" customHeight="1" x14ac:dyDescent="0.25">
      <c r="B7" s="153" t="s">
        <v>76</v>
      </c>
      <c r="C7" s="312" t="s">
        <v>272</v>
      </c>
      <c r="D7" s="313"/>
      <c r="E7" s="313"/>
      <c r="F7" s="314"/>
      <c r="AZ7" s="149"/>
    </row>
    <row r="8" spans="2:52" ht="86.25" customHeight="1" thickBot="1" x14ac:dyDescent="0.3">
      <c r="B8" s="154" t="s">
        <v>77</v>
      </c>
      <c r="C8" s="315" t="s">
        <v>271</v>
      </c>
      <c r="D8" s="316"/>
      <c r="E8" s="316"/>
      <c r="F8" s="317"/>
      <c r="AZ8" s="149"/>
    </row>
    <row r="9" spans="2:52" ht="16.5" thickBot="1" x14ac:dyDescent="0.3">
      <c r="B9" s="318"/>
      <c r="C9" s="318"/>
      <c r="D9" s="318"/>
      <c r="E9" s="318"/>
      <c r="F9" s="318"/>
    </row>
    <row r="10" spans="2:52" ht="15.6" customHeight="1" thickBot="1" x14ac:dyDescent="0.3">
      <c r="B10" s="319" t="s">
        <v>68</v>
      </c>
      <c r="C10" s="320"/>
      <c r="D10" s="320"/>
      <c r="E10" s="320"/>
      <c r="F10" s="321"/>
    </row>
    <row r="11" spans="2:52" ht="32.25" thickBot="1" x14ac:dyDescent="0.3">
      <c r="B11" s="299" t="s">
        <v>78</v>
      </c>
      <c r="C11" s="300"/>
      <c r="D11" s="186" t="s">
        <v>79</v>
      </c>
      <c r="E11" s="186" t="s">
        <v>80</v>
      </c>
      <c r="F11" s="155" t="s">
        <v>81</v>
      </c>
    </row>
    <row r="12" spans="2:52" ht="188.25" customHeight="1" thickBot="1" x14ac:dyDescent="0.3">
      <c r="B12" s="301" t="s">
        <v>70</v>
      </c>
      <c r="C12" s="302"/>
      <c r="D12" s="189" t="s">
        <v>270</v>
      </c>
      <c r="E12" s="188" t="s">
        <v>269</v>
      </c>
      <c r="F12" s="187" t="s">
        <v>268</v>
      </c>
    </row>
    <row r="14" spans="2:52" ht="18" x14ac:dyDescent="0.25">
      <c r="B14" s="293" t="s">
        <v>82</v>
      </c>
      <c r="C14" s="293"/>
      <c r="D14" s="293"/>
      <c r="E14" s="293"/>
      <c r="F14" s="293"/>
    </row>
    <row r="15" spans="2:52" ht="15.75" x14ac:dyDescent="0.25">
      <c r="B15" s="156"/>
    </row>
    <row r="16" spans="2:52" ht="15.75" thickBot="1" x14ac:dyDescent="0.3">
      <c r="B16" s="157"/>
    </row>
    <row r="17" spans="2:6" ht="16.5" thickBot="1" x14ac:dyDescent="0.3">
      <c r="B17" s="294" t="s">
        <v>83</v>
      </c>
      <c r="C17" s="295"/>
      <c r="D17" s="296"/>
      <c r="E17" s="294" t="s">
        <v>84</v>
      </c>
      <c r="F17" s="296"/>
    </row>
    <row r="18" spans="2:6" ht="15" customHeight="1" x14ac:dyDescent="0.25">
      <c r="B18" s="289" t="s">
        <v>267</v>
      </c>
      <c r="C18" s="290"/>
      <c r="D18" s="291"/>
      <c r="E18" s="289" t="s">
        <v>266</v>
      </c>
      <c r="F18" s="292"/>
    </row>
    <row r="19" spans="2:6" ht="15" customHeight="1" x14ac:dyDescent="0.25">
      <c r="B19" s="287" t="s">
        <v>265</v>
      </c>
      <c r="C19" s="297"/>
      <c r="D19" s="298"/>
      <c r="E19" s="287" t="s">
        <v>264</v>
      </c>
      <c r="F19" s="288"/>
    </row>
    <row r="20" spans="2:6" ht="15" customHeight="1" x14ac:dyDescent="0.25">
      <c r="B20" s="276" t="s">
        <v>263</v>
      </c>
      <c r="C20" s="285"/>
      <c r="D20" s="286"/>
      <c r="E20" s="287" t="s">
        <v>262</v>
      </c>
      <c r="F20" s="288"/>
    </row>
    <row r="21" spans="2:6" ht="36.75" customHeight="1" x14ac:dyDescent="0.25">
      <c r="B21" s="276" t="s">
        <v>261</v>
      </c>
      <c r="C21" s="285"/>
      <c r="D21" s="286"/>
      <c r="E21" s="276" t="s">
        <v>260</v>
      </c>
      <c r="F21" s="277"/>
    </row>
    <row r="22" spans="2:6" ht="15" customHeight="1" x14ac:dyDescent="0.25">
      <c r="B22" s="276" t="s">
        <v>259</v>
      </c>
      <c r="C22" s="285"/>
      <c r="D22" s="286"/>
      <c r="E22" s="287"/>
      <c r="F22" s="288"/>
    </row>
    <row r="23" spans="2:6" ht="29.25" customHeight="1" x14ac:dyDescent="0.25">
      <c r="B23" s="276" t="s">
        <v>258</v>
      </c>
      <c r="C23" s="285"/>
      <c r="D23" s="286"/>
      <c r="E23" s="287"/>
      <c r="F23" s="288"/>
    </row>
    <row r="24" spans="2:6" ht="15" customHeight="1" x14ac:dyDescent="0.25">
      <c r="B24" s="276" t="s">
        <v>257</v>
      </c>
      <c r="C24" s="285"/>
      <c r="D24" s="286"/>
      <c r="E24" s="276"/>
      <c r="F24" s="277"/>
    </row>
    <row r="25" spans="2:6" ht="15.75" customHeight="1" x14ac:dyDescent="0.25">
      <c r="B25" s="270" t="s">
        <v>256</v>
      </c>
      <c r="C25" s="271"/>
      <c r="D25" s="272"/>
      <c r="E25" s="278"/>
      <c r="F25" s="279"/>
    </row>
    <row r="26" spans="2:6" ht="15.75" x14ac:dyDescent="0.25">
      <c r="B26" s="273"/>
      <c r="C26" s="274"/>
      <c r="D26" s="275"/>
      <c r="E26" s="276"/>
      <c r="F26" s="277"/>
    </row>
    <row r="27" spans="2:6" ht="15" customHeight="1" thickBot="1" x14ac:dyDescent="0.35">
      <c r="B27" s="280"/>
      <c r="C27" s="281"/>
      <c r="D27" s="282"/>
      <c r="E27" s="283"/>
      <c r="F27" s="284"/>
    </row>
    <row r="28" spans="2:6" ht="15" customHeight="1" thickBot="1" x14ac:dyDescent="0.3">
      <c r="B28" s="261" t="s">
        <v>85</v>
      </c>
      <c r="C28" s="262"/>
      <c r="D28" s="262"/>
      <c r="E28" s="263" t="s">
        <v>86</v>
      </c>
      <c r="F28" s="264"/>
    </row>
    <row r="29" spans="2:6" ht="15.75" customHeight="1" x14ac:dyDescent="0.25">
      <c r="B29" s="265" t="s">
        <v>255</v>
      </c>
      <c r="C29" s="266"/>
      <c r="D29" s="267"/>
      <c r="E29" s="268" t="s">
        <v>254</v>
      </c>
      <c r="F29" s="269"/>
    </row>
    <row r="30" spans="2:6" ht="15.75" x14ac:dyDescent="0.25">
      <c r="B30" s="253" t="s">
        <v>253</v>
      </c>
      <c r="C30" s="254"/>
      <c r="D30" s="255"/>
      <c r="E30" s="256" t="s">
        <v>252</v>
      </c>
      <c r="F30" s="257"/>
    </row>
    <row r="31" spans="2:6" ht="15.75" x14ac:dyDescent="0.25">
      <c r="B31" s="253" t="s">
        <v>251</v>
      </c>
      <c r="C31" s="254"/>
      <c r="D31" s="255"/>
      <c r="E31" s="256" t="s">
        <v>250</v>
      </c>
      <c r="F31" s="257"/>
    </row>
    <row r="32" spans="2:6" ht="15.75" x14ac:dyDescent="0.25">
      <c r="B32" s="258" t="s">
        <v>249</v>
      </c>
      <c r="C32" s="259"/>
      <c r="D32" s="260"/>
      <c r="E32" s="256" t="s">
        <v>248</v>
      </c>
      <c r="F32" s="257"/>
    </row>
    <row r="33" spans="2:6" ht="15.75" x14ac:dyDescent="0.25">
      <c r="B33" s="258" t="s">
        <v>247</v>
      </c>
      <c r="C33" s="259"/>
      <c r="D33" s="260"/>
      <c r="E33" s="256" t="s">
        <v>246</v>
      </c>
      <c r="F33" s="257"/>
    </row>
    <row r="34" spans="2:6" ht="16.5" x14ac:dyDescent="0.25">
      <c r="B34" s="243"/>
      <c r="C34" s="244"/>
      <c r="D34" s="245"/>
      <c r="E34" s="243"/>
      <c r="F34" s="245"/>
    </row>
    <row r="35" spans="2:6" ht="16.5" x14ac:dyDescent="0.25">
      <c r="B35" s="243"/>
      <c r="C35" s="244"/>
      <c r="D35" s="245"/>
      <c r="E35" s="246"/>
      <c r="F35" s="247"/>
    </row>
    <row r="36" spans="2:6" ht="17.25" thickBot="1" x14ac:dyDescent="0.35">
      <c r="B36" s="248"/>
      <c r="C36" s="249"/>
      <c r="D36" s="250"/>
      <c r="E36" s="251"/>
      <c r="F36" s="252"/>
    </row>
  </sheetData>
  <mergeCells count="49">
    <mergeCell ref="B11:C11"/>
    <mergeCell ref="B12:C12"/>
    <mergeCell ref="B2:B5"/>
    <mergeCell ref="C2:E5"/>
    <mergeCell ref="C7:F7"/>
    <mergeCell ref="C8:F8"/>
    <mergeCell ref="B9:F9"/>
    <mergeCell ref="B10:F10"/>
    <mergeCell ref="B14:F14"/>
    <mergeCell ref="B17:D17"/>
    <mergeCell ref="E17:F17"/>
    <mergeCell ref="B19:D19"/>
    <mergeCell ref="E19:F19"/>
    <mergeCell ref="B20:D20"/>
    <mergeCell ref="E20:F20"/>
    <mergeCell ref="B18:D18"/>
    <mergeCell ref="E18:F18"/>
    <mergeCell ref="B21:D21"/>
    <mergeCell ref="E21:F21"/>
    <mergeCell ref="B22:D22"/>
    <mergeCell ref="E22:F22"/>
    <mergeCell ref="B23:D23"/>
    <mergeCell ref="E23:F23"/>
    <mergeCell ref="B24:D24"/>
    <mergeCell ref="E24:F24"/>
    <mergeCell ref="B25:D25"/>
    <mergeCell ref="B26:D26"/>
    <mergeCell ref="E26:F26"/>
    <mergeCell ref="E25:F25"/>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s>
  <dataValidations count="1">
    <dataValidation type="list" allowBlank="1" showInputMessage="1" showErrorMessage="1" sqref="B12:C12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B65541:C65541 IX65541:IY65541 ST65541:SU65541 ACP65541:ACQ65541 AML65541:AMM65541 AWH65541:AWI65541 BGD65541:BGE65541 BPZ65541:BQA65541 BZV65541:BZW65541 CJR65541:CJS65541 CTN65541:CTO65541 DDJ65541:DDK65541 DNF65541:DNG65541 DXB65541:DXC65541 EGX65541:EGY65541 EQT65541:EQU65541 FAP65541:FAQ65541 FKL65541:FKM65541 FUH65541:FUI65541 GED65541:GEE65541 GNZ65541:GOA65541 GXV65541:GXW65541 HHR65541:HHS65541 HRN65541:HRO65541 IBJ65541:IBK65541 ILF65541:ILG65541 IVB65541:IVC65541 JEX65541:JEY65541 JOT65541:JOU65541 JYP65541:JYQ65541 KIL65541:KIM65541 KSH65541:KSI65541 LCD65541:LCE65541 LLZ65541:LMA65541 LVV65541:LVW65541 MFR65541:MFS65541 MPN65541:MPO65541 MZJ65541:MZK65541 NJF65541:NJG65541 NTB65541:NTC65541 OCX65541:OCY65541 OMT65541:OMU65541 OWP65541:OWQ65541 PGL65541:PGM65541 PQH65541:PQI65541 QAD65541:QAE65541 QJZ65541:QKA65541 QTV65541:QTW65541 RDR65541:RDS65541 RNN65541:RNO65541 RXJ65541:RXK65541 SHF65541:SHG65541 SRB65541:SRC65541 TAX65541:TAY65541 TKT65541:TKU65541 TUP65541:TUQ65541 UEL65541:UEM65541 UOH65541:UOI65541 UYD65541:UYE65541 VHZ65541:VIA65541 VRV65541:VRW65541 WBR65541:WBS65541 WLN65541:WLO65541 WVJ65541:WVK65541 B131077:C131077 IX131077:IY131077 ST131077:SU131077 ACP131077:ACQ131077 AML131077:AMM131077 AWH131077:AWI131077 BGD131077:BGE131077 BPZ131077:BQA131077 BZV131077:BZW131077 CJR131077:CJS131077 CTN131077:CTO131077 DDJ131077:DDK131077 DNF131077:DNG131077 DXB131077:DXC131077 EGX131077:EGY131077 EQT131077:EQU131077 FAP131077:FAQ131077 FKL131077:FKM131077 FUH131077:FUI131077 GED131077:GEE131077 GNZ131077:GOA131077 GXV131077:GXW131077 HHR131077:HHS131077 HRN131077:HRO131077 IBJ131077:IBK131077 ILF131077:ILG131077 IVB131077:IVC131077 JEX131077:JEY131077 JOT131077:JOU131077 JYP131077:JYQ131077 KIL131077:KIM131077 KSH131077:KSI131077 LCD131077:LCE131077 LLZ131077:LMA131077 LVV131077:LVW131077 MFR131077:MFS131077 MPN131077:MPO131077 MZJ131077:MZK131077 NJF131077:NJG131077 NTB131077:NTC131077 OCX131077:OCY131077 OMT131077:OMU131077 OWP131077:OWQ131077 PGL131077:PGM131077 PQH131077:PQI131077 QAD131077:QAE131077 QJZ131077:QKA131077 QTV131077:QTW131077 RDR131077:RDS131077 RNN131077:RNO131077 RXJ131077:RXK131077 SHF131077:SHG131077 SRB131077:SRC131077 TAX131077:TAY131077 TKT131077:TKU131077 TUP131077:TUQ131077 UEL131077:UEM131077 UOH131077:UOI131077 UYD131077:UYE131077 VHZ131077:VIA131077 VRV131077:VRW131077 WBR131077:WBS131077 WLN131077:WLO131077 WVJ131077:WVK131077 B196613:C196613 IX196613:IY196613 ST196613:SU196613 ACP196613:ACQ196613 AML196613:AMM196613 AWH196613:AWI196613 BGD196613:BGE196613 BPZ196613:BQA196613 BZV196613:BZW196613 CJR196613:CJS196613 CTN196613:CTO196613 DDJ196613:DDK196613 DNF196613:DNG196613 DXB196613:DXC196613 EGX196613:EGY196613 EQT196613:EQU196613 FAP196613:FAQ196613 FKL196613:FKM196613 FUH196613:FUI196613 GED196613:GEE196613 GNZ196613:GOA196613 GXV196613:GXW196613 HHR196613:HHS196613 HRN196613:HRO196613 IBJ196613:IBK196613 ILF196613:ILG196613 IVB196613:IVC196613 JEX196613:JEY196613 JOT196613:JOU196613 JYP196613:JYQ196613 KIL196613:KIM196613 KSH196613:KSI196613 LCD196613:LCE196613 LLZ196613:LMA196613 LVV196613:LVW196613 MFR196613:MFS196613 MPN196613:MPO196613 MZJ196613:MZK196613 NJF196613:NJG196613 NTB196613:NTC196613 OCX196613:OCY196613 OMT196613:OMU196613 OWP196613:OWQ196613 PGL196613:PGM196613 PQH196613:PQI196613 QAD196613:QAE196613 QJZ196613:QKA196613 QTV196613:QTW196613 RDR196613:RDS196613 RNN196613:RNO196613 RXJ196613:RXK196613 SHF196613:SHG196613 SRB196613:SRC196613 TAX196613:TAY196613 TKT196613:TKU196613 TUP196613:TUQ196613 UEL196613:UEM196613 UOH196613:UOI196613 UYD196613:UYE196613 VHZ196613:VIA196613 VRV196613:VRW196613 WBR196613:WBS196613 WLN196613:WLO196613 WVJ196613:WVK196613 B262149:C262149 IX262149:IY262149 ST262149:SU262149 ACP262149:ACQ262149 AML262149:AMM262149 AWH262149:AWI262149 BGD262149:BGE262149 BPZ262149:BQA262149 BZV262149:BZW262149 CJR262149:CJS262149 CTN262149:CTO262149 DDJ262149:DDK262149 DNF262149:DNG262149 DXB262149:DXC262149 EGX262149:EGY262149 EQT262149:EQU262149 FAP262149:FAQ262149 FKL262149:FKM262149 FUH262149:FUI262149 GED262149:GEE262149 GNZ262149:GOA262149 GXV262149:GXW262149 HHR262149:HHS262149 HRN262149:HRO262149 IBJ262149:IBK262149 ILF262149:ILG262149 IVB262149:IVC262149 JEX262149:JEY262149 JOT262149:JOU262149 JYP262149:JYQ262149 KIL262149:KIM262149 KSH262149:KSI262149 LCD262149:LCE262149 LLZ262149:LMA262149 LVV262149:LVW262149 MFR262149:MFS262149 MPN262149:MPO262149 MZJ262149:MZK262149 NJF262149:NJG262149 NTB262149:NTC262149 OCX262149:OCY262149 OMT262149:OMU262149 OWP262149:OWQ262149 PGL262149:PGM262149 PQH262149:PQI262149 QAD262149:QAE262149 QJZ262149:QKA262149 QTV262149:QTW262149 RDR262149:RDS262149 RNN262149:RNO262149 RXJ262149:RXK262149 SHF262149:SHG262149 SRB262149:SRC262149 TAX262149:TAY262149 TKT262149:TKU262149 TUP262149:TUQ262149 UEL262149:UEM262149 UOH262149:UOI262149 UYD262149:UYE262149 VHZ262149:VIA262149 VRV262149:VRW262149 WBR262149:WBS262149 WLN262149:WLO262149 WVJ262149:WVK262149 B327685:C327685 IX327685:IY327685 ST327685:SU327685 ACP327685:ACQ327685 AML327685:AMM327685 AWH327685:AWI327685 BGD327685:BGE327685 BPZ327685:BQA327685 BZV327685:BZW327685 CJR327685:CJS327685 CTN327685:CTO327685 DDJ327685:DDK327685 DNF327685:DNG327685 DXB327685:DXC327685 EGX327685:EGY327685 EQT327685:EQU327685 FAP327685:FAQ327685 FKL327685:FKM327685 FUH327685:FUI327685 GED327685:GEE327685 GNZ327685:GOA327685 GXV327685:GXW327685 HHR327685:HHS327685 HRN327685:HRO327685 IBJ327685:IBK327685 ILF327685:ILG327685 IVB327685:IVC327685 JEX327685:JEY327685 JOT327685:JOU327685 JYP327685:JYQ327685 KIL327685:KIM327685 KSH327685:KSI327685 LCD327685:LCE327685 LLZ327685:LMA327685 LVV327685:LVW327685 MFR327685:MFS327685 MPN327685:MPO327685 MZJ327685:MZK327685 NJF327685:NJG327685 NTB327685:NTC327685 OCX327685:OCY327685 OMT327685:OMU327685 OWP327685:OWQ327685 PGL327685:PGM327685 PQH327685:PQI327685 QAD327685:QAE327685 QJZ327685:QKA327685 QTV327685:QTW327685 RDR327685:RDS327685 RNN327685:RNO327685 RXJ327685:RXK327685 SHF327685:SHG327685 SRB327685:SRC327685 TAX327685:TAY327685 TKT327685:TKU327685 TUP327685:TUQ327685 UEL327685:UEM327685 UOH327685:UOI327685 UYD327685:UYE327685 VHZ327685:VIA327685 VRV327685:VRW327685 WBR327685:WBS327685 WLN327685:WLO327685 WVJ327685:WVK327685 B393221:C393221 IX393221:IY393221 ST393221:SU393221 ACP393221:ACQ393221 AML393221:AMM393221 AWH393221:AWI393221 BGD393221:BGE393221 BPZ393221:BQA393221 BZV393221:BZW393221 CJR393221:CJS393221 CTN393221:CTO393221 DDJ393221:DDK393221 DNF393221:DNG393221 DXB393221:DXC393221 EGX393221:EGY393221 EQT393221:EQU393221 FAP393221:FAQ393221 FKL393221:FKM393221 FUH393221:FUI393221 GED393221:GEE393221 GNZ393221:GOA393221 GXV393221:GXW393221 HHR393221:HHS393221 HRN393221:HRO393221 IBJ393221:IBK393221 ILF393221:ILG393221 IVB393221:IVC393221 JEX393221:JEY393221 JOT393221:JOU393221 JYP393221:JYQ393221 KIL393221:KIM393221 KSH393221:KSI393221 LCD393221:LCE393221 LLZ393221:LMA393221 LVV393221:LVW393221 MFR393221:MFS393221 MPN393221:MPO393221 MZJ393221:MZK393221 NJF393221:NJG393221 NTB393221:NTC393221 OCX393221:OCY393221 OMT393221:OMU393221 OWP393221:OWQ393221 PGL393221:PGM393221 PQH393221:PQI393221 QAD393221:QAE393221 QJZ393221:QKA393221 QTV393221:QTW393221 RDR393221:RDS393221 RNN393221:RNO393221 RXJ393221:RXK393221 SHF393221:SHG393221 SRB393221:SRC393221 TAX393221:TAY393221 TKT393221:TKU393221 TUP393221:TUQ393221 UEL393221:UEM393221 UOH393221:UOI393221 UYD393221:UYE393221 VHZ393221:VIA393221 VRV393221:VRW393221 WBR393221:WBS393221 WLN393221:WLO393221 WVJ393221:WVK393221 B458757:C458757 IX458757:IY458757 ST458757:SU458757 ACP458757:ACQ458757 AML458757:AMM458757 AWH458757:AWI458757 BGD458757:BGE458757 BPZ458757:BQA458757 BZV458757:BZW458757 CJR458757:CJS458757 CTN458757:CTO458757 DDJ458757:DDK458757 DNF458757:DNG458757 DXB458757:DXC458757 EGX458757:EGY458757 EQT458757:EQU458757 FAP458757:FAQ458757 FKL458757:FKM458757 FUH458757:FUI458757 GED458757:GEE458757 GNZ458757:GOA458757 GXV458757:GXW458757 HHR458757:HHS458757 HRN458757:HRO458757 IBJ458757:IBK458757 ILF458757:ILG458757 IVB458757:IVC458757 JEX458757:JEY458757 JOT458757:JOU458757 JYP458757:JYQ458757 KIL458757:KIM458757 KSH458757:KSI458757 LCD458757:LCE458757 LLZ458757:LMA458757 LVV458757:LVW458757 MFR458757:MFS458757 MPN458757:MPO458757 MZJ458757:MZK458757 NJF458757:NJG458757 NTB458757:NTC458757 OCX458757:OCY458757 OMT458757:OMU458757 OWP458757:OWQ458757 PGL458757:PGM458757 PQH458757:PQI458757 QAD458757:QAE458757 QJZ458757:QKA458757 QTV458757:QTW458757 RDR458757:RDS458757 RNN458757:RNO458757 RXJ458757:RXK458757 SHF458757:SHG458757 SRB458757:SRC458757 TAX458757:TAY458757 TKT458757:TKU458757 TUP458757:TUQ458757 UEL458757:UEM458757 UOH458757:UOI458757 UYD458757:UYE458757 VHZ458757:VIA458757 VRV458757:VRW458757 WBR458757:WBS458757 WLN458757:WLO458757 WVJ458757:WVK458757 B524293:C524293 IX524293:IY524293 ST524293:SU524293 ACP524293:ACQ524293 AML524293:AMM524293 AWH524293:AWI524293 BGD524293:BGE524293 BPZ524293:BQA524293 BZV524293:BZW524293 CJR524293:CJS524293 CTN524293:CTO524293 DDJ524293:DDK524293 DNF524293:DNG524293 DXB524293:DXC524293 EGX524293:EGY524293 EQT524293:EQU524293 FAP524293:FAQ524293 FKL524293:FKM524293 FUH524293:FUI524293 GED524293:GEE524293 GNZ524293:GOA524293 GXV524293:GXW524293 HHR524293:HHS524293 HRN524293:HRO524293 IBJ524293:IBK524293 ILF524293:ILG524293 IVB524293:IVC524293 JEX524293:JEY524293 JOT524293:JOU524293 JYP524293:JYQ524293 KIL524293:KIM524293 KSH524293:KSI524293 LCD524293:LCE524293 LLZ524293:LMA524293 LVV524293:LVW524293 MFR524293:MFS524293 MPN524293:MPO524293 MZJ524293:MZK524293 NJF524293:NJG524293 NTB524293:NTC524293 OCX524293:OCY524293 OMT524293:OMU524293 OWP524293:OWQ524293 PGL524293:PGM524293 PQH524293:PQI524293 QAD524293:QAE524293 QJZ524293:QKA524293 QTV524293:QTW524293 RDR524293:RDS524293 RNN524293:RNO524293 RXJ524293:RXK524293 SHF524293:SHG524293 SRB524293:SRC524293 TAX524293:TAY524293 TKT524293:TKU524293 TUP524293:TUQ524293 UEL524293:UEM524293 UOH524293:UOI524293 UYD524293:UYE524293 VHZ524293:VIA524293 VRV524293:VRW524293 WBR524293:WBS524293 WLN524293:WLO524293 WVJ524293:WVK524293 B589829:C589829 IX589829:IY589829 ST589829:SU589829 ACP589829:ACQ589829 AML589829:AMM589829 AWH589829:AWI589829 BGD589829:BGE589829 BPZ589829:BQA589829 BZV589829:BZW589829 CJR589829:CJS589829 CTN589829:CTO589829 DDJ589829:DDK589829 DNF589829:DNG589829 DXB589829:DXC589829 EGX589829:EGY589829 EQT589829:EQU589829 FAP589829:FAQ589829 FKL589829:FKM589829 FUH589829:FUI589829 GED589829:GEE589829 GNZ589829:GOA589829 GXV589829:GXW589829 HHR589829:HHS589829 HRN589829:HRO589829 IBJ589829:IBK589829 ILF589829:ILG589829 IVB589829:IVC589829 JEX589829:JEY589829 JOT589829:JOU589829 JYP589829:JYQ589829 KIL589829:KIM589829 KSH589829:KSI589829 LCD589829:LCE589829 LLZ589829:LMA589829 LVV589829:LVW589829 MFR589829:MFS589829 MPN589829:MPO589829 MZJ589829:MZK589829 NJF589829:NJG589829 NTB589829:NTC589829 OCX589829:OCY589829 OMT589829:OMU589829 OWP589829:OWQ589829 PGL589829:PGM589829 PQH589829:PQI589829 QAD589829:QAE589829 QJZ589829:QKA589829 QTV589829:QTW589829 RDR589829:RDS589829 RNN589829:RNO589829 RXJ589829:RXK589829 SHF589829:SHG589829 SRB589829:SRC589829 TAX589829:TAY589829 TKT589829:TKU589829 TUP589829:TUQ589829 UEL589829:UEM589829 UOH589829:UOI589829 UYD589829:UYE589829 VHZ589829:VIA589829 VRV589829:VRW589829 WBR589829:WBS589829 WLN589829:WLO589829 WVJ589829:WVK589829 B655365:C655365 IX655365:IY655365 ST655365:SU655365 ACP655365:ACQ655365 AML655365:AMM655365 AWH655365:AWI655365 BGD655365:BGE655365 BPZ655365:BQA655365 BZV655365:BZW655365 CJR655365:CJS655365 CTN655365:CTO655365 DDJ655365:DDK655365 DNF655365:DNG655365 DXB655365:DXC655365 EGX655365:EGY655365 EQT655365:EQU655365 FAP655365:FAQ655365 FKL655365:FKM655365 FUH655365:FUI655365 GED655365:GEE655365 GNZ655365:GOA655365 GXV655365:GXW655365 HHR655365:HHS655365 HRN655365:HRO655365 IBJ655365:IBK655365 ILF655365:ILG655365 IVB655365:IVC655365 JEX655365:JEY655365 JOT655365:JOU655365 JYP655365:JYQ655365 KIL655365:KIM655365 KSH655365:KSI655365 LCD655365:LCE655365 LLZ655365:LMA655365 LVV655365:LVW655365 MFR655365:MFS655365 MPN655365:MPO655365 MZJ655365:MZK655365 NJF655365:NJG655365 NTB655365:NTC655365 OCX655365:OCY655365 OMT655365:OMU655365 OWP655365:OWQ655365 PGL655365:PGM655365 PQH655365:PQI655365 QAD655365:QAE655365 QJZ655365:QKA655365 QTV655365:QTW655365 RDR655365:RDS655365 RNN655365:RNO655365 RXJ655365:RXK655365 SHF655365:SHG655365 SRB655365:SRC655365 TAX655365:TAY655365 TKT655365:TKU655365 TUP655365:TUQ655365 UEL655365:UEM655365 UOH655365:UOI655365 UYD655365:UYE655365 VHZ655365:VIA655365 VRV655365:VRW655365 WBR655365:WBS655365 WLN655365:WLO655365 WVJ655365:WVK655365 B720901:C720901 IX720901:IY720901 ST720901:SU720901 ACP720901:ACQ720901 AML720901:AMM720901 AWH720901:AWI720901 BGD720901:BGE720901 BPZ720901:BQA720901 BZV720901:BZW720901 CJR720901:CJS720901 CTN720901:CTO720901 DDJ720901:DDK720901 DNF720901:DNG720901 DXB720901:DXC720901 EGX720901:EGY720901 EQT720901:EQU720901 FAP720901:FAQ720901 FKL720901:FKM720901 FUH720901:FUI720901 GED720901:GEE720901 GNZ720901:GOA720901 GXV720901:GXW720901 HHR720901:HHS720901 HRN720901:HRO720901 IBJ720901:IBK720901 ILF720901:ILG720901 IVB720901:IVC720901 JEX720901:JEY720901 JOT720901:JOU720901 JYP720901:JYQ720901 KIL720901:KIM720901 KSH720901:KSI720901 LCD720901:LCE720901 LLZ720901:LMA720901 LVV720901:LVW720901 MFR720901:MFS720901 MPN720901:MPO720901 MZJ720901:MZK720901 NJF720901:NJG720901 NTB720901:NTC720901 OCX720901:OCY720901 OMT720901:OMU720901 OWP720901:OWQ720901 PGL720901:PGM720901 PQH720901:PQI720901 QAD720901:QAE720901 QJZ720901:QKA720901 QTV720901:QTW720901 RDR720901:RDS720901 RNN720901:RNO720901 RXJ720901:RXK720901 SHF720901:SHG720901 SRB720901:SRC720901 TAX720901:TAY720901 TKT720901:TKU720901 TUP720901:TUQ720901 UEL720901:UEM720901 UOH720901:UOI720901 UYD720901:UYE720901 VHZ720901:VIA720901 VRV720901:VRW720901 WBR720901:WBS720901 WLN720901:WLO720901 WVJ720901:WVK720901 B786437:C786437 IX786437:IY786437 ST786437:SU786437 ACP786437:ACQ786437 AML786437:AMM786437 AWH786437:AWI786437 BGD786437:BGE786437 BPZ786437:BQA786437 BZV786437:BZW786437 CJR786437:CJS786437 CTN786437:CTO786437 DDJ786437:DDK786437 DNF786437:DNG786437 DXB786437:DXC786437 EGX786437:EGY786437 EQT786437:EQU786437 FAP786437:FAQ786437 FKL786437:FKM786437 FUH786437:FUI786437 GED786437:GEE786437 GNZ786437:GOA786437 GXV786437:GXW786437 HHR786437:HHS786437 HRN786437:HRO786437 IBJ786437:IBK786437 ILF786437:ILG786437 IVB786437:IVC786437 JEX786437:JEY786437 JOT786437:JOU786437 JYP786437:JYQ786437 KIL786437:KIM786437 KSH786437:KSI786437 LCD786437:LCE786437 LLZ786437:LMA786437 LVV786437:LVW786437 MFR786437:MFS786437 MPN786437:MPO786437 MZJ786437:MZK786437 NJF786437:NJG786437 NTB786437:NTC786437 OCX786437:OCY786437 OMT786437:OMU786437 OWP786437:OWQ786437 PGL786437:PGM786437 PQH786437:PQI786437 QAD786437:QAE786437 QJZ786437:QKA786437 QTV786437:QTW786437 RDR786437:RDS786437 RNN786437:RNO786437 RXJ786437:RXK786437 SHF786437:SHG786437 SRB786437:SRC786437 TAX786437:TAY786437 TKT786437:TKU786437 TUP786437:TUQ786437 UEL786437:UEM786437 UOH786437:UOI786437 UYD786437:UYE786437 VHZ786437:VIA786437 VRV786437:VRW786437 WBR786437:WBS786437 WLN786437:WLO786437 WVJ786437:WVK786437 B851973:C851973 IX851973:IY851973 ST851973:SU851973 ACP851973:ACQ851973 AML851973:AMM851973 AWH851973:AWI851973 BGD851973:BGE851973 BPZ851973:BQA851973 BZV851973:BZW851973 CJR851973:CJS851973 CTN851973:CTO851973 DDJ851973:DDK851973 DNF851973:DNG851973 DXB851973:DXC851973 EGX851973:EGY851973 EQT851973:EQU851973 FAP851973:FAQ851973 FKL851973:FKM851973 FUH851973:FUI851973 GED851973:GEE851973 GNZ851973:GOA851973 GXV851973:GXW851973 HHR851973:HHS851973 HRN851973:HRO851973 IBJ851973:IBK851973 ILF851973:ILG851973 IVB851973:IVC851973 JEX851973:JEY851973 JOT851973:JOU851973 JYP851973:JYQ851973 KIL851973:KIM851973 KSH851973:KSI851973 LCD851973:LCE851973 LLZ851973:LMA851973 LVV851973:LVW851973 MFR851973:MFS851973 MPN851973:MPO851973 MZJ851973:MZK851973 NJF851973:NJG851973 NTB851973:NTC851973 OCX851973:OCY851973 OMT851973:OMU851973 OWP851973:OWQ851973 PGL851973:PGM851973 PQH851973:PQI851973 QAD851973:QAE851973 QJZ851973:QKA851973 QTV851973:QTW851973 RDR851973:RDS851973 RNN851973:RNO851973 RXJ851973:RXK851973 SHF851973:SHG851973 SRB851973:SRC851973 TAX851973:TAY851973 TKT851973:TKU851973 TUP851973:TUQ851973 UEL851973:UEM851973 UOH851973:UOI851973 UYD851973:UYE851973 VHZ851973:VIA851973 VRV851973:VRW851973 WBR851973:WBS851973 WLN851973:WLO851973 WVJ851973:WVK851973 B917509:C917509 IX917509:IY917509 ST917509:SU917509 ACP917509:ACQ917509 AML917509:AMM917509 AWH917509:AWI917509 BGD917509:BGE917509 BPZ917509:BQA917509 BZV917509:BZW917509 CJR917509:CJS917509 CTN917509:CTO917509 DDJ917509:DDK917509 DNF917509:DNG917509 DXB917509:DXC917509 EGX917509:EGY917509 EQT917509:EQU917509 FAP917509:FAQ917509 FKL917509:FKM917509 FUH917509:FUI917509 GED917509:GEE917509 GNZ917509:GOA917509 GXV917509:GXW917509 HHR917509:HHS917509 HRN917509:HRO917509 IBJ917509:IBK917509 ILF917509:ILG917509 IVB917509:IVC917509 JEX917509:JEY917509 JOT917509:JOU917509 JYP917509:JYQ917509 KIL917509:KIM917509 KSH917509:KSI917509 LCD917509:LCE917509 LLZ917509:LMA917509 LVV917509:LVW917509 MFR917509:MFS917509 MPN917509:MPO917509 MZJ917509:MZK917509 NJF917509:NJG917509 NTB917509:NTC917509 OCX917509:OCY917509 OMT917509:OMU917509 OWP917509:OWQ917509 PGL917509:PGM917509 PQH917509:PQI917509 QAD917509:QAE917509 QJZ917509:QKA917509 QTV917509:QTW917509 RDR917509:RDS917509 RNN917509:RNO917509 RXJ917509:RXK917509 SHF917509:SHG917509 SRB917509:SRC917509 TAX917509:TAY917509 TKT917509:TKU917509 TUP917509:TUQ917509 UEL917509:UEM917509 UOH917509:UOI917509 UYD917509:UYE917509 VHZ917509:VIA917509 VRV917509:VRW917509 WBR917509:WBS917509 WLN917509:WLO917509 WVJ917509:WVK917509 B983045:C983045 IX983045:IY983045 ST983045:SU983045 ACP983045:ACQ983045 AML983045:AMM983045 AWH983045:AWI983045 BGD983045:BGE983045 BPZ983045:BQA983045 BZV983045:BZW983045 CJR983045:CJS983045 CTN983045:CTO983045 DDJ983045:DDK983045 DNF983045:DNG983045 DXB983045:DXC983045 EGX983045:EGY983045 EQT983045:EQU983045 FAP983045:FAQ983045 FKL983045:FKM983045 FUH983045:FUI983045 GED983045:GEE983045 GNZ983045:GOA983045 GXV983045:GXW983045 HHR983045:HHS983045 HRN983045:HRO983045 IBJ983045:IBK983045 ILF983045:ILG983045 IVB983045:IVC983045 JEX983045:JEY983045 JOT983045:JOU983045 JYP983045:JYQ983045 KIL983045:KIM983045 KSH983045:KSI983045 LCD983045:LCE983045 LLZ983045:LMA983045 LVV983045:LVW983045 MFR983045:MFS983045 MPN983045:MPO983045 MZJ983045:MZK983045 NJF983045:NJG983045 NTB983045:NTC983045 OCX983045:OCY983045 OMT983045:OMU983045 OWP983045:OWQ983045 PGL983045:PGM983045 PQH983045:PQI983045 QAD983045:QAE983045 QJZ983045:QKA983045 QTV983045:QTW983045 RDR983045:RDS983045 RNN983045:RNO983045 RXJ983045:RXK983045 SHF983045:SHG983045 SRB983045:SRC983045 TAX983045:TAY983045 TKT983045:TKU983045 TUP983045:TUQ983045 UEL983045:UEM983045 UOH983045:UOI983045 UYD983045:UYE983045 VHZ983045:VIA983045 VRV983045:VRW983045 WBR983045:WBS983045 WLN983045:WLO983045 WVJ983045:WVK983045" xr:uid="{BC4FFDDD-9D01-4A39-B03A-38CAE300D92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topLeftCell="A8" zoomScale="110" zoomScaleNormal="110" workbookViewId="0">
      <selection activeCell="AG21" sqref="AG21"/>
    </sheetView>
  </sheetViews>
  <sheetFormatPr baseColWidth="10" defaultColWidth="11.42578125" defaultRowHeight="16.5" x14ac:dyDescent="0.3"/>
  <cols>
    <col min="1" max="1" width="4" style="2" bestFit="1" customWidth="1"/>
    <col min="2" max="2" width="14.140625" style="2" customWidth="1"/>
    <col min="3" max="3" width="16.7109375" style="2" customWidth="1"/>
    <col min="4" max="4" width="24.8554687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5"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8.140625" style="185"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407"/>
      <c r="B1" s="408"/>
      <c r="C1" s="408"/>
      <c r="D1" s="409"/>
      <c r="E1" s="427" t="s">
        <v>87</v>
      </c>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9"/>
      <c r="AJ1" s="422" t="s">
        <v>88</v>
      </c>
      <c r="AK1" s="423"/>
    </row>
    <row r="2" spans="1:69" ht="15" customHeight="1" x14ac:dyDescent="0.3">
      <c r="A2" s="410"/>
      <c r="B2" s="411"/>
      <c r="C2" s="411"/>
      <c r="D2" s="412"/>
      <c r="E2" s="430"/>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2"/>
      <c r="AJ2" s="424" t="s">
        <v>89</v>
      </c>
      <c r="AK2" s="425"/>
    </row>
    <row r="3" spans="1:69" ht="15" customHeight="1" x14ac:dyDescent="0.3">
      <c r="A3" s="410"/>
      <c r="B3" s="411"/>
      <c r="C3" s="411"/>
      <c r="D3" s="412"/>
      <c r="E3" s="430"/>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2"/>
      <c r="AJ3" s="424" t="s">
        <v>90</v>
      </c>
      <c r="AK3" s="426"/>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413"/>
      <c r="B4" s="414"/>
      <c r="C4" s="414"/>
      <c r="D4" s="415"/>
      <c r="E4" s="433"/>
      <c r="F4" s="434"/>
      <c r="G4" s="434"/>
      <c r="H4" s="434"/>
      <c r="I4" s="434"/>
      <c r="J4" s="434"/>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5"/>
      <c r="AJ4" s="422" t="s">
        <v>91</v>
      </c>
      <c r="AK4" s="423"/>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8"/>
      <c r="P5" s="184"/>
      <c r="Q5" s="8"/>
      <c r="R5" s="8"/>
      <c r="S5" s="8"/>
      <c r="T5" s="8"/>
      <c r="U5" s="8"/>
      <c r="V5" s="8"/>
      <c r="W5" s="8"/>
      <c r="X5" s="8"/>
      <c r="Y5" s="8"/>
      <c r="Z5" s="8"/>
      <c r="AA5" s="8"/>
      <c r="AB5" s="8"/>
      <c r="AC5" s="8"/>
      <c r="AD5" s="8"/>
      <c r="AE5" s="184"/>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58" t="s">
        <v>92</v>
      </c>
      <c r="B6" s="359"/>
      <c r="C6" s="416" t="s">
        <v>272</v>
      </c>
      <c r="D6" s="417"/>
      <c r="E6" s="417"/>
      <c r="F6" s="417"/>
      <c r="G6" s="417"/>
      <c r="H6" s="417"/>
      <c r="I6" s="417"/>
      <c r="J6" s="417"/>
      <c r="K6" s="417"/>
      <c r="L6" s="417"/>
      <c r="M6" s="417"/>
      <c r="N6" s="418"/>
      <c r="O6" s="436"/>
      <c r="P6" s="436"/>
      <c r="Q6" s="436"/>
      <c r="R6" s="8"/>
      <c r="S6" s="8"/>
      <c r="T6" s="8"/>
      <c r="U6" s="8"/>
      <c r="V6" s="8"/>
      <c r="W6" s="8"/>
      <c r="X6" s="8"/>
      <c r="Y6" s="8"/>
      <c r="Z6" s="8"/>
      <c r="AA6" s="8"/>
      <c r="AB6" s="8"/>
      <c r="AC6" s="8"/>
      <c r="AD6" s="8"/>
      <c r="AE6" s="184"/>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x14ac:dyDescent="0.3">
      <c r="A7" s="358" t="s">
        <v>93</v>
      </c>
      <c r="B7" s="359"/>
      <c r="C7" s="365" t="s">
        <v>274</v>
      </c>
      <c r="D7" s="366"/>
      <c r="E7" s="366"/>
      <c r="F7" s="366"/>
      <c r="G7" s="366"/>
      <c r="H7" s="366"/>
      <c r="I7" s="366"/>
      <c r="J7" s="366"/>
      <c r="K7" s="366"/>
      <c r="L7" s="366"/>
      <c r="M7" s="366"/>
      <c r="N7" s="367"/>
      <c r="O7" s="8"/>
      <c r="P7" s="184"/>
      <c r="Q7" s="8"/>
      <c r="R7" s="8"/>
      <c r="S7" s="8"/>
      <c r="T7" s="8"/>
      <c r="U7" s="8"/>
      <c r="V7" s="8"/>
      <c r="W7" s="8"/>
      <c r="X7" s="8"/>
      <c r="Y7" s="8"/>
      <c r="Z7" s="8"/>
      <c r="AA7" s="8"/>
      <c r="AB7" s="8"/>
      <c r="AC7" s="8"/>
      <c r="AD7" s="8"/>
      <c r="AE7" s="184"/>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81.75" customHeight="1" x14ac:dyDescent="0.3">
      <c r="A8" s="358" t="s">
        <v>94</v>
      </c>
      <c r="B8" s="359"/>
      <c r="C8" s="365" t="s">
        <v>275</v>
      </c>
      <c r="D8" s="366"/>
      <c r="E8" s="366"/>
      <c r="F8" s="366"/>
      <c r="G8" s="366"/>
      <c r="H8" s="366"/>
      <c r="I8" s="366"/>
      <c r="J8" s="366"/>
      <c r="K8" s="366"/>
      <c r="L8" s="366"/>
      <c r="M8" s="366"/>
      <c r="N8" s="367"/>
      <c r="O8" s="8"/>
      <c r="P8" s="184"/>
      <c r="Q8" s="8"/>
      <c r="R8" s="8"/>
      <c r="S8" s="8"/>
      <c r="T8" s="8"/>
      <c r="U8" s="8"/>
      <c r="V8" s="8"/>
      <c r="W8" s="8"/>
      <c r="X8" s="8"/>
      <c r="Y8" s="8"/>
      <c r="Z8" s="8"/>
      <c r="AA8" s="8"/>
      <c r="AB8" s="8"/>
      <c r="AC8" s="8"/>
      <c r="AD8" s="8"/>
      <c r="AE8" s="184"/>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419" t="s">
        <v>95</v>
      </c>
      <c r="B9" s="420"/>
      <c r="C9" s="420"/>
      <c r="D9" s="420"/>
      <c r="E9" s="420"/>
      <c r="F9" s="420"/>
      <c r="G9" s="421"/>
      <c r="H9" s="419" t="s">
        <v>96</v>
      </c>
      <c r="I9" s="420"/>
      <c r="J9" s="420"/>
      <c r="K9" s="420"/>
      <c r="L9" s="420"/>
      <c r="M9" s="420"/>
      <c r="N9" s="421"/>
      <c r="O9" s="419" t="s">
        <v>97</v>
      </c>
      <c r="P9" s="420"/>
      <c r="Q9" s="420"/>
      <c r="R9" s="420"/>
      <c r="S9" s="420"/>
      <c r="T9" s="420"/>
      <c r="U9" s="420"/>
      <c r="V9" s="420"/>
      <c r="W9" s="421"/>
      <c r="X9" s="419" t="s">
        <v>98</v>
      </c>
      <c r="Y9" s="420"/>
      <c r="Z9" s="420"/>
      <c r="AA9" s="420"/>
      <c r="AB9" s="420"/>
      <c r="AC9" s="420"/>
      <c r="AD9" s="421"/>
      <c r="AE9" s="419" t="s">
        <v>99</v>
      </c>
      <c r="AF9" s="420"/>
      <c r="AG9" s="420"/>
      <c r="AH9" s="420"/>
      <c r="AI9" s="420"/>
      <c r="AJ9" s="420"/>
      <c r="AK9" s="421"/>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60" t="s">
        <v>100</v>
      </c>
      <c r="B10" s="356" t="s">
        <v>23</v>
      </c>
      <c r="C10" s="350" t="s">
        <v>25</v>
      </c>
      <c r="D10" s="350" t="s">
        <v>27</v>
      </c>
      <c r="E10" s="362" t="s">
        <v>29</v>
      </c>
      <c r="F10" s="357" t="s">
        <v>31</v>
      </c>
      <c r="G10" s="350" t="s">
        <v>101</v>
      </c>
      <c r="H10" s="352" t="s">
        <v>102</v>
      </c>
      <c r="I10" s="353" t="s">
        <v>103</v>
      </c>
      <c r="J10" s="357" t="s">
        <v>104</v>
      </c>
      <c r="K10" s="357" t="s">
        <v>105</v>
      </c>
      <c r="L10" s="355" t="s">
        <v>106</v>
      </c>
      <c r="M10" s="353" t="s">
        <v>103</v>
      </c>
      <c r="N10" s="350" t="s">
        <v>37</v>
      </c>
      <c r="O10" s="363" t="s">
        <v>107</v>
      </c>
      <c r="P10" s="351" t="s">
        <v>39</v>
      </c>
      <c r="Q10" s="357" t="s">
        <v>41</v>
      </c>
      <c r="R10" s="351" t="s">
        <v>108</v>
      </c>
      <c r="S10" s="351"/>
      <c r="T10" s="351"/>
      <c r="U10" s="351"/>
      <c r="V10" s="351"/>
      <c r="W10" s="351"/>
      <c r="X10" s="349" t="s">
        <v>109</v>
      </c>
      <c r="Y10" s="349" t="s">
        <v>110</v>
      </c>
      <c r="Z10" s="349" t="s">
        <v>103</v>
      </c>
      <c r="AA10" s="349" t="s">
        <v>111</v>
      </c>
      <c r="AB10" s="349" t="s">
        <v>103</v>
      </c>
      <c r="AC10" s="349" t="s">
        <v>112</v>
      </c>
      <c r="AD10" s="363" t="s">
        <v>57</v>
      </c>
      <c r="AE10" s="351" t="s">
        <v>99</v>
      </c>
      <c r="AF10" s="351" t="s">
        <v>113</v>
      </c>
      <c r="AG10" s="351" t="s">
        <v>114</v>
      </c>
      <c r="AH10" s="357" t="s">
        <v>115</v>
      </c>
      <c r="AI10" s="351" t="s">
        <v>116</v>
      </c>
      <c r="AJ10" s="351" t="s">
        <v>117</v>
      </c>
      <c r="AK10" s="351"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61"/>
      <c r="B11" s="356"/>
      <c r="C11" s="351"/>
      <c r="D11" s="351"/>
      <c r="E11" s="356"/>
      <c r="F11" s="350"/>
      <c r="G11" s="351"/>
      <c r="H11" s="350"/>
      <c r="I11" s="354"/>
      <c r="J11" s="350"/>
      <c r="K11" s="350"/>
      <c r="L11" s="354"/>
      <c r="M11" s="354"/>
      <c r="N11" s="351"/>
      <c r="O11" s="364"/>
      <c r="P11" s="351"/>
      <c r="Q11" s="350"/>
      <c r="R11" s="7" t="s">
        <v>118</v>
      </c>
      <c r="S11" s="7" t="s">
        <v>119</v>
      </c>
      <c r="T11" s="7" t="s">
        <v>120</v>
      </c>
      <c r="U11" s="7" t="s">
        <v>121</v>
      </c>
      <c r="V11" s="7" t="s">
        <v>122</v>
      </c>
      <c r="W11" s="7" t="s">
        <v>123</v>
      </c>
      <c r="X11" s="349"/>
      <c r="Y11" s="349"/>
      <c r="Z11" s="349"/>
      <c r="AA11" s="349"/>
      <c r="AB11" s="349"/>
      <c r="AC11" s="349"/>
      <c r="AD11" s="364"/>
      <c r="AE11" s="351"/>
      <c r="AF11" s="351"/>
      <c r="AG11" s="351"/>
      <c r="AH11" s="350"/>
      <c r="AI11" s="351"/>
      <c r="AJ11" s="351"/>
      <c r="AK11" s="351"/>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78.75" customHeight="1" x14ac:dyDescent="0.25">
      <c r="A12" s="331">
        <v>1</v>
      </c>
      <c r="B12" s="334" t="s">
        <v>230</v>
      </c>
      <c r="C12" s="334" t="s">
        <v>276</v>
      </c>
      <c r="D12" s="334" t="s">
        <v>277</v>
      </c>
      <c r="E12" s="337" t="s">
        <v>278</v>
      </c>
      <c r="F12" s="322" t="s">
        <v>236</v>
      </c>
      <c r="G12" s="325">
        <v>2</v>
      </c>
      <c r="H12" s="328" t="str">
        <f>IF(G12&lt;=0,"",IF(G12&lt;=2,"Muy Baja",IF(G12&lt;=24,"Baja",IF(G12&lt;=500,"Media",IF(G12&lt;=5000,"Alta","Muy Alta")))))</f>
        <v>Muy Baja</v>
      </c>
      <c r="I12" s="343">
        <f>IF(H12="","",IF(H12="Muy Baja",0.2,IF(H12="Baja",0.4,IF(H12="Media",0.6,IF(H12="Alta",0.8,IF(H12="Muy Alta",1,))))))</f>
        <v>0.2</v>
      </c>
      <c r="J12" s="346" t="s">
        <v>184</v>
      </c>
      <c r="K12" s="343"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328" t="str">
        <f>IF(OR(K12='Tabla Impacto'!$C$11,K12='Tabla Impacto'!$D$11),"Leve",IF(OR(K12='Tabla Impacto'!$C$12,K12='Tabla Impacto'!$D$12),"Menor",IF(OR(K12='Tabla Impacto'!$C$13,K12='Tabla Impacto'!$D$13),"Moderado",IF(OR(K12='Tabla Impacto'!$C$14,K12='Tabla Impacto'!$D$14),"Mayor",IF(OR(K12='Tabla Impacto'!$C$15,K12='Tabla Impacto'!$D$15),"Catastrófico","")))))</f>
        <v>Moderado</v>
      </c>
      <c r="M12" s="343">
        <f>IF(L12="","",IF(L12="Leve",0.2,IF(L12="Menor",0.4,IF(L12="Moderado",0.6,IF(L12="Mayor",0.8,IF(L12="Catastrófico",1,))))))</f>
        <v>0.6</v>
      </c>
      <c r="N12" s="340"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6">
        <v>1</v>
      </c>
      <c r="P12" s="181" t="s">
        <v>279</v>
      </c>
      <c r="Q12" s="163" t="str">
        <f>IF(OR(R12="Preventivo",R12="Detectivo"),"Probabilidad",IF(R12="Correctivo","Impacto",""))</f>
        <v>Probabilidad</v>
      </c>
      <c r="R12" s="158" t="s">
        <v>200</v>
      </c>
      <c r="S12" s="158" t="s">
        <v>208</v>
      </c>
      <c r="T12" s="159" t="str">
        <f>IF(AND(R12="Preventivo",S12="Automático"),"50%",IF(AND(R12="Preventivo",S12="Manual"),"40%",IF(AND(R12="Detectivo",S12="Automático"),"40%",IF(AND(R12="Detectivo",S12="Manual"),"30%",IF(AND(R12="Correctivo",S12="Automático"),"35%",IF(AND(R12="Correctivo",S12="Manual"),"25%",""))))))</f>
        <v>40%</v>
      </c>
      <c r="U12" s="158" t="s">
        <v>211</v>
      </c>
      <c r="V12" s="158" t="s">
        <v>216</v>
      </c>
      <c r="W12" s="158" t="s">
        <v>220</v>
      </c>
      <c r="X12" s="160">
        <f>IFERROR(IF(Q12="Probabilidad",(I12-(+I12*T12)),IF(Q12="Impacto",I12,"")),"")</f>
        <v>0.12</v>
      </c>
      <c r="Y12" s="161" t="str">
        <f>IFERROR(IF(X12="","",IF(X12&lt;=0.2,"Muy Baja",IF(X12&lt;=0.4,"Baja",IF(X12&lt;=0.6,"Media",IF(X12&lt;=0.8,"Alta","Muy Alta"))))),"")</f>
        <v>Muy Baja</v>
      </c>
      <c r="Z12" s="162">
        <f>+X12</f>
        <v>0.12</v>
      </c>
      <c r="AA12" s="161" t="str">
        <f>IFERROR(IF(AB12="","",IF(AB12&lt;=0.2,"Leve",IF(AB12&lt;=0.4,"Menor",IF(AB12&lt;=0.6,"Moderado",IF(AB12&lt;=0.8,"Mayor","Catastrófico"))))),"")</f>
        <v>Moderado</v>
      </c>
      <c r="AB12" s="162">
        <f>IFERROR(IF(Q12="Impacto",(M12-(+M12*T12)),IF(Q12="Probabilidad",M12,"")),"")</f>
        <v>0.6</v>
      </c>
      <c r="AC12" s="167"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64" t="s">
        <v>231</v>
      </c>
      <c r="AE12" s="181" t="s">
        <v>281</v>
      </c>
      <c r="AF12" s="178" t="s">
        <v>290</v>
      </c>
      <c r="AG12" s="179">
        <v>45001</v>
      </c>
      <c r="AH12" s="179">
        <v>45275</v>
      </c>
      <c r="AI12" s="166"/>
      <c r="AJ12" s="119"/>
      <c r="AK12" s="165"/>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71.25" customHeight="1" x14ac:dyDescent="0.3">
      <c r="A13" s="332"/>
      <c r="B13" s="335"/>
      <c r="C13" s="335"/>
      <c r="D13" s="335"/>
      <c r="E13" s="338"/>
      <c r="F13" s="323"/>
      <c r="G13" s="326"/>
      <c r="H13" s="329"/>
      <c r="I13" s="344"/>
      <c r="J13" s="347"/>
      <c r="K13" s="344">
        <f>IF(NOT(ISERROR(MATCH(J13,_xlfn.ANCHORARRAY(E24),0))),I26&amp;"Por favor no seleccionar los criterios de impacto",J13)</f>
        <v>0</v>
      </c>
      <c r="L13" s="329"/>
      <c r="M13" s="344"/>
      <c r="N13" s="341"/>
      <c r="O13" s="6">
        <v>2</v>
      </c>
      <c r="P13" s="181" t="s">
        <v>280</v>
      </c>
      <c r="Q13" s="163" t="str">
        <f>IF(OR(R13="Preventivo",R13="Detectivo"),"Probabilidad",IF(R13="Correctivo","Impacto",""))</f>
        <v>Probabilidad</v>
      </c>
      <c r="R13" s="158" t="s">
        <v>200</v>
      </c>
      <c r="S13" s="158" t="s">
        <v>208</v>
      </c>
      <c r="T13" s="159" t="str">
        <f t="shared" ref="T13:T17" si="0">IF(AND(R13="Preventivo",S13="Automático"),"50%",IF(AND(R13="Preventivo",S13="Manual"),"40%",IF(AND(R13="Detectivo",S13="Automático"),"40%",IF(AND(R13="Detectivo",S13="Manual"),"30%",IF(AND(R13="Correctivo",S13="Automático"),"35%",IF(AND(R13="Correctivo",S13="Manual"),"25%",""))))))</f>
        <v>40%</v>
      </c>
      <c r="U13" s="158" t="s">
        <v>211</v>
      </c>
      <c r="V13" s="158" t="s">
        <v>216</v>
      </c>
      <c r="W13" s="158" t="s">
        <v>220</v>
      </c>
      <c r="X13" s="160">
        <f>IFERROR(IF(AND(Q12="Probabilidad",Q13="Probabilidad"),(Z12-(+Z12*T13)),IF(Q13="Probabilidad",(I12-(+I12*T13)),IF(Q13="Impacto",Z12,""))),"")</f>
        <v>7.1999999999999995E-2</v>
      </c>
      <c r="Y13" s="161" t="str">
        <f t="shared" ref="Y13:Y71" si="1">IFERROR(IF(X13="","",IF(X13&lt;=0.2,"Muy Baja",IF(X13&lt;=0.4,"Baja",IF(X13&lt;=0.6,"Media",IF(X13&lt;=0.8,"Alta","Muy Alta"))))),"")</f>
        <v>Muy Baja</v>
      </c>
      <c r="Z13" s="162">
        <f t="shared" ref="Z13:Z17" si="2">+X13</f>
        <v>7.1999999999999995E-2</v>
      </c>
      <c r="AA13" s="161" t="str">
        <f t="shared" ref="AA13:AA71" si="3">IFERROR(IF(AB13="","",IF(AB13&lt;=0.2,"Leve",IF(AB13&lt;=0.4,"Menor",IF(AB13&lt;=0.6,"Moderado",IF(AB13&lt;=0.8,"Mayor","Catastrófico"))))),"")</f>
        <v>Moderado</v>
      </c>
      <c r="AB13" s="162">
        <f>IFERROR(IF(AND(Q12="Impacto",Q13="Impacto"),(AB12-(+AB12*T13)),IF(Q13="Impacto",(M12-(+M12*T13)),IF(Q13="Probabilidad",AB12,""))),"")</f>
        <v>0.6</v>
      </c>
      <c r="AC13" s="167"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Moderado</v>
      </c>
      <c r="AD13" s="164" t="s">
        <v>231</v>
      </c>
      <c r="AE13" s="181" t="s">
        <v>282</v>
      </c>
      <c r="AF13" s="178" t="s">
        <v>283</v>
      </c>
      <c r="AG13" s="179">
        <v>45001</v>
      </c>
      <c r="AH13" s="179">
        <v>45275</v>
      </c>
      <c r="AI13" s="170"/>
      <c r="AJ13" s="115"/>
      <c r="AK13" s="169"/>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x14ac:dyDescent="0.3">
      <c r="A14" s="332"/>
      <c r="B14" s="335"/>
      <c r="C14" s="335"/>
      <c r="D14" s="335"/>
      <c r="E14" s="338"/>
      <c r="F14" s="323"/>
      <c r="G14" s="326"/>
      <c r="H14" s="329"/>
      <c r="I14" s="344"/>
      <c r="J14" s="347"/>
      <c r="K14" s="344">
        <f>IF(NOT(ISERROR(MATCH(J14,_xlfn.ANCHORARRAY(E25),0))),I27&amp;"Por favor no seleccionar los criterios de impacto",J14)</f>
        <v>0</v>
      </c>
      <c r="L14" s="329"/>
      <c r="M14" s="344"/>
      <c r="N14" s="341"/>
      <c r="O14" s="106">
        <v>3</v>
      </c>
      <c r="P14" s="182"/>
      <c r="Q14" s="107"/>
      <c r="R14" s="108"/>
      <c r="S14" s="108"/>
      <c r="T14" s="109"/>
      <c r="U14" s="118"/>
      <c r="V14" s="118"/>
      <c r="W14" s="118"/>
      <c r="X14" s="110"/>
      <c r="Y14" s="111"/>
      <c r="Z14" s="112"/>
      <c r="AA14" s="111"/>
      <c r="AB14" s="112"/>
      <c r="AC14" s="113"/>
      <c r="AD14" s="114"/>
      <c r="AE14" s="190"/>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x14ac:dyDescent="0.3">
      <c r="A15" s="332"/>
      <c r="B15" s="335"/>
      <c r="C15" s="335"/>
      <c r="D15" s="335"/>
      <c r="E15" s="338"/>
      <c r="F15" s="323"/>
      <c r="G15" s="326"/>
      <c r="H15" s="329"/>
      <c r="I15" s="344"/>
      <c r="J15" s="347"/>
      <c r="K15" s="344">
        <f>IF(NOT(ISERROR(MATCH(J15,_xlfn.ANCHORARRAY(E26),0))),I28&amp;"Por favor no seleccionar los criterios de impacto",J15)</f>
        <v>0</v>
      </c>
      <c r="L15" s="329"/>
      <c r="M15" s="344"/>
      <c r="N15" s="341"/>
      <c r="O15" s="106">
        <v>4</v>
      </c>
      <c r="P15" s="181"/>
      <c r="Q15" s="107"/>
      <c r="R15" s="108"/>
      <c r="S15" s="108"/>
      <c r="T15" s="109"/>
      <c r="U15" s="108"/>
      <c r="V15" s="108"/>
      <c r="W15" s="108"/>
      <c r="X15" s="110"/>
      <c r="Y15" s="111"/>
      <c r="Z15" s="112"/>
      <c r="AA15" s="111"/>
      <c r="AB15" s="112"/>
      <c r="AC15" s="113"/>
      <c r="AD15" s="114"/>
      <c r="AE15" s="190"/>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x14ac:dyDescent="0.3">
      <c r="A16" s="332"/>
      <c r="B16" s="335"/>
      <c r="C16" s="335"/>
      <c r="D16" s="335"/>
      <c r="E16" s="338"/>
      <c r="F16" s="323"/>
      <c r="G16" s="326"/>
      <c r="H16" s="329"/>
      <c r="I16" s="344"/>
      <c r="J16" s="347"/>
      <c r="K16" s="344">
        <f>IF(NOT(ISERROR(MATCH(J16,_xlfn.ANCHORARRAY(E27),0))),I29&amp;"Por favor no seleccionar los criterios de impacto",J16)</f>
        <v>0</v>
      </c>
      <c r="L16" s="329"/>
      <c r="M16" s="344"/>
      <c r="N16" s="341"/>
      <c r="O16" s="106">
        <v>5</v>
      </c>
      <c r="P16" s="181"/>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90"/>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8" customHeight="1" x14ac:dyDescent="0.3">
      <c r="A17" s="333"/>
      <c r="B17" s="336"/>
      <c r="C17" s="336"/>
      <c r="D17" s="336"/>
      <c r="E17" s="339"/>
      <c r="F17" s="324"/>
      <c r="G17" s="327"/>
      <c r="H17" s="330"/>
      <c r="I17" s="345"/>
      <c r="J17" s="348"/>
      <c r="K17" s="345">
        <f>IF(NOT(ISERROR(MATCH(J17,_xlfn.ANCHORARRAY(E28),0))),I30&amp;"Por favor no seleccionar los criterios de impacto",J17)</f>
        <v>0</v>
      </c>
      <c r="L17" s="330"/>
      <c r="M17" s="345"/>
      <c r="N17" s="342"/>
      <c r="O17" s="106">
        <v>6</v>
      </c>
      <c r="P17" s="181"/>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90"/>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70.5" customHeight="1" x14ac:dyDescent="0.3">
      <c r="A18" s="331">
        <v>2</v>
      </c>
      <c r="B18" s="334" t="s">
        <v>230</v>
      </c>
      <c r="C18" s="334" t="s">
        <v>285</v>
      </c>
      <c r="D18" s="334" t="s">
        <v>286</v>
      </c>
      <c r="E18" s="337" t="s">
        <v>284</v>
      </c>
      <c r="F18" s="334" t="s">
        <v>236</v>
      </c>
      <c r="G18" s="395">
        <v>4</v>
      </c>
      <c r="H18" s="368" t="str">
        <f>IF(G18&lt;=0,"",IF(G18&lt;=2,"Muy Baja",IF(G18&lt;=24,"Baja",IF(G18&lt;=500,"Media",IF(G18&lt;=5000,"Alta","Muy Alta")))))</f>
        <v>Baja</v>
      </c>
      <c r="I18" s="371">
        <f>IF(H18="","",IF(H18="Muy Baja",0.2,IF(H18="Baja",0.4,IF(H18="Media",0.6,IF(H18="Alta",0.8,IF(H18="Muy Alta",1,))))))</f>
        <v>0.4</v>
      </c>
      <c r="J18" s="398" t="s">
        <v>184</v>
      </c>
      <c r="K18" s="371"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368" t="str">
        <f>IF(OR(K18='Tabla Impacto'!$C$11,K18='Tabla Impacto'!$D$11),"Leve",IF(OR(K18='Tabla Impacto'!$C$12,K18='Tabla Impacto'!$D$12),"Menor",IF(OR(K18='Tabla Impacto'!$C$13,K18='Tabla Impacto'!$D$13),"Moderado",IF(OR(K18='Tabla Impacto'!$C$14,K18='Tabla Impacto'!$D$14),"Mayor",IF(OR(K18='Tabla Impacto'!$C$15,K18='Tabla Impacto'!$D$15),"Catastrófico","")))))</f>
        <v>Moderado</v>
      </c>
      <c r="M18" s="371">
        <f>IF(L18="","",IF(L18="Leve",0.2,IF(L18="Menor",0.4,IF(L18="Moderado",0.6,IF(L18="Mayor",0.8,IF(L18="Catastrófico",1,))))))</f>
        <v>0.6</v>
      </c>
      <c r="N18" s="374"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106">
        <v>1</v>
      </c>
      <c r="P18" s="181" t="s">
        <v>287</v>
      </c>
      <c r="Q18" s="163" t="str">
        <f>IF(OR(R18="Preventivo",R18="Detectivo"),"Probabilidad",IF(R18="Correctivo","Impacto",""))</f>
        <v>Probabilidad</v>
      </c>
      <c r="R18" s="171" t="s">
        <v>200</v>
      </c>
      <c r="S18" s="171" t="s">
        <v>208</v>
      </c>
      <c r="T18" s="172" t="str">
        <f>IF(AND(R18="Preventivo",S18="Automático"),"50%",IF(AND(R18="Preventivo",S18="Manual"),"40%",IF(AND(R18="Detectivo",S18="Automático"),"40%",IF(AND(R18="Detectivo",S18="Manual"),"30%",IF(AND(R18="Correctivo",S18="Automático"),"35%",IF(AND(R18="Correctivo",S18="Manual"),"25%",""))))))</f>
        <v>40%</v>
      </c>
      <c r="U18" s="171" t="s">
        <v>211</v>
      </c>
      <c r="V18" s="171" t="s">
        <v>216</v>
      </c>
      <c r="W18" s="171" t="s">
        <v>220</v>
      </c>
      <c r="X18" s="160">
        <f>IFERROR(IF(Q18="Probabilidad",(I18-(+I18*T18)),IF(Q18="Impacto",I18,"")),"")</f>
        <v>0.24</v>
      </c>
      <c r="Y18" s="173" t="str">
        <f>IFERROR(IF(X18="","",IF(X18&lt;=0.2,"Muy Baja",IF(X18&lt;=0.4,"Baja",IF(X18&lt;=0.6,"Media",IF(X18&lt;=0.8,"Alta","Muy Alta"))))),"")</f>
        <v>Baja</v>
      </c>
      <c r="Z18" s="174">
        <f>+X18</f>
        <v>0.24</v>
      </c>
      <c r="AA18" s="173" t="str">
        <f>IFERROR(IF(AB18="","",IF(AB18&lt;=0.2,"Leve",IF(AB18&lt;=0.4,"Menor",IF(AB18&lt;=0.6,"Moderado",IF(AB18&lt;=0.8,"Mayor","Catastrófico"))))),"")</f>
        <v>Moderado</v>
      </c>
      <c r="AB18" s="174">
        <f>IFERROR(IF(Q18="Impacto",(M18-(+M18*T18)),IF(Q18="Probabilidad",M18,"")),"")</f>
        <v>0.6</v>
      </c>
      <c r="AC18" s="175"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76" t="s">
        <v>231</v>
      </c>
      <c r="AE18" s="181" t="s">
        <v>288</v>
      </c>
      <c r="AF18" s="178" t="s">
        <v>289</v>
      </c>
      <c r="AG18" s="179">
        <v>45001</v>
      </c>
      <c r="AH18" s="179">
        <v>45275</v>
      </c>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8" customHeight="1" x14ac:dyDescent="0.3">
      <c r="A19" s="332"/>
      <c r="B19" s="335"/>
      <c r="C19" s="335"/>
      <c r="D19" s="335"/>
      <c r="E19" s="338"/>
      <c r="F19" s="335"/>
      <c r="G19" s="396"/>
      <c r="H19" s="369"/>
      <c r="I19" s="372"/>
      <c r="J19" s="399"/>
      <c r="K19" s="372">
        <f>IF(NOT(ISERROR(MATCH(J19,_xlfn.ANCHORARRAY(E30),0))),I32&amp;"Por favor no seleccionar los criterios de impacto",J19)</f>
        <v>0</v>
      </c>
      <c r="L19" s="369"/>
      <c r="M19" s="372"/>
      <c r="N19" s="375"/>
      <c r="O19" s="106">
        <v>2</v>
      </c>
      <c r="P19" s="181"/>
      <c r="Q19" s="163" t="str">
        <f>IF(OR(R19="Preventivo",R19="Detectivo"),"Probabilidad",IF(R19="Correctivo","Impacto",""))</f>
        <v/>
      </c>
      <c r="R19" s="171"/>
      <c r="S19" s="171"/>
      <c r="T19" s="172" t="str">
        <f t="shared" ref="T19:T23" si="8">IF(AND(R19="Preventivo",S19="Automático"),"50%",IF(AND(R19="Preventivo",S19="Manual"),"40%",IF(AND(R19="Detectivo",S19="Automático"),"40%",IF(AND(R19="Detectivo",S19="Manual"),"30%",IF(AND(R19="Correctivo",S19="Automático"),"35%",IF(AND(R19="Correctivo",S19="Manual"),"25%",""))))))</f>
        <v/>
      </c>
      <c r="U19" s="171"/>
      <c r="V19" s="171"/>
      <c r="W19" s="171"/>
      <c r="X19" s="160" t="str">
        <f>IFERROR(IF(AND(Q18="Probabilidad",Q19="Probabilidad"),(Z18-(+Z18*T19)),IF(Q19="Probabilidad",(I18-(+I18*T19)),IF(Q19="Impacto",Z18,""))),"")</f>
        <v/>
      </c>
      <c r="Y19" s="173" t="str">
        <f t="shared" si="1"/>
        <v/>
      </c>
      <c r="Z19" s="174" t="str">
        <f t="shared" ref="Z19:Z23" si="9">+X19</f>
        <v/>
      </c>
      <c r="AA19" s="173" t="str">
        <f t="shared" si="3"/>
        <v/>
      </c>
      <c r="AB19" s="174" t="str">
        <f>IFERROR(IF(AND(Q18="Impacto",Q19="Impacto"),(AB18-(+AB18*T19)),IF(Q19="Impacto",(M18-(+M18*T19)),IF(Q19="Probabilidad",AB18,""))),"")</f>
        <v/>
      </c>
      <c r="AC19" s="175"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6"/>
      <c r="AE19" s="181"/>
      <c r="AF19" s="178"/>
      <c r="AG19" s="179"/>
      <c r="AH19" s="179"/>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customHeight="1" x14ac:dyDescent="0.3">
      <c r="A20" s="332"/>
      <c r="B20" s="335"/>
      <c r="C20" s="335"/>
      <c r="D20" s="335"/>
      <c r="E20" s="338"/>
      <c r="F20" s="335"/>
      <c r="G20" s="396"/>
      <c r="H20" s="369"/>
      <c r="I20" s="372"/>
      <c r="J20" s="399"/>
      <c r="K20" s="372">
        <f>IF(NOT(ISERROR(MATCH(J20,_xlfn.ANCHORARRAY(E31),0))),I33&amp;"Por favor no seleccionar los criterios de impacto",J20)</f>
        <v>0</v>
      </c>
      <c r="L20" s="369"/>
      <c r="M20" s="372"/>
      <c r="N20" s="375"/>
      <c r="O20" s="106">
        <v>3</v>
      </c>
      <c r="P20" s="183"/>
      <c r="Q20" s="163" t="str">
        <f>IF(OR(R20="Preventivo",R20="Detectivo"),"Probabilidad",IF(R20="Correctivo","Impacto",""))</f>
        <v/>
      </c>
      <c r="R20" s="171"/>
      <c r="S20" s="171"/>
      <c r="T20" s="172" t="str">
        <f t="shared" si="8"/>
        <v/>
      </c>
      <c r="U20" s="171"/>
      <c r="V20" s="171"/>
      <c r="W20" s="171"/>
      <c r="X20" s="160" t="str">
        <f>IFERROR(IF(AND(Q19="Probabilidad",Q20="Probabilidad"),(Z19-(+Z19*T20)),IF(AND(Q19="Impacto",Q20="Probabilidad"),(Z18-(+Z18*T20)),IF(Q20="Impacto",Z19,""))),"")</f>
        <v/>
      </c>
      <c r="Y20" s="173" t="str">
        <f t="shared" si="1"/>
        <v/>
      </c>
      <c r="Z20" s="174" t="str">
        <f t="shared" si="9"/>
        <v/>
      </c>
      <c r="AA20" s="173" t="str">
        <f t="shared" si="3"/>
        <v/>
      </c>
      <c r="AB20" s="174" t="str">
        <f>IFERROR(IF(AND(Q19="Impacto",Q20="Impacto"),(AB19-(+AB19*T20)),IF(AND(Q19="Probabilidad",Q20="Impacto"),(AB18-(+AB18*T20)),IF(Q20="Probabilidad",AB19,""))),"")</f>
        <v/>
      </c>
      <c r="AC20" s="175" t="str">
        <f t="shared" si="10"/>
        <v/>
      </c>
      <c r="AD20" s="176"/>
      <c r="AE20" s="181"/>
      <c r="AF20" s="180"/>
      <c r="AG20" s="179"/>
      <c r="AH20" s="179"/>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x14ac:dyDescent="0.3">
      <c r="A21" s="332"/>
      <c r="B21" s="335"/>
      <c r="C21" s="335"/>
      <c r="D21" s="335"/>
      <c r="E21" s="338"/>
      <c r="F21" s="335"/>
      <c r="G21" s="396"/>
      <c r="H21" s="369"/>
      <c r="I21" s="372"/>
      <c r="J21" s="399"/>
      <c r="K21" s="372">
        <f>IF(NOT(ISERROR(MATCH(J21,_xlfn.ANCHORARRAY(E32),0))),I34&amp;"Por favor no seleccionar los criterios de impacto",J21)</f>
        <v>0</v>
      </c>
      <c r="L21" s="369"/>
      <c r="M21" s="372"/>
      <c r="N21" s="375"/>
      <c r="O21" s="106">
        <v>4</v>
      </c>
      <c r="P21" s="181"/>
      <c r="Q21" s="107" t="str">
        <f t="shared" ref="Q21:Q23" si="11">IF(OR(R21="Preventivo",R21="Detectivo"),"Probabilidad",IF(R21="Correctivo","Impacto",""))</f>
        <v/>
      </c>
      <c r="R21" s="108"/>
      <c r="S21" s="108"/>
      <c r="T21" s="109" t="str">
        <f t="shared" si="8"/>
        <v/>
      </c>
      <c r="U21" s="108"/>
      <c r="V21" s="108"/>
      <c r="W21" s="108"/>
      <c r="X21" s="110" t="str">
        <f t="shared" ref="X21:X23" si="12">IFERROR(IF(AND(Q20="Probabilidad",Q21="Probabilidad"),(Z20-(+Z20*T21)),IF(AND(Q20="Impacto",Q21="Probabilidad"),(Z19-(+Z19*T21)),IF(Q21="Impacto",Z20,""))),"")</f>
        <v/>
      </c>
      <c r="Y21" s="111" t="str">
        <f t="shared" si="1"/>
        <v/>
      </c>
      <c r="Z21" s="112" t="str">
        <f t="shared" si="9"/>
        <v/>
      </c>
      <c r="AA21" s="111" t="str">
        <f t="shared" si="3"/>
        <v/>
      </c>
      <c r="AB21" s="112" t="str">
        <f t="shared" ref="AB21:AB23" si="13">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90"/>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x14ac:dyDescent="0.3">
      <c r="A22" s="332"/>
      <c r="B22" s="335"/>
      <c r="C22" s="335"/>
      <c r="D22" s="335"/>
      <c r="E22" s="338"/>
      <c r="F22" s="335"/>
      <c r="G22" s="396"/>
      <c r="H22" s="369"/>
      <c r="I22" s="372"/>
      <c r="J22" s="399"/>
      <c r="K22" s="372">
        <f>IF(NOT(ISERROR(MATCH(J22,_xlfn.ANCHORARRAY(E33),0))),I35&amp;"Por favor no seleccionar los criterios de impacto",J22)</f>
        <v>0</v>
      </c>
      <c r="L22" s="369"/>
      <c r="M22" s="372"/>
      <c r="N22" s="375"/>
      <c r="O22" s="106">
        <v>5</v>
      </c>
      <c r="P22" s="181"/>
      <c r="Q22" s="107" t="str">
        <f t="shared" si="11"/>
        <v/>
      </c>
      <c r="R22" s="108"/>
      <c r="S22" s="108"/>
      <c r="T22" s="109" t="str">
        <f t="shared" si="8"/>
        <v/>
      </c>
      <c r="U22" s="108"/>
      <c r="V22" s="108"/>
      <c r="W22" s="108"/>
      <c r="X22" s="110" t="str">
        <f t="shared" si="12"/>
        <v/>
      </c>
      <c r="Y22" s="111" t="str">
        <f t="shared" si="1"/>
        <v/>
      </c>
      <c r="Z22" s="112" t="str">
        <f t="shared" si="9"/>
        <v/>
      </c>
      <c r="AA22" s="111" t="str">
        <f t="shared" si="3"/>
        <v/>
      </c>
      <c r="AB22" s="112" t="str">
        <f t="shared" si="13"/>
        <v/>
      </c>
      <c r="AC22" s="113"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90"/>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customHeight="1" x14ac:dyDescent="0.3">
      <c r="A23" s="333"/>
      <c r="B23" s="336"/>
      <c r="C23" s="336"/>
      <c r="D23" s="336"/>
      <c r="E23" s="339"/>
      <c r="F23" s="336"/>
      <c r="G23" s="397"/>
      <c r="H23" s="370"/>
      <c r="I23" s="373"/>
      <c r="J23" s="400"/>
      <c r="K23" s="373">
        <f>IF(NOT(ISERROR(MATCH(J23,_xlfn.ANCHORARRAY(E34),0))),I36&amp;"Por favor no seleccionar los criterios de impacto",J23)</f>
        <v>0</v>
      </c>
      <c r="L23" s="370"/>
      <c r="M23" s="373"/>
      <c r="N23" s="376"/>
      <c r="O23" s="106">
        <v>6</v>
      </c>
      <c r="P23" s="181"/>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si="14"/>
        <v/>
      </c>
      <c r="AD23" s="114"/>
      <c r="AE23" s="190"/>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8" hidden="1" customHeight="1" x14ac:dyDescent="0.3">
      <c r="A24" s="331">
        <v>3</v>
      </c>
      <c r="B24" s="377"/>
      <c r="C24" s="377"/>
      <c r="D24" s="377"/>
      <c r="E24" s="380"/>
      <c r="F24" s="377"/>
      <c r="G24" s="383"/>
      <c r="H24" s="386" t="str">
        <f>IF(G24&lt;=0,"",IF(G24&lt;=2,"Muy Baja",IF(G24&lt;=24,"Baja",IF(G24&lt;=500,"Media",IF(G24&lt;=5000,"Alta","Muy Alta")))))</f>
        <v/>
      </c>
      <c r="I24" s="389" t="str">
        <f>IF(H24="","",IF(H24="Muy Baja",0.2,IF(H24="Baja",0.4,IF(H24="Media",0.6,IF(H24="Alta",0.8,IF(H24="Muy Alta",1,))))))</f>
        <v/>
      </c>
      <c r="J24" s="392"/>
      <c r="K24" s="389">
        <f>IF(NOT(ISERROR(MATCH(J24,'Tabla Impacto'!$B$221:$B$223,0))),'Tabla Impacto'!$F$223&amp;"Por favor no seleccionar los criterios de impacto(Afectación Económica o presupuestal y Pérdida Reputacional)",J24)</f>
        <v>0</v>
      </c>
      <c r="L24" s="386" t="str">
        <f>IF(OR(K24='Tabla Impacto'!$C$11,K24='Tabla Impacto'!$D$11),"Leve",IF(OR(K24='Tabla Impacto'!$C$12,K24='Tabla Impacto'!$D$12),"Menor",IF(OR(K24='Tabla Impacto'!$C$13,K24='Tabla Impacto'!$D$13),"Moderado",IF(OR(K24='Tabla Impacto'!$C$14,K24='Tabla Impacto'!$D$14),"Mayor",IF(OR(K24='Tabla Impacto'!$C$15,K24='Tabla Impacto'!$D$15),"Catastrófico","")))))</f>
        <v/>
      </c>
      <c r="M24" s="389" t="str">
        <f>IF(L24="","",IF(L24="Leve",0.2,IF(L24="Menor",0.4,IF(L24="Moderado",0.6,IF(L24="Mayor",0.8,IF(L24="Catastrófico",1,))))))</f>
        <v/>
      </c>
      <c r="N24" s="401"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106">
        <v>1</v>
      </c>
      <c r="P24" s="181"/>
      <c r="Q24" s="163" t="str">
        <f>IF(OR(R24="Preventivo",R24="Detectivo"),"Probabilidad",IF(R24="Correctivo","Impacto",""))</f>
        <v/>
      </c>
      <c r="R24" s="171"/>
      <c r="S24" s="171"/>
      <c r="T24" s="172" t="str">
        <f>IF(AND(R24="Preventivo",S24="Automático"),"50%",IF(AND(R24="Preventivo",S24="Manual"),"40%",IF(AND(R24="Detectivo",S24="Automático"),"40%",IF(AND(R24="Detectivo",S24="Manual"),"30%",IF(AND(R24="Correctivo",S24="Automático"),"35%",IF(AND(R24="Correctivo",S24="Manual"),"25%",""))))))</f>
        <v/>
      </c>
      <c r="U24" s="171"/>
      <c r="V24" s="171"/>
      <c r="W24" s="171"/>
      <c r="X24" s="160" t="str">
        <f>IFERROR(IF(Q24="Probabilidad",(I24-(+I24*T24)),IF(Q24="Impacto",I24,"")),"")</f>
        <v/>
      </c>
      <c r="Y24" s="173" t="str">
        <f>IFERROR(IF(X24="","",IF(X24&lt;=0.2,"Muy Baja",IF(X24&lt;=0.4,"Baja",IF(X24&lt;=0.6,"Media",IF(X24&lt;=0.8,"Alta","Muy Alta"))))),"")</f>
        <v/>
      </c>
      <c r="Z24" s="174" t="str">
        <f>+X24</f>
        <v/>
      </c>
      <c r="AA24" s="173" t="str">
        <f>IFERROR(IF(AB24="","",IF(AB24&lt;=0.2,"Leve",IF(AB24&lt;=0.4,"Menor",IF(AB24&lt;=0.6,"Moderado",IF(AB24&lt;=0.8,"Mayor","Catastrófico"))))),"")</f>
        <v/>
      </c>
      <c r="AB24" s="174" t="str">
        <f>IFERROR(IF(Q24="Impacto",(M24-(+M24*T24)),IF(Q24="Probabilidad",M24,"")),"")</f>
        <v/>
      </c>
      <c r="AC24" s="175"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76"/>
      <c r="AE24" s="181"/>
      <c r="AF24" s="177"/>
      <c r="AG24" s="117"/>
      <c r="AH24" s="117"/>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8" hidden="1" customHeight="1" x14ac:dyDescent="0.3">
      <c r="A25" s="332"/>
      <c r="B25" s="378"/>
      <c r="C25" s="378"/>
      <c r="D25" s="378"/>
      <c r="E25" s="381"/>
      <c r="F25" s="378"/>
      <c r="G25" s="384"/>
      <c r="H25" s="387"/>
      <c r="I25" s="390"/>
      <c r="J25" s="393"/>
      <c r="K25" s="390">
        <f>IF(NOT(ISERROR(MATCH(J25,_xlfn.ANCHORARRAY(E36),0))),I38&amp;"Por favor no seleccionar los criterios de impacto",J25)</f>
        <v>0</v>
      </c>
      <c r="L25" s="387"/>
      <c r="M25" s="390"/>
      <c r="N25" s="402"/>
      <c r="O25" s="106">
        <v>2</v>
      </c>
      <c r="P25" s="181"/>
      <c r="Q25" s="107" t="str">
        <f>IF(OR(R25="Preventivo",R25="Detectivo"),"Probabilidad",IF(R25="Correctivo","Impacto",""))</f>
        <v/>
      </c>
      <c r="R25" s="171"/>
      <c r="S25" s="171"/>
      <c r="T25" s="172" t="str">
        <f t="shared" ref="T25:T29" si="15">IF(AND(R25="Preventivo",S25="Automático"),"50%",IF(AND(R25="Preventivo",S25="Manual"),"40%",IF(AND(R25="Detectivo",S25="Automático"),"40%",IF(AND(R25="Detectivo",S25="Manual"),"30%",IF(AND(R25="Correctivo",S25="Automático"),"35%",IF(AND(R25="Correctivo",S25="Manual"),"25%",""))))))</f>
        <v/>
      </c>
      <c r="U25" s="171"/>
      <c r="V25" s="171"/>
      <c r="W25" s="171"/>
      <c r="X25" s="160" t="str">
        <f>IFERROR(IF(AND(Q24="Probabilidad",Q25="Probabilidad"),(Z24-(+Z24*T25)),IF(Q25="Probabilidad",(I24-(+I24*T25)),IF(Q25="Impacto",Z24,""))),"")</f>
        <v/>
      </c>
      <c r="Y25" s="173" t="str">
        <f t="shared" si="1"/>
        <v/>
      </c>
      <c r="Z25" s="174" t="str">
        <f t="shared" ref="Z25:Z29" si="16">+X25</f>
        <v/>
      </c>
      <c r="AA25" s="173" t="str">
        <f t="shared" si="3"/>
        <v/>
      </c>
      <c r="AB25" s="174" t="str">
        <f>IFERROR(IF(AND(Q24="Impacto",Q25="Impacto"),(AB24-(+AB24*T25)),IF(Q25="Impacto",(M24-(+M24*T25)),IF(Q25="Probabilidad",AB24,""))),"")</f>
        <v/>
      </c>
      <c r="AC25" s="175"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76"/>
      <c r="AE25" s="181"/>
      <c r="AF25" s="177"/>
      <c r="AG25" s="117"/>
      <c r="AH25" s="117"/>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8" hidden="1" customHeight="1" x14ac:dyDescent="0.3">
      <c r="A26" s="332"/>
      <c r="B26" s="378"/>
      <c r="C26" s="378"/>
      <c r="D26" s="378"/>
      <c r="E26" s="381"/>
      <c r="F26" s="378"/>
      <c r="G26" s="384"/>
      <c r="H26" s="387"/>
      <c r="I26" s="390"/>
      <c r="J26" s="393"/>
      <c r="K26" s="390">
        <f>IF(NOT(ISERROR(MATCH(J26,_xlfn.ANCHORARRAY(E37),0))),I39&amp;"Por favor no seleccionar los criterios de impacto",J26)</f>
        <v>0</v>
      </c>
      <c r="L26" s="387"/>
      <c r="M26" s="390"/>
      <c r="N26" s="402"/>
      <c r="O26" s="106">
        <v>3</v>
      </c>
      <c r="P26" s="182"/>
      <c r="Q26" s="107" t="str">
        <f>IF(OR(R26="Preventivo",R26="Detectivo"),"Probabilidad",IF(R26="Correctivo","Impacto",""))</f>
        <v/>
      </c>
      <c r="R26" s="108"/>
      <c r="S26" s="108"/>
      <c r="T26" s="109" t="str">
        <f t="shared" si="15"/>
        <v/>
      </c>
      <c r="U26" s="108"/>
      <c r="V26" s="108"/>
      <c r="W26" s="108"/>
      <c r="X26" s="110" t="str">
        <f>IFERROR(IF(AND(Q25="Probabilidad",Q26="Probabilidad"),(Z25-(+Z25*T26)),IF(AND(Q25="Impacto",Q26="Probabilidad"),(Z24-(+Z24*T26)),IF(Q26="Impacto",Z25,""))),"")</f>
        <v/>
      </c>
      <c r="Y26" s="111" t="str">
        <f t="shared" si="1"/>
        <v/>
      </c>
      <c r="Z26" s="112" t="str">
        <f t="shared" si="16"/>
        <v/>
      </c>
      <c r="AA26" s="111" t="str">
        <f t="shared" si="3"/>
        <v/>
      </c>
      <c r="AB26" s="112" t="str">
        <f>IFERROR(IF(AND(Q25="Impacto",Q26="Impacto"),(AB25-(+AB25*T26)),IF(AND(Q25="Probabilidad",Q26="Impacto"),(AB24-(+AB24*T26)),IF(Q26="Probabilidad",AB25,""))),"")</f>
        <v/>
      </c>
      <c r="AC26" s="113" t="str">
        <f t="shared" si="17"/>
        <v/>
      </c>
      <c r="AD26" s="114"/>
      <c r="AE26" s="190"/>
      <c r="AF26" s="116"/>
      <c r="AG26" s="117"/>
      <c r="AH26" s="117"/>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hidden="1" customHeight="1" x14ac:dyDescent="0.3">
      <c r="A27" s="332"/>
      <c r="B27" s="378"/>
      <c r="C27" s="378"/>
      <c r="D27" s="378"/>
      <c r="E27" s="381"/>
      <c r="F27" s="378"/>
      <c r="G27" s="384"/>
      <c r="H27" s="387"/>
      <c r="I27" s="390"/>
      <c r="J27" s="393"/>
      <c r="K27" s="390">
        <f>IF(NOT(ISERROR(MATCH(J27,_xlfn.ANCHORARRAY(E38),0))),I40&amp;"Por favor no seleccionar los criterios de impacto",J27)</f>
        <v>0</v>
      </c>
      <c r="L27" s="387"/>
      <c r="M27" s="390"/>
      <c r="N27" s="402"/>
      <c r="O27" s="106">
        <v>4</v>
      </c>
      <c r="P27" s="181"/>
      <c r="Q27" s="107" t="str">
        <f t="shared" ref="Q27:Q29" si="18">IF(OR(R27="Preventivo",R27="Detectivo"),"Probabilidad",IF(R27="Correctivo","Impacto",""))</f>
        <v/>
      </c>
      <c r="R27" s="108"/>
      <c r="S27" s="108"/>
      <c r="T27" s="109" t="str">
        <f t="shared" si="15"/>
        <v/>
      </c>
      <c r="U27" s="108"/>
      <c r="V27" s="108"/>
      <c r="W27" s="108"/>
      <c r="X27" s="110" t="str">
        <f t="shared" ref="X27:X29" si="19">IFERROR(IF(AND(Q26="Probabilidad",Q27="Probabilidad"),(Z26-(+Z26*T27)),IF(AND(Q26="Impacto",Q27="Probabilidad"),(Z25-(+Z25*T27)),IF(Q27="Impacto",Z26,""))),"")</f>
        <v/>
      </c>
      <c r="Y27" s="111" t="str">
        <f t="shared" si="1"/>
        <v/>
      </c>
      <c r="Z27" s="112" t="str">
        <f t="shared" si="16"/>
        <v/>
      </c>
      <c r="AA27" s="111" t="str">
        <f t="shared" si="3"/>
        <v/>
      </c>
      <c r="AB27" s="112" t="str">
        <f t="shared" ref="AB27:AB29" si="20">IFERROR(IF(AND(Q26="Impacto",Q27="Impacto"),(AB26-(+AB26*T27)),IF(AND(Q26="Probabilidad",Q27="Impacto"),(AB25-(+AB25*T27)),IF(Q27="Probabilidad",AB26,""))),"")</f>
        <v/>
      </c>
      <c r="AC27" s="11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4"/>
      <c r="AE27" s="190"/>
      <c r="AF27" s="116"/>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hidden="1" customHeight="1" x14ac:dyDescent="0.3">
      <c r="A28" s="332"/>
      <c r="B28" s="378"/>
      <c r="C28" s="378"/>
      <c r="D28" s="378"/>
      <c r="E28" s="381"/>
      <c r="F28" s="378"/>
      <c r="G28" s="384"/>
      <c r="H28" s="387"/>
      <c r="I28" s="390"/>
      <c r="J28" s="393"/>
      <c r="K28" s="390">
        <f>IF(NOT(ISERROR(MATCH(J28,_xlfn.ANCHORARRAY(E39),0))),I41&amp;"Por favor no seleccionar los criterios de impacto",J28)</f>
        <v>0</v>
      </c>
      <c r="L28" s="387"/>
      <c r="M28" s="390"/>
      <c r="N28" s="402"/>
      <c r="O28" s="106">
        <v>5</v>
      </c>
      <c r="P28" s="181"/>
      <c r="Q28" s="107" t="str">
        <f t="shared" si="18"/>
        <v/>
      </c>
      <c r="R28" s="108"/>
      <c r="S28" s="108"/>
      <c r="T28" s="109" t="str">
        <f t="shared" si="15"/>
        <v/>
      </c>
      <c r="U28" s="108"/>
      <c r="V28" s="108"/>
      <c r="W28" s="108"/>
      <c r="X28" s="110" t="str">
        <f t="shared" si="19"/>
        <v/>
      </c>
      <c r="Y28" s="111" t="str">
        <f t="shared" si="1"/>
        <v/>
      </c>
      <c r="Z28" s="112" t="str">
        <f t="shared" si="16"/>
        <v/>
      </c>
      <c r="AA28" s="111" t="str">
        <f t="shared" si="3"/>
        <v/>
      </c>
      <c r="AB28" s="112" t="str">
        <f t="shared" si="20"/>
        <v/>
      </c>
      <c r="AC28" s="113"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90"/>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hidden="1" customHeight="1" x14ac:dyDescent="0.3">
      <c r="A29" s="333"/>
      <c r="B29" s="379"/>
      <c r="C29" s="379"/>
      <c r="D29" s="379"/>
      <c r="E29" s="382"/>
      <c r="F29" s="379"/>
      <c r="G29" s="385"/>
      <c r="H29" s="388"/>
      <c r="I29" s="391"/>
      <c r="J29" s="394"/>
      <c r="K29" s="391">
        <f>IF(NOT(ISERROR(MATCH(J29,_xlfn.ANCHORARRAY(E40),0))),I42&amp;"Por favor no seleccionar los criterios de impacto",J29)</f>
        <v>0</v>
      </c>
      <c r="L29" s="388"/>
      <c r="M29" s="391"/>
      <c r="N29" s="403"/>
      <c r="O29" s="106">
        <v>6</v>
      </c>
      <c r="P29" s="181"/>
      <c r="Q29" s="107" t="str">
        <f t="shared" si="18"/>
        <v/>
      </c>
      <c r="R29" s="108"/>
      <c r="S29" s="108"/>
      <c r="T29" s="109" t="str">
        <f t="shared" si="15"/>
        <v/>
      </c>
      <c r="U29" s="108"/>
      <c r="V29" s="108"/>
      <c r="W29" s="108"/>
      <c r="X29" s="110" t="str">
        <f t="shared" si="19"/>
        <v/>
      </c>
      <c r="Y29" s="111" t="str">
        <f t="shared" si="1"/>
        <v/>
      </c>
      <c r="Z29" s="112" t="str">
        <f t="shared" si="16"/>
        <v/>
      </c>
      <c r="AA29" s="111" t="str">
        <f t="shared" si="3"/>
        <v/>
      </c>
      <c r="AB29" s="112" t="str">
        <f t="shared" si="20"/>
        <v/>
      </c>
      <c r="AC29" s="113" t="str">
        <f t="shared" si="21"/>
        <v/>
      </c>
      <c r="AD29" s="114"/>
      <c r="AE29" s="190"/>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8" hidden="1" customHeight="1" x14ac:dyDescent="0.3">
      <c r="A30" s="331">
        <v>4</v>
      </c>
      <c r="B30" s="377"/>
      <c r="C30" s="377"/>
      <c r="D30" s="377"/>
      <c r="E30" s="380"/>
      <c r="F30" s="377"/>
      <c r="G30" s="383"/>
      <c r="H30" s="386" t="str">
        <f>IF(G30&lt;=0,"",IF(G30&lt;=2,"Muy Baja",IF(G30&lt;=24,"Baja",IF(G30&lt;=500,"Media",IF(G30&lt;=5000,"Alta","Muy Alta")))))</f>
        <v/>
      </c>
      <c r="I30" s="389" t="str">
        <f>IF(H30="","",IF(H30="Muy Baja",0.2,IF(H30="Baja",0.4,IF(H30="Media",0.6,IF(H30="Alta",0.8,IF(H30="Muy Alta",1,))))))</f>
        <v/>
      </c>
      <c r="J30" s="392"/>
      <c r="K30" s="389">
        <f>IF(NOT(ISERROR(MATCH(J30,'Tabla Impacto'!$B$221:$B$223,0))),'Tabla Impacto'!$F$223&amp;"Por favor no seleccionar los criterios de impacto(Afectación Económica o presupuestal y Pérdida Reputacional)",J30)</f>
        <v>0</v>
      </c>
      <c r="L30" s="386" t="str">
        <f>IF(OR(K30='Tabla Impacto'!$C$11,K30='Tabla Impacto'!$D$11),"Leve",IF(OR(K30='Tabla Impacto'!$C$12,K30='Tabla Impacto'!$D$12),"Menor",IF(OR(K30='Tabla Impacto'!$C$13,K30='Tabla Impacto'!$D$13),"Moderado",IF(OR(K30='Tabla Impacto'!$C$14,K30='Tabla Impacto'!$D$14),"Mayor",IF(OR(K30='Tabla Impacto'!$C$15,K30='Tabla Impacto'!$D$15),"Catastrófico","")))))</f>
        <v/>
      </c>
      <c r="M30" s="389" t="str">
        <f>IF(L30="","",IF(L30="Leve",0.2,IF(L30="Menor",0.4,IF(L30="Moderado",0.6,IF(L30="Mayor",0.8,IF(L30="Catastrófico",1,))))))</f>
        <v/>
      </c>
      <c r="N30" s="401"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06">
        <v>1</v>
      </c>
      <c r="P30" s="181"/>
      <c r="Q30" s="163" t="str">
        <f>IF(OR(R30="Preventivo",R30="Detectivo"),"Probabilidad",IF(R30="Correctivo","Impacto",""))</f>
        <v/>
      </c>
      <c r="R30" s="171"/>
      <c r="S30" s="171"/>
      <c r="T30" s="172"/>
      <c r="U30" s="171"/>
      <c r="V30" s="171"/>
      <c r="W30" s="171"/>
      <c r="X30" s="160" t="str">
        <f>IFERROR(IF(Q30="Probabilidad",(I30-(+I30*T30)),IF(Q30="Impacto",I30,"")),"")</f>
        <v/>
      </c>
      <c r="Y30" s="173" t="str">
        <f>IFERROR(IF(X30="","",IF(X30&lt;=0.2,"Muy Baja",IF(X30&lt;=0.4,"Baja",IF(X30&lt;=0.6,"Media",IF(X30&lt;=0.8,"Alta","Muy Alta"))))),"")</f>
        <v/>
      </c>
      <c r="Z30" s="174" t="str">
        <f>+X30</f>
        <v/>
      </c>
      <c r="AA30" s="173" t="str">
        <f>IFERROR(IF(AB30="","",IF(AB30&lt;=0.2,"Leve",IF(AB30&lt;=0.4,"Menor",IF(AB30&lt;=0.6,"Moderado",IF(AB30&lt;=0.8,"Mayor","Catastrófico"))))),"")</f>
        <v/>
      </c>
      <c r="AB30" s="174" t="str">
        <f>IFERROR(IF(Q30="Impacto",(M30-(+M30*T30)),IF(Q30="Probabilidad",M30,"")),"")</f>
        <v/>
      </c>
      <c r="AC30" s="175"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76"/>
      <c r="AE30" s="190"/>
      <c r="AF30" s="168"/>
      <c r="AG30" s="170"/>
      <c r="AH30" s="117"/>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hidden="1" customHeight="1" x14ac:dyDescent="0.3">
      <c r="A31" s="332"/>
      <c r="B31" s="378"/>
      <c r="C31" s="378"/>
      <c r="D31" s="378"/>
      <c r="E31" s="381"/>
      <c r="F31" s="378"/>
      <c r="G31" s="384"/>
      <c r="H31" s="387"/>
      <c r="I31" s="390"/>
      <c r="J31" s="393"/>
      <c r="K31" s="390">
        <f>IF(NOT(ISERROR(MATCH(J31,_xlfn.ANCHORARRAY(E42),0))),I44&amp;"Por favor no seleccionar los criterios de impacto",J31)</f>
        <v>0</v>
      </c>
      <c r="L31" s="387"/>
      <c r="M31" s="390"/>
      <c r="N31" s="402"/>
      <c r="O31" s="106">
        <v>2</v>
      </c>
      <c r="P31" s="181"/>
      <c r="Q31" s="107" t="str">
        <f>IF(OR(R31="Preventivo",R31="Detectivo"),"Probabilidad",IF(R31="Correctivo","Impacto",""))</f>
        <v/>
      </c>
      <c r="R31" s="108"/>
      <c r="S31" s="108"/>
      <c r="T31" s="109" t="str">
        <f t="shared" ref="T31:T35" si="22">IF(AND(R31="Preventivo",S31="Automático"),"50%",IF(AND(R31="Preventivo",S31="Manual"),"40%",IF(AND(R31="Detectivo",S31="Automático"),"40%",IF(AND(R31="Detectivo",S31="Manual"),"30%",IF(AND(R31="Correctivo",S31="Automático"),"35%",IF(AND(R31="Correctivo",S31="Manual"),"25%",""))))))</f>
        <v/>
      </c>
      <c r="U31" s="108"/>
      <c r="V31" s="108"/>
      <c r="W31" s="108"/>
      <c r="X31" s="110" t="str">
        <f>IFERROR(IF(AND(Q30="Probabilidad",Q31="Probabilidad"),(Z30-(+Z30*T31)),IF(Q31="Probabilidad",(I30-(+I30*T31)),IF(Q31="Impacto",Z30,""))),"")</f>
        <v/>
      </c>
      <c r="Y31" s="111" t="str">
        <f t="shared" si="1"/>
        <v/>
      </c>
      <c r="Z31" s="112" t="str">
        <f t="shared" ref="Z31:Z35" si="23">+X31</f>
        <v/>
      </c>
      <c r="AA31" s="111" t="str">
        <f t="shared" si="3"/>
        <v/>
      </c>
      <c r="AB31" s="112" t="str">
        <f>IFERROR(IF(AND(Q30="Impacto",Q31="Impacto"),(AB30-(+AB30*T31)),IF(Q31="Impacto",(M30-(+M30*T31)),IF(Q31="Probabilidad",AB30,""))),"")</f>
        <v/>
      </c>
      <c r="AC31" s="113"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4"/>
      <c r="AE31" s="190"/>
      <c r="AF31" s="116"/>
      <c r="AG31" s="117"/>
      <c r="AH31" s="117"/>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hidden="1" customHeight="1" x14ac:dyDescent="0.3">
      <c r="A32" s="332"/>
      <c r="B32" s="378"/>
      <c r="C32" s="378"/>
      <c r="D32" s="378"/>
      <c r="E32" s="381"/>
      <c r="F32" s="378"/>
      <c r="G32" s="384"/>
      <c r="H32" s="387"/>
      <c r="I32" s="390"/>
      <c r="J32" s="393"/>
      <c r="K32" s="390">
        <f>IF(NOT(ISERROR(MATCH(J32,_xlfn.ANCHORARRAY(E43),0))),I45&amp;"Por favor no seleccionar los criterios de impacto",J32)</f>
        <v>0</v>
      </c>
      <c r="L32" s="387"/>
      <c r="M32" s="390"/>
      <c r="N32" s="402"/>
      <c r="O32" s="106">
        <v>3</v>
      </c>
      <c r="P32" s="182"/>
      <c r="Q32" s="107" t="str">
        <f>IF(OR(R32="Preventivo",R32="Detectivo"),"Probabilidad",IF(R32="Correctivo","Impacto",""))</f>
        <v/>
      </c>
      <c r="R32" s="108"/>
      <c r="S32" s="108"/>
      <c r="T32" s="109" t="str">
        <f t="shared" si="22"/>
        <v/>
      </c>
      <c r="U32" s="108"/>
      <c r="V32" s="108"/>
      <c r="W32" s="108"/>
      <c r="X32" s="110" t="str">
        <f>IFERROR(IF(AND(Q31="Probabilidad",Q32="Probabilidad"),(Z31-(+Z31*T32)),IF(AND(Q31="Impacto",Q32="Probabilidad"),(Z30-(+Z30*T32)),IF(Q32="Impacto",Z31,""))),"")</f>
        <v/>
      </c>
      <c r="Y32" s="111" t="str">
        <f t="shared" si="1"/>
        <v/>
      </c>
      <c r="Z32" s="112" t="str">
        <f t="shared" si="23"/>
        <v/>
      </c>
      <c r="AA32" s="111" t="str">
        <f t="shared" si="3"/>
        <v/>
      </c>
      <c r="AB32" s="112" t="str">
        <f>IFERROR(IF(AND(Q31="Impacto",Q32="Impacto"),(AB31-(+AB31*T32)),IF(AND(Q31="Probabilidad",Q32="Impacto"),(AB30-(+AB30*T32)),IF(Q32="Probabilidad",AB31,""))),"")</f>
        <v/>
      </c>
      <c r="AC32" s="113" t="str">
        <f t="shared" si="24"/>
        <v/>
      </c>
      <c r="AD32" s="114"/>
      <c r="AE32" s="190"/>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hidden="1" customHeight="1" x14ac:dyDescent="0.3">
      <c r="A33" s="332"/>
      <c r="B33" s="378"/>
      <c r="C33" s="378"/>
      <c r="D33" s="378"/>
      <c r="E33" s="381"/>
      <c r="F33" s="378"/>
      <c r="G33" s="384"/>
      <c r="H33" s="387"/>
      <c r="I33" s="390"/>
      <c r="J33" s="393"/>
      <c r="K33" s="390">
        <f>IF(NOT(ISERROR(MATCH(J33,_xlfn.ANCHORARRAY(E44),0))),I46&amp;"Por favor no seleccionar los criterios de impacto",J33)</f>
        <v>0</v>
      </c>
      <c r="L33" s="387"/>
      <c r="M33" s="390"/>
      <c r="N33" s="402"/>
      <c r="O33" s="106">
        <v>4</v>
      </c>
      <c r="P33" s="181"/>
      <c r="Q33" s="107" t="str">
        <f t="shared" ref="Q33:Q35" si="25">IF(OR(R33="Preventivo",R33="Detectivo"),"Probabilidad",IF(R33="Correctivo","Impacto",""))</f>
        <v/>
      </c>
      <c r="R33" s="108"/>
      <c r="S33" s="108"/>
      <c r="T33" s="109" t="str">
        <f t="shared" si="22"/>
        <v/>
      </c>
      <c r="U33" s="108"/>
      <c r="V33" s="108"/>
      <c r="W33" s="108"/>
      <c r="X33" s="110" t="str">
        <f t="shared" ref="X33:X35" si="26">IFERROR(IF(AND(Q32="Probabilidad",Q33="Probabilidad"),(Z32-(+Z32*T33)),IF(AND(Q32="Impacto",Q33="Probabilidad"),(Z31-(+Z31*T33)),IF(Q33="Impacto",Z32,""))),"")</f>
        <v/>
      </c>
      <c r="Y33" s="111" t="str">
        <f t="shared" si="1"/>
        <v/>
      </c>
      <c r="Z33" s="112" t="str">
        <f t="shared" si="23"/>
        <v/>
      </c>
      <c r="AA33" s="111" t="str">
        <f t="shared" si="3"/>
        <v/>
      </c>
      <c r="AB33" s="112" t="str">
        <f t="shared" ref="AB33:AB35" si="27">IFERROR(IF(AND(Q32="Impacto",Q33="Impacto"),(AB32-(+AB32*T33)),IF(AND(Q32="Probabilidad",Q33="Impacto"),(AB31-(+AB31*T33)),IF(Q33="Probabilidad",AB32,""))),"")</f>
        <v/>
      </c>
      <c r="AC33" s="11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4"/>
      <c r="AE33" s="190"/>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hidden="1" customHeight="1" x14ac:dyDescent="0.3">
      <c r="A34" s="332"/>
      <c r="B34" s="378"/>
      <c r="C34" s="378"/>
      <c r="D34" s="378"/>
      <c r="E34" s="381"/>
      <c r="F34" s="378"/>
      <c r="G34" s="384"/>
      <c r="H34" s="387"/>
      <c r="I34" s="390"/>
      <c r="J34" s="393"/>
      <c r="K34" s="390">
        <f>IF(NOT(ISERROR(MATCH(J34,_xlfn.ANCHORARRAY(E45),0))),I47&amp;"Por favor no seleccionar los criterios de impacto",J34)</f>
        <v>0</v>
      </c>
      <c r="L34" s="387"/>
      <c r="M34" s="390"/>
      <c r="N34" s="402"/>
      <c r="O34" s="106">
        <v>5</v>
      </c>
      <c r="P34" s="181"/>
      <c r="Q34" s="107" t="str">
        <f t="shared" si="25"/>
        <v/>
      </c>
      <c r="R34" s="108"/>
      <c r="S34" s="108"/>
      <c r="T34" s="109" t="str">
        <f t="shared" si="22"/>
        <v/>
      </c>
      <c r="U34" s="108"/>
      <c r="V34" s="108"/>
      <c r="W34" s="108"/>
      <c r="X34" s="110" t="str">
        <f t="shared" si="26"/>
        <v/>
      </c>
      <c r="Y34" s="111" t="str">
        <f>IFERROR(IF(X34="","",IF(X34&lt;=0.2,"Muy Baja",IF(X34&lt;=0.4,"Baja",IF(X34&lt;=0.6,"Media",IF(X34&lt;=0.8,"Alta","Muy Alta"))))),"")</f>
        <v/>
      </c>
      <c r="Z34" s="112" t="str">
        <f t="shared" si="23"/>
        <v/>
      </c>
      <c r="AA34" s="111" t="str">
        <f t="shared" si="3"/>
        <v/>
      </c>
      <c r="AB34" s="112" t="str">
        <f t="shared" si="27"/>
        <v/>
      </c>
      <c r="AC34" s="113"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4"/>
      <c r="AE34" s="190"/>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hidden="1" customHeight="1" x14ac:dyDescent="0.3">
      <c r="A35" s="333"/>
      <c r="B35" s="379"/>
      <c r="C35" s="379"/>
      <c r="D35" s="379"/>
      <c r="E35" s="382"/>
      <c r="F35" s="379"/>
      <c r="G35" s="385"/>
      <c r="H35" s="388"/>
      <c r="I35" s="391"/>
      <c r="J35" s="394"/>
      <c r="K35" s="391">
        <f>IF(NOT(ISERROR(MATCH(J35,_xlfn.ANCHORARRAY(E46),0))),I48&amp;"Por favor no seleccionar los criterios de impacto",J35)</f>
        <v>0</v>
      </c>
      <c r="L35" s="388"/>
      <c r="M35" s="391"/>
      <c r="N35" s="403"/>
      <c r="O35" s="106">
        <v>6</v>
      </c>
      <c r="P35" s="181"/>
      <c r="Q35" s="107" t="str">
        <f t="shared" si="25"/>
        <v/>
      </c>
      <c r="R35" s="108"/>
      <c r="S35" s="108"/>
      <c r="T35" s="109" t="str">
        <f t="shared" si="22"/>
        <v/>
      </c>
      <c r="U35" s="108"/>
      <c r="V35" s="108"/>
      <c r="W35" s="108"/>
      <c r="X35" s="110" t="str">
        <f t="shared" si="26"/>
        <v/>
      </c>
      <c r="Y35" s="111" t="str">
        <f t="shared" si="1"/>
        <v/>
      </c>
      <c r="Z35" s="112" t="str">
        <f t="shared" si="23"/>
        <v/>
      </c>
      <c r="AA35" s="111" t="str">
        <f t="shared" si="3"/>
        <v/>
      </c>
      <c r="AB35" s="112" t="str">
        <f t="shared" si="27"/>
        <v/>
      </c>
      <c r="AC35" s="113" t="str">
        <f t="shared" si="28"/>
        <v/>
      </c>
      <c r="AD35" s="114"/>
      <c r="AE35" s="190"/>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hidden="1" customHeight="1" x14ac:dyDescent="0.3">
      <c r="A36" s="331">
        <v>5</v>
      </c>
      <c r="B36" s="377"/>
      <c r="C36" s="377"/>
      <c r="D36" s="377"/>
      <c r="E36" s="380"/>
      <c r="F36" s="377"/>
      <c r="G36" s="383"/>
      <c r="H36" s="386"/>
      <c r="I36" s="389" t="str">
        <f>IF(H36="","",IF(H36="Muy Baja",0.2,IF(H36="Baja",0.4,IF(H36="Media",0.6,IF(H36="Alta",0.8,IF(H36="Muy Alta",1,))))))</f>
        <v/>
      </c>
      <c r="J36" s="392"/>
      <c r="K36" s="389">
        <f>IF(NOT(ISERROR(MATCH(J36,'Tabla Impacto'!$B$221:$B$223,0))),'Tabla Impacto'!$F$223&amp;"Por favor no seleccionar los criterios de impacto(Afectación Económica o presupuestal y Pérdida Reputacional)",J36)</f>
        <v>0</v>
      </c>
      <c r="L36" s="386" t="str">
        <f>IF(OR(K36='Tabla Impacto'!$C$11,K36='Tabla Impacto'!$D$11),"Leve",IF(OR(K36='Tabla Impacto'!$C$12,K36='Tabla Impacto'!$D$12),"Menor",IF(OR(K36='Tabla Impacto'!$C$13,K36='Tabla Impacto'!$D$13),"Moderado",IF(OR(K36='Tabla Impacto'!$C$14,K36='Tabla Impacto'!$D$14),"Mayor",IF(OR(K36='Tabla Impacto'!$C$15,K36='Tabla Impacto'!$D$15),"Catastrófico","")))))</f>
        <v/>
      </c>
      <c r="M36" s="389" t="str">
        <f>IF(L36="","",IF(L36="Leve",0.2,IF(L36="Menor",0.4,IF(L36="Moderado",0.6,IF(L36="Mayor",0.8,IF(L36="Catastrófico",1,))))))</f>
        <v/>
      </c>
      <c r="N36" s="401"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6">
        <v>1</v>
      </c>
      <c r="P36" s="181"/>
      <c r="Q36" s="163"/>
      <c r="R36" s="171"/>
      <c r="S36" s="171"/>
      <c r="T36" s="172"/>
      <c r="U36" s="171"/>
      <c r="V36" s="171"/>
      <c r="W36" s="171"/>
      <c r="X36" s="160" t="str">
        <f>IFERROR(IF(Q36="Probabilidad",(I36-(+I36*T36)),IF(Q36="Impacto",I36,"")),"")</f>
        <v/>
      </c>
      <c r="Y36" s="173" t="str">
        <f>IFERROR(IF(X36="","",IF(X36&lt;=0.2,"Muy Baja",IF(X36&lt;=0.4,"Baja",IF(X36&lt;=0.6,"Media",IF(X36&lt;=0.8,"Alta","Muy Alta"))))),"")</f>
        <v/>
      </c>
      <c r="Z36" s="174" t="str">
        <f>+X36</f>
        <v/>
      </c>
      <c r="AA36" s="173" t="str">
        <f>IFERROR(IF(AB36="","",IF(AB36&lt;=0.2,"Leve",IF(AB36&lt;=0.4,"Menor",IF(AB36&lt;=0.6,"Moderado",IF(AB36&lt;=0.8,"Mayor","Catastrófico"))))),"")</f>
        <v/>
      </c>
      <c r="AB36" s="174" t="str">
        <f>IFERROR(IF(Q36="Impacto",(M36-(+M36*T36)),IF(Q36="Probabilidad",M36,"")),"")</f>
        <v/>
      </c>
      <c r="AC36" s="175"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6"/>
      <c r="AE36" s="181"/>
      <c r="AF36" s="178"/>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hidden="1" customHeight="1" x14ac:dyDescent="0.3">
      <c r="A37" s="332"/>
      <c r="B37" s="378"/>
      <c r="C37" s="378"/>
      <c r="D37" s="378"/>
      <c r="E37" s="381"/>
      <c r="F37" s="378"/>
      <c r="G37" s="384"/>
      <c r="H37" s="387"/>
      <c r="I37" s="390"/>
      <c r="J37" s="393"/>
      <c r="K37" s="390">
        <f>IF(NOT(ISERROR(MATCH(J37,_xlfn.ANCHORARRAY(E48),0))),I50&amp;"Por favor no seleccionar los criterios de impacto",J37)</f>
        <v>0</v>
      </c>
      <c r="L37" s="387"/>
      <c r="M37" s="390"/>
      <c r="N37" s="402"/>
      <c r="O37" s="106">
        <v>2</v>
      </c>
      <c r="P37" s="181"/>
      <c r="Q37" s="107" t="str">
        <f>IF(OR(R37="Preventivo",R37="Detectivo"),"Probabilidad",IF(R37="Correctivo","Impacto",""))</f>
        <v/>
      </c>
      <c r="R37" s="108"/>
      <c r="S37" s="108"/>
      <c r="T37" s="109" t="str">
        <f t="shared" ref="T37:T41" si="29">IF(AND(R37="Preventivo",S37="Automático"),"50%",IF(AND(R37="Preventivo",S37="Manual"),"40%",IF(AND(R37="Detectivo",S37="Automático"),"40%",IF(AND(R37="Detectivo",S37="Manual"),"30%",IF(AND(R37="Correctivo",S37="Automático"),"35%",IF(AND(R37="Correctivo",S37="Manual"),"25%",""))))))</f>
        <v/>
      </c>
      <c r="U37" s="108"/>
      <c r="V37" s="108"/>
      <c r="W37" s="108"/>
      <c r="X37" s="110" t="str">
        <f>IFERROR(IF(AND(Q36="Probabilidad",Q37="Probabilidad"),(Z36-(+Z36*T37)),IF(Q37="Probabilidad",(I36-(+I36*T37)),IF(Q37="Impacto",Z36,""))),"")</f>
        <v/>
      </c>
      <c r="Y37" s="111" t="str">
        <f t="shared" si="1"/>
        <v/>
      </c>
      <c r="Z37" s="112" t="str">
        <f t="shared" ref="Z37:Z41" si="30">+X37</f>
        <v/>
      </c>
      <c r="AA37" s="111" t="str">
        <f t="shared" si="3"/>
        <v/>
      </c>
      <c r="AB37" s="112" t="str">
        <f>IFERROR(IF(AND(Q36="Impacto",Q37="Impacto"),(AB36-(+AB36*T37)),IF(Q37="Impacto",(M36-(+M36*T37)),IF(Q37="Probabilidad",AB36,""))),"")</f>
        <v/>
      </c>
      <c r="AC37" s="113"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4"/>
      <c r="AE37" s="190"/>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hidden="1" customHeight="1" x14ac:dyDescent="0.3">
      <c r="A38" s="332"/>
      <c r="B38" s="378"/>
      <c r="C38" s="378"/>
      <c r="D38" s="378"/>
      <c r="E38" s="381"/>
      <c r="F38" s="378"/>
      <c r="G38" s="384"/>
      <c r="H38" s="387"/>
      <c r="I38" s="390"/>
      <c r="J38" s="393"/>
      <c r="K38" s="390">
        <f>IF(NOT(ISERROR(MATCH(J38,_xlfn.ANCHORARRAY(E49),0))),I51&amp;"Por favor no seleccionar los criterios de impacto",J38)</f>
        <v>0</v>
      </c>
      <c r="L38" s="387"/>
      <c r="M38" s="390"/>
      <c r="N38" s="402"/>
      <c r="O38" s="106">
        <v>3</v>
      </c>
      <c r="P38" s="182"/>
      <c r="Q38" s="107" t="str">
        <f>IF(OR(R38="Preventivo",R38="Detectivo"),"Probabilidad",IF(R38="Correctivo","Impacto",""))</f>
        <v/>
      </c>
      <c r="R38" s="108"/>
      <c r="S38" s="108"/>
      <c r="T38" s="109" t="str">
        <f t="shared" si="29"/>
        <v/>
      </c>
      <c r="U38" s="108"/>
      <c r="V38" s="108"/>
      <c r="W38" s="108"/>
      <c r="X38" s="110" t="str">
        <f>IFERROR(IF(AND(Q37="Probabilidad",Q38="Probabilidad"),(Z37-(+Z37*T38)),IF(AND(Q37="Impacto",Q38="Probabilidad"),(Z36-(+Z36*T38)),IF(Q38="Impacto",Z37,""))),"")</f>
        <v/>
      </c>
      <c r="Y38" s="111" t="str">
        <f t="shared" si="1"/>
        <v/>
      </c>
      <c r="Z38" s="112" t="str">
        <f t="shared" si="30"/>
        <v/>
      </c>
      <c r="AA38" s="111" t="str">
        <f t="shared" si="3"/>
        <v/>
      </c>
      <c r="AB38" s="112" t="str">
        <f>IFERROR(IF(AND(Q37="Impacto",Q38="Impacto"),(AB37-(+AB37*T38)),IF(AND(Q37="Probabilidad",Q38="Impacto"),(AB36-(+AB36*T38)),IF(Q38="Probabilidad",AB37,""))),"")</f>
        <v/>
      </c>
      <c r="AC38" s="113" t="str">
        <f t="shared" si="31"/>
        <v/>
      </c>
      <c r="AD38" s="114"/>
      <c r="AE38" s="190"/>
      <c r="AF38" s="116"/>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hidden="1" customHeight="1" x14ac:dyDescent="0.3">
      <c r="A39" s="332"/>
      <c r="B39" s="378"/>
      <c r="C39" s="378"/>
      <c r="D39" s="378"/>
      <c r="E39" s="381"/>
      <c r="F39" s="378"/>
      <c r="G39" s="384"/>
      <c r="H39" s="387"/>
      <c r="I39" s="390"/>
      <c r="J39" s="393"/>
      <c r="K39" s="390">
        <f>IF(NOT(ISERROR(MATCH(J39,_xlfn.ANCHORARRAY(E50),0))),I52&amp;"Por favor no seleccionar los criterios de impacto",J39)</f>
        <v>0</v>
      </c>
      <c r="L39" s="387"/>
      <c r="M39" s="390"/>
      <c r="N39" s="402"/>
      <c r="O39" s="106">
        <v>4</v>
      </c>
      <c r="P39" s="181"/>
      <c r="Q39" s="107" t="str">
        <f t="shared" ref="Q39:Q41" si="32">IF(OR(R39="Preventivo",R39="Detectivo"),"Probabilidad",IF(R39="Correctivo","Impacto",""))</f>
        <v/>
      </c>
      <c r="R39" s="108"/>
      <c r="S39" s="108"/>
      <c r="T39" s="109" t="str">
        <f t="shared" si="29"/>
        <v/>
      </c>
      <c r="U39" s="108"/>
      <c r="V39" s="108"/>
      <c r="W39" s="108"/>
      <c r="X39" s="110" t="str">
        <f t="shared" ref="X39:X41" si="33">IFERROR(IF(AND(Q38="Probabilidad",Q39="Probabilidad"),(Z38-(+Z38*T39)),IF(AND(Q38="Impacto",Q39="Probabilidad"),(Z37-(+Z37*T39)),IF(Q39="Impacto",Z38,""))),"")</f>
        <v/>
      </c>
      <c r="Y39" s="111" t="str">
        <f t="shared" si="1"/>
        <v/>
      </c>
      <c r="Z39" s="112" t="str">
        <f t="shared" si="30"/>
        <v/>
      </c>
      <c r="AA39" s="111" t="str">
        <f t="shared" si="3"/>
        <v/>
      </c>
      <c r="AB39" s="112" t="str">
        <f t="shared" ref="AB39:AB41" si="34">IFERROR(IF(AND(Q38="Impacto",Q39="Impacto"),(AB38-(+AB38*T39)),IF(AND(Q38="Probabilidad",Q39="Impacto"),(AB37-(+AB37*T39)),IF(Q39="Probabilidad",AB38,""))),"")</f>
        <v/>
      </c>
      <c r="AC39" s="11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4"/>
      <c r="AE39" s="190"/>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hidden="1" customHeight="1" x14ac:dyDescent="0.3">
      <c r="A40" s="332"/>
      <c r="B40" s="378"/>
      <c r="C40" s="378"/>
      <c r="D40" s="378"/>
      <c r="E40" s="381"/>
      <c r="F40" s="378"/>
      <c r="G40" s="384"/>
      <c r="H40" s="387"/>
      <c r="I40" s="390"/>
      <c r="J40" s="393"/>
      <c r="K40" s="390">
        <f>IF(NOT(ISERROR(MATCH(J40,_xlfn.ANCHORARRAY(E51),0))),I53&amp;"Por favor no seleccionar los criterios de impacto",J40)</f>
        <v>0</v>
      </c>
      <c r="L40" s="387"/>
      <c r="M40" s="390"/>
      <c r="N40" s="402"/>
      <c r="O40" s="106">
        <v>5</v>
      </c>
      <c r="P40" s="181"/>
      <c r="Q40" s="107" t="str">
        <f t="shared" si="32"/>
        <v/>
      </c>
      <c r="R40" s="108"/>
      <c r="S40" s="108"/>
      <c r="T40" s="109" t="str">
        <f t="shared" si="29"/>
        <v/>
      </c>
      <c r="U40" s="108"/>
      <c r="V40" s="108"/>
      <c r="W40" s="108"/>
      <c r="X40" s="110" t="str">
        <f t="shared" si="33"/>
        <v/>
      </c>
      <c r="Y40" s="111" t="str">
        <f t="shared" si="1"/>
        <v/>
      </c>
      <c r="Z40" s="112" t="str">
        <f t="shared" si="30"/>
        <v/>
      </c>
      <c r="AA40" s="111" t="str">
        <f t="shared" si="3"/>
        <v/>
      </c>
      <c r="AB40" s="112" t="str">
        <f t="shared" si="34"/>
        <v/>
      </c>
      <c r="AC40" s="113"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90"/>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hidden="1" customHeight="1" x14ac:dyDescent="0.3">
      <c r="A41" s="333"/>
      <c r="B41" s="379"/>
      <c r="C41" s="379"/>
      <c r="D41" s="379"/>
      <c r="E41" s="382"/>
      <c r="F41" s="379"/>
      <c r="G41" s="385"/>
      <c r="H41" s="388"/>
      <c r="I41" s="391"/>
      <c r="J41" s="394"/>
      <c r="K41" s="391">
        <f>IF(NOT(ISERROR(MATCH(J41,_xlfn.ANCHORARRAY(E52),0))),I54&amp;"Por favor no seleccionar los criterios de impacto",J41)</f>
        <v>0</v>
      </c>
      <c r="L41" s="388"/>
      <c r="M41" s="391"/>
      <c r="N41" s="403"/>
      <c r="O41" s="106">
        <v>6</v>
      </c>
      <c r="P41" s="181"/>
      <c r="Q41" s="107" t="str">
        <f t="shared" si="32"/>
        <v/>
      </c>
      <c r="R41" s="108"/>
      <c r="S41" s="108"/>
      <c r="T41" s="109" t="str">
        <f t="shared" si="29"/>
        <v/>
      </c>
      <c r="U41" s="108"/>
      <c r="V41" s="108"/>
      <c r="W41" s="108"/>
      <c r="X41" s="110" t="str">
        <f t="shared" si="33"/>
        <v/>
      </c>
      <c r="Y41" s="111" t="str">
        <f t="shared" si="1"/>
        <v/>
      </c>
      <c r="Z41" s="112" t="str">
        <f t="shared" si="30"/>
        <v/>
      </c>
      <c r="AA41" s="111" t="str">
        <f t="shared" si="3"/>
        <v/>
      </c>
      <c r="AB41" s="112" t="str">
        <f t="shared" si="34"/>
        <v/>
      </c>
      <c r="AC41" s="113" t="str">
        <f t="shared" si="35"/>
        <v/>
      </c>
      <c r="AD41" s="114"/>
      <c r="AE41" s="190"/>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x14ac:dyDescent="0.3">
      <c r="A42" s="331">
        <v>6</v>
      </c>
      <c r="B42" s="377"/>
      <c r="C42" s="377"/>
      <c r="D42" s="377"/>
      <c r="E42" s="380"/>
      <c r="F42" s="377"/>
      <c r="G42" s="383"/>
      <c r="H42" s="386" t="str">
        <f>IF(G42&lt;=0,"",IF(G42&lt;=2,"Muy Baja",IF(G42&lt;=24,"Baja",IF(G42&lt;=500,"Media",IF(G42&lt;=5000,"Alta","Muy Alta")))))</f>
        <v/>
      </c>
      <c r="I42" s="389" t="str">
        <f>IF(H42="","",IF(H42="Muy Baja",0.2,IF(H42="Baja",0.4,IF(H42="Media",0.6,IF(H42="Alta",0.8,IF(H42="Muy Alta",1,))))))</f>
        <v/>
      </c>
      <c r="J42" s="392"/>
      <c r="K42" s="389">
        <f>IF(NOT(ISERROR(MATCH(J42,'Tabla Impacto'!$B$221:$B$223,0))),'Tabla Impacto'!$F$223&amp;"Por favor no seleccionar los criterios de impacto(Afectación Económica o presupuestal y Pérdida Reputacional)",J42)</f>
        <v>0</v>
      </c>
      <c r="L42" s="386" t="str">
        <f>IF(OR(K42='Tabla Impacto'!$C$11,K42='Tabla Impacto'!$D$11),"Leve",IF(OR(K42='Tabla Impacto'!$C$12,K42='Tabla Impacto'!$D$12),"Menor",IF(OR(K42='Tabla Impacto'!$C$13,K42='Tabla Impacto'!$D$13),"Moderado",IF(OR(K42='Tabla Impacto'!$C$14,K42='Tabla Impacto'!$D$14),"Mayor",IF(OR(K42='Tabla Impacto'!$C$15,K42='Tabla Impacto'!$D$15),"Catastrófico","")))))</f>
        <v/>
      </c>
      <c r="M42" s="389" t="str">
        <f>IF(L42="","",IF(L42="Leve",0.2,IF(L42="Menor",0.4,IF(L42="Moderado",0.6,IF(L42="Mayor",0.8,IF(L42="Catastrófico",1,))))))</f>
        <v/>
      </c>
      <c r="N42" s="401"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6">
        <v>1</v>
      </c>
      <c r="P42" s="181"/>
      <c r="Q42" s="107"/>
      <c r="R42" s="108"/>
      <c r="S42" s="108"/>
      <c r="T42" s="109"/>
      <c r="U42" s="108"/>
      <c r="V42" s="108"/>
      <c r="W42" s="108"/>
      <c r="X42" s="110" t="str">
        <f>IFERROR(IF(Q42="Probabilidad",(I42-(+I42*T42)),IF(Q42="Impacto",I42,"")),"")</f>
        <v/>
      </c>
      <c r="Y42" s="111" t="str">
        <f>IFERROR(IF(X42="","",IF(X42&lt;=0.2,"Muy Baja",IF(X42&lt;=0.4,"Baja",IF(X42&lt;=0.6,"Media",IF(X42&lt;=0.8,"Alta","Muy Alta"))))),"")</f>
        <v/>
      </c>
      <c r="Z42" s="112" t="str">
        <f>+X42</f>
        <v/>
      </c>
      <c r="AA42" s="111" t="str">
        <f>IFERROR(IF(AB42="","",IF(AB42&lt;=0.2,"Leve",IF(AB42&lt;=0.4,"Menor",IF(AB42&lt;=0.6,"Moderado",IF(AB42&lt;=0.8,"Mayor","Catastrófico"))))),"")</f>
        <v/>
      </c>
      <c r="AB42" s="112" t="str">
        <f>IFERROR(IF(Q42="Impacto",(M42-(+M42*T42)),IF(Q42="Probabilidad",M42,"")),"")</f>
        <v/>
      </c>
      <c r="AC42" s="11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81"/>
      <c r="AF42" s="115"/>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x14ac:dyDescent="0.3">
      <c r="A43" s="332"/>
      <c r="B43" s="378"/>
      <c r="C43" s="378"/>
      <c r="D43" s="378"/>
      <c r="E43" s="381"/>
      <c r="F43" s="378"/>
      <c r="G43" s="384"/>
      <c r="H43" s="387"/>
      <c r="I43" s="390"/>
      <c r="J43" s="393"/>
      <c r="K43" s="390">
        <f>IF(NOT(ISERROR(MATCH(J43,_xlfn.ANCHORARRAY(E54),0))),I56&amp;"Por favor no seleccionar los criterios de impacto",J43)</f>
        <v>0</v>
      </c>
      <c r="L43" s="387"/>
      <c r="M43" s="390"/>
      <c r="N43" s="402"/>
      <c r="O43" s="106">
        <v>2</v>
      </c>
      <c r="P43" s="181"/>
      <c r="Q43" s="107" t="str">
        <f>IF(OR(R43="Preventivo",R43="Detectivo"),"Probabilidad",IF(R43="Correctivo","Impacto",""))</f>
        <v/>
      </c>
      <c r="R43" s="108"/>
      <c r="S43" s="108"/>
      <c r="T43" s="109" t="str">
        <f t="shared" ref="T43:T47" si="36">IF(AND(R43="Preventivo",S43="Automático"),"50%",IF(AND(R43="Preventivo",S43="Manual"),"40%",IF(AND(R43="Detectivo",S43="Automático"),"40%",IF(AND(R43="Detectivo",S43="Manual"),"30%",IF(AND(R43="Correctivo",S43="Automático"),"35%",IF(AND(R43="Correctivo",S43="Manual"),"25%",""))))))</f>
        <v/>
      </c>
      <c r="U43" s="108"/>
      <c r="V43" s="108"/>
      <c r="W43" s="108"/>
      <c r="X43" s="110" t="str">
        <f>IFERROR(IF(AND(Q42="Probabilidad",Q43="Probabilidad"),(Z42-(+Z42*T43)),IF(Q43="Probabilidad",(I42-(+I42*T43)),IF(Q43="Impacto",Z42,""))),"")</f>
        <v/>
      </c>
      <c r="Y43" s="111" t="str">
        <f t="shared" si="1"/>
        <v/>
      </c>
      <c r="Z43" s="112" t="str">
        <f t="shared" ref="Z43:Z47" si="37">+X43</f>
        <v/>
      </c>
      <c r="AA43" s="111" t="str">
        <f t="shared" si="3"/>
        <v/>
      </c>
      <c r="AB43" s="112" t="str">
        <f>IFERROR(IF(AND(Q42="Impacto",Q43="Impacto"),(AB42-(+AB42*T43)),IF(Q43="Impacto",(M42-(+M42*T43)),IF(Q43="Probabilidad",AB42,""))),"")</f>
        <v/>
      </c>
      <c r="AC43" s="113"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90"/>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x14ac:dyDescent="0.3">
      <c r="A44" s="332"/>
      <c r="B44" s="378"/>
      <c r="C44" s="378"/>
      <c r="D44" s="378"/>
      <c r="E44" s="381"/>
      <c r="F44" s="378"/>
      <c r="G44" s="384"/>
      <c r="H44" s="387"/>
      <c r="I44" s="390"/>
      <c r="J44" s="393"/>
      <c r="K44" s="390">
        <f>IF(NOT(ISERROR(MATCH(J44,_xlfn.ANCHORARRAY(E55),0))),I57&amp;"Por favor no seleccionar los criterios de impacto",J44)</f>
        <v>0</v>
      </c>
      <c r="L44" s="387"/>
      <c r="M44" s="390"/>
      <c r="N44" s="402"/>
      <c r="O44" s="106">
        <v>3</v>
      </c>
      <c r="P44" s="182"/>
      <c r="Q44" s="107" t="str">
        <f>IF(OR(R44="Preventivo",R44="Detectivo"),"Probabilidad",IF(R44="Correctivo","Impacto",""))</f>
        <v/>
      </c>
      <c r="R44" s="108"/>
      <c r="S44" s="108"/>
      <c r="T44" s="109" t="str">
        <f t="shared" si="36"/>
        <v/>
      </c>
      <c r="U44" s="108"/>
      <c r="V44" s="108"/>
      <c r="W44" s="108"/>
      <c r="X44" s="110" t="str">
        <f>IFERROR(IF(AND(Q43="Probabilidad",Q44="Probabilidad"),(Z43-(+Z43*T44)),IF(AND(Q43="Impacto",Q44="Probabilidad"),(Z42-(+Z42*T44)),IF(Q44="Impacto",Z43,""))),"")</f>
        <v/>
      </c>
      <c r="Y44" s="111" t="str">
        <f t="shared" si="1"/>
        <v/>
      </c>
      <c r="Z44" s="112" t="str">
        <f t="shared" si="37"/>
        <v/>
      </c>
      <c r="AA44" s="111" t="str">
        <f t="shared" si="3"/>
        <v/>
      </c>
      <c r="AB44" s="112" t="str">
        <f>IFERROR(IF(AND(Q43="Impacto",Q44="Impacto"),(AB43-(+AB43*T44)),IF(AND(Q43="Probabilidad",Q44="Impacto"),(AB42-(+AB42*T44)),IF(Q44="Probabilidad",AB43,""))),"")</f>
        <v/>
      </c>
      <c r="AC44" s="113" t="str">
        <f t="shared" si="38"/>
        <v/>
      </c>
      <c r="AD44" s="114"/>
      <c r="AE44" s="190"/>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x14ac:dyDescent="0.3">
      <c r="A45" s="332"/>
      <c r="B45" s="378"/>
      <c r="C45" s="378"/>
      <c r="D45" s="378"/>
      <c r="E45" s="381"/>
      <c r="F45" s="378"/>
      <c r="G45" s="384"/>
      <c r="H45" s="387"/>
      <c r="I45" s="390"/>
      <c r="J45" s="393"/>
      <c r="K45" s="390">
        <f>IF(NOT(ISERROR(MATCH(J45,_xlfn.ANCHORARRAY(E56),0))),I58&amp;"Por favor no seleccionar los criterios de impacto",J45)</f>
        <v>0</v>
      </c>
      <c r="L45" s="387"/>
      <c r="M45" s="390"/>
      <c r="N45" s="402"/>
      <c r="O45" s="106">
        <v>4</v>
      </c>
      <c r="P45" s="181"/>
      <c r="Q45" s="107" t="str">
        <f t="shared" ref="Q45:Q47" si="39">IF(OR(R45="Preventivo",R45="Detectivo"),"Probabilidad",IF(R45="Correctivo","Impacto",""))</f>
        <v/>
      </c>
      <c r="R45" s="108"/>
      <c r="S45" s="108"/>
      <c r="T45" s="109" t="str">
        <f t="shared" si="36"/>
        <v/>
      </c>
      <c r="U45" s="108"/>
      <c r="V45" s="108"/>
      <c r="W45" s="108"/>
      <c r="X45" s="110" t="str">
        <f t="shared" ref="X45:X47" si="40">IFERROR(IF(AND(Q44="Probabilidad",Q45="Probabilidad"),(Z44-(+Z44*T45)),IF(AND(Q44="Impacto",Q45="Probabilidad"),(Z43-(+Z43*T45)),IF(Q45="Impacto",Z44,""))),"")</f>
        <v/>
      </c>
      <c r="Y45" s="111" t="str">
        <f t="shared" si="1"/>
        <v/>
      </c>
      <c r="Z45" s="112" t="str">
        <f t="shared" si="37"/>
        <v/>
      </c>
      <c r="AA45" s="111" t="str">
        <f t="shared" si="3"/>
        <v/>
      </c>
      <c r="AB45" s="112" t="str">
        <f t="shared" ref="AB45:AB47" si="41">IFERROR(IF(AND(Q44="Impacto",Q45="Impacto"),(AB44-(+AB44*T45)),IF(AND(Q44="Probabilidad",Q45="Impacto"),(AB43-(+AB43*T45)),IF(Q45="Probabilidad",AB44,""))),"")</f>
        <v/>
      </c>
      <c r="AC45" s="11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4"/>
      <c r="AE45" s="190"/>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x14ac:dyDescent="0.3">
      <c r="A46" s="332"/>
      <c r="B46" s="378"/>
      <c r="C46" s="378"/>
      <c r="D46" s="378"/>
      <c r="E46" s="381"/>
      <c r="F46" s="378"/>
      <c r="G46" s="384"/>
      <c r="H46" s="387"/>
      <c r="I46" s="390"/>
      <c r="J46" s="393"/>
      <c r="K46" s="390">
        <f>IF(NOT(ISERROR(MATCH(J46,_xlfn.ANCHORARRAY(E57),0))),I59&amp;"Por favor no seleccionar los criterios de impacto",J46)</f>
        <v>0</v>
      </c>
      <c r="L46" s="387"/>
      <c r="M46" s="390"/>
      <c r="N46" s="402"/>
      <c r="O46" s="106">
        <v>5</v>
      </c>
      <c r="P46" s="181"/>
      <c r="Q46" s="107" t="str">
        <f t="shared" si="39"/>
        <v/>
      </c>
      <c r="R46" s="108"/>
      <c r="S46" s="108"/>
      <c r="T46" s="109" t="str">
        <f t="shared" si="36"/>
        <v/>
      </c>
      <c r="U46" s="108"/>
      <c r="V46" s="108"/>
      <c r="W46" s="108"/>
      <c r="X46" s="110" t="str">
        <f t="shared" si="40"/>
        <v/>
      </c>
      <c r="Y46" s="111" t="str">
        <f t="shared" si="1"/>
        <v/>
      </c>
      <c r="Z46" s="112" t="str">
        <f t="shared" si="37"/>
        <v/>
      </c>
      <c r="AA46" s="111" t="str">
        <f t="shared" si="3"/>
        <v/>
      </c>
      <c r="AB46" s="112" t="str">
        <f t="shared" si="41"/>
        <v/>
      </c>
      <c r="AC46" s="113"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90"/>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x14ac:dyDescent="0.3">
      <c r="A47" s="333"/>
      <c r="B47" s="379"/>
      <c r="C47" s="379"/>
      <c r="D47" s="379"/>
      <c r="E47" s="382"/>
      <c r="F47" s="379"/>
      <c r="G47" s="385"/>
      <c r="H47" s="388"/>
      <c r="I47" s="391"/>
      <c r="J47" s="394"/>
      <c r="K47" s="391">
        <f>IF(NOT(ISERROR(MATCH(J47,_xlfn.ANCHORARRAY(E58),0))),I60&amp;"Por favor no seleccionar los criterios de impacto",J47)</f>
        <v>0</v>
      </c>
      <c r="L47" s="388"/>
      <c r="M47" s="391"/>
      <c r="N47" s="403"/>
      <c r="O47" s="106">
        <v>6</v>
      </c>
      <c r="P47" s="181"/>
      <c r="Q47" s="107" t="str">
        <f t="shared" si="39"/>
        <v/>
      </c>
      <c r="R47" s="108"/>
      <c r="S47" s="108"/>
      <c r="T47" s="109" t="str">
        <f t="shared" si="36"/>
        <v/>
      </c>
      <c r="U47" s="108"/>
      <c r="V47" s="108"/>
      <c r="W47" s="108"/>
      <c r="X47" s="110" t="str">
        <f t="shared" si="40"/>
        <v/>
      </c>
      <c r="Y47" s="111" t="str">
        <f t="shared" si="1"/>
        <v/>
      </c>
      <c r="Z47" s="112" t="str">
        <f t="shared" si="37"/>
        <v/>
      </c>
      <c r="AA47" s="111" t="str">
        <f>IFERROR(IF(AB47="","",IF(AB47&lt;=0.2,"Leve",IF(AB47&lt;=0.4,"Menor",IF(AB47&lt;=0.6,"Moderado",IF(AB47&lt;=0.8,"Mayor","Catastrófico"))))),"")</f>
        <v/>
      </c>
      <c r="AB47" s="112" t="str">
        <f t="shared" si="41"/>
        <v/>
      </c>
      <c r="AC47" s="11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90"/>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x14ac:dyDescent="0.3">
      <c r="A48" s="331">
        <v>7</v>
      </c>
      <c r="B48" s="377"/>
      <c r="C48" s="377"/>
      <c r="D48" s="377"/>
      <c r="E48" s="380"/>
      <c r="F48" s="377"/>
      <c r="G48" s="383"/>
      <c r="H48" s="386" t="str">
        <f>IF(G48&lt;=0,"",IF(G48&lt;=2,"Muy Baja",IF(G48&lt;=24,"Baja",IF(G48&lt;=500,"Media",IF(G48&lt;=5000,"Alta","Muy Alta")))))</f>
        <v/>
      </c>
      <c r="I48" s="389" t="str">
        <f>IF(H48="","",IF(H48="Muy Baja",0.2,IF(H48="Baja",0.4,IF(H48="Media",0.6,IF(H48="Alta",0.8,IF(H48="Muy Alta",1,))))))</f>
        <v/>
      </c>
      <c r="J48" s="392"/>
      <c r="K48" s="389">
        <f>IF(NOT(ISERROR(MATCH(J48,'Tabla Impacto'!$B$221:$B$223,0))),'Tabla Impacto'!$F$223&amp;"Por favor no seleccionar los criterios de impacto(Afectación Económica o presupuestal y Pérdida Reputacional)",J48)</f>
        <v>0</v>
      </c>
      <c r="L48" s="386" t="str">
        <f>IF(OR(K48='Tabla Impacto'!$C$11,K48='Tabla Impacto'!$D$11),"Leve",IF(OR(K48='Tabla Impacto'!$C$12,K48='Tabla Impacto'!$D$12),"Menor",IF(OR(K48='Tabla Impacto'!$C$13,K48='Tabla Impacto'!$D$13),"Moderado",IF(OR(K48='Tabla Impacto'!$C$14,K48='Tabla Impacto'!$D$14),"Mayor",IF(OR(K48='Tabla Impacto'!$C$15,K48='Tabla Impacto'!$D$15),"Catastrófico","")))))</f>
        <v/>
      </c>
      <c r="M48" s="389" t="str">
        <f>IF(L48="","",IF(L48="Leve",0.2,IF(L48="Menor",0.4,IF(L48="Moderado",0.6,IF(L48="Mayor",0.8,IF(L48="Catastrófico",1,))))))</f>
        <v/>
      </c>
      <c r="N48" s="401"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6">
        <v>1</v>
      </c>
      <c r="P48" s="181"/>
      <c r="Q48" s="163" t="str">
        <f>IF(OR(R48="Preventivo",R48="Detectivo"),"Probabilidad",IF(R48="Correctivo","Impacto",""))</f>
        <v/>
      </c>
      <c r="R48" s="171"/>
      <c r="S48" s="171"/>
      <c r="T48" s="172" t="str">
        <f>IF(AND(R48="Preventivo",S48="Automático"),"50%",IF(AND(R48="Preventivo",S48="Manual"),"40%",IF(AND(R48="Detectivo",S48="Automático"),"40%",IF(AND(R48="Detectivo",S48="Manual"),"30%",IF(AND(R48="Correctivo",S48="Automático"),"35%",IF(AND(R48="Correctivo",S48="Manual"),"25%",""))))))</f>
        <v/>
      </c>
      <c r="U48" s="171"/>
      <c r="V48" s="171"/>
      <c r="W48" s="171"/>
      <c r="X48" s="160" t="str">
        <f>IFERROR(IF(Q48="Probabilidad",(I48-(+I48*T48)),IF(Q48="Impacto",I48,"")),"")</f>
        <v/>
      </c>
      <c r="Y48" s="173" t="str">
        <f>IFERROR(IF(X48="","",IF(X48&lt;=0.2,"Muy Baja",IF(X48&lt;=0.4,"Baja",IF(X48&lt;=0.6,"Media",IF(X48&lt;=0.8,"Alta","Muy Alta"))))),"")</f>
        <v/>
      </c>
      <c r="Z48" s="174" t="str">
        <f>+X48</f>
        <v/>
      </c>
      <c r="AA48" s="173" t="str">
        <f>IFERROR(IF(AB48="","",IF(AB48&lt;=0.2,"Leve",IF(AB48&lt;=0.4,"Menor",IF(AB48&lt;=0.6,"Moderado",IF(AB48&lt;=0.8,"Mayor","Catastrófico"))))),"")</f>
        <v/>
      </c>
      <c r="AB48" s="174" t="str">
        <f>IFERROR(IF(Q48="Impacto",(M48-(+M48*T48)),IF(Q48="Probabilidad",M48,"")),"")</f>
        <v/>
      </c>
      <c r="AC48" s="175"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6"/>
      <c r="AE48" s="190"/>
      <c r="AF48" s="115"/>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x14ac:dyDescent="0.3">
      <c r="A49" s="332"/>
      <c r="B49" s="378"/>
      <c r="C49" s="378"/>
      <c r="D49" s="378"/>
      <c r="E49" s="381"/>
      <c r="F49" s="378"/>
      <c r="G49" s="384"/>
      <c r="H49" s="387"/>
      <c r="I49" s="390"/>
      <c r="J49" s="393"/>
      <c r="K49" s="390">
        <f>IF(NOT(ISERROR(MATCH(J49,_xlfn.ANCHORARRAY(E60),0))),I62&amp;"Por favor no seleccionar los criterios de impacto",J49)</f>
        <v>0</v>
      </c>
      <c r="L49" s="387"/>
      <c r="M49" s="390"/>
      <c r="N49" s="402"/>
      <c r="O49" s="106">
        <v>2</v>
      </c>
      <c r="P49" s="181"/>
      <c r="Q49" s="163" t="str">
        <f>IF(OR(R49="Preventivo",R49="Detectivo"),"Probabilidad",IF(R49="Correctivo","Impacto",""))</f>
        <v/>
      </c>
      <c r="R49" s="171"/>
      <c r="S49" s="171"/>
      <c r="T49" s="172" t="str">
        <f t="shared" ref="T49:T53" si="43">IF(AND(R49="Preventivo",S49="Automático"),"50%",IF(AND(R49="Preventivo",S49="Manual"),"40%",IF(AND(R49="Detectivo",S49="Automático"),"40%",IF(AND(R49="Detectivo",S49="Manual"),"30%",IF(AND(R49="Correctivo",S49="Automático"),"35%",IF(AND(R49="Correctivo",S49="Manual"),"25%",""))))))</f>
        <v/>
      </c>
      <c r="U49" s="171"/>
      <c r="V49" s="171"/>
      <c r="W49" s="171"/>
      <c r="X49" s="160" t="str">
        <f>IFERROR(IF(AND(Q48="Probabilidad",Q49="Probabilidad"),(Z48-(+Z48*T49)),IF(Q49="Probabilidad",(I48-(+I48*T49)),IF(Q49="Impacto",Z48,""))),"")</f>
        <v/>
      </c>
      <c r="Y49" s="173" t="str">
        <f t="shared" si="1"/>
        <v/>
      </c>
      <c r="Z49" s="174" t="str">
        <f t="shared" ref="Z49:Z53" si="44">+X49</f>
        <v/>
      </c>
      <c r="AA49" s="173" t="str">
        <f t="shared" si="3"/>
        <v/>
      </c>
      <c r="AB49" s="174" t="str">
        <f>IFERROR(IF(AND(Q48="Impacto",Q49="Impacto"),(AB48-(+AB48*T49)),IF(Q49="Impacto",(M48-(+M48*T49)),IF(Q49="Probabilidad",AB48,""))),"")</f>
        <v/>
      </c>
      <c r="AC49" s="175" t="str">
        <f t="shared" ref="AC49:AC50" si="45">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6"/>
      <c r="AE49" s="190"/>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x14ac:dyDescent="0.3">
      <c r="A50" s="332"/>
      <c r="B50" s="378"/>
      <c r="C50" s="378"/>
      <c r="D50" s="378"/>
      <c r="E50" s="381"/>
      <c r="F50" s="378"/>
      <c r="G50" s="384"/>
      <c r="H50" s="387"/>
      <c r="I50" s="390"/>
      <c r="J50" s="393"/>
      <c r="K50" s="390">
        <f>IF(NOT(ISERROR(MATCH(J50,_xlfn.ANCHORARRAY(E61),0))),I63&amp;"Por favor no seleccionar los criterios de impacto",J50)</f>
        <v>0</v>
      </c>
      <c r="L50" s="387"/>
      <c r="M50" s="390"/>
      <c r="N50" s="402"/>
      <c r="O50" s="106">
        <v>3</v>
      </c>
      <c r="P50" s="182"/>
      <c r="Q50" s="107" t="str">
        <f>IF(OR(R50="Preventivo",R50="Detectivo"),"Probabilidad",IF(R50="Correctivo","Impacto",""))</f>
        <v/>
      </c>
      <c r="R50" s="108"/>
      <c r="S50" s="108"/>
      <c r="T50" s="109" t="str">
        <f t="shared" si="43"/>
        <v/>
      </c>
      <c r="U50" s="108"/>
      <c r="V50" s="108"/>
      <c r="W50" s="108"/>
      <c r="X50" s="110" t="str">
        <f>IFERROR(IF(AND(Q49="Probabilidad",Q50="Probabilidad"),(Z49-(+Z49*T50)),IF(AND(Q49="Impacto",Q50="Probabilidad"),(Z48-(+Z48*T50)),IF(Q50="Impacto",Z49,""))),"")</f>
        <v/>
      </c>
      <c r="Y50" s="111" t="str">
        <f t="shared" si="1"/>
        <v/>
      </c>
      <c r="Z50" s="112" t="str">
        <f t="shared" si="44"/>
        <v/>
      </c>
      <c r="AA50" s="111" t="str">
        <f t="shared" si="3"/>
        <v/>
      </c>
      <c r="AB50" s="112" t="str">
        <f>IFERROR(IF(AND(Q49="Impacto",Q50="Impacto"),(AB49-(+AB49*T50)),IF(AND(Q49="Probabilidad",Q50="Impacto"),(AB48-(+AB48*T50)),IF(Q50="Probabilidad",AB49,""))),"")</f>
        <v/>
      </c>
      <c r="AC50" s="113" t="str">
        <f t="shared" si="45"/>
        <v/>
      </c>
      <c r="AD50" s="114"/>
      <c r="AE50" s="190"/>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x14ac:dyDescent="0.3">
      <c r="A51" s="332"/>
      <c r="B51" s="378"/>
      <c r="C51" s="378"/>
      <c r="D51" s="378"/>
      <c r="E51" s="381"/>
      <c r="F51" s="378"/>
      <c r="G51" s="384"/>
      <c r="H51" s="387"/>
      <c r="I51" s="390"/>
      <c r="J51" s="393"/>
      <c r="K51" s="390">
        <f>IF(NOT(ISERROR(MATCH(J51,_xlfn.ANCHORARRAY(E62),0))),I64&amp;"Por favor no seleccionar los criterios de impacto",J51)</f>
        <v>0</v>
      </c>
      <c r="L51" s="387"/>
      <c r="M51" s="390"/>
      <c r="N51" s="402"/>
      <c r="O51" s="106">
        <v>4</v>
      </c>
      <c r="P51" s="181"/>
      <c r="Q51" s="107" t="str">
        <f t="shared" ref="Q51:Q53" si="46">IF(OR(R51="Preventivo",R51="Detectivo"),"Probabilidad",IF(R51="Correctivo","Impacto",""))</f>
        <v/>
      </c>
      <c r="R51" s="108"/>
      <c r="S51" s="108"/>
      <c r="T51" s="109" t="str">
        <f t="shared" si="43"/>
        <v/>
      </c>
      <c r="U51" s="108"/>
      <c r="V51" s="108"/>
      <c r="W51" s="108"/>
      <c r="X51" s="110" t="str">
        <f t="shared" ref="X51:X53" si="47">IFERROR(IF(AND(Q50="Probabilidad",Q51="Probabilidad"),(Z50-(+Z50*T51)),IF(AND(Q50="Impacto",Q51="Probabilidad"),(Z49-(+Z49*T51)),IF(Q51="Impacto",Z50,""))),"")</f>
        <v/>
      </c>
      <c r="Y51" s="111" t="str">
        <f t="shared" si="1"/>
        <v/>
      </c>
      <c r="Z51" s="112" t="str">
        <f t="shared" si="44"/>
        <v/>
      </c>
      <c r="AA51" s="111" t="str">
        <f t="shared" si="3"/>
        <v/>
      </c>
      <c r="AB51" s="112" t="str">
        <f t="shared" ref="AB51:AB53" si="48">IFERROR(IF(AND(Q50="Impacto",Q51="Impacto"),(AB50-(+AB50*T51)),IF(AND(Q50="Probabilidad",Q51="Impacto"),(AB49-(+AB49*T51)),IF(Q51="Probabilidad",AB50,""))),"")</f>
        <v/>
      </c>
      <c r="AC51" s="113"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4"/>
      <c r="AE51" s="190"/>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x14ac:dyDescent="0.3">
      <c r="A52" s="332"/>
      <c r="B52" s="378"/>
      <c r="C52" s="378"/>
      <c r="D52" s="378"/>
      <c r="E52" s="381"/>
      <c r="F52" s="378"/>
      <c r="G52" s="384"/>
      <c r="H52" s="387"/>
      <c r="I52" s="390"/>
      <c r="J52" s="393"/>
      <c r="K52" s="390">
        <f>IF(NOT(ISERROR(MATCH(J52,_xlfn.ANCHORARRAY(E63),0))),I65&amp;"Por favor no seleccionar los criterios de impacto",J52)</f>
        <v>0</v>
      </c>
      <c r="L52" s="387"/>
      <c r="M52" s="390"/>
      <c r="N52" s="402"/>
      <c r="O52" s="106">
        <v>5</v>
      </c>
      <c r="P52" s="181"/>
      <c r="Q52" s="107" t="str">
        <f t="shared" si="46"/>
        <v/>
      </c>
      <c r="R52" s="108"/>
      <c r="S52" s="108"/>
      <c r="T52" s="109" t="str">
        <f t="shared" si="43"/>
        <v/>
      </c>
      <c r="U52" s="108"/>
      <c r="V52" s="108"/>
      <c r="W52" s="108"/>
      <c r="X52" s="110" t="str">
        <f t="shared" si="47"/>
        <v/>
      </c>
      <c r="Y52" s="111" t="str">
        <f t="shared" si="1"/>
        <v/>
      </c>
      <c r="Z52" s="112" t="str">
        <f t="shared" si="44"/>
        <v/>
      </c>
      <c r="AA52" s="111" t="str">
        <f t="shared" si="3"/>
        <v/>
      </c>
      <c r="AB52" s="112" t="str">
        <f t="shared" si="48"/>
        <v/>
      </c>
      <c r="AC52" s="113"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90"/>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x14ac:dyDescent="0.3">
      <c r="A53" s="333"/>
      <c r="B53" s="379"/>
      <c r="C53" s="379"/>
      <c r="D53" s="379"/>
      <c r="E53" s="382"/>
      <c r="F53" s="379"/>
      <c r="G53" s="385"/>
      <c r="H53" s="388"/>
      <c r="I53" s="391"/>
      <c r="J53" s="394"/>
      <c r="K53" s="391">
        <f>IF(NOT(ISERROR(MATCH(J53,_xlfn.ANCHORARRAY(E64),0))),I66&amp;"Por favor no seleccionar los criterios de impacto",J53)</f>
        <v>0</v>
      </c>
      <c r="L53" s="388"/>
      <c r="M53" s="391"/>
      <c r="N53" s="403"/>
      <c r="O53" s="106">
        <v>6</v>
      </c>
      <c r="P53" s="181"/>
      <c r="Q53" s="107" t="str">
        <f t="shared" si="46"/>
        <v/>
      </c>
      <c r="R53" s="108"/>
      <c r="S53" s="108"/>
      <c r="T53" s="109" t="str">
        <f t="shared" si="43"/>
        <v/>
      </c>
      <c r="U53" s="108"/>
      <c r="V53" s="108"/>
      <c r="W53" s="108"/>
      <c r="X53" s="110" t="str">
        <f t="shared" si="47"/>
        <v/>
      </c>
      <c r="Y53" s="111" t="str">
        <f t="shared" si="1"/>
        <v/>
      </c>
      <c r="Z53" s="112" t="str">
        <f t="shared" si="44"/>
        <v/>
      </c>
      <c r="AA53" s="111" t="str">
        <f t="shared" si="3"/>
        <v/>
      </c>
      <c r="AB53" s="112" t="str">
        <f t="shared" si="48"/>
        <v/>
      </c>
      <c r="AC53" s="113" t="str">
        <f t="shared" si="49"/>
        <v/>
      </c>
      <c r="AD53" s="114"/>
      <c r="AE53" s="190"/>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x14ac:dyDescent="0.3">
      <c r="A54" s="331">
        <v>8</v>
      </c>
      <c r="B54" s="377"/>
      <c r="C54" s="377"/>
      <c r="D54" s="377"/>
      <c r="E54" s="380"/>
      <c r="F54" s="377"/>
      <c r="G54" s="383"/>
      <c r="H54" s="386" t="str">
        <f>IF(G54&lt;=0,"",IF(G54&lt;=2,"Muy Baja",IF(G54&lt;=24,"Baja",IF(G54&lt;=500,"Media",IF(G54&lt;=5000,"Alta","Muy Alta")))))</f>
        <v/>
      </c>
      <c r="I54" s="389" t="str">
        <f>IF(H54="","",IF(H54="Muy Baja",0.2,IF(H54="Baja",0.4,IF(H54="Media",0.6,IF(H54="Alta",0.8,IF(H54="Muy Alta",1,))))))</f>
        <v/>
      </c>
      <c r="J54" s="392"/>
      <c r="K54" s="389">
        <f>IF(NOT(ISERROR(MATCH(J54,'Tabla Impacto'!$B$221:$B$223,0))),'Tabla Impacto'!$F$223&amp;"Por favor no seleccionar los criterios de impacto(Afectación Económica o presupuestal y Pérdida Reputacional)",J54)</f>
        <v>0</v>
      </c>
      <c r="L54" s="386" t="str">
        <f>IF(OR(K54='Tabla Impacto'!$C$11,K54='Tabla Impacto'!$D$11),"Leve",IF(OR(K54='Tabla Impacto'!$C$12,K54='Tabla Impacto'!$D$12),"Menor",IF(OR(K54='Tabla Impacto'!$C$13,K54='Tabla Impacto'!$D$13),"Moderado",IF(OR(K54='Tabla Impacto'!$C$14,K54='Tabla Impacto'!$D$14),"Mayor",IF(OR(K54='Tabla Impacto'!$C$15,K54='Tabla Impacto'!$D$15),"Catastrófico","")))))</f>
        <v/>
      </c>
      <c r="M54" s="389" t="str">
        <f>IF(L54="","",IF(L54="Leve",0.2,IF(L54="Menor",0.4,IF(L54="Moderado",0.6,IF(L54="Mayor",0.8,IF(L54="Catastrófico",1,))))))</f>
        <v/>
      </c>
      <c r="N54" s="401"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6">
        <v>1</v>
      </c>
      <c r="P54" s="181"/>
      <c r="Q54" s="163"/>
      <c r="R54" s="171"/>
      <c r="S54" s="171"/>
      <c r="T54" s="172" t="str">
        <f>IF(AND(R54="Preventivo",S54="Automático"),"50%",IF(AND(R54="Preventivo",S54="Manual"),"40%",IF(AND(R54="Detectivo",S54="Automático"),"40%",IF(AND(R54="Detectivo",S54="Manual"),"30%",IF(AND(R54="Correctivo",S54="Automático"),"35%",IF(AND(R54="Correctivo",S54="Manual"),"25%",""))))))</f>
        <v/>
      </c>
      <c r="U54" s="171"/>
      <c r="V54" s="171"/>
      <c r="W54" s="171"/>
      <c r="X54" s="160" t="str">
        <f>IFERROR(IF(Q54="Probabilidad",(I54-(+I54*T54)),IF(Q54="Impacto",I54,"")),"")</f>
        <v/>
      </c>
      <c r="Y54" s="173" t="str">
        <f>IFERROR(IF(X54="","",IF(X54&lt;=0.2,"Muy Baja",IF(X54&lt;=0.4,"Baja",IF(X54&lt;=0.6,"Media",IF(X54&lt;=0.8,"Alta","Muy Alta"))))),"")</f>
        <v/>
      </c>
      <c r="Z54" s="174" t="str">
        <f>+X54</f>
        <v/>
      </c>
      <c r="AA54" s="173" t="str">
        <f>IFERROR(IF(AB54="","",IF(AB54&lt;=0.2,"Leve",IF(AB54&lt;=0.4,"Menor",IF(AB54&lt;=0.6,"Moderado",IF(AB54&lt;=0.8,"Mayor","Catastrófico"))))),"")</f>
        <v/>
      </c>
      <c r="AB54" s="174" t="str">
        <f>IFERROR(IF(Q54="Impacto",(M54-(+M54*T54)),IF(Q54="Probabilidad",M54,"")),"")</f>
        <v/>
      </c>
      <c r="AC54" s="175"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6"/>
      <c r="AE54" s="190"/>
      <c r="AF54" s="115"/>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x14ac:dyDescent="0.3">
      <c r="A55" s="332"/>
      <c r="B55" s="378"/>
      <c r="C55" s="378"/>
      <c r="D55" s="378"/>
      <c r="E55" s="381"/>
      <c r="F55" s="378"/>
      <c r="G55" s="384"/>
      <c r="H55" s="387"/>
      <c r="I55" s="390"/>
      <c r="J55" s="393"/>
      <c r="K55" s="390">
        <f>IF(NOT(ISERROR(MATCH(J55,_xlfn.ANCHORARRAY(E66),0))),I68&amp;"Por favor no seleccionar los criterios de impacto",J55)</f>
        <v>0</v>
      </c>
      <c r="L55" s="387"/>
      <c r="M55" s="390"/>
      <c r="N55" s="402"/>
      <c r="O55" s="106">
        <v>2</v>
      </c>
      <c r="P55" s="181"/>
      <c r="Q55" s="107" t="str">
        <f>IF(OR(R55="Preventivo",R55="Detectivo"),"Probabilidad",IF(R55="Correctivo","Impacto",""))</f>
        <v/>
      </c>
      <c r="R55" s="108"/>
      <c r="S55" s="108"/>
      <c r="T55" s="109" t="str">
        <f t="shared" ref="T55:T59" si="50">IF(AND(R55="Preventivo",S55="Automático"),"50%",IF(AND(R55="Preventivo",S55="Manual"),"40%",IF(AND(R55="Detectivo",S55="Automático"),"40%",IF(AND(R55="Detectivo",S55="Manual"),"30%",IF(AND(R55="Correctivo",S55="Automático"),"35%",IF(AND(R55="Correctivo",S55="Manual"),"25%",""))))))</f>
        <v/>
      </c>
      <c r="U55" s="108"/>
      <c r="V55" s="108"/>
      <c r="W55" s="108"/>
      <c r="X55" s="110" t="str">
        <f>IFERROR(IF(AND(Q54="Probabilidad",Q55="Probabilidad"),(Z54-(+Z54*T55)),IF(Q55="Probabilidad",(I54-(+I54*T55)),IF(Q55="Impacto",Z54,""))),"")</f>
        <v/>
      </c>
      <c r="Y55" s="111" t="str">
        <f t="shared" si="1"/>
        <v/>
      </c>
      <c r="Z55" s="112" t="str">
        <f t="shared" ref="Z55:Z59" si="51">+X55</f>
        <v/>
      </c>
      <c r="AA55" s="111" t="str">
        <f t="shared" si="3"/>
        <v/>
      </c>
      <c r="AB55" s="112" t="str">
        <f>IFERROR(IF(AND(Q54="Impacto",Q55="Impacto"),(AB54-(+AB54*T55)),IF(Q55="Impacto",(M54-(+M54*T55)),IF(Q55="Probabilidad",AB54,""))),"")</f>
        <v/>
      </c>
      <c r="AC55" s="113"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4"/>
      <c r="AE55" s="190"/>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x14ac:dyDescent="0.3">
      <c r="A56" s="332"/>
      <c r="B56" s="378"/>
      <c r="C56" s="378"/>
      <c r="D56" s="378"/>
      <c r="E56" s="381"/>
      <c r="F56" s="378"/>
      <c r="G56" s="384"/>
      <c r="H56" s="387"/>
      <c r="I56" s="390"/>
      <c r="J56" s="393"/>
      <c r="K56" s="390">
        <f>IF(NOT(ISERROR(MATCH(J56,_xlfn.ANCHORARRAY(E67),0))),I69&amp;"Por favor no seleccionar los criterios de impacto",J56)</f>
        <v>0</v>
      </c>
      <c r="L56" s="387"/>
      <c r="M56" s="390"/>
      <c r="N56" s="402"/>
      <c r="O56" s="106">
        <v>3</v>
      </c>
      <c r="P56" s="182"/>
      <c r="Q56" s="107" t="str">
        <f>IF(OR(R56="Preventivo",R56="Detectivo"),"Probabilidad",IF(R56="Correctivo","Impacto",""))</f>
        <v/>
      </c>
      <c r="R56" s="108"/>
      <c r="S56" s="108"/>
      <c r="T56" s="109" t="str">
        <f t="shared" si="50"/>
        <v/>
      </c>
      <c r="U56" s="108"/>
      <c r="V56" s="108"/>
      <c r="W56" s="108"/>
      <c r="X56" s="110" t="str">
        <f>IFERROR(IF(AND(Q55="Probabilidad",Q56="Probabilidad"),(Z55-(+Z55*T56)),IF(AND(Q55="Impacto",Q56="Probabilidad"),(Z54-(+Z54*T56)),IF(Q56="Impacto",Z55,""))),"")</f>
        <v/>
      </c>
      <c r="Y56" s="111" t="str">
        <f t="shared" si="1"/>
        <v/>
      </c>
      <c r="Z56" s="112" t="str">
        <f t="shared" si="51"/>
        <v/>
      </c>
      <c r="AA56" s="111" t="str">
        <f t="shared" si="3"/>
        <v/>
      </c>
      <c r="AB56" s="112" t="str">
        <f>IFERROR(IF(AND(Q55="Impacto",Q56="Impacto"),(AB55-(+AB55*T56)),IF(AND(Q55="Probabilidad",Q56="Impacto"),(AB54-(+AB54*T56)),IF(Q56="Probabilidad",AB55,""))),"")</f>
        <v/>
      </c>
      <c r="AC56" s="113" t="str">
        <f t="shared" si="52"/>
        <v/>
      </c>
      <c r="AD56" s="114"/>
      <c r="AE56" s="190"/>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x14ac:dyDescent="0.3">
      <c r="A57" s="332"/>
      <c r="B57" s="378"/>
      <c r="C57" s="378"/>
      <c r="D57" s="378"/>
      <c r="E57" s="381"/>
      <c r="F57" s="378"/>
      <c r="G57" s="384"/>
      <c r="H57" s="387"/>
      <c r="I57" s="390"/>
      <c r="J57" s="393"/>
      <c r="K57" s="390">
        <f>IF(NOT(ISERROR(MATCH(J57,_xlfn.ANCHORARRAY(E68),0))),I70&amp;"Por favor no seleccionar los criterios de impacto",J57)</f>
        <v>0</v>
      </c>
      <c r="L57" s="387"/>
      <c r="M57" s="390"/>
      <c r="N57" s="402"/>
      <c r="O57" s="106">
        <v>4</v>
      </c>
      <c r="P57" s="181"/>
      <c r="Q57" s="107" t="str">
        <f t="shared" ref="Q57:Q59" si="53">IF(OR(R57="Preventivo",R57="Detectivo"),"Probabilidad",IF(R57="Correctivo","Impacto",""))</f>
        <v/>
      </c>
      <c r="R57" s="108"/>
      <c r="S57" s="108"/>
      <c r="T57" s="109" t="str">
        <f t="shared" si="50"/>
        <v/>
      </c>
      <c r="U57" s="108"/>
      <c r="V57" s="108"/>
      <c r="W57" s="108"/>
      <c r="X57" s="110" t="str">
        <f t="shared" ref="X57:X59" si="54">IFERROR(IF(AND(Q56="Probabilidad",Q57="Probabilidad"),(Z56-(+Z56*T57)),IF(AND(Q56="Impacto",Q57="Probabilidad"),(Z55-(+Z55*T57)),IF(Q57="Impacto",Z56,""))),"")</f>
        <v/>
      </c>
      <c r="Y57" s="111" t="str">
        <f t="shared" si="1"/>
        <v/>
      </c>
      <c r="Z57" s="112" t="str">
        <f t="shared" si="51"/>
        <v/>
      </c>
      <c r="AA57" s="111" t="str">
        <f t="shared" si="3"/>
        <v/>
      </c>
      <c r="AB57" s="112" t="str">
        <f t="shared" ref="AB57:AB59" si="55">IFERROR(IF(AND(Q56="Impacto",Q57="Impacto"),(AB56-(+AB56*T57)),IF(AND(Q56="Probabilidad",Q57="Impacto"),(AB55-(+AB55*T57)),IF(Q57="Probabilidad",AB56,""))),"")</f>
        <v/>
      </c>
      <c r="AC57" s="113"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90"/>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x14ac:dyDescent="0.3">
      <c r="A58" s="332"/>
      <c r="B58" s="378"/>
      <c r="C58" s="378"/>
      <c r="D58" s="378"/>
      <c r="E58" s="381"/>
      <c r="F58" s="378"/>
      <c r="G58" s="384"/>
      <c r="H58" s="387"/>
      <c r="I58" s="390"/>
      <c r="J58" s="393"/>
      <c r="K58" s="390">
        <f>IF(NOT(ISERROR(MATCH(J58,_xlfn.ANCHORARRAY(E69),0))),I71&amp;"Por favor no seleccionar los criterios de impacto",J58)</f>
        <v>0</v>
      </c>
      <c r="L58" s="387"/>
      <c r="M58" s="390"/>
      <c r="N58" s="402"/>
      <c r="O58" s="106">
        <v>5</v>
      </c>
      <c r="P58" s="181"/>
      <c r="Q58" s="107" t="str">
        <f t="shared" si="53"/>
        <v/>
      </c>
      <c r="R58" s="108"/>
      <c r="S58" s="108"/>
      <c r="T58" s="109" t="str">
        <f t="shared" si="50"/>
        <v/>
      </c>
      <c r="U58" s="108"/>
      <c r="V58" s="108"/>
      <c r="W58" s="108"/>
      <c r="X58" s="110" t="str">
        <f t="shared" si="54"/>
        <v/>
      </c>
      <c r="Y58" s="111" t="str">
        <f t="shared" si="1"/>
        <v/>
      </c>
      <c r="Z58" s="112" t="str">
        <f t="shared" si="51"/>
        <v/>
      </c>
      <c r="AA58" s="111" t="str">
        <f t="shared" si="3"/>
        <v/>
      </c>
      <c r="AB58" s="112" t="str">
        <f t="shared" si="55"/>
        <v/>
      </c>
      <c r="AC58" s="113"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90"/>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x14ac:dyDescent="0.3">
      <c r="A59" s="333"/>
      <c r="B59" s="379"/>
      <c r="C59" s="379"/>
      <c r="D59" s="379"/>
      <c r="E59" s="382"/>
      <c r="F59" s="379"/>
      <c r="G59" s="385"/>
      <c r="H59" s="388"/>
      <c r="I59" s="391"/>
      <c r="J59" s="394"/>
      <c r="K59" s="391">
        <f>IF(NOT(ISERROR(MATCH(J59,_xlfn.ANCHORARRAY(E70),0))),I72&amp;"Por favor no seleccionar los criterios de impacto",J59)</f>
        <v>0</v>
      </c>
      <c r="L59" s="388"/>
      <c r="M59" s="391"/>
      <c r="N59" s="403"/>
      <c r="O59" s="106">
        <v>6</v>
      </c>
      <c r="P59" s="181"/>
      <c r="Q59" s="107" t="str">
        <f t="shared" si="53"/>
        <v/>
      </c>
      <c r="R59" s="108"/>
      <c r="S59" s="108"/>
      <c r="T59" s="109" t="str">
        <f t="shared" si="50"/>
        <v/>
      </c>
      <c r="U59" s="108"/>
      <c r="V59" s="108"/>
      <c r="W59" s="108"/>
      <c r="X59" s="110" t="str">
        <f t="shared" si="54"/>
        <v/>
      </c>
      <c r="Y59" s="111" t="str">
        <f t="shared" si="1"/>
        <v/>
      </c>
      <c r="Z59" s="112" t="str">
        <f t="shared" si="51"/>
        <v/>
      </c>
      <c r="AA59" s="111" t="str">
        <f t="shared" si="3"/>
        <v/>
      </c>
      <c r="AB59" s="112" t="str">
        <f t="shared" si="55"/>
        <v/>
      </c>
      <c r="AC59" s="113" t="str">
        <f t="shared" si="56"/>
        <v/>
      </c>
      <c r="AD59" s="114"/>
      <c r="AE59" s="190"/>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x14ac:dyDescent="0.3">
      <c r="A60" s="331">
        <v>9</v>
      </c>
      <c r="B60" s="377"/>
      <c r="C60" s="377"/>
      <c r="D60" s="377"/>
      <c r="E60" s="380"/>
      <c r="F60" s="377"/>
      <c r="G60" s="383"/>
      <c r="H60" s="386" t="str">
        <f>IF(G60&lt;=0,"",IF(G60&lt;=2,"Muy Baja",IF(G60&lt;=24,"Baja",IF(G60&lt;=500,"Media",IF(G60&lt;=5000,"Alta","Muy Alta")))))</f>
        <v/>
      </c>
      <c r="I60" s="389" t="str">
        <f>IF(H60="","",IF(H60="Muy Baja",0.2,IF(H60="Baja",0.4,IF(H60="Media",0.6,IF(H60="Alta",0.8,IF(H60="Muy Alta",1,))))))</f>
        <v/>
      </c>
      <c r="J60" s="392"/>
      <c r="K60" s="389">
        <f>IF(NOT(ISERROR(MATCH(J60,'Tabla Impacto'!$B$221:$B$223,0))),'Tabla Impacto'!$F$223&amp;"Por favor no seleccionar los criterios de impacto(Afectación Económica o presupuestal y Pérdida Reputacional)",J60)</f>
        <v>0</v>
      </c>
      <c r="L60" s="386" t="str">
        <f>IF(OR(K60='Tabla Impacto'!$C$11,K60='Tabla Impacto'!$D$11),"Leve",IF(OR(K60='Tabla Impacto'!$C$12,K60='Tabla Impacto'!$D$12),"Menor",IF(OR(K60='Tabla Impacto'!$C$13,K60='Tabla Impacto'!$D$13),"Moderado",IF(OR(K60='Tabla Impacto'!$C$14,K60='Tabla Impacto'!$D$14),"Mayor",IF(OR(K60='Tabla Impacto'!$C$15,K60='Tabla Impacto'!$D$15),"Catastrófico","")))))</f>
        <v/>
      </c>
      <c r="M60" s="389" t="str">
        <f>IF(L60="","",IF(L60="Leve",0.2,IF(L60="Menor",0.4,IF(L60="Moderado",0.6,IF(L60="Mayor",0.8,IF(L60="Catastrófico",1,))))))</f>
        <v/>
      </c>
      <c r="N60" s="401"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6">
        <v>1</v>
      </c>
      <c r="P60" s="181"/>
      <c r="Q60" s="163"/>
      <c r="R60" s="171"/>
      <c r="S60" s="171"/>
      <c r="T60" s="172" t="str">
        <f>IF(AND(R60="Preventivo",S60="Automático"),"50%",IF(AND(R60="Preventivo",S60="Manual"),"40%",IF(AND(R60="Detectivo",S60="Automático"),"40%",IF(AND(R60="Detectivo",S60="Manual"),"30%",IF(AND(R60="Correctivo",S60="Automático"),"35%",IF(AND(R60="Correctivo",S60="Manual"),"25%",""))))))</f>
        <v/>
      </c>
      <c r="U60" s="171"/>
      <c r="V60" s="171"/>
      <c r="W60" s="171"/>
      <c r="X60" s="160" t="str">
        <f>IFERROR(IF(Q60="Probabilidad",(I60-(+I60*T60)),IF(Q60="Impacto",I60,"")),"")</f>
        <v/>
      </c>
      <c r="Y60" s="173" t="str">
        <f>IFERROR(IF(X60="","",IF(X60&lt;=0.2,"Muy Baja",IF(X60&lt;=0.4,"Baja",IF(X60&lt;=0.6,"Media",IF(X60&lt;=0.8,"Alta","Muy Alta"))))),"")</f>
        <v/>
      </c>
      <c r="Z60" s="174" t="str">
        <f>+X60</f>
        <v/>
      </c>
      <c r="AA60" s="173" t="str">
        <f>IFERROR(IF(AB60="","",IF(AB60&lt;=0.2,"Leve",IF(AB60&lt;=0.4,"Menor",IF(AB60&lt;=0.6,"Moderado",IF(AB60&lt;=0.8,"Mayor","Catastrófico"))))),"")</f>
        <v/>
      </c>
      <c r="AB60" s="174" t="str">
        <f>IFERROR(IF(Q60="Impacto",(M60-(+M60*T60)),IF(Q60="Probabilidad",M60,"")),"")</f>
        <v/>
      </c>
      <c r="AC60" s="175"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6"/>
      <c r="AE60" s="190"/>
      <c r="AF60" s="115"/>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x14ac:dyDescent="0.3">
      <c r="A61" s="332"/>
      <c r="B61" s="378"/>
      <c r="C61" s="378"/>
      <c r="D61" s="378"/>
      <c r="E61" s="381"/>
      <c r="F61" s="378"/>
      <c r="G61" s="384"/>
      <c r="H61" s="387"/>
      <c r="I61" s="390"/>
      <c r="J61" s="393"/>
      <c r="K61" s="390">
        <f>IF(NOT(ISERROR(MATCH(J61,_xlfn.ANCHORARRAY(E72),0))),I74&amp;"Por favor no seleccionar los criterios de impacto",J61)</f>
        <v>0</v>
      </c>
      <c r="L61" s="387"/>
      <c r="M61" s="390"/>
      <c r="N61" s="402"/>
      <c r="O61" s="106">
        <v>2</v>
      </c>
      <c r="P61" s="181"/>
      <c r="Q61" s="107" t="str">
        <f>IF(OR(R61="Preventivo",R61="Detectivo"),"Probabilidad",IF(R61="Correctivo","Impacto",""))</f>
        <v/>
      </c>
      <c r="R61" s="108"/>
      <c r="S61" s="108"/>
      <c r="T61" s="109" t="str">
        <f t="shared" ref="T61:T65" si="57">IF(AND(R61="Preventivo",S61="Automático"),"50%",IF(AND(R61="Preventivo",S61="Manual"),"40%",IF(AND(R61="Detectivo",S61="Automático"),"40%",IF(AND(R61="Detectivo",S61="Manual"),"30%",IF(AND(R61="Correctivo",S61="Automático"),"35%",IF(AND(R61="Correctivo",S61="Manual"),"25%",""))))))</f>
        <v/>
      </c>
      <c r="U61" s="108"/>
      <c r="V61" s="108"/>
      <c r="W61" s="108"/>
      <c r="X61" s="110" t="str">
        <f>IFERROR(IF(AND(Q60="Probabilidad",Q61="Probabilidad"),(Z60-(+Z60*T61)),IF(Q61="Probabilidad",(I60-(+I60*T61)),IF(Q61="Impacto",Z60,""))),"")</f>
        <v/>
      </c>
      <c r="Y61" s="111" t="str">
        <f t="shared" si="1"/>
        <v/>
      </c>
      <c r="Z61" s="112" t="str">
        <f t="shared" ref="Z61:Z65" si="58">+X61</f>
        <v/>
      </c>
      <c r="AA61" s="111" t="str">
        <f t="shared" si="3"/>
        <v/>
      </c>
      <c r="AB61" s="112" t="str">
        <f>IFERROR(IF(AND(Q60="Impacto",Q61="Impacto"),(AB60-(+AB60*T61)),IF(Q61="Impacto",(M60-(+M60*T61)),IF(Q61="Probabilidad",AB60,""))),"")</f>
        <v/>
      </c>
      <c r="AC61" s="113" t="str">
        <f t="shared" ref="AC61:AC62" si="59">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4"/>
      <c r="AE61" s="190"/>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332"/>
      <c r="B62" s="378"/>
      <c r="C62" s="378"/>
      <c r="D62" s="378"/>
      <c r="E62" s="381"/>
      <c r="F62" s="378"/>
      <c r="G62" s="384"/>
      <c r="H62" s="387"/>
      <c r="I62" s="390"/>
      <c r="J62" s="393"/>
      <c r="K62" s="390">
        <f>IF(NOT(ISERROR(MATCH(J62,_xlfn.ANCHORARRAY(E73),0))),I75&amp;"Por favor no seleccionar los criterios de impacto",J62)</f>
        <v>0</v>
      </c>
      <c r="L62" s="387"/>
      <c r="M62" s="390"/>
      <c r="N62" s="402"/>
      <c r="O62" s="106">
        <v>3</v>
      </c>
      <c r="P62" s="182"/>
      <c r="Q62" s="107" t="str">
        <f>IF(OR(R62="Preventivo",R62="Detectivo"),"Probabilidad",IF(R62="Correctivo","Impacto",""))</f>
        <v/>
      </c>
      <c r="R62" s="108"/>
      <c r="S62" s="108"/>
      <c r="T62" s="109" t="str">
        <f t="shared" si="57"/>
        <v/>
      </c>
      <c r="U62" s="108"/>
      <c r="V62" s="108"/>
      <c r="W62" s="108"/>
      <c r="X62" s="110" t="str">
        <f>IFERROR(IF(AND(Q61="Probabilidad",Q62="Probabilidad"),(Z61-(+Z61*T62)),IF(AND(Q61="Impacto",Q62="Probabilidad"),(Z60-(+Z60*T62)),IF(Q62="Impacto",Z61,""))),"")</f>
        <v/>
      </c>
      <c r="Y62" s="111" t="str">
        <f t="shared" si="1"/>
        <v/>
      </c>
      <c r="Z62" s="112" t="str">
        <f t="shared" si="58"/>
        <v/>
      </c>
      <c r="AA62" s="111" t="str">
        <f t="shared" si="3"/>
        <v/>
      </c>
      <c r="AB62" s="112" t="str">
        <f>IFERROR(IF(AND(Q61="Impacto",Q62="Impacto"),(AB61-(+AB61*T62)),IF(AND(Q61="Probabilidad",Q62="Impacto"),(AB60-(+AB60*T62)),IF(Q62="Probabilidad",AB61,""))),"")</f>
        <v/>
      </c>
      <c r="AC62" s="113" t="str">
        <f t="shared" si="59"/>
        <v/>
      </c>
      <c r="AD62" s="114"/>
      <c r="AE62" s="190"/>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332"/>
      <c r="B63" s="378"/>
      <c r="C63" s="378"/>
      <c r="D63" s="378"/>
      <c r="E63" s="381"/>
      <c r="F63" s="378"/>
      <c r="G63" s="384"/>
      <c r="H63" s="387"/>
      <c r="I63" s="390"/>
      <c r="J63" s="393"/>
      <c r="K63" s="390">
        <f>IF(NOT(ISERROR(MATCH(J63,_xlfn.ANCHORARRAY(E74),0))),I76&amp;"Por favor no seleccionar los criterios de impacto",J63)</f>
        <v>0</v>
      </c>
      <c r="L63" s="387"/>
      <c r="M63" s="390"/>
      <c r="N63" s="402"/>
      <c r="O63" s="106">
        <v>4</v>
      </c>
      <c r="P63" s="181"/>
      <c r="Q63" s="107" t="str">
        <f t="shared" ref="Q63:Q65" si="60">IF(OR(R63="Preventivo",R63="Detectivo"),"Probabilidad",IF(R63="Correctivo","Impacto",""))</f>
        <v/>
      </c>
      <c r="R63" s="108"/>
      <c r="S63" s="108"/>
      <c r="T63" s="109" t="str">
        <f t="shared" si="57"/>
        <v/>
      </c>
      <c r="U63" s="108"/>
      <c r="V63" s="108"/>
      <c r="W63" s="108"/>
      <c r="X63" s="110" t="str">
        <f t="shared" ref="X63:X64" si="61">IFERROR(IF(AND(Q62="Probabilidad",Q63="Probabilidad"),(Z62-(+Z62*T63)),IF(AND(Q62="Impacto",Q63="Probabilidad"),(Z61-(+Z61*T63)),IF(Q63="Impacto",Z62,""))),"")</f>
        <v/>
      </c>
      <c r="Y63" s="111" t="str">
        <f t="shared" si="1"/>
        <v/>
      </c>
      <c r="Z63" s="112" t="str">
        <f t="shared" si="58"/>
        <v/>
      </c>
      <c r="AA63" s="111" t="str">
        <f t="shared" si="3"/>
        <v/>
      </c>
      <c r="AB63" s="112" t="str">
        <f t="shared" ref="AB63:AB64" si="62">IFERROR(IF(AND(Q62="Impacto",Q63="Impacto"),(AB62-(+AB62*T63)),IF(AND(Q62="Probabilidad",Q63="Impacto"),(AB61-(+AB61*T63)),IF(Q63="Probabilidad",AB62,""))),"")</f>
        <v/>
      </c>
      <c r="AC63" s="113"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90"/>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332"/>
      <c r="B64" s="378"/>
      <c r="C64" s="378"/>
      <c r="D64" s="378"/>
      <c r="E64" s="381"/>
      <c r="F64" s="378"/>
      <c r="G64" s="384"/>
      <c r="H64" s="387"/>
      <c r="I64" s="390"/>
      <c r="J64" s="393"/>
      <c r="K64" s="390">
        <f>IF(NOT(ISERROR(MATCH(J64,_xlfn.ANCHORARRAY(E75),0))),I77&amp;"Por favor no seleccionar los criterios de impacto",J64)</f>
        <v>0</v>
      </c>
      <c r="L64" s="387"/>
      <c r="M64" s="390"/>
      <c r="N64" s="402"/>
      <c r="O64" s="106">
        <v>5</v>
      </c>
      <c r="P64" s="181"/>
      <c r="Q64" s="107" t="str">
        <f t="shared" si="60"/>
        <v/>
      </c>
      <c r="R64" s="108"/>
      <c r="S64" s="108"/>
      <c r="T64" s="109" t="str">
        <f t="shared" si="57"/>
        <v/>
      </c>
      <c r="U64" s="108"/>
      <c r="V64" s="108"/>
      <c r="W64" s="108"/>
      <c r="X64" s="110" t="str">
        <f t="shared" si="61"/>
        <v/>
      </c>
      <c r="Y64" s="111" t="str">
        <f t="shared" si="1"/>
        <v/>
      </c>
      <c r="Z64" s="112" t="str">
        <f t="shared" si="58"/>
        <v/>
      </c>
      <c r="AA64" s="111" t="str">
        <f t="shared" si="3"/>
        <v/>
      </c>
      <c r="AB64" s="112" t="str">
        <f t="shared" si="62"/>
        <v/>
      </c>
      <c r="AC64" s="113"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90"/>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333"/>
      <c r="B65" s="379"/>
      <c r="C65" s="379"/>
      <c r="D65" s="379"/>
      <c r="E65" s="382"/>
      <c r="F65" s="379"/>
      <c r="G65" s="385"/>
      <c r="H65" s="388"/>
      <c r="I65" s="391"/>
      <c r="J65" s="394"/>
      <c r="K65" s="391">
        <f>IF(NOT(ISERROR(MATCH(J65,_xlfn.ANCHORARRAY(E76),0))),I78&amp;"Por favor no seleccionar los criterios de impacto",J65)</f>
        <v>0</v>
      </c>
      <c r="L65" s="388"/>
      <c r="M65" s="391"/>
      <c r="N65" s="403"/>
      <c r="O65" s="106">
        <v>6</v>
      </c>
      <c r="P65" s="181"/>
      <c r="Q65" s="107" t="str">
        <f t="shared" si="60"/>
        <v/>
      </c>
      <c r="R65" s="108"/>
      <c r="S65" s="108"/>
      <c r="T65" s="109" t="str">
        <f t="shared" si="57"/>
        <v/>
      </c>
      <c r="U65" s="108"/>
      <c r="V65" s="108"/>
      <c r="W65" s="108"/>
      <c r="X65" s="110" t="str">
        <f>IFERROR(IF(AND(Q64="Probabilidad",Q65="Probabilidad"),(Z64-(+Z64*T65)),IF(AND(Q64="Impacto",Q65="Probabilidad"),(Z63-(+Z63*T65)),IF(Q65="Impacto",Z64,""))),"")</f>
        <v/>
      </c>
      <c r="Y65" s="111" t="str">
        <f t="shared" si="1"/>
        <v/>
      </c>
      <c r="Z65" s="112" t="str">
        <f t="shared" si="58"/>
        <v/>
      </c>
      <c r="AA65" s="111" t="str">
        <f t="shared" si="3"/>
        <v/>
      </c>
      <c r="AB65" s="112" t="str">
        <f>IFERROR(IF(AND(Q64="Impacto",Q65="Impacto"),(AB64-(+AB64*T65)),IF(AND(Q64="Probabilidad",Q65="Impacto"),(AB63-(+AB63*T65)),IF(Q65="Probabilidad",AB64,""))),"")</f>
        <v/>
      </c>
      <c r="AC65" s="113" t="str">
        <f t="shared" si="63"/>
        <v/>
      </c>
      <c r="AD65" s="114"/>
      <c r="AE65" s="190"/>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331">
        <v>10</v>
      </c>
      <c r="B66" s="377"/>
      <c r="C66" s="377"/>
      <c r="D66" s="377"/>
      <c r="E66" s="380"/>
      <c r="F66" s="377"/>
      <c r="G66" s="383"/>
      <c r="H66" s="386" t="str">
        <f>IF(G66&lt;=0,"",IF(G66&lt;=2,"Muy Baja",IF(G66&lt;=24,"Baja",IF(G66&lt;=500,"Media",IF(G66&lt;=5000,"Alta","Muy Alta")))))</f>
        <v/>
      </c>
      <c r="I66" s="389" t="str">
        <f>IF(H66="","",IF(H66="Muy Baja",0.2,IF(H66="Baja",0.4,IF(H66="Media",0.6,IF(H66="Alta",0.8,IF(H66="Muy Alta",1,))))))</f>
        <v/>
      </c>
      <c r="J66" s="392"/>
      <c r="K66" s="389">
        <f>IF(NOT(ISERROR(MATCH(J66,'Tabla Impacto'!$B$221:$B$223,0))),'Tabla Impacto'!$F$223&amp;"Por favor no seleccionar los criterios de impacto(Afectación Económica o presupuestal y Pérdida Reputacional)",J66)</f>
        <v>0</v>
      </c>
      <c r="L66" s="386" t="str">
        <f>IF(OR(K66='Tabla Impacto'!$C$11,K66='Tabla Impacto'!$D$11),"Leve",IF(OR(K66='Tabla Impacto'!$C$12,K66='Tabla Impacto'!$D$12),"Menor",IF(OR(K66='Tabla Impacto'!$C$13,K66='Tabla Impacto'!$D$13),"Moderado",IF(OR(K66='Tabla Impacto'!$C$14,K66='Tabla Impacto'!$D$14),"Mayor",IF(OR(K66='Tabla Impacto'!$C$15,K66='Tabla Impacto'!$D$15),"Catastrófico","")))))</f>
        <v/>
      </c>
      <c r="M66" s="389" t="str">
        <f>IF(L66="","",IF(L66="Leve",0.2,IF(L66="Menor",0.4,IF(L66="Moderado",0.6,IF(L66="Mayor",0.8,IF(L66="Catastrófico",1,))))))</f>
        <v/>
      </c>
      <c r="N66" s="401"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6">
        <v>1</v>
      </c>
      <c r="P66" s="181"/>
      <c r="Q66" s="163"/>
      <c r="R66" s="171"/>
      <c r="S66" s="171"/>
      <c r="T66" s="172" t="str">
        <f>IF(AND(R66="Preventivo",S66="Automático"),"50%",IF(AND(R66="Preventivo",S66="Manual"),"40%",IF(AND(R66="Detectivo",S66="Automático"),"40%",IF(AND(R66="Detectivo",S66="Manual"),"30%",IF(AND(R66="Correctivo",S66="Automático"),"35%",IF(AND(R66="Correctivo",S66="Manual"),"25%",""))))))</f>
        <v/>
      </c>
      <c r="U66" s="171"/>
      <c r="V66" s="171"/>
      <c r="W66" s="171"/>
      <c r="X66" s="160" t="str">
        <f>IFERROR(IF(Q66="Probabilidad",(I66-(+I66*T66)),IF(Q66="Impacto",I66,"")),"")</f>
        <v/>
      </c>
      <c r="Y66" s="173" t="str">
        <f>IFERROR(IF(X66="","",IF(X66&lt;=0.2,"Muy Baja",IF(X66&lt;=0.4,"Baja",IF(X66&lt;=0.6,"Media",IF(X66&lt;=0.8,"Alta","Muy Alta"))))),"")</f>
        <v/>
      </c>
      <c r="Z66" s="174" t="str">
        <f>+X66</f>
        <v/>
      </c>
      <c r="AA66" s="173" t="str">
        <f>IFERROR(IF(AB66="","",IF(AB66&lt;=0.2,"Leve",IF(AB66&lt;=0.4,"Menor",IF(AB66&lt;=0.6,"Moderado",IF(AB66&lt;=0.8,"Mayor","Catastrófico"))))),"")</f>
        <v/>
      </c>
      <c r="AB66" s="174" t="str">
        <f>IFERROR(IF(Q66="Impacto",(M66-(+M66*T66)),IF(Q66="Probabilidad",M66,"")),"")</f>
        <v/>
      </c>
      <c r="AC66" s="175"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6"/>
      <c r="AE66" s="190"/>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x14ac:dyDescent="0.3">
      <c r="A67" s="332"/>
      <c r="B67" s="378"/>
      <c r="C67" s="378"/>
      <c r="D67" s="378"/>
      <c r="E67" s="381"/>
      <c r="F67" s="378"/>
      <c r="G67" s="384"/>
      <c r="H67" s="387"/>
      <c r="I67" s="390"/>
      <c r="J67" s="393"/>
      <c r="K67" s="390">
        <f>IF(NOT(ISERROR(MATCH(J67,_xlfn.ANCHORARRAY(E78),0))),I80&amp;"Por favor no seleccionar los criterios de impacto",J67)</f>
        <v>0</v>
      </c>
      <c r="L67" s="387"/>
      <c r="M67" s="390"/>
      <c r="N67" s="402"/>
      <c r="O67" s="106">
        <v>2</v>
      </c>
      <c r="P67" s="181"/>
      <c r="Q67" s="107" t="str">
        <f>IF(OR(R67="Preventivo",R67="Detectivo"),"Probabilidad",IF(R67="Correctivo","Impacto",""))</f>
        <v/>
      </c>
      <c r="R67" s="108"/>
      <c r="S67" s="108"/>
      <c r="T67" s="109" t="str">
        <f t="shared" ref="T67:T71" si="64">IF(AND(R67="Preventivo",S67="Automático"),"50%",IF(AND(R67="Preventivo",S67="Manual"),"40%",IF(AND(R67="Detectivo",S67="Automático"),"40%",IF(AND(R67="Detectivo",S67="Manual"),"30%",IF(AND(R67="Correctivo",S67="Automático"),"35%",IF(AND(R67="Correctivo",S67="Manual"),"25%",""))))))</f>
        <v/>
      </c>
      <c r="U67" s="108"/>
      <c r="V67" s="108"/>
      <c r="W67" s="108"/>
      <c r="X67" s="110" t="str">
        <f>IFERROR(IF(AND(Q66="Probabilidad",Q67="Probabilidad"),(Z66-(+Z66*T67)),IF(Q67="Probabilidad",(I66-(+I66*T67)),IF(Q67="Impacto",Z66,""))),"")</f>
        <v/>
      </c>
      <c r="Y67" s="111" t="str">
        <f t="shared" si="1"/>
        <v/>
      </c>
      <c r="Z67" s="112" t="str">
        <f t="shared" ref="Z67:Z71" si="65">+X67</f>
        <v/>
      </c>
      <c r="AA67" s="111" t="str">
        <f t="shared" si="3"/>
        <v/>
      </c>
      <c r="AB67" s="112" t="str">
        <f>IFERROR(IF(AND(Q66="Impacto",Q67="Impacto"),(AB66-(+AB66*T67)),IF(Q67="Impacto",(M66-(+M66*T67)),IF(Q67="Probabilidad",AB66,""))),"")</f>
        <v/>
      </c>
      <c r="AC67" s="113"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4"/>
      <c r="AE67" s="190"/>
      <c r="AF67" s="116"/>
      <c r="AG67" s="117"/>
      <c r="AH67" s="117"/>
      <c r="AI67" s="117"/>
      <c r="AJ67" s="115"/>
      <c r="AK67" s="116"/>
    </row>
    <row r="68" spans="1:69" ht="18" hidden="1" customHeight="1" x14ac:dyDescent="0.3">
      <c r="A68" s="332"/>
      <c r="B68" s="378"/>
      <c r="C68" s="378"/>
      <c r="D68" s="378"/>
      <c r="E68" s="381"/>
      <c r="F68" s="378"/>
      <c r="G68" s="384"/>
      <c r="H68" s="387"/>
      <c r="I68" s="390"/>
      <c r="J68" s="393"/>
      <c r="K68" s="390">
        <f>IF(NOT(ISERROR(MATCH(J68,_xlfn.ANCHORARRAY(E79),0))),I81&amp;"Por favor no seleccionar los criterios de impacto",J68)</f>
        <v>0</v>
      </c>
      <c r="L68" s="387"/>
      <c r="M68" s="390"/>
      <c r="N68" s="402"/>
      <c r="O68" s="106">
        <v>3</v>
      </c>
      <c r="P68" s="182"/>
      <c r="Q68" s="107" t="str">
        <f>IF(OR(R68="Preventivo",R68="Detectivo"),"Probabilidad",IF(R68="Correctivo","Impacto",""))</f>
        <v/>
      </c>
      <c r="R68" s="108"/>
      <c r="S68" s="108"/>
      <c r="T68" s="109" t="str">
        <f t="shared" si="64"/>
        <v/>
      </c>
      <c r="U68" s="108"/>
      <c r="V68" s="108"/>
      <c r="W68" s="108"/>
      <c r="X68" s="110" t="str">
        <f>IFERROR(IF(AND(Q67="Probabilidad",Q68="Probabilidad"),(Z67-(+Z67*T68)),IF(AND(Q67="Impacto",Q68="Probabilidad"),(Z66-(+Z66*T68)),IF(Q68="Impacto",Z67,""))),"")</f>
        <v/>
      </c>
      <c r="Y68" s="111" t="str">
        <f t="shared" si="1"/>
        <v/>
      </c>
      <c r="Z68" s="112" t="str">
        <f t="shared" si="65"/>
        <v/>
      </c>
      <c r="AA68" s="111" t="str">
        <f t="shared" si="3"/>
        <v/>
      </c>
      <c r="AB68" s="112" t="str">
        <f>IFERROR(IF(AND(Q67="Impacto",Q68="Impacto"),(AB67-(+AB67*T68)),IF(AND(Q67="Probabilidad",Q68="Impacto"),(AB66-(+AB66*T68)),IF(Q68="Probabilidad",AB67,""))),"")</f>
        <v/>
      </c>
      <c r="AC68" s="113" t="str">
        <f t="shared" si="66"/>
        <v/>
      </c>
      <c r="AD68" s="114"/>
      <c r="AE68" s="190"/>
      <c r="AF68" s="116"/>
      <c r="AG68" s="117"/>
      <c r="AH68" s="117"/>
      <c r="AI68" s="117"/>
      <c r="AJ68" s="115"/>
      <c r="AK68" s="116"/>
    </row>
    <row r="69" spans="1:69" ht="18" hidden="1" customHeight="1" x14ac:dyDescent="0.3">
      <c r="A69" s="332"/>
      <c r="B69" s="378"/>
      <c r="C69" s="378"/>
      <c r="D69" s="378"/>
      <c r="E69" s="381"/>
      <c r="F69" s="378"/>
      <c r="G69" s="384"/>
      <c r="H69" s="387"/>
      <c r="I69" s="390"/>
      <c r="J69" s="393"/>
      <c r="K69" s="390">
        <f>IF(NOT(ISERROR(MATCH(J69,_xlfn.ANCHORARRAY(E80),0))),I82&amp;"Por favor no seleccionar los criterios de impacto",J69)</f>
        <v>0</v>
      </c>
      <c r="L69" s="387"/>
      <c r="M69" s="390"/>
      <c r="N69" s="402"/>
      <c r="O69" s="106">
        <v>4</v>
      </c>
      <c r="P69" s="181"/>
      <c r="Q69" s="107" t="str">
        <f t="shared" ref="Q69:Q71" si="67">IF(OR(R69="Preventivo",R69="Detectivo"),"Probabilidad",IF(R69="Correctivo","Impacto",""))</f>
        <v/>
      </c>
      <c r="R69" s="108"/>
      <c r="S69" s="108"/>
      <c r="T69" s="109" t="str">
        <f t="shared" si="64"/>
        <v/>
      </c>
      <c r="U69" s="108"/>
      <c r="V69" s="108"/>
      <c r="W69" s="108"/>
      <c r="X69" s="110" t="str">
        <f t="shared" ref="X69:X70" si="68">IFERROR(IF(AND(Q68="Probabilidad",Q69="Probabilidad"),(Z68-(+Z68*T69)),IF(AND(Q68="Impacto",Q69="Probabilidad"),(Z67-(+Z67*T69)),IF(Q69="Impacto",Z68,""))),"")</f>
        <v/>
      </c>
      <c r="Y69" s="111" t="str">
        <f t="shared" si="1"/>
        <v/>
      </c>
      <c r="Z69" s="112" t="str">
        <f t="shared" si="65"/>
        <v/>
      </c>
      <c r="AA69" s="111" t="str">
        <f t="shared" si="3"/>
        <v/>
      </c>
      <c r="AB69" s="112" t="str">
        <f t="shared" ref="AB69:AB70" si="69">IFERROR(IF(AND(Q68="Impacto",Q69="Impacto"),(AB68-(+AB68*T69)),IF(AND(Q68="Probabilidad",Q69="Impacto"),(AB67-(+AB67*T69)),IF(Q69="Probabilidad",AB68,""))),"")</f>
        <v/>
      </c>
      <c r="AC69" s="113"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90"/>
      <c r="AF69" s="116"/>
      <c r="AG69" s="117"/>
      <c r="AH69" s="117"/>
      <c r="AI69" s="117"/>
      <c r="AJ69" s="115"/>
      <c r="AK69" s="116"/>
    </row>
    <row r="70" spans="1:69" ht="18" hidden="1" customHeight="1" x14ac:dyDescent="0.3">
      <c r="A70" s="332"/>
      <c r="B70" s="378"/>
      <c r="C70" s="378"/>
      <c r="D70" s="378"/>
      <c r="E70" s="381"/>
      <c r="F70" s="378"/>
      <c r="G70" s="384"/>
      <c r="H70" s="387"/>
      <c r="I70" s="390"/>
      <c r="J70" s="393"/>
      <c r="K70" s="390">
        <f>IF(NOT(ISERROR(MATCH(J70,_xlfn.ANCHORARRAY(E81),0))),I83&amp;"Por favor no seleccionar los criterios de impacto",J70)</f>
        <v>0</v>
      </c>
      <c r="L70" s="387"/>
      <c r="M70" s="390"/>
      <c r="N70" s="402"/>
      <c r="O70" s="106">
        <v>5</v>
      </c>
      <c r="P70" s="181"/>
      <c r="Q70" s="107" t="str">
        <f t="shared" si="67"/>
        <v/>
      </c>
      <c r="R70" s="108"/>
      <c r="S70" s="108"/>
      <c r="T70" s="109" t="str">
        <f t="shared" si="64"/>
        <v/>
      </c>
      <c r="U70" s="108"/>
      <c r="V70" s="108"/>
      <c r="W70" s="108"/>
      <c r="X70" s="110" t="str">
        <f t="shared" si="68"/>
        <v/>
      </c>
      <c r="Y70" s="111" t="str">
        <f t="shared" si="1"/>
        <v/>
      </c>
      <c r="Z70" s="112" t="str">
        <f t="shared" si="65"/>
        <v/>
      </c>
      <c r="AA70" s="111" t="str">
        <f t="shared" si="3"/>
        <v/>
      </c>
      <c r="AB70" s="112" t="str">
        <f t="shared" si="69"/>
        <v/>
      </c>
      <c r="AC70" s="113"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90"/>
      <c r="AF70" s="116"/>
      <c r="AG70" s="117"/>
      <c r="AH70" s="117"/>
      <c r="AI70" s="117"/>
      <c r="AJ70" s="115"/>
      <c r="AK70" s="116"/>
    </row>
    <row r="71" spans="1:69" ht="18" hidden="1" customHeight="1" x14ac:dyDescent="0.3">
      <c r="A71" s="333"/>
      <c r="B71" s="379"/>
      <c r="C71" s="379"/>
      <c r="D71" s="379"/>
      <c r="E71" s="382"/>
      <c r="F71" s="379"/>
      <c r="G71" s="385"/>
      <c r="H71" s="388"/>
      <c r="I71" s="391"/>
      <c r="J71" s="394"/>
      <c r="K71" s="391">
        <f>IF(NOT(ISERROR(MATCH(J71,_xlfn.ANCHORARRAY(E82),0))),I84&amp;"Por favor no seleccionar los criterios de impacto",J71)</f>
        <v>0</v>
      </c>
      <c r="L71" s="388"/>
      <c r="M71" s="391"/>
      <c r="N71" s="403"/>
      <c r="O71" s="106">
        <v>6</v>
      </c>
      <c r="P71" s="181"/>
      <c r="Q71" s="107" t="str">
        <f t="shared" si="67"/>
        <v/>
      </c>
      <c r="R71" s="108"/>
      <c r="S71" s="108"/>
      <c r="T71" s="109" t="str">
        <f t="shared" si="64"/>
        <v/>
      </c>
      <c r="U71" s="108"/>
      <c r="V71" s="108"/>
      <c r="W71" s="108"/>
      <c r="X71" s="110" t="str">
        <f>IFERROR(IF(AND(Q70="Probabilidad",Q71="Probabilidad"),(Z70-(+Z70*T71)),IF(AND(Q70="Impacto",Q71="Probabilidad"),(Z69-(+Z69*T71)),IF(Q71="Impacto",Z70,""))),"")</f>
        <v/>
      </c>
      <c r="Y71" s="111" t="str">
        <f t="shared" si="1"/>
        <v/>
      </c>
      <c r="Z71" s="112" t="str">
        <f t="shared" si="65"/>
        <v/>
      </c>
      <c r="AA71" s="111" t="str">
        <f t="shared" si="3"/>
        <v/>
      </c>
      <c r="AB71" s="112" t="str">
        <f>IFERROR(IF(AND(Q70="Impacto",Q71="Impacto"),(AB70-(+AB70*T71)),IF(AND(Q70="Probabilidad",Q71="Impacto"),(AB69-(+AB69*T71)),IF(Q71="Probabilidad",AB70,""))),"")</f>
        <v/>
      </c>
      <c r="AC71" s="113" t="str">
        <f t="shared" si="70"/>
        <v/>
      </c>
      <c r="AD71" s="114"/>
      <c r="AE71" s="190"/>
      <c r="AF71" s="116"/>
      <c r="AG71" s="117"/>
      <c r="AH71" s="117"/>
      <c r="AI71" s="117"/>
      <c r="AJ71" s="115"/>
      <c r="AK71" s="116"/>
    </row>
    <row r="72" spans="1:69" ht="34.5" customHeight="1" x14ac:dyDescent="0.3">
      <c r="A72" s="6"/>
      <c r="B72" s="404" t="s">
        <v>124</v>
      </c>
      <c r="C72" s="405"/>
      <c r="D72" s="405"/>
      <c r="E72" s="405"/>
      <c r="F72" s="405"/>
      <c r="G72" s="405"/>
      <c r="H72" s="405"/>
      <c r="I72" s="405"/>
      <c r="J72" s="405"/>
      <c r="K72" s="405"/>
      <c r="L72" s="405"/>
      <c r="M72" s="405"/>
      <c r="N72" s="405"/>
      <c r="O72" s="405"/>
      <c r="P72" s="405"/>
      <c r="Q72" s="405"/>
      <c r="R72" s="405"/>
      <c r="S72" s="405"/>
      <c r="T72" s="405"/>
      <c r="U72" s="405"/>
      <c r="V72" s="405"/>
      <c r="W72" s="405"/>
      <c r="X72" s="405"/>
      <c r="Y72" s="405"/>
      <c r="Z72" s="405"/>
      <c r="AA72" s="405"/>
      <c r="AB72" s="405"/>
      <c r="AC72" s="405"/>
      <c r="AD72" s="405"/>
      <c r="AE72" s="405"/>
      <c r="AF72" s="405"/>
      <c r="AG72" s="405"/>
      <c r="AH72" s="405"/>
      <c r="AI72" s="405"/>
      <c r="AJ72" s="405"/>
      <c r="AK72" s="406"/>
    </row>
    <row r="74" spans="1:69" x14ac:dyDescent="0.3">
      <c r="A74" s="1"/>
      <c r="B74" s="24" t="s">
        <v>125</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100-000000000000}">
          <x14:formula1>
            <xm:f>'Tabla Valoración controles'!$D$4:$D$6</xm:f>
          </x14:formula1>
          <xm:sqref>R12:R71</xm:sqref>
        </x14:dataValidation>
        <x14:dataValidation type="list" allowBlank="1" showInputMessage="1" showErrorMessage="1" xr:uid="{00000000-0002-0000-0100-000001000000}">
          <x14:formula1>
            <xm:f>'Tabla Valoración controles'!$D$7:$D$8</xm:f>
          </x14:formula1>
          <xm:sqref>S12:S71</xm:sqref>
        </x14:dataValidation>
        <x14:dataValidation type="list" allowBlank="1" showInputMessage="1" showErrorMessage="1" xr:uid="{00000000-0002-0000-0100-000002000000}">
          <x14:formula1>
            <xm:f>'Tabla Valoración controles'!$D$9:$D$10</xm:f>
          </x14:formula1>
          <xm:sqref>U12:U71</xm:sqref>
        </x14:dataValidation>
        <x14:dataValidation type="list" allowBlank="1" showInputMessage="1" showErrorMessage="1" xr:uid="{00000000-0002-0000-0100-000003000000}">
          <x14:formula1>
            <xm:f>'Tabla Valoración controles'!$D$11:$D$12</xm:f>
          </x14:formula1>
          <xm:sqref>V12:V71</xm:sqref>
        </x14:dataValidation>
        <x14:dataValidation type="list" allowBlank="1" showInputMessage="1" showErrorMessage="1" xr:uid="{00000000-0002-0000-0100-000005000000}">
          <x14:formula1>
            <xm:f>'Tabla Valoración controles'!$D$13:$D$14</xm:f>
          </x14:formula1>
          <xm:sqref>W12:W71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437" t="s">
        <v>126</v>
      </c>
      <c r="C2" s="437"/>
      <c r="D2" s="437"/>
      <c r="E2" s="437"/>
      <c r="F2" s="437"/>
      <c r="G2" s="437"/>
      <c r="H2" s="437"/>
      <c r="I2" s="437"/>
      <c r="J2" s="474" t="s">
        <v>23</v>
      </c>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437"/>
      <c r="C3" s="437"/>
      <c r="D3" s="437"/>
      <c r="E3" s="437"/>
      <c r="F3" s="437"/>
      <c r="G3" s="437"/>
      <c r="H3" s="437"/>
      <c r="I3" s="437"/>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437"/>
      <c r="C4" s="437"/>
      <c r="D4" s="437"/>
      <c r="E4" s="437"/>
      <c r="F4" s="437"/>
      <c r="G4" s="437"/>
      <c r="H4" s="437"/>
      <c r="I4" s="437"/>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485" t="s">
        <v>127</v>
      </c>
      <c r="C6" s="485"/>
      <c r="D6" s="486"/>
      <c r="E6" s="475" t="s">
        <v>128</v>
      </c>
      <c r="F6" s="476"/>
      <c r="G6" s="476"/>
      <c r="H6" s="476"/>
      <c r="I6" s="477"/>
      <c r="J6" s="471" t="str">
        <f>IF(AND('Mapa de Riesgos'!$H$12="Muy Alta",'Mapa de Riesgos'!$L$12="Leve"),CONCATENATE("R",'Mapa de Riesgos'!$A$12),"")</f>
        <v/>
      </c>
      <c r="K6" s="472"/>
      <c r="L6" s="472" t="str">
        <f>IF(AND('Mapa de Riesgos'!$H$18="Muy Alta",'Mapa de Riesgos'!$L$18="Leve"),CONCATENATE("R",'Mapa de Riesgos'!$A$18),"")</f>
        <v/>
      </c>
      <c r="M6" s="472"/>
      <c r="N6" s="472" t="str">
        <f>IF(AND('Mapa de Riesgos'!$H$24="Muy Alta",'Mapa de Riesgos'!$L$24="Leve"),CONCATENATE("R",'Mapa de Riesgos'!$A$24),"")</f>
        <v/>
      </c>
      <c r="O6" s="473"/>
      <c r="P6" s="471" t="str">
        <f>IF(AND('Mapa de Riesgos'!$H$12="Muy Alta",'Mapa de Riesgos'!$L$12="Menor"),CONCATENATE("R",'Mapa de Riesgos'!$A$12),"")</f>
        <v/>
      </c>
      <c r="Q6" s="472"/>
      <c r="R6" s="472" t="str">
        <f>IF(AND('Mapa de Riesgos'!$H$18="Muy Alta",'Mapa de Riesgos'!$L$18="Menor"),CONCATENATE("R",'Mapa de Riesgos'!$A$18),"")</f>
        <v/>
      </c>
      <c r="S6" s="472"/>
      <c r="T6" s="472" t="str">
        <f>IF(AND('Mapa de Riesgos'!$H$24="Muy Alta",'Mapa de Riesgos'!$L$24="Menor"),CONCATENATE("R",'Mapa de Riesgos'!$A$24),"")</f>
        <v/>
      </c>
      <c r="U6" s="473"/>
      <c r="V6" s="471" t="str">
        <f>IF(AND('Mapa de Riesgos'!$H$12="Muy Alta",'Mapa de Riesgos'!$L$12="Moderado"),CONCATENATE("R",'Mapa de Riesgos'!$A$12),"")</f>
        <v/>
      </c>
      <c r="W6" s="472"/>
      <c r="X6" s="472" t="str">
        <f>IF(AND('Mapa de Riesgos'!$H$18="Muy Alta",'Mapa de Riesgos'!$L$18="Moderado"),CONCATENATE("R",'Mapa de Riesgos'!$A$18),"")</f>
        <v/>
      </c>
      <c r="Y6" s="472"/>
      <c r="Z6" s="472" t="str">
        <f>IF(AND('Mapa de Riesgos'!$H$24="Muy Alta",'Mapa de Riesgos'!$L$24="Moderado"),CONCATENATE("R",'Mapa de Riesgos'!$A$24),"")</f>
        <v/>
      </c>
      <c r="AA6" s="473"/>
      <c r="AB6" s="471" t="str">
        <f>IF(AND('Mapa de Riesgos'!$H$12="Muy Alta",'Mapa de Riesgos'!$L$12="Mayor"),CONCATENATE("R",'Mapa de Riesgos'!$A$12),"")</f>
        <v/>
      </c>
      <c r="AC6" s="472"/>
      <c r="AD6" s="472" t="str">
        <f>IF(AND('Mapa de Riesgos'!$H$18="Muy Alta",'Mapa de Riesgos'!$L$18="Mayor"),CONCATENATE("R",'Mapa de Riesgos'!$A$18),"")</f>
        <v/>
      </c>
      <c r="AE6" s="472"/>
      <c r="AF6" s="472" t="str">
        <f>IF(AND('Mapa de Riesgos'!$H$24="Muy Alta",'Mapa de Riesgos'!$L$24="Mayor"),CONCATENATE("R",'Mapa de Riesgos'!$A$24),"")</f>
        <v/>
      </c>
      <c r="AG6" s="473"/>
      <c r="AH6" s="462" t="str">
        <f>IF(AND('Mapa de Riesgos'!$H$12="Muy Alta",'Mapa de Riesgos'!$L$12="Catastrófico"),CONCATENATE("R",'Mapa de Riesgos'!$A$12),"")</f>
        <v/>
      </c>
      <c r="AI6" s="463"/>
      <c r="AJ6" s="463" t="str">
        <f>IF(AND('Mapa de Riesgos'!$H$18="Muy Alta",'Mapa de Riesgos'!$L$18="Catastrófico"),CONCATENATE("R",'Mapa de Riesgos'!$A$18),"")</f>
        <v/>
      </c>
      <c r="AK6" s="463"/>
      <c r="AL6" s="463" t="str">
        <f>IF(AND('Mapa de Riesgos'!$H$24="Muy Alta",'Mapa de Riesgos'!$L$24="Catastrófico"),CONCATENATE("R",'Mapa de Riesgos'!$A$24),"")</f>
        <v/>
      </c>
      <c r="AM6" s="464"/>
      <c r="AO6" s="487" t="s">
        <v>129</v>
      </c>
      <c r="AP6" s="488"/>
      <c r="AQ6" s="488"/>
      <c r="AR6" s="488"/>
      <c r="AS6" s="488"/>
      <c r="AT6" s="48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485"/>
      <c r="C7" s="485"/>
      <c r="D7" s="486"/>
      <c r="E7" s="478"/>
      <c r="F7" s="479"/>
      <c r="G7" s="479"/>
      <c r="H7" s="479"/>
      <c r="I7" s="480"/>
      <c r="J7" s="465"/>
      <c r="K7" s="466"/>
      <c r="L7" s="466"/>
      <c r="M7" s="466"/>
      <c r="N7" s="466"/>
      <c r="O7" s="467"/>
      <c r="P7" s="465"/>
      <c r="Q7" s="466"/>
      <c r="R7" s="466"/>
      <c r="S7" s="466"/>
      <c r="T7" s="466"/>
      <c r="U7" s="467"/>
      <c r="V7" s="465"/>
      <c r="W7" s="466"/>
      <c r="X7" s="466"/>
      <c r="Y7" s="466"/>
      <c r="Z7" s="466"/>
      <c r="AA7" s="467"/>
      <c r="AB7" s="465"/>
      <c r="AC7" s="466"/>
      <c r="AD7" s="466"/>
      <c r="AE7" s="466"/>
      <c r="AF7" s="466"/>
      <c r="AG7" s="467"/>
      <c r="AH7" s="456"/>
      <c r="AI7" s="457"/>
      <c r="AJ7" s="457"/>
      <c r="AK7" s="457"/>
      <c r="AL7" s="457"/>
      <c r="AM7" s="458"/>
      <c r="AN7" s="83"/>
      <c r="AO7" s="490"/>
      <c r="AP7" s="491"/>
      <c r="AQ7" s="491"/>
      <c r="AR7" s="491"/>
      <c r="AS7" s="491"/>
      <c r="AT7" s="49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485"/>
      <c r="C8" s="485"/>
      <c r="D8" s="486"/>
      <c r="E8" s="478"/>
      <c r="F8" s="479"/>
      <c r="G8" s="479"/>
      <c r="H8" s="479"/>
      <c r="I8" s="480"/>
      <c r="J8" s="465" t="str">
        <f>IF(AND('Mapa de Riesgos'!$H$30="Muy Alta",'Mapa de Riesgos'!$L$30="Leve"),CONCATENATE("R",'Mapa de Riesgos'!$A$30),"")</f>
        <v/>
      </c>
      <c r="K8" s="466"/>
      <c r="L8" s="466" t="str">
        <f>IF(AND('Mapa de Riesgos'!$H$36="Muy Alta",'Mapa de Riesgos'!$L$36="Leve"),CONCATENATE("R",'Mapa de Riesgos'!$A$36),"")</f>
        <v/>
      </c>
      <c r="M8" s="466"/>
      <c r="N8" s="466" t="str">
        <f>IF(AND('Mapa de Riesgos'!$H$42="Muy Alta",'Mapa de Riesgos'!$L$42="Leve"),CONCATENATE("R",'Mapa de Riesgos'!$A$42),"")</f>
        <v/>
      </c>
      <c r="O8" s="467"/>
      <c r="P8" s="465" t="str">
        <f>IF(AND('Mapa de Riesgos'!$H$30="Muy Alta",'Mapa de Riesgos'!$L$30="Menor"),CONCATENATE("R",'Mapa de Riesgos'!$A$30),"")</f>
        <v/>
      </c>
      <c r="Q8" s="466"/>
      <c r="R8" s="466" t="str">
        <f>IF(AND('Mapa de Riesgos'!$H$36="Muy Alta",'Mapa de Riesgos'!$L$36="Menor"),CONCATENATE("R",'Mapa de Riesgos'!$A$36),"")</f>
        <v/>
      </c>
      <c r="S8" s="466"/>
      <c r="T8" s="466" t="str">
        <f>IF(AND('Mapa de Riesgos'!$H$42="Muy Alta",'Mapa de Riesgos'!$L$42="Menor"),CONCATENATE("R",'Mapa de Riesgos'!$A$42),"")</f>
        <v/>
      </c>
      <c r="U8" s="467"/>
      <c r="V8" s="465" t="str">
        <f>IF(AND('Mapa de Riesgos'!$H$30="Muy Alta",'Mapa de Riesgos'!$L$30="Moderado"),CONCATENATE("R",'Mapa de Riesgos'!$A$30),"")</f>
        <v/>
      </c>
      <c r="W8" s="466"/>
      <c r="X8" s="466" t="str">
        <f>IF(AND('Mapa de Riesgos'!$H$36="Muy Alta",'Mapa de Riesgos'!$L$36="Moderado"),CONCATENATE("R",'Mapa de Riesgos'!$A$36),"")</f>
        <v/>
      </c>
      <c r="Y8" s="466"/>
      <c r="Z8" s="466" t="str">
        <f>IF(AND('Mapa de Riesgos'!$H$42="Muy Alta",'Mapa de Riesgos'!$L$42="Moderado"),CONCATENATE("R",'Mapa de Riesgos'!$A$42),"")</f>
        <v/>
      </c>
      <c r="AA8" s="467"/>
      <c r="AB8" s="465" t="str">
        <f>IF(AND('Mapa de Riesgos'!$H$30="Muy Alta",'Mapa de Riesgos'!$L$30="Mayor"),CONCATENATE("R",'Mapa de Riesgos'!$A$30),"")</f>
        <v/>
      </c>
      <c r="AC8" s="466"/>
      <c r="AD8" s="466" t="str">
        <f>IF(AND('Mapa de Riesgos'!$H$36="Muy Alta",'Mapa de Riesgos'!$L$36="Mayor"),CONCATENATE("R",'Mapa de Riesgos'!$A$36),"")</f>
        <v/>
      </c>
      <c r="AE8" s="466"/>
      <c r="AF8" s="466" t="str">
        <f>IF(AND('Mapa de Riesgos'!$H$42="Muy Alta",'Mapa de Riesgos'!$L$42="Mayor"),CONCATENATE("R",'Mapa de Riesgos'!$A$42),"")</f>
        <v/>
      </c>
      <c r="AG8" s="467"/>
      <c r="AH8" s="456" t="str">
        <f>IF(AND('Mapa de Riesgos'!$H$30="Muy Alta",'Mapa de Riesgos'!$L$30="Catastrófico"),CONCATENATE("R",'Mapa de Riesgos'!$A$30),"")</f>
        <v/>
      </c>
      <c r="AI8" s="457"/>
      <c r="AJ8" s="457" t="str">
        <f>IF(AND('Mapa de Riesgos'!$H$36="Muy Alta",'Mapa de Riesgos'!$L$36="Catastrófico"),CONCATENATE("R",'Mapa de Riesgos'!$A$36),"")</f>
        <v/>
      </c>
      <c r="AK8" s="457"/>
      <c r="AL8" s="457" t="str">
        <f>IF(AND('Mapa de Riesgos'!$H$42="Muy Alta",'Mapa de Riesgos'!$L$42="Catastrófico"),CONCATENATE("R",'Mapa de Riesgos'!$A$42),"")</f>
        <v/>
      </c>
      <c r="AM8" s="458"/>
      <c r="AN8" s="83"/>
      <c r="AO8" s="490"/>
      <c r="AP8" s="491"/>
      <c r="AQ8" s="491"/>
      <c r="AR8" s="491"/>
      <c r="AS8" s="491"/>
      <c r="AT8" s="49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485"/>
      <c r="C9" s="485"/>
      <c r="D9" s="486"/>
      <c r="E9" s="478"/>
      <c r="F9" s="479"/>
      <c r="G9" s="479"/>
      <c r="H9" s="479"/>
      <c r="I9" s="480"/>
      <c r="J9" s="465"/>
      <c r="K9" s="466"/>
      <c r="L9" s="466"/>
      <c r="M9" s="466"/>
      <c r="N9" s="466"/>
      <c r="O9" s="467"/>
      <c r="P9" s="465"/>
      <c r="Q9" s="466"/>
      <c r="R9" s="466"/>
      <c r="S9" s="466"/>
      <c r="T9" s="466"/>
      <c r="U9" s="467"/>
      <c r="V9" s="465"/>
      <c r="W9" s="466"/>
      <c r="X9" s="466"/>
      <c r="Y9" s="466"/>
      <c r="Z9" s="466"/>
      <c r="AA9" s="467"/>
      <c r="AB9" s="465"/>
      <c r="AC9" s="466"/>
      <c r="AD9" s="466"/>
      <c r="AE9" s="466"/>
      <c r="AF9" s="466"/>
      <c r="AG9" s="467"/>
      <c r="AH9" s="456"/>
      <c r="AI9" s="457"/>
      <c r="AJ9" s="457"/>
      <c r="AK9" s="457"/>
      <c r="AL9" s="457"/>
      <c r="AM9" s="458"/>
      <c r="AN9" s="83"/>
      <c r="AO9" s="490"/>
      <c r="AP9" s="491"/>
      <c r="AQ9" s="491"/>
      <c r="AR9" s="491"/>
      <c r="AS9" s="491"/>
      <c r="AT9" s="49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485"/>
      <c r="C10" s="485"/>
      <c r="D10" s="486"/>
      <c r="E10" s="478"/>
      <c r="F10" s="479"/>
      <c r="G10" s="479"/>
      <c r="H10" s="479"/>
      <c r="I10" s="480"/>
      <c r="J10" s="465" t="str">
        <f>IF(AND('Mapa de Riesgos'!$H$48="Muy Alta",'Mapa de Riesgos'!$L$48="Leve"),CONCATENATE("R",'Mapa de Riesgos'!$A$48),"")</f>
        <v/>
      </c>
      <c r="K10" s="466"/>
      <c r="L10" s="466" t="str">
        <f>IF(AND('Mapa de Riesgos'!$H$54="Muy Alta",'Mapa de Riesgos'!$L$54="Leve"),CONCATENATE("R",'Mapa de Riesgos'!$A$54),"")</f>
        <v/>
      </c>
      <c r="M10" s="466"/>
      <c r="N10" s="466" t="str">
        <f>IF(AND('Mapa de Riesgos'!$H$60="Muy Alta",'Mapa de Riesgos'!$L$60="Leve"),CONCATENATE("R",'Mapa de Riesgos'!$A$60),"")</f>
        <v/>
      </c>
      <c r="O10" s="467"/>
      <c r="P10" s="465" t="str">
        <f>IF(AND('Mapa de Riesgos'!$H$48="Muy Alta",'Mapa de Riesgos'!$L$48="Menor"),CONCATENATE("R",'Mapa de Riesgos'!$A$48),"")</f>
        <v/>
      </c>
      <c r="Q10" s="466"/>
      <c r="R10" s="466" t="str">
        <f>IF(AND('Mapa de Riesgos'!$H$54="Muy Alta",'Mapa de Riesgos'!$L$54="Menor"),CONCATENATE("R",'Mapa de Riesgos'!$A$54),"")</f>
        <v/>
      </c>
      <c r="S10" s="466"/>
      <c r="T10" s="466" t="str">
        <f>IF(AND('Mapa de Riesgos'!$H$60="Muy Alta",'Mapa de Riesgos'!$L$60="Menor"),CONCATENATE("R",'Mapa de Riesgos'!$A$60),"")</f>
        <v/>
      </c>
      <c r="U10" s="467"/>
      <c r="V10" s="465" t="str">
        <f>IF(AND('Mapa de Riesgos'!$H$48="Muy Alta",'Mapa de Riesgos'!$L$48="Moderado"),CONCATENATE("R",'Mapa de Riesgos'!$A$48),"")</f>
        <v/>
      </c>
      <c r="W10" s="466"/>
      <c r="X10" s="466" t="str">
        <f>IF(AND('Mapa de Riesgos'!$H$54="Muy Alta",'Mapa de Riesgos'!$L$54="Moderado"),CONCATENATE("R",'Mapa de Riesgos'!$A$54),"")</f>
        <v/>
      </c>
      <c r="Y10" s="466"/>
      <c r="Z10" s="466" t="str">
        <f>IF(AND('Mapa de Riesgos'!$H$60="Muy Alta",'Mapa de Riesgos'!$L$60="Moderado"),CONCATENATE("R",'Mapa de Riesgos'!$A$60),"")</f>
        <v/>
      </c>
      <c r="AA10" s="467"/>
      <c r="AB10" s="465" t="str">
        <f>IF(AND('Mapa de Riesgos'!$H$48="Muy Alta",'Mapa de Riesgos'!$L$48="Mayor"),CONCATENATE("R",'Mapa de Riesgos'!$A$48),"")</f>
        <v/>
      </c>
      <c r="AC10" s="466"/>
      <c r="AD10" s="466" t="str">
        <f>IF(AND('Mapa de Riesgos'!$H$54="Muy Alta",'Mapa de Riesgos'!$L$54="Mayor"),CONCATENATE("R",'Mapa de Riesgos'!$A$54),"")</f>
        <v/>
      </c>
      <c r="AE10" s="466"/>
      <c r="AF10" s="466" t="str">
        <f>IF(AND('Mapa de Riesgos'!$H$60="Muy Alta",'Mapa de Riesgos'!$L$60="Mayor"),CONCATENATE("R",'Mapa de Riesgos'!$A$60),"")</f>
        <v/>
      </c>
      <c r="AG10" s="467"/>
      <c r="AH10" s="456" t="str">
        <f>IF(AND('Mapa de Riesgos'!$H$48="Muy Alta",'Mapa de Riesgos'!$L$48="Catastrófico"),CONCATENATE("R",'Mapa de Riesgos'!$A$48),"")</f>
        <v/>
      </c>
      <c r="AI10" s="457"/>
      <c r="AJ10" s="457" t="str">
        <f>IF(AND('Mapa de Riesgos'!$H$54="Muy Alta",'Mapa de Riesgos'!$L$54="Catastrófico"),CONCATENATE("R",'Mapa de Riesgos'!$A$54),"")</f>
        <v/>
      </c>
      <c r="AK10" s="457"/>
      <c r="AL10" s="457" t="str">
        <f>IF(AND('Mapa de Riesgos'!$H$60="Muy Alta",'Mapa de Riesgos'!$L$60="Catastrófico"),CONCATENATE("R",'Mapa de Riesgos'!$A$60),"")</f>
        <v/>
      </c>
      <c r="AM10" s="458"/>
      <c r="AN10" s="83"/>
      <c r="AO10" s="490"/>
      <c r="AP10" s="491"/>
      <c r="AQ10" s="491"/>
      <c r="AR10" s="491"/>
      <c r="AS10" s="491"/>
      <c r="AT10" s="49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485"/>
      <c r="C11" s="485"/>
      <c r="D11" s="486"/>
      <c r="E11" s="478"/>
      <c r="F11" s="479"/>
      <c r="G11" s="479"/>
      <c r="H11" s="479"/>
      <c r="I11" s="480"/>
      <c r="J11" s="465"/>
      <c r="K11" s="466"/>
      <c r="L11" s="466"/>
      <c r="M11" s="466"/>
      <c r="N11" s="466"/>
      <c r="O11" s="467"/>
      <c r="P11" s="465"/>
      <c r="Q11" s="466"/>
      <c r="R11" s="466"/>
      <c r="S11" s="466"/>
      <c r="T11" s="466"/>
      <c r="U11" s="467"/>
      <c r="V11" s="465"/>
      <c r="W11" s="466"/>
      <c r="X11" s="466"/>
      <c r="Y11" s="466"/>
      <c r="Z11" s="466"/>
      <c r="AA11" s="467"/>
      <c r="AB11" s="465"/>
      <c r="AC11" s="466"/>
      <c r="AD11" s="466"/>
      <c r="AE11" s="466"/>
      <c r="AF11" s="466"/>
      <c r="AG11" s="467"/>
      <c r="AH11" s="456"/>
      <c r="AI11" s="457"/>
      <c r="AJ11" s="457"/>
      <c r="AK11" s="457"/>
      <c r="AL11" s="457"/>
      <c r="AM11" s="458"/>
      <c r="AN11" s="83"/>
      <c r="AO11" s="490"/>
      <c r="AP11" s="491"/>
      <c r="AQ11" s="491"/>
      <c r="AR11" s="491"/>
      <c r="AS11" s="491"/>
      <c r="AT11" s="49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485"/>
      <c r="C12" s="485"/>
      <c r="D12" s="486"/>
      <c r="E12" s="478"/>
      <c r="F12" s="479"/>
      <c r="G12" s="479"/>
      <c r="H12" s="479"/>
      <c r="I12" s="480"/>
      <c r="J12" s="465" t="str">
        <f>IF(AND('Mapa de Riesgos'!$H$66="Muy Alta",'Mapa de Riesgos'!$L$66="Leve"),CONCATENATE("R",'Mapa de Riesgos'!$A$66),"")</f>
        <v/>
      </c>
      <c r="K12" s="466"/>
      <c r="L12" s="466" t="str">
        <f>IF(AND('Mapa de Riesgos'!$H$72="Muy Alta",'Mapa de Riesgos'!$L$72="Leve"),CONCATENATE("R",'Mapa de Riesgos'!$A$72),"")</f>
        <v/>
      </c>
      <c r="M12" s="466"/>
      <c r="N12" s="466" t="str">
        <f>IF(AND('Mapa de Riesgos'!$H$78="Muy Alta",'Mapa de Riesgos'!$L$78="Leve"),CONCATENATE("R",'Mapa de Riesgos'!$A$78),"")</f>
        <v/>
      </c>
      <c r="O12" s="467"/>
      <c r="P12" s="465" t="str">
        <f>IF(AND('Mapa de Riesgos'!$H$66="Muy Alta",'Mapa de Riesgos'!$L$66="Menor"),CONCATENATE("R",'Mapa de Riesgos'!$A$66),"")</f>
        <v/>
      </c>
      <c r="Q12" s="466"/>
      <c r="R12" s="466" t="str">
        <f>IF(AND('Mapa de Riesgos'!$H$72="Muy Alta",'Mapa de Riesgos'!$L$72="Menor"),CONCATENATE("R",'Mapa de Riesgos'!$A$72),"")</f>
        <v/>
      </c>
      <c r="S12" s="466"/>
      <c r="T12" s="466" t="str">
        <f>IF(AND('Mapa de Riesgos'!$H$78="Muy Alta",'Mapa de Riesgos'!$L$78="Menor"),CONCATENATE("R",'Mapa de Riesgos'!$A$78),"")</f>
        <v/>
      </c>
      <c r="U12" s="467"/>
      <c r="V12" s="465" t="str">
        <f>IF(AND('Mapa de Riesgos'!$H$66="Muy Alta",'Mapa de Riesgos'!$L$66="Moderado"),CONCATENATE("R",'Mapa de Riesgos'!$A$66),"")</f>
        <v/>
      </c>
      <c r="W12" s="466"/>
      <c r="X12" s="466" t="str">
        <f>IF(AND('Mapa de Riesgos'!$H$72="Muy Alta",'Mapa de Riesgos'!$L$72="Moderado"),CONCATENATE("R",'Mapa de Riesgos'!$A$72),"")</f>
        <v/>
      </c>
      <c r="Y12" s="466"/>
      <c r="Z12" s="466" t="str">
        <f>IF(AND('Mapa de Riesgos'!$H$78="Muy Alta",'Mapa de Riesgos'!$L$78="Moderado"),CONCATENATE("R",'Mapa de Riesgos'!$A$78),"")</f>
        <v/>
      </c>
      <c r="AA12" s="467"/>
      <c r="AB12" s="465" t="str">
        <f>IF(AND('Mapa de Riesgos'!$H$66="Muy Alta",'Mapa de Riesgos'!$L$66="Mayor"),CONCATENATE("R",'Mapa de Riesgos'!$A$66),"")</f>
        <v/>
      </c>
      <c r="AC12" s="466"/>
      <c r="AD12" s="466" t="str">
        <f>IF(AND('Mapa de Riesgos'!$H$72="Muy Alta",'Mapa de Riesgos'!$L$72="Mayor"),CONCATENATE("R",'Mapa de Riesgos'!$A$72),"")</f>
        <v/>
      </c>
      <c r="AE12" s="466"/>
      <c r="AF12" s="466" t="str">
        <f>IF(AND('Mapa de Riesgos'!$H$78="Muy Alta",'Mapa de Riesgos'!$L$78="Mayor"),CONCATENATE("R",'Mapa de Riesgos'!$A$78),"")</f>
        <v/>
      </c>
      <c r="AG12" s="467"/>
      <c r="AH12" s="456" t="str">
        <f>IF(AND('Mapa de Riesgos'!$H$66="Muy Alta",'Mapa de Riesgos'!$L$66="Catastrófico"),CONCATENATE("R",'Mapa de Riesgos'!$A$66),"")</f>
        <v/>
      </c>
      <c r="AI12" s="457"/>
      <c r="AJ12" s="457" t="str">
        <f>IF(AND('Mapa de Riesgos'!$H$72="Muy Alta",'Mapa de Riesgos'!$L$72="Catastrófico"),CONCATENATE("R",'Mapa de Riesgos'!$A$72),"")</f>
        <v/>
      </c>
      <c r="AK12" s="457"/>
      <c r="AL12" s="457" t="str">
        <f>IF(AND('Mapa de Riesgos'!$H$78="Muy Alta",'Mapa de Riesgos'!$L$78="Catastrófico"),CONCATENATE("R",'Mapa de Riesgos'!$A$78),"")</f>
        <v/>
      </c>
      <c r="AM12" s="458"/>
      <c r="AN12" s="83"/>
      <c r="AO12" s="490"/>
      <c r="AP12" s="491"/>
      <c r="AQ12" s="491"/>
      <c r="AR12" s="491"/>
      <c r="AS12" s="491"/>
      <c r="AT12" s="49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485"/>
      <c r="C13" s="485"/>
      <c r="D13" s="486"/>
      <c r="E13" s="481"/>
      <c r="F13" s="482"/>
      <c r="G13" s="482"/>
      <c r="H13" s="482"/>
      <c r="I13" s="483"/>
      <c r="J13" s="465"/>
      <c r="K13" s="466"/>
      <c r="L13" s="466"/>
      <c r="M13" s="466"/>
      <c r="N13" s="466"/>
      <c r="O13" s="467"/>
      <c r="P13" s="465"/>
      <c r="Q13" s="466"/>
      <c r="R13" s="466"/>
      <c r="S13" s="466"/>
      <c r="T13" s="466"/>
      <c r="U13" s="467"/>
      <c r="V13" s="465"/>
      <c r="W13" s="466"/>
      <c r="X13" s="466"/>
      <c r="Y13" s="466"/>
      <c r="Z13" s="466"/>
      <c r="AA13" s="467"/>
      <c r="AB13" s="465"/>
      <c r="AC13" s="466"/>
      <c r="AD13" s="466"/>
      <c r="AE13" s="466"/>
      <c r="AF13" s="466"/>
      <c r="AG13" s="467"/>
      <c r="AH13" s="459"/>
      <c r="AI13" s="460"/>
      <c r="AJ13" s="460"/>
      <c r="AK13" s="460"/>
      <c r="AL13" s="460"/>
      <c r="AM13" s="461"/>
      <c r="AN13" s="83"/>
      <c r="AO13" s="493"/>
      <c r="AP13" s="494"/>
      <c r="AQ13" s="494"/>
      <c r="AR13" s="494"/>
      <c r="AS13" s="494"/>
      <c r="AT13" s="49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485"/>
      <c r="C14" s="485"/>
      <c r="D14" s="486"/>
      <c r="E14" s="475" t="s">
        <v>130</v>
      </c>
      <c r="F14" s="476"/>
      <c r="G14" s="476"/>
      <c r="H14" s="476"/>
      <c r="I14" s="476"/>
      <c r="J14" s="453" t="str">
        <f>IF(AND('Mapa de Riesgos'!$H$12="Alta",'Mapa de Riesgos'!$L$12="Leve"),CONCATENATE("R",'Mapa de Riesgos'!$A$12),"")</f>
        <v/>
      </c>
      <c r="K14" s="454"/>
      <c r="L14" s="454" t="str">
        <f>IF(AND('Mapa de Riesgos'!$H$18="Alta",'Mapa de Riesgos'!$L$18="Leve"),CONCATENATE("R",'Mapa de Riesgos'!$A$18),"")</f>
        <v/>
      </c>
      <c r="M14" s="454"/>
      <c r="N14" s="454" t="str">
        <f>IF(AND('Mapa de Riesgos'!$H$24="Alta",'Mapa de Riesgos'!$L$24="Leve"),CONCATENATE("R",'Mapa de Riesgos'!$A$24),"")</f>
        <v/>
      </c>
      <c r="O14" s="455"/>
      <c r="P14" s="453" t="str">
        <f>IF(AND('Mapa de Riesgos'!$H$12="Alta",'Mapa de Riesgos'!$L$12="Menor"),CONCATENATE("R",'Mapa de Riesgos'!$A$12),"")</f>
        <v/>
      </c>
      <c r="Q14" s="454"/>
      <c r="R14" s="454" t="str">
        <f>IF(AND('Mapa de Riesgos'!$H$18="Alta",'Mapa de Riesgos'!$L$18="Menor"),CONCATENATE("R",'Mapa de Riesgos'!$A$18),"")</f>
        <v/>
      </c>
      <c r="S14" s="454"/>
      <c r="T14" s="454" t="str">
        <f>IF(AND('Mapa de Riesgos'!$H$24="Alta",'Mapa de Riesgos'!$L$24="Menor"),CONCATENATE("R",'Mapa de Riesgos'!$A$24),"")</f>
        <v/>
      </c>
      <c r="U14" s="455"/>
      <c r="V14" s="471" t="str">
        <f>IF(AND('Mapa de Riesgos'!$H$12="Alta",'Mapa de Riesgos'!$L$12="Moderado"),CONCATENATE("R",'Mapa de Riesgos'!$A$12),"")</f>
        <v/>
      </c>
      <c r="W14" s="472"/>
      <c r="X14" s="472" t="str">
        <f>IF(AND('Mapa de Riesgos'!$H$18="Alta",'Mapa de Riesgos'!$L$18="Moderado"),CONCATENATE("R",'Mapa de Riesgos'!$A$18),"")</f>
        <v/>
      </c>
      <c r="Y14" s="472"/>
      <c r="Z14" s="472" t="str">
        <f>IF(AND('Mapa de Riesgos'!$H$24="Alta",'Mapa de Riesgos'!$L$24="Moderado"),CONCATENATE("R",'Mapa de Riesgos'!$A$24),"")</f>
        <v/>
      </c>
      <c r="AA14" s="473"/>
      <c r="AB14" s="471" t="str">
        <f>IF(AND('Mapa de Riesgos'!$H$12="Alta",'Mapa de Riesgos'!$L$12="Mayor"),CONCATENATE("R",'Mapa de Riesgos'!$A$12),"")</f>
        <v/>
      </c>
      <c r="AC14" s="472"/>
      <c r="AD14" s="472" t="str">
        <f>IF(AND('Mapa de Riesgos'!$H$18="Alta",'Mapa de Riesgos'!$L$18="Mayor"),CONCATENATE("R",'Mapa de Riesgos'!$A$18),"")</f>
        <v/>
      </c>
      <c r="AE14" s="472"/>
      <c r="AF14" s="472" t="str">
        <f>IF(AND('Mapa de Riesgos'!$H$24="Alta",'Mapa de Riesgos'!$L$24="Mayor"),CONCATENATE("R",'Mapa de Riesgos'!$A$24),"")</f>
        <v/>
      </c>
      <c r="AG14" s="473"/>
      <c r="AH14" s="462" t="str">
        <f>IF(AND('Mapa de Riesgos'!$H$12="Alta",'Mapa de Riesgos'!$L$12="Catastrófico"),CONCATENATE("R",'Mapa de Riesgos'!$A$12),"")</f>
        <v/>
      </c>
      <c r="AI14" s="463"/>
      <c r="AJ14" s="463" t="str">
        <f>IF(AND('Mapa de Riesgos'!$H$18="Alta",'Mapa de Riesgos'!$L$18="Catastrófico"),CONCATENATE("R",'Mapa de Riesgos'!$A$18),"")</f>
        <v/>
      </c>
      <c r="AK14" s="463"/>
      <c r="AL14" s="463" t="str">
        <f>IF(AND('Mapa de Riesgos'!$H$24="Alta",'Mapa de Riesgos'!$L$24="Catastrófico"),CONCATENATE("R",'Mapa de Riesgos'!$A$24),"")</f>
        <v/>
      </c>
      <c r="AM14" s="464"/>
      <c r="AN14" s="83"/>
      <c r="AO14" s="496" t="s">
        <v>131</v>
      </c>
      <c r="AP14" s="497"/>
      <c r="AQ14" s="497"/>
      <c r="AR14" s="497"/>
      <c r="AS14" s="497"/>
      <c r="AT14" s="49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485"/>
      <c r="C15" s="485"/>
      <c r="D15" s="486"/>
      <c r="E15" s="478"/>
      <c r="F15" s="479"/>
      <c r="G15" s="479"/>
      <c r="H15" s="479"/>
      <c r="I15" s="479"/>
      <c r="J15" s="447"/>
      <c r="K15" s="448"/>
      <c r="L15" s="448"/>
      <c r="M15" s="448"/>
      <c r="N15" s="448"/>
      <c r="O15" s="449"/>
      <c r="P15" s="447"/>
      <c r="Q15" s="448"/>
      <c r="R15" s="448"/>
      <c r="S15" s="448"/>
      <c r="T15" s="448"/>
      <c r="U15" s="449"/>
      <c r="V15" s="465"/>
      <c r="W15" s="466"/>
      <c r="X15" s="466"/>
      <c r="Y15" s="466"/>
      <c r="Z15" s="466"/>
      <c r="AA15" s="467"/>
      <c r="AB15" s="465"/>
      <c r="AC15" s="466"/>
      <c r="AD15" s="466"/>
      <c r="AE15" s="466"/>
      <c r="AF15" s="466"/>
      <c r="AG15" s="467"/>
      <c r="AH15" s="456"/>
      <c r="AI15" s="457"/>
      <c r="AJ15" s="457"/>
      <c r="AK15" s="457"/>
      <c r="AL15" s="457"/>
      <c r="AM15" s="458"/>
      <c r="AN15" s="83"/>
      <c r="AO15" s="499"/>
      <c r="AP15" s="500"/>
      <c r="AQ15" s="500"/>
      <c r="AR15" s="500"/>
      <c r="AS15" s="500"/>
      <c r="AT15" s="50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485"/>
      <c r="C16" s="485"/>
      <c r="D16" s="486"/>
      <c r="E16" s="478"/>
      <c r="F16" s="479"/>
      <c r="G16" s="479"/>
      <c r="H16" s="479"/>
      <c r="I16" s="479"/>
      <c r="J16" s="447" t="str">
        <f>IF(AND('Mapa de Riesgos'!$H$30="Alta",'Mapa de Riesgos'!$L$30="Leve"),CONCATENATE("R",'Mapa de Riesgos'!$A$30),"")</f>
        <v/>
      </c>
      <c r="K16" s="448"/>
      <c r="L16" s="448" t="str">
        <f>IF(AND('Mapa de Riesgos'!$H$36="Alta",'Mapa de Riesgos'!$L$36="Leve"),CONCATENATE("R",'Mapa de Riesgos'!$A$36),"")</f>
        <v/>
      </c>
      <c r="M16" s="448"/>
      <c r="N16" s="448" t="str">
        <f>IF(AND('Mapa de Riesgos'!$H$42="Alta",'Mapa de Riesgos'!$L$42="Leve"),CONCATENATE("R",'Mapa de Riesgos'!$A$42),"")</f>
        <v/>
      </c>
      <c r="O16" s="449"/>
      <c r="P16" s="447" t="str">
        <f>IF(AND('Mapa de Riesgos'!$H$30="Alta",'Mapa de Riesgos'!$L$30="Menor"),CONCATENATE("R",'Mapa de Riesgos'!$A$30),"")</f>
        <v/>
      </c>
      <c r="Q16" s="448"/>
      <c r="R16" s="448" t="str">
        <f>IF(AND('Mapa de Riesgos'!$H$36="Alta",'Mapa de Riesgos'!$L$36="Menor"),CONCATENATE("R",'Mapa de Riesgos'!$A$36),"")</f>
        <v/>
      </c>
      <c r="S16" s="448"/>
      <c r="T16" s="448" t="str">
        <f>IF(AND('Mapa de Riesgos'!$H$42="Alta",'Mapa de Riesgos'!$L$42="Menor"),CONCATENATE("R",'Mapa de Riesgos'!$A$42),"")</f>
        <v/>
      </c>
      <c r="U16" s="449"/>
      <c r="V16" s="465" t="str">
        <f>IF(AND('Mapa de Riesgos'!$H$30="Alta",'Mapa de Riesgos'!$L$30="Moderado"),CONCATENATE("R",'Mapa de Riesgos'!$A$30),"")</f>
        <v/>
      </c>
      <c r="W16" s="466"/>
      <c r="X16" s="466" t="str">
        <f>IF(AND('Mapa de Riesgos'!$H$36="Alta",'Mapa de Riesgos'!$L$36="Moderado"),CONCATENATE("R",'Mapa de Riesgos'!$A$36),"")</f>
        <v/>
      </c>
      <c r="Y16" s="466"/>
      <c r="Z16" s="466" t="str">
        <f>IF(AND('Mapa de Riesgos'!$H$42="Alta",'Mapa de Riesgos'!$L$42="Moderado"),CONCATENATE("R",'Mapa de Riesgos'!$A$42),"")</f>
        <v/>
      </c>
      <c r="AA16" s="467"/>
      <c r="AB16" s="465" t="str">
        <f>IF(AND('Mapa de Riesgos'!$H$30="Alta",'Mapa de Riesgos'!$L$30="Mayor"),CONCATENATE("R",'Mapa de Riesgos'!$A$30),"")</f>
        <v/>
      </c>
      <c r="AC16" s="466"/>
      <c r="AD16" s="466" t="str">
        <f>IF(AND('Mapa de Riesgos'!$H$36="Alta",'Mapa de Riesgos'!$L$36="Mayor"),CONCATENATE("R",'Mapa de Riesgos'!$A$36),"")</f>
        <v/>
      </c>
      <c r="AE16" s="466"/>
      <c r="AF16" s="466" t="str">
        <f>IF(AND('Mapa de Riesgos'!$H$42="Alta",'Mapa de Riesgos'!$L$42="Mayor"),CONCATENATE("R",'Mapa de Riesgos'!$A$42),"")</f>
        <v/>
      </c>
      <c r="AG16" s="467"/>
      <c r="AH16" s="456" t="str">
        <f>IF(AND('Mapa de Riesgos'!$H$30="Alta",'Mapa de Riesgos'!$L$30="Catastrófico"),CONCATENATE("R",'Mapa de Riesgos'!$A$30),"")</f>
        <v/>
      </c>
      <c r="AI16" s="457"/>
      <c r="AJ16" s="457" t="str">
        <f>IF(AND('Mapa de Riesgos'!$H$36="Alta",'Mapa de Riesgos'!$L$36="Catastrófico"),CONCATENATE("R",'Mapa de Riesgos'!$A$36),"")</f>
        <v/>
      </c>
      <c r="AK16" s="457"/>
      <c r="AL16" s="457" t="str">
        <f>IF(AND('Mapa de Riesgos'!$H$42="Alta",'Mapa de Riesgos'!$L$42="Catastrófico"),CONCATENATE("R",'Mapa de Riesgos'!$A$42),"")</f>
        <v/>
      </c>
      <c r="AM16" s="458"/>
      <c r="AN16" s="83"/>
      <c r="AO16" s="499"/>
      <c r="AP16" s="500"/>
      <c r="AQ16" s="500"/>
      <c r="AR16" s="500"/>
      <c r="AS16" s="500"/>
      <c r="AT16" s="50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485"/>
      <c r="C17" s="485"/>
      <c r="D17" s="486"/>
      <c r="E17" s="478"/>
      <c r="F17" s="479"/>
      <c r="G17" s="479"/>
      <c r="H17" s="479"/>
      <c r="I17" s="479"/>
      <c r="J17" s="447"/>
      <c r="K17" s="448"/>
      <c r="L17" s="448"/>
      <c r="M17" s="448"/>
      <c r="N17" s="448"/>
      <c r="O17" s="449"/>
      <c r="P17" s="447"/>
      <c r="Q17" s="448"/>
      <c r="R17" s="448"/>
      <c r="S17" s="448"/>
      <c r="T17" s="448"/>
      <c r="U17" s="449"/>
      <c r="V17" s="465"/>
      <c r="W17" s="466"/>
      <c r="X17" s="466"/>
      <c r="Y17" s="466"/>
      <c r="Z17" s="466"/>
      <c r="AA17" s="467"/>
      <c r="AB17" s="465"/>
      <c r="AC17" s="466"/>
      <c r="AD17" s="466"/>
      <c r="AE17" s="466"/>
      <c r="AF17" s="466"/>
      <c r="AG17" s="467"/>
      <c r="AH17" s="456"/>
      <c r="AI17" s="457"/>
      <c r="AJ17" s="457"/>
      <c r="AK17" s="457"/>
      <c r="AL17" s="457"/>
      <c r="AM17" s="458"/>
      <c r="AN17" s="83"/>
      <c r="AO17" s="499"/>
      <c r="AP17" s="500"/>
      <c r="AQ17" s="500"/>
      <c r="AR17" s="500"/>
      <c r="AS17" s="500"/>
      <c r="AT17" s="50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485"/>
      <c r="C18" s="485"/>
      <c r="D18" s="486"/>
      <c r="E18" s="478"/>
      <c r="F18" s="479"/>
      <c r="G18" s="479"/>
      <c r="H18" s="479"/>
      <c r="I18" s="479"/>
      <c r="J18" s="447" t="str">
        <f>IF(AND('Mapa de Riesgos'!$H$48="Alta",'Mapa de Riesgos'!$L$48="Leve"),CONCATENATE("R",'Mapa de Riesgos'!$A$48),"")</f>
        <v/>
      </c>
      <c r="K18" s="448"/>
      <c r="L18" s="448" t="str">
        <f>IF(AND('Mapa de Riesgos'!$H$54="Alta",'Mapa de Riesgos'!$L$54="Leve"),CONCATENATE("R",'Mapa de Riesgos'!$A$54),"")</f>
        <v/>
      </c>
      <c r="M18" s="448"/>
      <c r="N18" s="448" t="str">
        <f>IF(AND('Mapa de Riesgos'!$H$60="Alta",'Mapa de Riesgos'!$L$60="Leve"),CONCATENATE("R",'Mapa de Riesgos'!$A$60),"")</f>
        <v/>
      </c>
      <c r="O18" s="449"/>
      <c r="P18" s="447" t="str">
        <f>IF(AND('Mapa de Riesgos'!$H$48="Alta",'Mapa de Riesgos'!$L$48="Menor"),CONCATENATE("R",'Mapa de Riesgos'!$A$48),"")</f>
        <v/>
      </c>
      <c r="Q18" s="448"/>
      <c r="R18" s="448" t="str">
        <f>IF(AND('Mapa de Riesgos'!$H$54="Alta",'Mapa de Riesgos'!$L$54="Menor"),CONCATENATE("R",'Mapa de Riesgos'!$A$54),"")</f>
        <v/>
      </c>
      <c r="S18" s="448"/>
      <c r="T18" s="448" t="str">
        <f>IF(AND('Mapa de Riesgos'!$H$60="Alta",'Mapa de Riesgos'!$L$60="Menor"),CONCATENATE("R",'Mapa de Riesgos'!$A$60),"")</f>
        <v/>
      </c>
      <c r="U18" s="449"/>
      <c r="V18" s="465" t="str">
        <f>IF(AND('Mapa de Riesgos'!$H$48="Alta",'Mapa de Riesgos'!$L$48="Moderado"),CONCATENATE("R",'Mapa de Riesgos'!$A$48),"")</f>
        <v/>
      </c>
      <c r="W18" s="466"/>
      <c r="X18" s="466" t="str">
        <f>IF(AND('Mapa de Riesgos'!$H$54="Alta",'Mapa de Riesgos'!$L$54="Moderado"),CONCATENATE("R",'Mapa de Riesgos'!$A$54),"")</f>
        <v/>
      </c>
      <c r="Y18" s="466"/>
      <c r="Z18" s="466" t="str">
        <f>IF(AND('Mapa de Riesgos'!$H$60="Alta",'Mapa de Riesgos'!$L$60="Moderado"),CONCATENATE("R",'Mapa de Riesgos'!$A$60),"")</f>
        <v/>
      </c>
      <c r="AA18" s="467"/>
      <c r="AB18" s="465" t="str">
        <f>IF(AND('Mapa de Riesgos'!$H$48="Alta",'Mapa de Riesgos'!$L$48="Mayor"),CONCATENATE("R",'Mapa de Riesgos'!$A$48),"")</f>
        <v/>
      </c>
      <c r="AC18" s="466"/>
      <c r="AD18" s="466" t="str">
        <f>IF(AND('Mapa de Riesgos'!$H$54="Alta",'Mapa de Riesgos'!$L$54="Mayor"),CONCATENATE("R",'Mapa de Riesgos'!$A$54),"")</f>
        <v/>
      </c>
      <c r="AE18" s="466"/>
      <c r="AF18" s="466" t="str">
        <f>IF(AND('Mapa de Riesgos'!$H$60="Alta",'Mapa de Riesgos'!$L$60="Mayor"),CONCATENATE("R",'Mapa de Riesgos'!$A$60),"")</f>
        <v/>
      </c>
      <c r="AG18" s="467"/>
      <c r="AH18" s="456" t="str">
        <f>IF(AND('Mapa de Riesgos'!$H$48="Alta",'Mapa de Riesgos'!$L$48="Catastrófico"),CONCATENATE("R",'Mapa de Riesgos'!$A$48),"")</f>
        <v/>
      </c>
      <c r="AI18" s="457"/>
      <c r="AJ18" s="457" t="str">
        <f>IF(AND('Mapa de Riesgos'!$H$54="Alta",'Mapa de Riesgos'!$L$54="Catastrófico"),CONCATENATE("R",'Mapa de Riesgos'!$A$54),"")</f>
        <v/>
      </c>
      <c r="AK18" s="457"/>
      <c r="AL18" s="457" t="str">
        <f>IF(AND('Mapa de Riesgos'!$H$60="Alta",'Mapa de Riesgos'!$L$60="Catastrófico"),CONCATENATE("R",'Mapa de Riesgos'!$A$60),"")</f>
        <v/>
      </c>
      <c r="AM18" s="458"/>
      <c r="AN18" s="83"/>
      <c r="AO18" s="499"/>
      <c r="AP18" s="500"/>
      <c r="AQ18" s="500"/>
      <c r="AR18" s="500"/>
      <c r="AS18" s="500"/>
      <c r="AT18" s="50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485"/>
      <c r="C19" s="485"/>
      <c r="D19" s="486"/>
      <c r="E19" s="478"/>
      <c r="F19" s="479"/>
      <c r="G19" s="479"/>
      <c r="H19" s="479"/>
      <c r="I19" s="479"/>
      <c r="J19" s="447"/>
      <c r="K19" s="448"/>
      <c r="L19" s="448"/>
      <c r="M19" s="448"/>
      <c r="N19" s="448"/>
      <c r="O19" s="449"/>
      <c r="P19" s="447"/>
      <c r="Q19" s="448"/>
      <c r="R19" s="448"/>
      <c r="S19" s="448"/>
      <c r="T19" s="448"/>
      <c r="U19" s="449"/>
      <c r="V19" s="465"/>
      <c r="W19" s="466"/>
      <c r="X19" s="466"/>
      <c r="Y19" s="466"/>
      <c r="Z19" s="466"/>
      <c r="AA19" s="467"/>
      <c r="AB19" s="465"/>
      <c r="AC19" s="466"/>
      <c r="AD19" s="466"/>
      <c r="AE19" s="466"/>
      <c r="AF19" s="466"/>
      <c r="AG19" s="467"/>
      <c r="AH19" s="456"/>
      <c r="AI19" s="457"/>
      <c r="AJ19" s="457"/>
      <c r="AK19" s="457"/>
      <c r="AL19" s="457"/>
      <c r="AM19" s="458"/>
      <c r="AN19" s="83"/>
      <c r="AO19" s="499"/>
      <c r="AP19" s="500"/>
      <c r="AQ19" s="500"/>
      <c r="AR19" s="500"/>
      <c r="AS19" s="500"/>
      <c r="AT19" s="50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485"/>
      <c r="C20" s="485"/>
      <c r="D20" s="486"/>
      <c r="E20" s="478"/>
      <c r="F20" s="479"/>
      <c r="G20" s="479"/>
      <c r="H20" s="479"/>
      <c r="I20" s="479"/>
      <c r="J20" s="447" t="str">
        <f>IF(AND('Mapa de Riesgos'!$H$66="Alta",'Mapa de Riesgos'!$L$66="Leve"),CONCATENATE("R",'Mapa de Riesgos'!$A$66),"")</f>
        <v/>
      </c>
      <c r="K20" s="448"/>
      <c r="L20" s="448" t="str">
        <f>IF(AND('Mapa de Riesgos'!$H$72="Alta",'Mapa de Riesgos'!$L$72="Leve"),CONCATENATE("R",'Mapa de Riesgos'!$A$72),"")</f>
        <v/>
      </c>
      <c r="M20" s="448"/>
      <c r="N20" s="448" t="str">
        <f>IF(AND('Mapa de Riesgos'!$H$78="Alta",'Mapa de Riesgos'!$L$78="Leve"),CONCATENATE("R",'Mapa de Riesgos'!$A$78),"")</f>
        <v/>
      </c>
      <c r="O20" s="449"/>
      <c r="P20" s="447" t="str">
        <f>IF(AND('Mapa de Riesgos'!$H$66="Alta",'Mapa de Riesgos'!$L$66="Menor"),CONCATENATE("R",'Mapa de Riesgos'!$A$66),"")</f>
        <v/>
      </c>
      <c r="Q20" s="448"/>
      <c r="R20" s="448" t="str">
        <f>IF(AND('Mapa de Riesgos'!$H$72="Alta",'Mapa de Riesgos'!$L$72="Menor"),CONCATENATE("R",'Mapa de Riesgos'!$A$72),"")</f>
        <v/>
      </c>
      <c r="S20" s="448"/>
      <c r="T20" s="448" t="str">
        <f>IF(AND('Mapa de Riesgos'!$H$78="Alta",'Mapa de Riesgos'!$L$78="Menor"),CONCATENATE("R",'Mapa de Riesgos'!$A$78),"")</f>
        <v/>
      </c>
      <c r="U20" s="449"/>
      <c r="V20" s="465" t="str">
        <f>IF(AND('Mapa de Riesgos'!$H$66="Alta",'Mapa de Riesgos'!$L$66="Moderado"),CONCATENATE("R",'Mapa de Riesgos'!$A$66),"")</f>
        <v/>
      </c>
      <c r="W20" s="466"/>
      <c r="X20" s="466" t="str">
        <f>IF(AND('Mapa de Riesgos'!$H$72="Alta",'Mapa de Riesgos'!$L$72="Moderado"),CONCATENATE("R",'Mapa de Riesgos'!$A$72),"")</f>
        <v/>
      </c>
      <c r="Y20" s="466"/>
      <c r="Z20" s="466" t="str">
        <f>IF(AND('Mapa de Riesgos'!$H$78="Alta",'Mapa de Riesgos'!$L$78="Moderado"),CONCATENATE("R",'Mapa de Riesgos'!$A$78),"")</f>
        <v/>
      </c>
      <c r="AA20" s="467"/>
      <c r="AB20" s="465" t="str">
        <f>IF(AND('Mapa de Riesgos'!$H$66="Alta",'Mapa de Riesgos'!$L$66="Mayor"),CONCATENATE("R",'Mapa de Riesgos'!$A$66),"")</f>
        <v/>
      </c>
      <c r="AC20" s="466"/>
      <c r="AD20" s="466" t="str">
        <f>IF(AND('Mapa de Riesgos'!$H$72="Alta",'Mapa de Riesgos'!$L$72="Mayor"),CONCATENATE("R",'Mapa de Riesgos'!$A$72),"")</f>
        <v/>
      </c>
      <c r="AE20" s="466"/>
      <c r="AF20" s="466" t="str">
        <f>IF(AND('Mapa de Riesgos'!$H$78="Alta",'Mapa de Riesgos'!$L$78="Mayor"),CONCATENATE("R",'Mapa de Riesgos'!$A$78),"")</f>
        <v/>
      </c>
      <c r="AG20" s="467"/>
      <c r="AH20" s="456" t="str">
        <f>IF(AND('Mapa de Riesgos'!$H$66="Alta",'Mapa de Riesgos'!$L$66="Catastrófico"),CONCATENATE("R",'Mapa de Riesgos'!$A$66),"")</f>
        <v/>
      </c>
      <c r="AI20" s="457"/>
      <c r="AJ20" s="457" t="str">
        <f>IF(AND('Mapa de Riesgos'!$H$72="Alta",'Mapa de Riesgos'!$L$72="Catastrófico"),CONCATENATE("R",'Mapa de Riesgos'!$A$72),"")</f>
        <v/>
      </c>
      <c r="AK20" s="457"/>
      <c r="AL20" s="457" t="str">
        <f>IF(AND('Mapa de Riesgos'!$H$78="Alta",'Mapa de Riesgos'!$L$78="Catastrófico"),CONCATENATE("R",'Mapa de Riesgos'!$A$78),"")</f>
        <v/>
      </c>
      <c r="AM20" s="458"/>
      <c r="AN20" s="83"/>
      <c r="AO20" s="499"/>
      <c r="AP20" s="500"/>
      <c r="AQ20" s="500"/>
      <c r="AR20" s="500"/>
      <c r="AS20" s="500"/>
      <c r="AT20" s="50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485"/>
      <c r="C21" s="485"/>
      <c r="D21" s="486"/>
      <c r="E21" s="481"/>
      <c r="F21" s="482"/>
      <c r="G21" s="482"/>
      <c r="H21" s="482"/>
      <c r="I21" s="482"/>
      <c r="J21" s="450"/>
      <c r="K21" s="451"/>
      <c r="L21" s="451"/>
      <c r="M21" s="451"/>
      <c r="N21" s="451"/>
      <c r="O21" s="452"/>
      <c r="P21" s="450"/>
      <c r="Q21" s="451"/>
      <c r="R21" s="451"/>
      <c r="S21" s="451"/>
      <c r="T21" s="451"/>
      <c r="U21" s="452"/>
      <c r="V21" s="468"/>
      <c r="W21" s="469"/>
      <c r="X21" s="469"/>
      <c r="Y21" s="469"/>
      <c r="Z21" s="469"/>
      <c r="AA21" s="470"/>
      <c r="AB21" s="468"/>
      <c r="AC21" s="469"/>
      <c r="AD21" s="469"/>
      <c r="AE21" s="469"/>
      <c r="AF21" s="469"/>
      <c r="AG21" s="470"/>
      <c r="AH21" s="459"/>
      <c r="AI21" s="460"/>
      <c r="AJ21" s="460"/>
      <c r="AK21" s="460"/>
      <c r="AL21" s="460"/>
      <c r="AM21" s="461"/>
      <c r="AN21" s="83"/>
      <c r="AO21" s="502"/>
      <c r="AP21" s="503"/>
      <c r="AQ21" s="503"/>
      <c r="AR21" s="503"/>
      <c r="AS21" s="503"/>
      <c r="AT21" s="50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485"/>
      <c r="C22" s="485"/>
      <c r="D22" s="486"/>
      <c r="E22" s="475" t="s">
        <v>132</v>
      </c>
      <c r="F22" s="476"/>
      <c r="G22" s="476"/>
      <c r="H22" s="476"/>
      <c r="I22" s="477"/>
      <c r="J22" s="453" t="str">
        <f>IF(AND('Mapa de Riesgos'!$H$12="Media",'Mapa de Riesgos'!$L$12="Leve"),CONCATENATE("R",'Mapa de Riesgos'!$A$12),"")</f>
        <v/>
      </c>
      <c r="K22" s="454"/>
      <c r="L22" s="454" t="str">
        <f>IF(AND('Mapa de Riesgos'!$H$18="Media",'Mapa de Riesgos'!$L$18="Leve"),CONCATENATE("R",'Mapa de Riesgos'!$A$18),"")</f>
        <v/>
      </c>
      <c r="M22" s="454"/>
      <c r="N22" s="454" t="str">
        <f>IF(AND('Mapa de Riesgos'!$H$24="Media",'Mapa de Riesgos'!$L$24="Leve"),CONCATENATE("R",'Mapa de Riesgos'!$A$24),"")</f>
        <v/>
      </c>
      <c r="O22" s="455"/>
      <c r="P22" s="453" t="str">
        <f>IF(AND('Mapa de Riesgos'!$H$12="Media",'Mapa de Riesgos'!$L$12="Menor"),CONCATENATE("R",'Mapa de Riesgos'!$A$12),"")</f>
        <v/>
      </c>
      <c r="Q22" s="454"/>
      <c r="R22" s="454" t="str">
        <f>IF(AND('Mapa de Riesgos'!$H$18="Media",'Mapa de Riesgos'!$L$18="Menor"),CONCATENATE("R",'Mapa de Riesgos'!$A$18),"")</f>
        <v/>
      </c>
      <c r="S22" s="454"/>
      <c r="T22" s="454" t="str">
        <f>IF(AND('Mapa de Riesgos'!$H$24="Media",'Mapa de Riesgos'!$L$24="Menor"),CONCATENATE("R",'Mapa de Riesgos'!$A$24),"")</f>
        <v/>
      </c>
      <c r="U22" s="455"/>
      <c r="V22" s="453" t="str">
        <f>IF(AND('Mapa de Riesgos'!$H$12="Media",'Mapa de Riesgos'!$L$12="Moderado"),CONCATENATE("R",'Mapa de Riesgos'!$A$12),"")</f>
        <v/>
      </c>
      <c r="W22" s="454"/>
      <c r="X22" s="454" t="str">
        <f>IF(AND('Mapa de Riesgos'!$H$18="Media",'Mapa de Riesgos'!$L$18="Moderado"),CONCATENATE("R",'Mapa de Riesgos'!$A$18),"")</f>
        <v/>
      </c>
      <c r="Y22" s="454"/>
      <c r="Z22" s="454" t="str">
        <f>IF(AND('Mapa de Riesgos'!$H$24="Media",'Mapa de Riesgos'!$L$24="Moderado"),CONCATENATE("R",'Mapa de Riesgos'!$A$24),"")</f>
        <v/>
      </c>
      <c r="AA22" s="455"/>
      <c r="AB22" s="471" t="str">
        <f>IF(AND('Mapa de Riesgos'!$H$12="Media",'Mapa de Riesgos'!$L$12="Mayor"),CONCATENATE("R",'Mapa de Riesgos'!$A$12),"")</f>
        <v/>
      </c>
      <c r="AC22" s="472"/>
      <c r="AD22" s="472" t="str">
        <f>IF(AND('Mapa de Riesgos'!$H$18="Media",'Mapa de Riesgos'!$L$18="Mayor"),CONCATENATE("R",'Mapa de Riesgos'!$A$18),"")</f>
        <v/>
      </c>
      <c r="AE22" s="472"/>
      <c r="AF22" s="472" t="str">
        <f>IF(AND('Mapa de Riesgos'!$H$24="Media",'Mapa de Riesgos'!$L$24="Mayor"),CONCATENATE("R",'Mapa de Riesgos'!$A$24),"")</f>
        <v/>
      </c>
      <c r="AG22" s="473"/>
      <c r="AH22" s="462" t="str">
        <f>IF(AND('Mapa de Riesgos'!$H$12="Media",'Mapa de Riesgos'!$L$12="Catastrófico"),CONCATENATE("R",'Mapa de Riesgos'!$A$12),"")</f>
        <v/>
      </c>
      <c r="AI22" s="463"/>
      <c r="AJ22" s="463" t="str">
        <f>IF(AND('Mapa de Riesgos'!$H$18="Media",'Mapa de Riesgos'!$L$18="Catastrófico"),CONCATENATE("R",'Mapa de Riesgos'!$A$18),"")</f>
        <v/>
      </c>
      <c r="AK22" s="463"/>
      <c r="AL22" s="463" t="str">
        <f>IF(AND('Mapa de Riesgos'!$H$24="Media",'Mapa de Riesgos'!$L$24="Catastrófico"),CONCATENATE("R",'Mapa de Riesgos'!$A$24),"")</f>
        <v/>
      </c>
      <c r="AM22" s="464"/>
      <c r="AN22" s="83"/>
      <c r="AO22" s="505" t="s">
        <v>133</v>
      </c>
      <c r="AP22" s="506"/>
      <c r="AQ22" s="506"/>
      <c r="AR22" s="506"/>
      <c r="AS22" s="506"/>
      <c r="AT22" s="50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485"/>
      <c r="C23" s="485"/>
      <c r="D23" s="486"/>
      <c r="E23" s="478"/>
      <c r="F23" s="479"/>
      <c r="G23" s="479"/>
      <c r="H23" s="479"/>
      <c r="I23" s="480"/>
      <c r="J23" s="447"/>
      <c r="K23" s="448"/>
      <c r="L23" s="448"/>
      <c r="M23" s="448"/>
      <c r="N23" s="448"/>
      <c r="O23" s="449"/>
      <c r="P23" s="447"/>
      <c r="Q23" s="448"/>
      <c r="R23" s="448"/>
      <c r="S23" s="448"/>
      <c r="T23" s="448"/>
      <c r="U23" s="449"/>
      <c r="V23" s="447"/>
      <c r="W23" s="448"/>
      <c r="X23" s="448"/>
      <c r="Y23" s="448"/>
      <c r="Z23" s="448"/>
      <c r="AA23" s="449"/>
      <c r="AB23" s="465"/>
      <c r="AC23" s="466"/>
      <c r="AD23" s="466"/>
      <c r="AE23" s="466"/>
      <c r="AF23" s="466"/>
      <c r="AG23" s="467"/>
      <c r="AH23" s="456"/>
      <c r="AI23" s="457"/>
      <c r="AJ23" s="457"/>
      <c r="AK23" s="457"/>
      <c r="AL23" s="457"/>
      <c r="AM23" s="458"/>
      <c r="AN23" s="83"/>
      <c r="AO23" s="508"/>
      <c r="AP23" s="509"/>
      <c r="AQ23" s="509"/>
      <c r="AR23" s="509"/>
      <c r="AS23" s="509"/>
      <c r="AT23" s="51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485"/>
      <c r="C24" s="485"/>
      <c r="D24" s="486"/>
      <c r="E24" s="478"/>
      <c r="F24" s="479"/>
      <c r="G24" s="479"/>
      <c r="H24" s="479"/>
      <c r="I24" s="480"/>
      <c r="J24" s="447" t="str">
        <f>IF(AND('Mapa de Riesgos'!$H$30="Media",'Mapa de Riesgos'!$L$30="Leve"),CONCATENATE("R",'Mapa de Riesgos'!$A$30),"")</f>
        <v/>
      </c>
      <c r="K24" s="448"/>
      <c r="L24" s="448" t="str">
        <f>IF(AND('Mapa de Riesgos'!$H$36="Media",'Mapa de Riesgos'!$L$36="Leve"),CONCATENATE("R",'Mapa de Riesgos'!$A$36),"")</f>
        <v/>
      </c>
      <c r="M24" s="448"/>
      <c r="N24" s="448" t="str">
        <f>IF(AND('Mapa de Riesgos'!$H$42="Media",'Mapa de Riesgos'!$L$42="Leve"),CONCATENATE("R",'Mapa de Riesgos'!$A$42),"")</f>
        <v/>
      </c>
      <c r="O24" s="449"/>
      <c r="P24" s="447" t="str">
        <f>IF(AND('Mapa de Riesgos'!$H$30="Media",'Mapa de Riesgos'!$L$30="Menor"),CONCATENATE("R",'Mapa de Riesgos'!$A$30),"")</f>
        <v/>
      </c>
      <c r="Q24" s="448"/>
      <c r="R24" s="448" t="str">
        <f>IF(AND('Mapa de Riesgos'!$H$36="Media",'Mapa de Riesgos'!$L$36="Menor"),CONCATENATE("R",'Mapa de Riesgos'!$A$36),"")</f>
        <v/>
      </c>
      <c r="S24" s="448"/>
      <c r="T24" s="448" t="str">
        <f>IF(AND('Mapa de Riesgos'!$H$42="Media",'Mapa de Riesgos'!$L$42="Menor"),CONCATENATE("R",'Mapa de Riesgos'!$A$42),"")</f>
        <v/>
      </c>
      <c r="U24" s="449"/>
      <c r="V24" s="447" t="str">
        <f>IF(AND('Mapa de Riesgos'!$H$30="Media",'Mapa de Riesgos'!$L$30="Moderado"),CONCATENATE("R",'Mapa de Riesgos'!$A$30),"")</f>
        <v/>
      </c>
      <c r="W24" s="448"/>
      <c r="X24" s="448" t="str">
        <f>IF(AND('Mapa de Riesgos'!$H$36="Media",'Mapa de Riesgos'!$L$36="Moderado"),CONCATENATE("R",'Mapa de Riesgos'!$A$36),"")</f>
        <v/>
      </c>
      <c r="Y24" s="448"/>
      <c r="Z24" s="448" t="str">
        <f>IF(AND('Mapa de Riesgos'!$H$42="Media",'Mapa de Riesgos'!$L$42="Moderado"),CONCATENATE("R",'Mapa de Riesgos'!$A$42),"")</f>
        <v/>
      </c>
      <c r="AA24" s="449"/>
      <c r="AB24" s="465" t="str">
        <f>IF(AND('Mapa de Riesgos'!$H$30="Media",'Mapa de Riesgos'!$L$30="Mayor"),CONCATENATE("R",'Mapa de Riesgos'!$A$30),"")</f>
        <v/>
      </c>
      <c r="AC24" s="466"/>
      <c r="AD24" s="466" t="str">
        <f>IF(AND('Mapa de Riesgos'!$H$36="Media",'Mapa de Riesgos'!$L$36="Mayor"),CONCATENATE("R",'Mapa de Riesgos'!$A$36),"")</f>
        <v/>
      </c>
      <c r="AE24" s="466"/>
      <c r="AF24" s="466" t="str">
        <f>IF(AND('Mapa de Riesgos'!$H$42="Media",'Mapa de Riesgos'!$L$42="Mayor"),CONCATENATE("R",'Mapa de Riesgos'!$A$42),"")</f>
        <v/>
      </c>
      <c r="AG24" s="467"/>
      <c r="AH24" s="456" t="str">
        <f>IF(AND('Mapa de Riesgos'!$H$30="Media",'Mapa de Riesgos'!$L$30="Catastrófico"),CONCATENATE("R",'Mapa de Riesgos'!$A$30),"")</f>
        <v/>
      </c>
      <c r="AI24" s="457"/>
      <c r="AJ24" s="457" t="str">
        <f>IF(AND('Mapa de Riesgos'!$H$36="Media",'Mapa de Riesgos'!$L$36="Catastrófico"),CONCATENATE("R",'Mapa de Riesgos'!$A$36),"")</f>
        <v/>
      </c>
      <c r="AK24" s="457"/>
      <c r="AL24" s="457" t="str">
        <f>IF(AND('Mapa de Riesgos'!$H$42="Media",'Mapa de Riesgos'!$L$42="Catastrófico"),CONCATENATE("R",'Mapa de Riesgos'!$A$42),"")</f>
        <v/>
      </c>
      <c r="AM24" s="458"/>
      <c r="AN24" s="83"/>
      <c r="AO24" s="508"/>
      <c r="AP24" s="509"/>
      <c r="AQ24" s="509"/>
      <c r="AR24" s="509"/>
      <c r="AS24" s="509"/>
      <c r="AT24" s="51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485"/>
      <c r="C25" s="485"/>
      <c r="D25" s="486"/>
      <c r="E25" s="478"/>
      <c r="F25" s="479"/>
      <c r="G25" s="479"/>
      <c r="H25" s="479"/>
      <c r="I25" s="480"/>
      <c r="J25" s="447"/>
      <c r="K25" s="448"/>
      <c r="L25" s="448"/>
      <c r="M25" s="448"/>
      <c r="N25" s="448"/>
      <c r="O25" s="449"/>
      <c r="P25" s="447"/>
      <c r="Q25" s="448"/>
      <c r="R25" s="448"/>
      <c r="S25" s="448"/>
      <c r="T25" s="448"/>
      <c r="U25" s="449"/>
      <c r="V25" s="447"/>
      <c r="W25" s="448"/>
      <c r="X25" s="448"/>
      <c r="Y25" s="448"/>
      <c r="Z25" s="448"/>
      <c r="AA25" s="449"/>
      <c r="AB25" s="465"/>
      <c r="AC25" s="466"/>
      <c r="AD25" s="466"/>
      <c r="AE25" s="466"/>
      <c r="AF25" s="466"/>
      <c r="AG25" s="467"/>
      <c r="AH25" s="456"/>
      <c r="AI25" s="457"/>
      <c r="AJ25" s="457"/>
      <c r="AK25" s="457"/>
      <c r="AL25" s="457"/>
      <c r="AM25" s="458"/>
      <c r="AN25" s="83"/>
      <c r="AO25" s="508"/>
      <c r="AP25" s="509"/>
      <c r="AQ25" s="509"/>
      <c r="AR25" s="509"/>
      <c r="AS25" s="509"/>
      <c r="AT25" s="51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485"/>
      <c r="C26" s="485"/>
      <c r="D26" s="486"/>
      <c r="E26" s="478"/>
      <c r="F26" s="479"/>
      <c r="G26" s="479"/>
      <c r="H26" s="479"/>
      <c r="I26" s="480"/>
      <c r="J26" s="447" t="str">
        <f>IF(AND('Mapa de Riesgos'!$H$48="Media",'Mapa de Riesgos'!$L$48="Leve"),CONCATENATE("R",'Mapa de Riesgos'!$A$48),"")</f>
        <v/>
      </c>
      <c r="K26" s="448"/>
      <c r="L26" s="448" t="str">
        <f>IF(AND('Mapa de Riesgos'!$H$54="Media",'Mapa de Riesgos'!$L$54="Leve"),CONCATENATE("R",'Mapa de Riesgos'!$A$54),"")</f>
        <v/>
      </c>
      <c r="M26" s="448"/>
      <c r="N26" s="448" t="str">
        <f>IF(AND('Mapa de Riesgos'!$H$60="Media",'Mapa de Riesgos'!$L$60="Leve"),CONCATENATE("R",'Mapa de Riesgos'!$A$60),"")</f>
        <v/>
      </c>
      <c r="O26" s="449"/>
      <c r="P26" s="447" t="str">
        <f>IF(AND('Mapa de Riesgos'!$H$48="Media",'Mapa de Riesgos'!$L$48="Menor"),CONCATENATE("R",'Mapa de Riesgos'!$A$48),"")</f>
        <v/>
      </c>
      <c r="Q26" s="448"/>
      <c r="R26" s="448" t="str">
        <f>IF(AND('Mapa de Riesgos'!$H$54="Media",'Mapa de Riesgos'!$L$54="Menor"),CONCATENATE("R",'Mapa de Riesgos'!$A$54),"")</f>
        <v/>
      </c>
      <c r="S26" s="448"/>
      <c r="T26" s="448" t="str">
        <f>IF(AND('Mapa de Riesgos'!$H$60="Media",'Mapa de Riesgos'!$L$60="Menor"),CONCATENATE("R",'Mapa de Riesgos'!$A$60),"")</f>
        <v/>
      </c>
      <c r="U26" s="449"/>
      <c r="V26" s="447" t="str">
        <f>IF(AND('Mapa de Riesgos'!$H$48="Media",'Mapa de Riesgos'!$L$48="Moderado"),CONCATENATE("R",'Mapa de Riesgos'!$A$48),"")</f>
        <v/>
      </c>
      <c r="W26" s="448"/>
      <c r="X26" s="448" t="str">
        <f>IF(AND('Mapa de Riesgos'!$H$54="Media",'Mapa de Riesgos'!$L$54="Moderado"),CONCATENATE("R",'Mapa de Riesgos'!$A$54),"")</f>
        <v/>
      </c>
      <c r="Y26" s="448"/>
      <c r="Z26" s="448" t="str">
        <f>IF(AND('Mapa de Riesgos'!$H$60="Media",'Mapa de Riesgos'!$L$60="Moderado"),CONCATENATE("R",'Mapa de Riesgos'!$A$60),"")</f>
        <v/>
      </c>
      <c r="AA26" s="449"/>
      <c r="AB26" s="465" t="str">
        <f>IF(AND('Mapa de Riesgos'!$H$48="Media",'Mapa de Riesgos'!$L$48="Mayor"),CONCATENATE("R",'Mapa de Riesgos'!$A$48),"")</f>
        <v/>
      </c>
      <c r="AC26" s="466"/>
      <c r="AD26" s="466" t="str">
        <f>IF(AND('Mapa de Riesgos'!$H$54="Media",'Mapa de Riesgos'!$L$54="Mayor"),CONCATENATE("R",'Mapa de Riesgos'!$A$54),"")</f>
        <v/>
      </c>
      <c r="AE26" s="466"/>
      <c r="AF26" s="466" t="str">
        <f>IF(AND('Mapa de Riesgos'!$H$60="Media",'Mapa de Riesgos'!$L$60="Mayor"),CONCATENATE("R",'Mapa de Riesgos'!$A$60),"")</f>
        <v/>
      </c>
      <c r="AG26" s="467"/>
      <c r="AH26" s="456" t="str">
        <f>IF(AND('Mapa de Riesgos'!$H$48="Media",'Mapa de Riesgos'!$L$48="Catastrófico"),CONCATENATE("R",'Mapa de Riesgos'!$A$48),"")</f>
        <v/>
      </c>
      <c r="AI26" s="457"/>
      <c r="AJ26" s="457" t="str">
        <f>IF(AND('Mapa de Riesgos'!$H$54="Media",'Mapa de Riesgos'!$L$54="Catastrófico"),CONCATENATE("R",'Mapa de Riesgos'!$A$54),"")</f>
        <v/>
      </c>
      <c r="AK26" s="457"/>
      <c r="AL26" s="457" t="str">
        <f>IF(AND('Mapa de Riesgos'!$H$60="Media",'Mapa de Riesgos'!$L$60="Catastrófico"),CONCATENATE("R",'Mapa de Riesgos'!$A$60),"")</f>
        <v/>
      </c>
      <c r="AM26" s="458"/>
      <c r="AN26" s="83"/>
      <c r="AO26" s="508"/>
      <c r="AP26" s="509"/>
      <c r="AQ26" s="509"/>
      <c r="AR26" s="509"/>
      <c r="AS26" s="509"/>
      <c r="AT26" s="51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485"/>
      <c r="C27" s="485"/>
      <c r="D27" s="486"/>
      <c r="E27" s="478"/>
      <c r="F27" s="479"/>
      <c r="G27" s="479"/>
      <c r="H27" s="479"/>
      <c r="I27" s="480"/>
      <c r="J27" s="447"/>
      <c r="K27" s="448"/>
      <c r="L27" s="448"/>
      <c r="M27" s="448"/>
      <c r="N27" s="448"/>
      <c r="O27" s="449"/>
      <c r="P27" s="447"/>
      <c r="Q27" s="448"/>
      <c r="R27" s="448"/>
      <c r="S27" s="448"/>
      <c r="T27" s="448"/>
      <c r="U27" s="449"/>
      <c r="V27" s="447"/>
      <c r="W27" s="448"/>
      <c r="X27" s="448"/>
      <c r="Y27" s="448"/>
      <c r="Z27" s="448"/>
      <c r="AA27" s="449"/>
      <c r="AB27" s="465"/>
      <c r="AC27" s="466"/>
      <c r="AD27" s="466"/>
      <c r="AE27" s="466"/>
      <c r="AF27" s="466"/>
      <c r="AG27" s="467"/>
      <c r="AH27" s="456"/>
      <c r="AI27" s="457"/>
      <c r="AJ27" s="457"/>
      <c r="AK27" s="457"/>
      <c r="AL27" s="457"/>
      <c r="AM27" s="458"/>
      <c r="AN27" s="83"/>
      <c r="AO27" s="508"/>
      <c r="AP27" s="509"/>
      <c r="AQ27" s="509"/>
      <c r="AR27" s="509"/>
      <c r="AS27" s="509"/>
      <c r="AT27" s="51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485"/>
      <c r="C28" s="485"/>
      <c r="D28" s="486"/>
      <c r="E28" s="478"/>
      <c r="F28" s="479"/>
      <c r="G28" s="479"/>
      <c r="H28" s="479"/>
      <c r="I28" s="480"/>
      <c r="J28" s="447" t="str">
        <f>IF(AND('Mapa de Riesgos'!$H$66="Media",'Mapa de Riesgos'!$L$66="Leve"),CONCATENATE("R",'Mapa de Riesgos'!$A$66),"")</f>
        <v/>
      </c>
      <c r="K28" s="448"/>
      <c r="L28" s="448" t="str">
        <f>IF(AND('Mapa de Riesgos'!$H$72="Media",'Mapa de Riesgos'!$L$72="Leve"),CONCATENATE("R",'Mapa de Riesgos'!$A$72),"")</f>
        <v/>
      </c>
      <c r="M28" s="448"/>
      <c r="N28" s="448" t="str">
        <f>IF(AND('Mapa de Riesgos'!$H$78="Media",'Mapa de Riesgos'!$L$78="Leve"),CONCATENATE("R",'Mapa de Riesgos'!$A$78),"")</f>
        <v/>
      </c>
      <c r="O28" s="449"/>
      <c r="P28" s="447" t="str">
        <f>IF(AND('Mapa de Riesgos'!$H$66="Media",'Mapa de Riesgos'!$L$66="Menor"),CONCATENATE("R",'Mapa de Riesgos'!$A$66),"")</f>
        <v/>
      </c>
      <c r="Q28" s="448"/>
      <c r="R28" s="448" t="str">
        <f>IF(AND('Mapa de Riesgos'!$H$72="Media",'Mapa de Riesgos'!$L$72="Menor"),CONCATENATE("R",'Mapa de Riesgos'!$A$72),"")</f>
        <v/>
      </c>
      <c r="S28" s="448"/>
      <c r="T28" s="448" t="str">
        <f>IF(AND('Mapa de Riesgos'!$H$78="Media",'Mapa de Riesgos'!$L$78="Menor"),CONCATENATE("R",'Mapa de Riesgos'!$A$78),"")</f>
        <v/>
      </c>
      <c r="U28" s="449"/>
      <c r="V28" s="447" t="str">
        <f>IF(AND('Mapa de Riesgos'!$H$66="Media",'Mapa de Riesgos'!$L$66="Moderado"),CONCATENATE("R",'Mapa de Riesgos'!$A$66),"")</f>
        <v/>
      </c>
      <c r="W28" s="448"/>
      <c r="X28" s="448" t="str">
        <f>IF(AND('Mapa de Riesgos'!$H$72="Media",'Mapa de Riesgos'!$L$72="Moderado"),CONCATENATE("R",'Mapa de Riesgos'!$A$72),"")</f>
        <v/>
      </c>
      <c r="Y28" s="448"/>
      <c r="Z28" s="448" t="str">
        <f>IF(AND('Mapa de Riesgos'!$H$78="Media",'Mapa de Riesgos'!$L$78="Moderado"),CONCATENATE("R",'Mapa de Riesgos'!$A$78),"")</f>
        <v/>
      </c>
      <c r="AA28" s="449"/>
      <c r="AB28" s="465" t="str">
        <f>IF(AND('Mapa de Riesgos'!$H$66="Media",'Mapa de Riesgos'!$L$66="Mayor"),CONCATENATE("R",'Mapa de Riesgos'!$A$66),"")</f>
        <v/>
      </c>
      <c r="AC28" s="466"/>
      <c r="AD28" s="466" t="str">
        <f>IF(AND('Mapa de Riesgos'!$H$72="Media",'Mapa de Riesgos'!$L$72="Mayor"),CONCATENATE("R",'Mapa de Riesgos'!$A$72),"")</f>
        <v/>
      </c>
      <c r="AE28" s="466"/>
      <c r="AF28" s="466" t="str">
        <f>IF(AND('Mapa de Riesgos'!$H$78="Media",'Mapa de Riesgos'!$L$78="Mayor"),CONCATENATE("R",'Mapa de Riesgos'!$A$78),"")</f>
        <v/>
      </c>
      <c r="AG28" s="467"/>
      <c r="AH28" s="456" t="str">
        <f>IF(AND('Mapa de Riesgos'!$H$66="Media",'Mapa de Riesgos'!$L$66="Catastrófico"),CONCATENATE("R",'Mapa de Riesgos'!$A$66),"")</f>
        <v/>
      </c>
      <c r="AI28" s="457"/>
      <c r="AJ28" s="457" t="str">
        <f>IF(AND('Mapa de Riesgos'!$H$72="Media",'Mapa de Riesgos'!$L$72="Catastrófico"),CONCATENATE("R",'Mapa de Riesgos'!$A$72),"")</f>
        <v/>
      </c>
      <c r="AK28" s="457"/>
      <c r="AL28" s="457" t="str">
        <f>IF(AND('Mapa de Riesgos'!$H$78="Media",'Mapa de Riesgos'!$L$78="Catastrófico"),CONCATENATE("R",'Mapa de Riesgos'!$A$78),"")</f>
        <v/>
      </c>
      <c r="AM28" s="458"/>
      <c r="AN28" s="83"/>
      <c r="AO28" s="508"/>
      <c r="AP28" s="509"/>
      <c r="AQ28" s="509"/>
      <c r="AR28" s="509"/>
      <c r="AS28" s="509"/>
      <c r="AT28" s="51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485"/>
      <c r="C29" s="485"/>
      <c r="D29" s="486"/>
      <c r="E29" s="481"/>
      <c r="F29" s="482"/>
      <c r="G29" s="482"/>
      <c r="H29" s="482"/>
      <c r="I29" s="483"/>
      <c r="J29" s="447"/>
      <c r="K29" s="448"/>
      <c r="L29" s="448"/>
      <c r="M29" s="448"/>
      <c r="N29" s="448"/>
      <c r="O29" s="449"/>
      <c r="P29" s="450"/>
      <c r="Q29" s="451"/>
      <c r="R29" s="451"/>
      <c r="S29" s="451"/>
      <c r="T29" s="451"/>
      <c r="U29" s="452"/>
      <c r="V29" s="450"/>
      <c r="W29" s="451"/>
      <c r="X29" s="451"/>
      <c r="Y29" s="451"/>
      <c r="Z29" s="451"/>
      <c r="AA29" s="452"/>
      <c r="AB29" s="468"/>
      <c r="AC29" s="469"/>
      <c r="AD29" s="469"/>
      <c r="AE29" s="469"/>
      <c r="AF29" s="469"/>
      <c r="AG29" s="470"/>
      <c r="AH29" s="459"/>
      <c r="AI29" s="460"/>
      <c r="AJ29" s="460"/>
      <c r="AK29" s="460"/>
      <c r="AL29" s="460"/>
      <c r="AM29" s="461"/>
      <c r="AN29" s="83"/>
      <c r="AO29" s="511"/>
      <c r="AP29" s="512"/>
      <c r="AQ29" s="512"/>
      <c r="AR29" s="512"/>
      <c r="AS29" s="512"/>
      <c r="AT29" s="51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485"/>
      <c r="C30" s="485"/>
      <c r="D30" s="486"/>
      <c r="E30" s="475" t="s">
        <v>134</v>
      </c>
      <c r="F30" s="476"/>
      <c r="G30" s="476"/>
      <c r="H30" s="476"/>
      <c r="I30" s="476"/>
      <c r="J30" s="444" t="str">
        <f>IF(AND('Mapa de Riesgos'!$H$12="Baja",'Mapa de Riesgos'!$L$12="Leve"),CONCATENATE("R",'Mapa de Riesgos'!$A$12),"")</f>
        <v/>
      </c>
      <c r="K30" s="445"/>
      <c r="L30" s="445" t="str">
        <f>IF(AND('Mapa de Riesgos'!$H$18="Baja",'Mapa de Riesgos'!$L$18="Leve"),CONCATENATE("R",'Mapa de Riesgos'!$A$18),"")</f>
        <v/>
      </c>
      <c r="M30" s="445"/>
      <c r="N30" s="445" t="str">
        <f>IF(AND('Mapa de Riesgos'!$H$24="Baja",'Mapa de Riesgos'!$L$24="Leve"),CONCATENATE("R",'Mapa de Riesgos'!$A$24),"")</f>
        <v/>
      </c>
      <c r="O30" s="446"/>
      <c r="P30" s="454" t="str">
        <f>IF(AND('Mapa de Riesgos'!$H$12="Baja",'Mapa de Riesgos'!$L$12="Menor"),CONCATENATE("R",'Mapa de Riesgos'!$A$12),"")</f>
        <v/>
      </c>
      <c r="Q30" s="454"/>
      <c r="R30" s="454" t="str">
        <f>IF(AND('Mapa de Riesgos'!$H$18="Baja",'Mapa de Riesgos'!$L$18="Menor"),CONCATENATE("R",'Mapa de Riesgos'!$A$18),"")</f>
        <v/>
      </c>
      <c r="S30" s="454"/>
      <c r="T30" s="454" t="str">
        <f>IF(AND('Mapa de Riesgos'!$H$24="Baja",'Mapa de Riesgos'!$L$24="Menor"),CONCATENATE("R",'Mapa de Riesgos'!$A$24),"")</f>
        <v/>
      </c>
      <c r="U30" s="455"/>
      <c r="V30" s="453" t="str">
        <f>IF(AND('Mapa de Riesgos'!$H$12="Baja",'Mapa de Riesgos'!$L$12="Moderado"),CONCATENATE("R",'Mapa de Riesgos'!$A$12),"")</f>
        <v/>
      </c>
      <c r="W30" s="454"/>
      <c r="X30" s="454" t="str">
        <f>IF(AND('Mapa de Riesgos'!$H$18="Baja",'Mapa de Riesgos'!$L$18="Moderado"),CONCATENATE("R",'Mapa de Riesgos'!$A$18),"")</f>
        <v>R2</v>
      </c>
      <c r="Y30" s="454"/>
      <c r="Z30" s="454" t="str">
        <f>IF(AND('Mapa de Riesgos'!$H$24="Baja",'Mapa de Riesgos'!$L$24="Moderado"),CONCATENATE("R",'Mapa de Riesgos'!$A$24),"")</f>
        <v/>
      </c>
      <c r="AA30" s="455"/>
      <c r="AB30" s="471" t="str">
        <f>IF(AND('Mapa de Riesgos'!$H$12="Baja",'Mapa de Riesgos'!$L$12="Mayor"),CONCATENATE("R",'Mapa de Riesgos'!$A$12),"")</f>
        <v/>
      </c>
      <c r="AC30" s="472"/>
      <c r="AD30" s="472" t="str">
        <f>IF(AND('Mapa de Riesgos'!$H$18="Baja",'Mapa de Riesgos'!$L$18="Mayor"),CONCATENATE("R",'Mapa de Riesgos'!$A$18),"")</f>
        <v/>
      </c>
      <c r="AE30" s="472"/>
      <c r="AF30" s="472" t="str">
        <f>IF(AND('Mapa de Riesgos'!$H$24="Baja",'Mapa de Riesgos'!$L$24="Mayor"),CONCATENATE("R",'Mapa de Riesgos'!$A$24),"")</f>
        <v/>
      </c>
      <c r="AG30" s="473"/>
      <c r="AH30" s="462" t="str">
        <f>IF(AND('Mapa de Riesgos'!$H$12="Baja",'Mapa de Riesgos'!$L$12="Catastrófico"),CONCATENATE("R",'Mapa de Riesgos'!$A$12),"")</f>
        <v/>
      </c>
      <c r="AI30" s="463"/>
      <c r="AJ30" s="463" t="str">
        <f>IF(AND('Mapa de Riesgos'!$H$18="Baja",'Mapa de Riesgos'!$L$18="Catastrófico"),CONCATENATE("R",'Mapa de Riesgos'!$A$18),"")</f>
        <v/>
      </c>
      <c r="AK30" s="463"/>
      <c r="AL30" s="463" t="str">
        <f>IF(AND('Mapa de Riesgos'!$H$24="Baja",'Mapa de Riesgos'!$L$24="Catastrófico"),CONCATENATE("R",'Mapa de Riesgos'!$A$24),"")</f>
        <v/>
      </c>
      <c r="AM30" s="464"/>
      <c r="AN30" s="83"/>
      <c r="AO30" s="514" t="s">
        <v>135</v>
      </c>
      <c r="AP30" s="515"/>
      <c r="AQ30" s="515"/>
      <c r="AR30" s="515"/>
      <c r="AS30" s="515"/>
      <c r="AT30" s="51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485"/>
      <c r="C31" s="485"/>
      <c r="D31" s="486"/>
      <c r="E31" s="478"/>
      <c r="F31" s="479"/>
      <c r="G31" s="479"/>
      <c r="H31" s="479"/>
      <c r="I31" s="479"/>
      <c r="J31" s="438"/>
      <c r="K31" s="439"/>
      <c r="L31" s="439"/>
      <c r="M31" s="439"/>
      <c r="N31" s="439"/>
      <c r="O31" s="440"/>
      <c r="P31" s="448"/>
      <c r="Q31" s="448"/>
      <c r="R31" s="448"/>
      <c r="S31" s="448"/>
      <c r="T31" s="448"/>
      <c r="U31" s="449"/>
      <c r="V31" s="447"/>
      <c r="W31" s="448"/>
      <c r="X31" s="448"/>
      <c r="Y31" s="448"/>
      <c r="Z31" s="448"/>
      <c r="AA31" s="449"/>
      <c r="AB31" s="465"/>
      <c r="AC31" s="466"/>
      <c r="AD31" s="466"/>
      <c r="AE31" s="466"/>
      <c r="AF31" s="466"/>
      <c r="AG31" s="467"/>
      <c r="AH31" s="456"/>
      <c r="AI31" s="457"/>
      <c r="AJ31" s="457"/>
      <c r="AK31" s="457"/>
      <c r="AL31" s="457"/>
      <c r="AM31" s="458"/>
      <c r="AN31" s="83"/>
      <c r="AO31" s="517"/>
      <c r="AP31" s="518"/>
      <c r="AQ31" s="518"/>
      <c r="AR31" s="518"/>
      <c r="AS31" s="518"/>
      <c r="AT31" s="51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485"/>
      <c r="C32" s="485"/>
      <c r="D32" s="486"/>
      <c r="E32" s="478"/>
      <c r="F32" s="479"/>
      <c r="G32" s="479"/>
      <c r="H32" s="479"/>
      <c r="I32" s="479"/>
      <c r="J32" s="438" t="str">
        <f>IF(AND('Mapa de Riesgos'!$H$30="Baja",'Mapa de Riesgos'!$L$30="Leve"),CONCATENATE("R",'Mapa de Riesgos'!$A$30),"")</f>
        <v/>
      </c>
      <c r="K32" s="439"/>
      <c r="L32" s="439" t="str">
        <f>IF(AND('Mapa de Riesgos'!$H$36="Baja",'Mapa de Riesgos'!$L$36="Leve"),CONCATENATE("R",'Mapa de Riesgos'!$A$36),"")</f>
        <v/>
      </c>
      <c r="M32" s="439"/>
      <c r="N32" s="439" t="str">
        <f>IF(AND('Mapa de Riesgos'!$H$42="Baja",'Mapa de Riesgos'!$L$42="Leve"),CONCATENATE("R",'Mapa de Riesgos'!$A$42),"")</f>
        <v/>
      </c>
      <c r="O32" s="440"/>
      <c r="P32" s="448" t="str">
        <f>IF(AND('Mapa de Riesgos'!$H$30="Baja",'Mapa de Riesgos'!$L$30="Menor"),CONCATENATE("R",'Mapa de Riesgos'!$A$30),"")</f>
        <v/>
      </c>
      <c r="Q32" s="448"/>
      <c r="R32" s="448" t="str">
        <f>IF(AND('Mapa de Riesgos'!$H$36="Baja",'Mapa de Riesgos'!$L$36="Menor"),CONCATENATE("R",'Mapa de Riesgos'!$A$36),"")</f>
        <v/>
      </c>
      <c r="S32" s="448"/>
      <c r="T32" s="448" t="str">
        <f>IF(AND('Mapa de Riesgos'!$H$42="Baja",'Mapa de Riesgos'!$L$42="Menor"),CONCATENATE("R",'Mapa de Riesgos'!$A$42),"")</f>
        <v/>
      </c>
      <c r="U32" s="449"/>
      <c r="V32" s="447" t="str">
        <f>IF(AND('Mapa de Riesgos'!$H$30="Baja",'Mapa de Riesgos'!$L$30="Moderado"),CONCATENATE("R",'Mapa de Riesgos'!$A$30),"")</f>
        <v/>
      </c>
      <c r="W32" s="448"/>
      <c r="X32" s="448" t="str">
        <f>IF(AND('Mapa de Riesgos'!$H$36="Baja",'Mapa de Riesgos'!$L$36="Moderado"),CONCATENATE("R",'Mapa de Riesgos'!$A$36),"")</f>
        <v/>
      </c>
      <c r="Y32" s="448"/>
      <c r="Z32" s="448" t="str">
        <f>IF(AND('Mapa de Riesgos'!$H$42="Baja",'Mapa de Riesgos'!$L$42="Moderado"),CONCATENATE("R",'Mapa de Riesgos'!$A$42),"")</f>
        <v/>
      </c>
      <c r="AA32" s="449"/>
      <c r="AB32" s="465" t="str">
        <f>IF(AND('Mapa de Riesgos'!$H$30="Baja",'Mapa de Riesgos'!$L$30="Mayor"),CONCATENATE("R",'Mapa de Riesgos'!$A$30),"")</f>
        <v/>
      </c>
      <c r="AC32" s="466"/>
      <c r="AD32" s="466" t="str">
        <f>IF(AND('Mapa de Riesgos'!$H$36="Baja",'Mapa de Riesgos'!$L$36="Mayor"),CONCATENATE("R",'Mapa de Riesgos'!$A$36),"")</f>
        <v/>
      </c>
      <c r="AE32" s="466"/>
      <c r="AF32" s="466" t="str">
        <f>IF(AND('Mapa de Riesgos'!$H$42="Baja",'Mapa de Riesgos'!$L$42="Mayor"),CONCATENATE("R",'Mapa de Riesgos'!$A$42),"")</f>
        <v/>
      </c>
      <c r="AG32" s="467"/>
      <c r="AH32" s="456" t="str">
        <f>IF(AND('Mapa de Riesgos'!$H$30="Baja",'Mapa de Riesgos'!$L$30="Catastrófico"),CONCATENATE("R",'Mapa de Riesgos'!$A$30),"")</f>
        <v/>
      </c>
      <c r="AI32" s="457"/>
      <c r="AJ32" s="457" t="str">
        <f>IF(AND('Mapa de Riesgos'!$H$36="Baja",'Mapa de Riesgos'!$L$36="Catastrófico"),CONCATENATE("R",'Mapa de Riesgos'!$A$36),"")</f>
        <v/>
      </c>
      <c r="AK32" s="457"/>
      <c r="AL32" s="457" t="str">
        <f>IF(AND('Mapa de Riesgos'!$H$42="Baja",'Mapa de Riesgos'!$L$42="Catastrófico"),CONCATENATE("R",'Mapa de Riesgos'!$A$42),"")</f>
        <v/>
      </c>
      <c r="AM32" s="458"/>
      <c r="AN32" s="83"/>
      <c r="AO32" s="517"/>
      <c r="AP32" s="518"/>
      <c r="AQ32" s="518"/>
      <c r="AR32" s="518"/>
      <c r="AS32" s="518"/>
      <c r="AT32" s="51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485"/>
      <c r="C33" s="485"/>
      <c r="D33" s="486"/>
      <c r="E33" s="478"/>
      <c r="F33" s="479"/>
      <c r="G33" s="479"/>
      <c r="H33" s="479"/>
      <c r="I33" s="479"/>
      <c r="J33" s="438"/>
      <c r="K33" s="439"/>
      <c r="L33" s="439"/>
      <c r="M33" s="439"/>
      <c r="N33" s="439"/>
      <c r="O33" s="440"/>
      <c r="P33" s="448"/>
      <c r="Q33" s="448"/>
      <c r="R33" s="448"/>
      <c r="S33" s="448"/>
      <c r="T33" s="448"/>
      <c r="U33" s="449"/>
      <c r="V33" s="447"/>
      <c r="W33" s="448"/>
      <c r="X33" s="448"/>
      <c r="Y33" s="448"/>
      <c r="Z33" s="448"/>
      <c r="AA33" s="449"/>
      <c r="AB33" s="465"/>
      <c r="AC33" s="466"/>
      <c r="AD33" s="466"/>
      <c r="AE33" s="466"/>
      <c r="AF33" s="466"/>
      <c r="AG33" s="467"/>
      <c r="AH33" s="456"/>
      <c r="AI33" s="457"/>
      <c r="AJ33" s="457"/>
      <c r="AK33" s="457"/>
      <c r="AL33" s="457"/>
      <c r="AM33" s="458"/>
      <c r="AN33" s="83"/>
      <c r="AO33" s="517"/>
      <c r="AP33" s="518"/>
      <c r="AQ33" s="518"/>
      <c r="AR33" s="518"/>
      <c r="AS33" s="518"/>
      <c r="AT33" s="51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485"/>
      <c r="C34" s="485"/>
      <c r="D34" s="486"/>
      <c r="E34" s="478"/>
      <c r="F34" s="479"/>
      <c r="G34" s="479"/>
      <c r="H34" s="479"/>
      <c r="I34" s="479"/>
      <c r="J34" s="438" t="str">
        <f>IF(AND('Mapa de Riesgos'!$H$48="Baja",'Mapa de Riesgos'!$L$48="Leve"),CONCATENATE("R",'Mapa de Riesgos'!$A$48),"")</f>
        <v/>
      </c>
      <c r="K34" s="439"/>
      <c r="L34" s="439" t="str">
        <f>IF(AND('Mapa de Riesgos'!$H$54="Baja",'Mapa de Riesgos'!$L$54="Leve"),CONCATENATE("R",'Mapa de Riesgos'!$A$54),"")</f>
        <v/>
      </c>
      <c r="M34" s="439"/>
      <c r="N34" s="439" t="str">
        <f>IF(AND('Mapa de Riesgos'!$H$60="Baja",'Mapa de Riesgos'!$L$60="Leve"),CONCATENATE("R",'Mapa de Riesgos'!$A$60),"")</f>
        <v/>
      </c>
      <c r="O34" s="440"/>
      <c r="P34" s="448" t="str">
        <f>IF(AND('Mapa de Riesgos'!$H$48="Baja",'Mapa de Riesgos'!$L$48="Menor"),CONCATENATE("R",'Mapa de Riesgos'!$A$48),"")</f>
        <v/>
      </c>
      <c r="Q34" s="448"/>
      <c r="R34" s="448" t="str">
        <f>IF(AND('Mapa de Riesgos'!$H$54="Baja",'Mapa de Riesgos'!$L$54="Menor"),CONCATENATE("R",'Mapa de Riesgos'!$A$54),"")</f>
        <v/>
      </c>
      <c r="S34" s="448"/>
      <c r="T34" s="448" t="str">
        <f>IF(AND('Mapa de Riesgos'!$H$60="Baja",'Mapa de Riesgos'!$L$60="Menor"),CONCATENATE("R",'Mapa de Riesgos'!$A$60),"")</f>
        <v/>
      </c>
      <c r="U34" s="449"/>
      <c r="V34" s="447" t="str">
        <f>IF(AND('Mapa de Riesgos'!$H$48="Baja",'Mapa de Riesgos'!$L$48="Moderado"),CONCATENATE("R",'Mapa de Riesgos'!$A$48),"")</f>
        <v/>
      </c>
      <c r="W34" s="448"/>
      <c r="X34" s="448" t="str">
        <f>IF(AND('Mapa de Riesgos'!$H$54="Baja",'Mapa de Riesgos'!$L$54="Moderado"),CONCATENATE("R",'Mapa de Riesgos'!$A$54),"")</f>
        <v/>
      </c>
      <c r="Y34" s="448"/>
      <c r="Z34" s="448" t="str">
        <f>IF(AND('Mapa de Riesgos'!$H$60="Baja",'Mapa de Riesgos'!$L$60="Moderado"),CONCATENATE("R",'Mapa de Riesgos'!$A$60),"")</f>
        <v/>
      </c>
      <c r="AA34" s="449"/>
      <c r="AB34" s="465" t="str">
        <f>IF(AND('Mapa de Riesgos'!$H$48="Baja",'Mapa de Riesgos'!$L$48="Mayor"),CONCATENATE("R",'Mapa de Riesgos'!$A$48),"")</f>
        <v/>
      </c>
      <c r="AC34" s="466"/>
      <c r="AD34" s="466" t="str">
        <f>IF(AND('Mapa de Riesgos'!$H$54="Baja",'Mapa de Riesgos'!$L$54="Mayor"),CONCATENATE("R",'Mapa de Riesgos'!$A$54),"")</f>
        <v/>
      </c>
      <c r="AE34" s="466"/>
      <c r="AF34" s="466" t="str">
        <f>IF(AND('Mapa de Riesgos'!$H$60="Baja",'Mapa de Riesgos'!$L$60="Mayor"),CONCATENATE("R",'Mapa de Riesgos'!$A$60),"")</f>
        <v/>
      </c>
      <c r="AG34" s="467"/>
      <c r="AH34" s="456" t="str">
        <f>IF(AND('Mapa de Riesgos'!$H$48="Baja",'Mapa de Riesgos'!$L$48="Catastrófico"),CONCATENATE("R",'Mapa de Riesgos'!$A$48),"")</f>
        <v/>
      </c>
      <c r="AI34" s="457"/>
      <c r="AJ34" s="457" t="str">
        <f>IF(AND('Mapa de Riesgos'!$H$54="Baja",'Mapa de Riesgos'!$L$54="Catastrófico"),CONCATENATE("R",'Mapa de Riesgos'!$A$54),"")</f>
        <v/>
      </c>
      <c r="AK34" s="457"/>
      <c r="AL34" s="457" t="str">
        <f>IF(AND('Mapa de Riesgos'!$H$60="Baja",'Mapa de Riesgos'!$L$60="Catastrófico"),CONCATENATE("R",'Mapa de Riesgos'!$A$60),"")</f>
        <v/>
      </c>
      <c r="AM34" s="458"/>
      <c r="AN34" s="83"/>
      <c r="AO34" s="517"/>
      <c r="AP34" s="518"/>
      <c r="AQ34" s="518"/>
      <c r="AR34" s="518"/>
      <c r="AS34" s="518"/>
      <c r="AT34" s="51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485"/>
      <c r="C35" s="485"/>
      <c r="D35" s="486"/>
      <c r="E35" s="478"/>
      <c r="F35" s="479"/>
      <c r="G35" s="479"/>
      <c r="H35" s="479"/>
      <c r="I35" s="479"/>
      <c r="J35" s="438"/>
      <c r="K35" s="439"/>
      <c r="L35" s="439"/>
      <c r="M35" s="439"/>
      <c r="N35" s="439"/>
      <c r="O35" s="440"/>
      <c r="P35" s="448"/>
      <c r="Q35" s="448"/>
      <c r="R35" s="448"/>
      <c r="S35" s="448"/>
      <c r="T35" s="448"/>
      <c r="U35" s="449"/>
      <c r="V35" s="447"/>
      <c r="W35" s="448"/>
      <c r="X35" s="448"/>
      <c r="Y35" s="448"/>
      <c r="Z35" s="448"/>
      <c r="AA35" s="449"/>
      <c r="AB35" s="465"/>
      <c r="AC35" s="466"/>
      <c r="AD35" s="466"/>
      <c r="AE35" s="466"/>
      <c r="AF35" s="466"/>
      <c r="AG35" s="467"/>
      <c r="AH35" s="456"/>
      <c r="AI35" s="457"/>
      <c r="AJ35" s="457"/>
      <c r="AK35" s="457"/>
      <c r="AL35" s="457"/>
      <c r="AM35" s="458"/>
      <c r="AN35" s="83"/>
      <c r="AO35" s="517"/>
      <c r="AP35" s="518"/>
      <c r="AQ35" s="518"/>
      <c r="AR35" s="518"/>
      <c r="AS35" s="518"/>
      <c r="AT35" s="51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485"/>
      <c r="C36" s="485"/>
      <c r="D36" s="486"/>
      <c r="E36" s="478"/>
      <c r="F36" s="479"/>
      <c r="G36" s="479"/>
      <c r="H36" s="479"/>
      <c r="I36" s="479"/>
      <c r="J36" s="438" t="str">
        <f>IF(AND('Mapa de Riesgos'!$H$66="Baja",'Mapa de Riesgos'!$L$66="Leve"),CONCATENATE("R",'Mapa de Riesgos'!$A$66),"")</f>
        <v/>
      </c>
      <c r="K36" s="439"/>
      <c r="L36" s="439" t="str">
        <f>IF(AND('Mapa de Riesgos'!$H$72="Baja",'Mapa de Riesgos'!$L$72="Leve"),CONCATENATE("R",'Mapa de Riesgos'!$A$72),"")</f>
        <v/>
      </c>
      <c r="M36" s="439"/>
      <c r="N36" s="439" t="str">
        <f>IF(AND('Mapa de Riesgos'!$H$78="Baja",'Mapa de Riesgos'!$L$78="Leve"),CONCATENATE("R",'Mapa de Riesgos'!$A$78),"")</f>
        <v/>
      </c>
      <c r="O36" s="440"/>
      <c r="P36" s="448" t="str">
        <f>IF(AND('Mapa de Riesgos'!$H$66="Baja",'Mapa de Riesgos'!$L$66="Menor"),CONCATENATE("R",'Mapa de Riesgos'!$A$66),"")</f>
        <v/>
      </c>
      <c r="Q36" s="448"/>
      <c r="R36" s="448" t="str">
        <f>IF(AND('Mapa de Riesgos'!$H$72="Baja",'Mapa de Riesgos'!$L$72="Menor"),CONCATENATE("R",'Mapa de Riesgos'!$A$72),"")</f>
        <v/>
      </c>
      <c r="S36" s="448"/>
      <c r="T36" s="448" t="str">
        <f>IF(AND('Mapa de Riesgos'!$H$78="Baja",'Mapa de Riesgos'!$L$78="Menor"),CONCATENATE("R",'Mapa de Riesgos'!$A$78),"")</f>
        <v/>
      </c>
      <c r="U36" s="449"/>
      <c r="V36" s="447" t="str">
        <f>IF(AND('Mapa de Riesgos'!$H$66="Baja",'Mapa de Riesgos'!$L$66="Moderado"),CONCATENATE("R",'Mapa de Riesgos'!$A$66),"")</f>
        <v/>
      </c>
      <c r="W36" s="448"/>
      <c r="X36" s="448" t="str">
        <f>IF(AND('Mapa de Riesgos'!$H$72="Baja",'Mapa de Riesgos'!$L$72="Moderado"),CONCATENATE("R",'Mapa de Riesgos'!$A$72),"")</f>
        <v/>
      </c>
      <c r="Y36" s="448"/>
      <c r="Z36" s="448" t="str">
        <f>IF(AND('Mapa de Riesgos'!$H$78="Baja",'Mapa de Riesgos'!$L$78="Moderado"),CONCATENATE("R",'Mapa de Riesgos'!$A$78),"")</f>
        <v/>
      </c>
      <c r="AA36" s="449"/>
      <c r="AB36" s="465" t="str">
        <f>IF(AND('Mapa de Riesgos'!$H$66="Baja",'Mapa de Riesgos'!$L$66="Mayor"),CONCATENATE("R",'Mapa de Riesgos'!$A$66),"")</f>
        <v/>
      </c>
      <c r="AC36" s="466"/>
      <c r="AD36" s="466" t="str">
        <f>IF(AND('Mapa de Riesgos'!$H$72="Baja",'Mapa de Riesgos'!$L$72="Mayor"),CONCATENATE("R",'Mapa de Riesgos'!$A$72),"")</f>
        <v/>
      </c>
      <c r="AE36" s="466"/>
      <c r="AF36" s="466" t="str">
        <f>IF(AND('Mapa de Riesgos'!$H$78="Baja",'Mapa de Riesgos'!$L$78="Mayor"),CONCATENATE("R",'Mapa de Riesgos'!$A$78),"")</f>
        <v/>
      </c>
      <c r="AG36" s="467"/>
      <c r="AH36" s="456" t="str">
        <f>IF(AND('Mapa de Riesgos'!$H$66="Baja",'Mapa de Riesgos'!$L$66="Catastrófico"),CONCATENATE("R",'Mapa de Riesgos'!$A$66),"")</f>
        <v/>
      </c>
      <c r="AI36" s="457"/>
      <c r="AJ36" s="457" t="str">
        <f>IF(AND('Mapa de Riesgos'!$H$72="Baja",'Mapa de Riesgos'!$L$72="Catastrófico"),CONCATENATE("R",'Mapa de Riesgos'!$A$72),"")</f>
        <v/>
      </c>
      <c r="AK36" s="457"/>
      <c r="AL36" s="457" t="str">
        <f>IF(AND('Mapa de Riesgos'!$H$78="Baja",'Mapa de Riesgos'!$L$78="Catastrófico"),CONCATENATE("R",'Mapa de Riesgos'!$A$78),"")</f>
        <v/>
      </c>
      <c r="AM36" s="458"/>
      <c r="AN36" s="83"/>
      <c r="AO36" s="517"/>
      <c r="AP36" s="518"/>
      <c r="AQ36" s="518"/>
      <c r="AR36" s="518"/>
      <c r="AS36" s="518"/>
      <c r="AT36" s="51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485"/>
      <c r="C37" s="485"/>
      <c r="D37" s="486"/>
      <c r="E37" s="481"/>
      <c r="F37" s="482"/>
      <c r="G37" s="482"/>
      <c r="H37" s="482"/>
      <c r="I37" s="482"/>
      <c r="J37" s="441"/>
      <c r="K37" s="442"/>
      <c r="L37" s="442"/>
      <c r="M37" s="442"/>
      <c r="N37" s="442"/>
      <c r="O37" s="443"/>
      <c r="P37" s="451"/>
      <c r="Q37" s="451"/>
      <c r="R37" s="451"/>
      <c r="S37" s="451"/>
      <c r="T37" s="451"/>
      <c r="U37" s="452"/>
      <c r="V37" s="450"/>
      <c r="W37" s="451"/>
      <c r="X37" s="451"/>
      <c r="Y37" s="451"/>
      <c r="Z37" s="451"/>
      <c r="AA37" s="452"/>
      <c r="AB37" s="468"/>
      <c r="AC37" s="469"/>
      <c r="AD37" s="469"/>
      <c r="AE37" s="469"/>
      <c r="AF37" s="469"/>
      <c r="AG37" s="470"/>
      <c r="AH37" s="459"/>
      <c r="AI37" s="460"/>
      <c r="AJ37" s="460"/>
      <c r="AK37" s="460"/>
      <c r="AL37" s="460"/>
      <c r="AM37" s="461"/>
      <c r="AN37" s="83"/>
      <c r="AO37" s="520"/>
      <c r="AP37" s="521"/>
      <c r="AQ37" s="521"/>
      <c r="AR37" s="521"/>
      <c r="AS37" s="521"/>
      <c r="AT37" s="52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485"/>
      <c r="C38" s="485"/>
      <c r="D38" s="486"/>
      <c r="E38" s="475" t="s">
        <v>136</v>
      </c>
      <c r="F38" s="476"/>
      <c r="G38" s="476"/>
      <c r="H38" s="476"/>
      <c r="I38" s="477"/>
      <c r="J38" s="444" t="str">
        <f>IF(AND('Mapa de Riesgos'!$H$12="Muy Baja",'Mapa de Riesgos'!$L$12="Leve"),CONCATENATE("R",'Mapa de Riesgos'!$A$12),"")</f>
        <v/>
      </c>
      <c r="K38" s="445"/>
      <c r="L38" s="445" t="str">
        <f>IF(AND('Mapa de Riesgos'!$H$18="Muy Baja",'Mapa de Riesgos'!$L$18="Leve"),CONCATENATE("R",'Mapa de Riesgos'!$A$18),"")</f>
        <v/>
      </c>
      <c r="M38" s="445"/>
      <c r="N38" s="445" t="str">
        <f>IF(AND('Mapa de Riesgos'!$H$24="Muy Baja",'Mapa de Riesgos'!$L$24="Leve"),CONCATENATE("R",'Mapa de Riesgos'!$A$24),"")</f>
        <v/>
      </c>
      <c r="O38" s="446"/>
      <c r="P38" s="444" t="str">
        <f>IF(AND('Mapa de Riesgos'!$H$12="Muy Baja",'Mapa de Riesgos'!$L$12="Menor"),CONCATENATE("R",'Mapa de Riesgos'!$A$12),"")</f>
        <v/>
      </c>
      <c r="Q38" s="445"/>
      <c r="R38" s="445" t="str">
        <f>IF(AND('Mapa de Riesgos'!$H$18="Muy Baja",'Mapa de Riesgos'!$L$18="Menor"),CONCATENATE("R",'Mapa de Riesgos'!$A$18),"")</f>
        <v/>
      </c>
      <c r="S38" s="445"/>
      <c r="T38" s="445" t="str">
        <f>IF(AND('Mapa de Riesgos'!$H$24="Muy Baja",'Mapa de Riesgos'!$L$24="Menor"),CONCATENATE("R",'Mapa de Riesgos'!$A$24),"")</f>
        <v/>
      </c>
      <c r="U38" s="446"/>
      <c r="V38" s="453" t="str">
        <f>IF(AND('Mapa de Riesgos'!$H$12="Muy Baja",'Mapa de Riesgos'!$L$12="Moderado"),CONCATENATE("R",'Mapa de Riesgos'!$A$12),"")</f>
        <v>R1</v>
      </c>
      <c r="W38" s="454"/>
      <c r="X38" s="454" t="str">
        <f>IF(AND('Mapa de Riesgos'!$H$18="Muy Baja",'Mapa de Riesgos'!$L$18="Moderado"),CONCATENATE("R",'Mapa de Riesgos'!$A$18),"")</f>
        <v/>
      </c>
      <c r="Y38" s="454"/>
      <c r="Z38" s="454" t="str">
        <f>IF(AND('Mapa de Riesgos'!$H$24="Muy Baja",'Mapa de Riesgos'!$L$24="Moderado"),CONCATENATE("R",'Mapa de Riesgos'!$A$24),"")</f>
        <v/>
      </c>
      <c r="AA38" s="455"/>
      <c r="AB38" s="471" t="str">
        <f>IF(AND('Mapa de Riesgos'!$H$12="Muy Baja",'Mapa de Riesgos'!$L$12="Mayor"),CONCATENATE("R",'Mapa de Riesgos'!$A$12),"")</f>
        <v/>
      </c>
      <c r="AC38" s="472"/>
      <c r="AD38" s="472" t="str">
        <f>IF(AND('Mapa de Riesgos'!$H$18="Muy Baja",'Mapa de Riesgos'!$L$18="Mayor"),CONCATENATE("R",'Mapa de Riesgos'!$A$18),"")</f>
        <v/>
      </c>
      <c r="AE38" s="472"/>
      <c r="AF38" s="472" t="str">
        <f>IF(AND('Mapa de Riesgos'!$H$24="Muy Baja",'Mapa de Riesgos'!$L$24="Mayor"),CONCATENATE("R",'Mapa de Riesgos'!$A$24),"")</f>
        <v/>
      </c>
      <c r="AG38" s="473"/>
      <c r="AH38" s="462" t="str">
        <f>IF(AND('Mapa de Riesgos'!$H$12="Muy Baja",'Mapa de Riesgos'!$L$12="Catastrófico"),CONCATENATE("R",'Mapa de Riesgos'!$A$12),"")</f>
        <v/>
      </c>
      <c r="AI38" s="463"/>
      <c r="AJ38" s="463" t="str">
        <f>IF(AND('Mapa de Riesgos'!$H$18="Muy Baja",'Mapa de Riesgos'!$L$18="Catastrófico"),CONCATENATE("R",'Mapa de Riesgos'!$A$18),"")</f>
        <v/>
      </c>
      <c r="AK38" s="463"/>
      <c r="AL38" s="463" t="str">
        <f>IF(AND('Mapa de Riesgos'!$H$24="Muy Baja",'Mapa de Riesgos'!$L$24="Catastrófico"),CONCATENATE("R",'Mapa de Riesgos'!$A$24),"")</f>
        <v/>
      </c>
      <c r="AM38" s="46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485"/>
      <c r="C39" s="485"/>
      <c r="D39" s="486"/>
      <c r="E39" s="478"/>
      <c r="F39" s="479"/>
      <c r="G39" s="479"/>
      <c r="H39" s="479"/>
      <c r="I39" s="480"/>
      <c r="J39" s="438"/>
      <c r="K39" s="439"/>
      <c r="L39" s="439"/>
      <c r="M39" s="439"/>
      <c r="N39" s="439"/>
      <c r="O39" s="440"/>
      <c r="P39" s="438"/>
      <c r="Q39" s="439"/>
      <c r="R39" s="439"/>
      <c r="S39" s="439"/>
      <c r="T39" s="439"/>
      <c r="U39" s="440"/>
      <c r="V39" s="447"/>
      <c r="W39" s="448"/>
      <c r="X39" s="448"/>
      <c r="Y39" s="448"/>
      <c r="Z39" s="448"/>
      <c r="AA39" s="449"/>
      <c r="AB39" s="465"/>
      <c r="AC39" s="466"/>
      <c r="AD39" s="466"/>
      <c r="AE39" s="466"/>
      <c r="AF39" s="466"/>
      <c r="AG39" s="467"/>
      <c r="AH39" s="456"/>
      <c r="AI39" s="457"/>
      <c r="AJ39" s="457"/>
      <c r="AK39" s="457"/>
      <c r="AL39" s="457"/>
      <c r="AM39" s="45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485"/>
      <c r="C40" s="485"/>
      <c r="D40" s="486"/>
      <c r="E40" s="478"/>
      <c r="F40" s="479"/>
      <c r="G40" s="479"/>
      <c r="H40" s="479"/>
      <c r="I40" s="480"/>
      <c r="J40" s="438" t="str">
        <f>IF(AND('Mapa de Riesgos'!$H$30="Muy Baja",'Mapa de Riesgos'!$L$30="Leve"),CONCATENATE("R",'Mapa de Riesgos'!$A$30),"")</f>
        <v/>
      </c>
      <c r="K40" s="439"/>
      <c r="L40" s="439" t="str">
        <f>IF(AND('Mapa de Riesgos'!$H$36="Muy Baja",'Mapa de Riesgos'!$L$36="Leve"),CONCATENATE("R",'Mapa de Riesgos'!$A$36),"")</f>
        <v/>
      </c>
      <c r="M40" s="439"/>
      <c r="N40" s="439" t="str">
        <f>IF(AND('Mapa de Riesgos'!$H$42="Muy Baja",'Mapa de Riesgos'!$L$42="Leve"),CONCATENATE("R",'Mapa de Riesgos'!$A$42),"")</f>
        <v/>
      </c>
      <c r="O40" s="440"/>
      <c r="P40" s="438" t="str">
        <f>IF(AND('Mapa de Riesgos'!$H$30="Muy Baja",'Mapa de Riesgos'!$L$30="Menor"),CONCATENATE("R",'Mapa de Riesgos'!$A$30),"")</f>
        <v/>
      </c>
      <c r="Q40" s="439"/>
      <c r="R40" s="439" t="str">
        <f>IF(AND('Mapa de Riesgos'!$H$36="Muy Baja",'Mapa de Riesgos'!$L$36="Menor"),CONCATENATE("R",'Mapa de Riesgos'!$A$36),"")</f>
        <v/>
      </c>
      <c r="S40" s="439"/>
      <c r="T40" s="439" t="str">
        <f>IF(AND('Mapa de Riesgos'!$H$42="Muy Baja",'Mapa de Riesgos'!$L$42="Menor"),CONCATENATE("R",'Mapa de Riesgos'!$A$42),"")</f>
        <v/>
      </c>
      <c r="U40" s="440"/>
      <c r="V40" s="447" t="str">
        <f>IF(AND('Mapa de Riesgos'!$H$30="Muy Baja",'Mapa de Riesgos'!$L$30="Moderado"),CONCATENATE("R",'Mapa de Riesgos'!$A$30),"")</f>
        <v/>
      </c>
      <c r="W40" s="448"/>
      <c r="X40" s="448" t="str">
        <f>IF(AND('Mapa de Riesgos'!$H$36="Muy Baja",'Mapa de Riesgos'!$L$36="Moderado"),CONCATENATE("R",'Mapa de Riesgos'!$A$36),"")</f>
        <v/>
      </c>
      <c r="Y40" s="448"/>
      <c r="Z40" s="448" t="str">
        <f>IF(AND('Mapa de Riesgos'!$H$42="Muy Baja",'Mapa de Riesgos'!$L$42="Moderado"),CONCATENATE("R",'Mapa de Riesgos'!$A$42),"")</f>
        <v/>
      </c>
      <c r="AA40" s="449"/>
      <c r="AB40" s="465" t="str">
        <f>IF(AND('Mapa de Riesgos'!$H$30="Muy Baja",'Mapa de Riesgos'!$L$30="Mayor"),CONCATENATE("R",'Mapa de Riesgos'!$A$30),"")</f>
        <v/>
      </c>
      <c r="AC40" s="466"/>
      <c r="AD40" s="466" t="str">
        <f>IF(AND('Mapa de Riesgos'!$H$36="Muy Baja",'Mapa de Riesgos'!$L$36="Mayor"),CONCATENATE("R",'Mapa de Riesgos'!$A$36),"")</f>
        <v/>
      </c>
      <c r="AE40" s="466"/>
      <c r="AF40" s="466" t="str">
        <f>IF(AND('Mapa de Riesgos'!$H$42="Muy Baja",'Mapa de Riesgos'!$L$42="Mayor"),CONCATENATE("R",'Mapa de Riesgos'!$A$42),"")</f>
        <v/>
      </c>
      <c r="AG40" s="467"/>
      <c r="AH40" s="456" t="str">
        <f>IF(AND('Mapa de Riesgos'!$H$30="Muy Baja",'Mapa de Riesgos'!$L$30="Catastrófico"),CONCATENATE("R",'Mapa de Riesgos'!$A$30),"")</f>
        <v/>
      </c>
      <c r="AI40" s="457"/>
      <c r="AJ40" s="457" t="str">
        <f>IF(AND('Mapa de Riesgos'!$H$36="Muy Baja",'Mapa de Riesgos'!$L$36="Catastrófico"),CONCATENATE("R",'Mapa de Riesgos'!$A$36),"")</f>
        <v/>
      </c>
      <c r="AK40" s="457"/>
      <c r="AL40" s="457" t="str">
        <f>IF(AND('Mapa de Riesgos'!$H$42="Muy Baja",'Mapa de Riesgos'!$L$42="Catastrófico"),CONCATENATE("R",'Mapa de Riesgos'!$A$42),"")</f>
        <v/>
      </c>
      <c r="AM40" s="45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485"/>
      <c r="C41" s="485"/>
      <c r="D41" s="486"/>
      <c r="E41" s="478"/>
      <c r="F41" s="479"/>
      <c r="G41" s="479"/>
      <c r="H41" s="479"/>
      <c r="I41" s="480"/>
      <c r="J41" s="438"/>
      <c r="K41" s="439"/>
      <c r="L41" s="439"/>
      <c r="M41" s="439"/>
      <c r="N41" s="439"/>
      <c r="O41" s="440"/>
      <c r="P41" s="438"/>
      <c r="Q41" s="439"/>
      <c r="R41" s="439"/>
      <c r="S41" s="439"/>
      <c r="T41" s="439"/>
      <c r="U41" s="440"/>
      <c r="V41" s="447"/>
      <c r="W41" s="448"/>
      <c r="X41" s="448"/>
      <c r="Y41" s="448"/>
      <c r="Z41" s="448"/>
      <c r="AA41" s="449"/>
      <c r="AB41" s="465"/>
      <c r="AC41" s="466"/>
      <c r="AD41" s="466"/>
      <c r="AE41" s="466"/>
      <c r="AF41" s="466"/>
      <c r="AG41" s="467"/>
      <c r="AH41" s="456"/>
      <c r="AI41" s="457"/>
      <c r="AJ41" s="457"/>
      <c r="AK41" s="457"/>
      <c r="AL41" s="457"/>
      <c r="AM41" s="45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485"/>
      <c r="C42" s="485"/>
      <c r="D42" s="486"/>
      <c r="E42" s="478"/>
      <c r="F42" s="479"/>
      <c r="G42" s="479"/>
      <c r="H42" s="479"/>
      <c r="I42" s="480"/>
      <c r="J42" s="438" t="str">
        <f>IF(AND('Mapa de Riesgos'!$H$48="Muy Baja",'Mapa de Riesgos'!$L$48="Leve"),CONCATENATE("R",'Mapa de Riesgos'!$A$48),"")</f>
        <v/>
      </c>
      <c r="K42" s="439"/>
      <c r="L42" s="439" t="str">
        <f>IF(AND('Mapa de Riesgos'!$H$54="Muy Baja",'Mapa de Riesgos'!$L$54="Leve"),CONCATENATE("R",'Mapa de Riesgos'!$A$54),"")</f>
        <v/>
      </c>
      <c r="M42" s="439"/>
      <c r="N42" s="439" t="str">
        <f>IF(AND('Mapa de Riesgos'!$H$60="Muy Baja",'Mapa de Riesgos'!$L$60="Leve"),CONCATENATE("R",'Mapa de Riesgos'!$A$60),"")</f>
        <v/>
      </c>
      <c r="O42" s="440"/>
      <c r="P42" s="438" t="str">
        <f>IF(AND('Mapa de Riesgos'!$H$48="Muy Baja",'Mapa de Riesgos'!$L$48="Menor"),CONCATENATE("R",'Mapa de Riesgos'!$A$48),"")</f>
        <v/>
      </c>
      <c r="Q42" s="439"/>
      <c r="R42" s="439" t="str">
        <f>IF(AND('Mapa de Riesgos'!$H$54="Muy Baja",'Mapa de Riesgos'!$L$54="Menor"),CONCATENATE("R",'Mapa de Riesgos'!$A$54),"")</f>
        <v/>
      </c>
      <c r="S42" s="439"/>
      <c r="T42" s="439" t="str">
        <f>IF(AND('Mapa de Riesgos'!$H$60="Muy Baja",'Mapa de Riesgos'!$L$60="Menor"),CONCATENATE("R",'Mapa de Riesgos'!$A$60),"")</f>
        <v/>
      </c>
      <c r="U42" s="440"/>
      <c r="V42" s="447" t="str">
        <f>IF(AND('Mapa de Riesgos'!$H$48="Muy Baja",'Mapa de Riesgos'!$L$48="Moderado"),CONCATENATE("R",'Mapa de Riesgos'!$A$48),"")</f>
        <v/>
      </c>
      <c r="W42" s="448"/>
      <c r="X42" s="448" t="str">
        <f>IF(AND('Mapa de Riesgos'!$H$54="Muy Baja",'Mapa de Riesgos'!$L$54="Moderado"),CONCATENATE("R",'Mapa de Riesgos'!$A$54),"")</f>
        <v/>
      </c>
      <c r="Y42" s="448"/>
      <c r="Z42" s="448" t="str">
        <f>IF(AND('Mapa de Riesgos'!$H$60="Muy Baja",'Mapa de Riesgos'!$L$60="Moderado"),CONCATENATE("R",'Mapa de Riesgos'!$A$60),"")</f>
        <v/>
      </c>
      <c r="AA42" s="449"/>
      <c r="AB42" s="465" t="str">
        <f>IF(AND('Mapa de Riesgos'!$H$48="Muy Baja",'Mapa de Riesgos'!$L$48="Mayor"),CONCATENATE("R",'Mapa de Riesgos'!$A$48),"")</f>
        <v/>
      </c>
      <c r="AC42" s="466"/>
      <c r="AD42" s="466" t="str">
        <f>IF(AND('Mapa de Riesgos'!$H$54="Muy Baja",'Mapa de Riesgos'!$L$54="Mayor"),CONCATENATE("R",'Mapa de Riesgos'!$A$54),"")</f>
        <v/>
      </c>
      <c r="AE42" s="466"/>
      <c r="AF42" s="466" t="str">
        <f>IF(AND('Mapa de Riesgos'!$H$60="Muy Baja",'Mapa de Riesgos'!$L$60="Mayor"),CONCATENATE("R",'Mapa de Riesgos'!$A$60),"")</f>
        <v/>
      </c>
      <c r="AG42" s="467"/>
      <c r="AH42" s="456" t="str">
        <f>IF(AND('Mapa de Riesgos'!$H$48="Muy Baja",'Mapa de Riesgos'!$L$48="Catastrófico"),CONCATENATE("R",'Mapa de Riesgos'!$A$48),"")</f>
        <v/>
      </c>
      <c r="AI42" s="457"/>
      <c r="AJ42" s="457" t="str">
        <f>IF(AND('Mapa de Riesgos'!$H$54="Muy Baja",'Mapa de Riesgos'!$L$54="Catastrófico"),CONCATENATE("R",'Mapa de Riesgos'!$A$54),"")</f>
        <v/>
      </c>
      <c r="AK42" s="457"/>
      <c r="AL42" s="457" t="str">
        <f>IF(AND('Mapa de Riesgos'!$H$60="Muy Baja",'Mapa de Riesgos'!$L$60="Catastrófico"),CONCATENATE("R",'Mapa de Riesgos'!$A$60),"")</f>
        <v/>
      </c>
      <c r="AM42" s="45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485"/>
      <c r="C43" s="485"/>
      <c r="D43" s="486"/>
      <c r="E43" s="478"/>
      <c r="F43" s="479"/>
      <c r="G43" s="479"/>
      <c r="H43" s="479"/>
      <c r="I43" s="480"/>
      <c r="J43" s="438"/>
      <c r="K43" s="439"/>
      <c r="L43" s="439"/>
      <c r="M43" s="439"/>
      <c r="N43" s="439"/>
      <c r="O43" s="440"/>
      <c r="P43" s="438"/>
      <c r="Q43" s="439"/>
      <c r="R43" s="439"/>
      <c r="S43" s="439"/>
      <c r="T43" s="439"/>
      <c r="U43" s="440"/>
      <c r="V43" s="447"/>
      <c r="W43" s="448"/>
      <c r="X43" s="448"/>
      <c r="Y43" s="448"/>
      <c r="Z43" s="448"/>
      <c r="AA43" s="449"/>
      <c r="AB43" s="465"/>
      <c r="AC43" s="466"/>
      <c r="AD43" s="466"/>
      <c r="AE43" s="466"/>
      <c r="AF43" s="466"/>
      <c r="AG43" s="467"/>
      <c r="AH43" s="456"/>
      <c r="AI43" s="457"/>
      <c r="AJ43" s="457"/>
      <c r="AK43" s="457"/>
      <c r="AL43" s="457"/>
      <c r="AM43" s="45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485"/>
      <c r="C44" s="485"/>
      <c r="D44" s="486"/>
      <c r="E44" s="478"/>
      <c r="F44" s="479"/>
      <c r="G44" s="479"/>
      <c r="H44" s="479"/>
      <c r="I44" s="480"/>
      <c r="J44" s="438" t="str">
        <f>IF(AND('Mapa de Riesgos'!$H$66="Muy Baja",'Mapa de Riesgos'!$L$66="Leve"),CONCATENATE("R",'Mapa de Riesgos'!$A$66),"")</f>
        <v/>
      </c>
      <c r="K44" s="439"/>
      <c r="L44" s="439" t="str">
        <f>IF(AND('Mapa de Riesgos'!$H$72="Muy Baja",'Mapa de Riesgos'!$L$72="Leve"),CONCATENATE("R",'Mapa de Riesgos'!$A$72),"")</f>
        <v/>
      </c>
      <c r="M44" s="439"/>
      <c r="N44" s="439" t="str">
        <f>IF(AND('Mapa de Riesgos'!$H$78="Muy Baja",'Mapa de Riesgos'!$L$78="Leve"),CONCATENATE("R",'Mapa de Riesgos'!$A$78),"")</f>
        <v/>
      </c>
      <c r="O44" s="440"/>
      <c r="P44" s="438" t="str">
        <f>IF(AND('Mapa de Riesgos'!$H$66="Muy Baja",'Mapa de Riesgos'!$L$66="Menor"),CONCATENATE("R",'Mapa de Riesgos'!$A$66),"")</f>
        <v/>
      </c>
      <c r="Q44" s="439"/>
      <c r="R44" s="439" t="str">
        <f>IF(AND('Mapa de Riesgos'!$H$72="Muy Baja",'Mapa de Riesgos'!$L$72="Menor"),CONCATENATE("R",'Mapa de Riesgos'!$A$72),"")</f>
        <v/>
      </c>
      <c r="S44" s="439"/>
      <c r="T44" s="439" t="str">
        <f>IF(AND('Mapa de Riesgos'!$H$78="Muy Baja",'Mapa de Riesgos'!$L$78="Menor"),CONCATENATE("R",'Mapa de Riesgos'!$A$78),"")</f>
        <v/>
      </c>
      <c r="U44" s="440"/>
      <c r="V44" s="447" t="str">
        <f>IF(AND('Mapa de Riesgos'!$H$66="Muy Baja",'Mapa de Riesgos'!$L$66="Moderado"),CONCATENATE("R",'Mapa de Riesgos'!$A$66),"")</f>
        <v/>
      </c>
      <c r="W44" s="448"/>
      <c r="X44" s="448" t="str">
        <f>IF(AND('Mapa de Riesgos'!$H$72="Muy Baja",'Mapa de Riesgos'!$L$72="Moderado"),CONCATENATE("R",'Mapa de Riesgos'!$A$72),"")</f>
        <v/>
      </c>
      <c r="Y44" s="448"/>
      <c r="Z44" s="448" t="str">
        <f>IF(AND('Mapa de Riesgos'!$H$78="Muy Baja",'Mapa de Riesgos'!$L$78="Moderado"),CONCATENATE("R",'Mapa de Riesgos'!$A$78),"")</f>
        <v/>
      </c>
      <c r="AA44" s="449"/>
      <c r="AB44" s="465" t="str">
        <f>IF(AND('Mapa de Riesgos'!$H$66="Muy Baja",'Mapa de Riesgos'!$L$66="Mayor"),CONCATENATE("R",'Mapa de Riesgos'!$A$66),"")</f>
        <v/>
      </c>
      <c r="AC44" s="466"/>
      <c r="AD44" s="466" t="str">
        <f>IF(AND('Mapa de Riesgos'!$H$72="Muy Baja",'Mapa de Riesgos'!$L$72="Mayor"),CONCATENATE("R",'Mapa de Riesgos'!$A$72),"")</f>
        <v/>
      </c>
      <c r="AE44" s="466"/>
      <c r="AF44" s="466" t="str">
        <f>IF(AND('Mapa de Riesgos'!$H$78="Muy Baja",'Mapa de Riesgos'!$L$78="Mayor"),CONCATENATE("R",'Mapa de Riesgos'!$A$78),"")</f>
        <v/>
      </c>
      <c r="AG44" s="467"/>
      <c r="AH44" s="456" t="str">
        <f>IF(AND('Mapa de Riesgos'!$H$66="Muy Baja",'Mapa de Riesgos'!$L$66="Catastrófico"),CONCATENATE("R",'Mapa de Riesgos'!$A$66),"")</f>
        <v/>
      </c>
      <c r="AI44" s="457"/>
      <c r="AJ44" s="457" t="str">
        <f>IF(AND('Mapa de Riesgos'!$H$72="Muy Baja",'Mapa de Riesgos'!$L$72="Catastrófico"),CONCATENATE("R",'Mapa de Riesgos'!$A$72),"")</f>
        <v/>
      </c>
      <c r="AK44" s="457"/>
      <c r="AL44" s="457" t="str">
        <f>IF(AND('Mapa de Riesgos'!$H$78="Muy Baja",'Mapa de Riesgos'!$L$78="Catastrófico"),CONCATENATE("R",'Mapa de Riesgos'!$A$78),"")</f>
        <v/>
      </c>
      <c r="AM44" s="45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485"/>
      <c r="C45" s="485"/>
      <c r="D45" s="486"/>
      <c r="E45" s="481"/>
      <c r="F45" s="482"/>
      <c r="G45" s="482"/>
      <c r="H45" s="482"/>
      <c r="I45" s="483"/>
      <c r="J45" s="441"/>
      <c r="K45" s="442"/>
      <c r="L45" s="442"/>
      <c r="M45" s="442"/>
      <c r="N45" s="442"/>
      <c r="O45" s="443"/>
      <c r="P45" s="441"/>
      <c r="Q45" s="442"/>
      <c r="R45" s="442"/>
      <c r="S45" s="442"/>
      <c r="T45" s="442"/>
      <c r="U45" s="443"/>
      <c r="V45" s="450"/>
      <c r="W45" s="451"/>
      <c r="X45" s="451"/>
      <c r="Y45" s="451"/>
      <c r="Z45" s="451"/>
      <c r="AA45" s="452"/>
      <c r="AB45" s="468"/>
      <c r="AC45" s="469"/>
      <c r="AD45" s="469"/>
      <c r="AE45" s="469"/>
      <c r="AF45" s="469"/>
      <c r="AG45" s="470"/>
      <c r="AH45" s="459"/>
      <c r="AI45" s="460"/>
      <c r="AJ45" s="460"/>
      <c r="AK45" s="460"/>
      <c r="AL45" s="460"/>
      <c r="AM45" s="46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75" t="s">
        <v>137</v>
      </c>
      <c r="K46" s="476"/>
      <c r="L46" s="476"/>
      <c r="M46" s="476"/>
      <c r="N46" s="476"/>
      <c r="O46" s="477"/>
      <c r="P46" s="475" t="s">
        <v>138</v>
      </c>
      <c r="Q46" s="476"/>
      <c r="R46" s="476"/>
      <c r="S46" s="476"/>
      <c r="T46" s="476"/>
      <c r="U46" s="477"/>
      <c r="V46" s="475" t="s">
        <v>139</v>
      </c>
      <c r="W46" s="476"/>
      <c r="X46" s="476"/>
      <c r="Y46" s="476"/>
      <c r="Z46" s="476"/>
      <c r="AA46" s="477"/>
      <c r="AB46" s="475" t="s">
        <v>140</v>
      </c>
      <c r="AC46" s="484"/>
      <c r="AD46" s="476"/>
      <c r="AE46" s="476"/>
      <c r="AF46" s="476"/>
      <c r="AG46" s="477"/>
      <c r="AH46" s="475" t="s">
        <v>141</v>
      </c>
      <c r="AI46" s="476"/>
      <c r="AJ46" s="476"/>
      <c r="AK46" s="476"/>
      <c r="AL46" s="476"/>
      <c r="AM46" s="4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78"/>
      <c r="K47" s="479"/>
      <c r="L47" s="479"/>
      <c r="M47" s="479"/>
      <c r="N47" s="479"/>
      <c r="O47" s="480"/>
      <c r="P47" s="478"/>
      <c r="Q47" s="479"/>
      <c r="R47" s="479"/>
      <c r="S47" s="479"/>
      <c r="T47" s="479"/>
      <c r="U47" s="480"/>
      <c r="V47" s="478"/>
      <c r="W47" s="479"/>
      <c r="X47" s="479"/>
      <c r="Y47" s="479"/>
      <c r="Z47" s="479"/>
      <c r="AA47" s="480"/>
      <c r="AB47" s="478"/>
      <c r="AC47" s="479"/>
      <c r="AD47" s="479"/>
      <c r="AE47" s="479"/>
      <c r="AF47" s="479"/>
      <c r="AG47" s="480"/>
      <c r="AH47" s="478"/>
      <c r="AI47" s="479"/>
      <c r="AJ47" s="479"/>
      <c r="AK47" s="479"/>
      <c r="AL47" s="479"/>
      <c r="AM47" s="4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78"/>
      <c r="K48" s="479"/>
      <c r="L48" s="479"/>
      <c r="M48" s="479"/>
      <c r="N48" s="479"/>
      <c r="O48" s="480"/>
      <c r="P48" s="478"/>
      <c r="Q48" s="479"/>
      <c r="R48" s="479"/>
      <c r="S48" s="479"/>
      <c r="T48" s="479"/>
      <c r="U48" s="480"/>
      <c r="V48" s="478"/>
      <c r="W48" s="479"/>
      <c r="X48" s="479"/>
      <c r="Y48" s="479"/>
      <c r="Z48" s="479"/>
      <c r="AA48" s="480"/>
      <c r="AB48" s="478"/>
      <c r="AC48" s="479"/>
      <c r="AD48" s="479"/>
      <c r="AE48" s="479"/>
      <c r="AF48" s="479"/>
      <c r="AG48" s="480"/>
      <c r="AH48" s="478"/>
      <c r="AI48" s="479"/>
      <c r="AJ48" s="479"/>
      <c r="AK48" s="479"/>
      <c r="AL48" s="479"/>
      <c r="AM48" s="4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78"/>
      <c r="K49" s="479"/>
      <c r="L49" s="479"/>
      <c r="M49" s="479"/>
      <c r="N49" s="479"/>
      <c r="O49" s="480"/>
      <c r="P49" s="478"/>
      <c r="Q49" s="479"/>
      <c r="R49" s="479"/>
      <c r="S49" s="479"/>
      <c r="T49" s="479"/>
      <c r="U49" s="480"/>
      <c r="V49" s="478"/>
      <c r="W49" s="479"/>
      <c r="X49" s="479"/>
      <c r="Y49" s="479"/>
      <c r="Z49" s="479"/>
      <c r="AA49" s="480"/>
      <c r="AB49" s="478"/>
      <c r="AC49" s="479"/>
      <c r="AD49" s="479"/>
      <c r="AE49" s="479"/>
      <c r="AF49" s="479"/>
      <c r="AG49" s="480"/>
      <c r="AH49" s="478"/>
      <c r="AI49" s="479"/>
      <c r="AJ49" s="479"/>
      <c r="AK49" s="479"/>
      <c r="AL49" s="479"/>
      <c r="AM49" s="4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78"/>
      <c r="K50" s="479"/>
      <c r="L50" s="479"/>
      <c r="M50" s="479"/>
      <c r="N50" s="479"/>
      <c r="O50" s="480"/>
      <c r="P50" s="478"/>
      <c r="Q50" s="479"/>
      <c r="R50" s="479"/>
      <c r="S50" s="479"/>
      <c r="T50" s="479"/>
      <c r="U50" s="480"/>
      <c r="V50" s="478"/>
      <c r="W50" s="479"/>
      <c r="X50" s="479"/>
      <c r="Y50" s="479"/>
      <c r="Z50" s="479"/>
      <c r="AA50" s="480"/>
      <c r="AB50" s="478"/>
      <c r="AC50" s="479"/>
      <c r="AD50" s="479"/>
      <c r="AE50" s="479"/>
      <c r="AF50" s="479"/>
      <c r="AG50" s="480"/>
      <c r="AH50" s="478"/>
      <c r="AI50" s="479"/>
      <c r="AJ50" s="479"/>
      <c r="AK50" s="479"/>
      <c r="AL50" s="479"/>
      <c r="AM50" s="4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81"/>
      <c r="K51" s="482"/>
      <c r="L51" s="482"/>
      <c r="M51" s="482"/>
      <c r="N51" s="482"/>
      <c r="O51" s="483"/>
      <c r="P51" s="481"/>
      <c r="Q51" s="482"/>
      <c r="R51" s="482"/>
      <c r="S51" s="482"/>
      <c r="T51" s="482"/>
      <c r="U51" s="483"/>
      <c r="V51" s="481"/>
      <c r="W51" s="482"/>
      <c r="X51" s="482"/>
      <c r="Y51" s="482"/>
      <c r="Z51" s="482"/>
      <c r="AA51" s="483"/>
      <c r="AB51" s="481"/>
      <c r="AC51" s="482"/>
      <c r="AD51" s="482"/>
      <c r="AE51" s="482"/>
      <c r="AF51" s="482"/>
      <c r="AG51" s="483"/>
      <c r="AH51" s="481"/>
      <c r="AI51" s="482"/>
      <c r="AJ51" s="482"/>
      <c r="AK51" s="482"/>
      <c r="AL51" s="482"/>
      <c r="AM51" s="4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52" t="s">
        <v>142</v>
      </c>
      <c r="C2" s="553"/>
      <c r="D2" s="553"/>
      <c r="E2" s="553"/>
      <c r="F2" s="553"/>
      <c r="G2" s="553"/>
      <c r="H2" s="553"/>
      <c r="I2" s="553"/>
      <c r="J2" s="474" t="s">
        <v>23</v>
      </c>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53"/>
      <c r="C3" s="553"/>
      <c r="D3" s="553"/>
      <c r="E3" s="553"/>
      <c r="F3" s="553"/>
      <c r="G3" s="553"/>
      <c r="H3" s="553"/>
      <c r="I3" s="553"/>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53"/>
      <c r="C4" s="553"/>
      <c r="D4" s="553"/>
      <c r="E4" s="553"/>
      <c r="F4" s="553"/>
      <c r="G4" s="553"/>
      <c r="H4" s="553"/>
      <c r="I4" s="553"/>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485" t="s">
        <v>127</v>
      </c>
      <c r="C6" s="485"/>
      <c r="D6" s="486"/>
      <c r="E6" s="523" t="s">
        <v>128</v>
      </c>
      <c r="F6" s="524"/>
      <c r="G6" s="524"/>
      <c r="H6" s="524"/>
      <c r="I6" s="525"/>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43" t="s">
        <v>129</v>
      </c>
      <c r="AP6" s="544"/>
      <c r="AQ6" s="544"/>
      <c r="AR6" s="544"/>
      <c r="AS6" s="544"/>
      <c r="AT6" s="54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485"/>
      <c r="C7" s="485"/>
      <c r="D7" s="486"/>
      <c r="E7" s="526"/>
      <c r="F7" s="527"/>
      <c r="G7" s="527"/>
      <c r="H7" s="527"/>
      <c r="I7" s="528"/>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46"/>
      <c r="AP7" s="547"/>
      <c r="AQ7" s="547"/>
      <c r="AR7" s="547"/>
      <c r="AS7" s="547"/>
      <c r="AT7" s="54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485"/>
      <c r="C8" s="485"/>
      <c r="D8" s="486"/>
      <c r="E8" s="526"/>
      <c r="F8" s="527"/>
      <c r="G8" s="527"/>
      <c r="H8" s="527"/>
      <c r="I8" s="528"/>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46"/>
      <c r="AP8" s="547"/>
      <c r="AQ8" s="547"/>
      <c r="AR8" s="547"/>
      <c r="AS8" s="547"/>
      <c r="AT8" s="54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485"/>
      <c r="C9" s="485"/>
      <c r="D9" s="486"/>
      <c r="E9" s="526"/>
      <c r="F9" s="527"/>
      <c r="G9" s="527"/>
      <c r="H9" s="527"/>
      <c r="I9" s="528"/>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46"/>
      <c r="AP9" s="547"/>
      <c r="AQ9" s="547"/>
      <c r="AR9" s="547"/>
      <c r="AS9" s="547"/>
      <c r="AT9" s="54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485"/>
      <c r="C10" s="485"/>
      <c r="D10" s="486"/>
      <c r="E10" s="526"/>
      <c r="F10" s="527"/>
      <c r="G10" s="527"/>
      <c r="H10" s="527"/>
      <c r="I10" s="528"/>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46"/>
      <c r="AP10" s="547"/>
      <c r="AQ10" s="547"/>
      <c r="AR10" s="547"/>
      <c r="AS10" s="547"/>
      <c r="AT10" s="54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485"/>
      <c r="C11" s="485"/>
      <c r="D11" s="486"/>
      <c r="E11" s="526"/>
      <c r="F11" s="527"/>
      <c r="G11" s="527"/>
      <c r="H11" s="527"/>
      <c r="I11" s="528"/>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546"/>
      <c r="AP11" s="547"/>
      <c r="AQ11" s="547"/>
      <c r="AR11" s="547"/>
      <c r="AS11" s="547"/>
      <c r="AT11" s="54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485"/>
      <c r="C12" s="485"/>
      <c r="D12" s="486"/>
      <c r="E12" s="526"/>
      <c r="F12" s="527"/>
      <c r="G12" s="527"/>
      <c r="H12" s="527"/>
      <c r="I12" s="528"/>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546"/>
      <c r="AP12" s="547"/>
      <c r="AQ12" s="547"/>
      <c r="AR12" s="547"/>
      <c r="AS12" s="547"/>
      <c r="AT12" s="54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485"/>
      <c r="C13" s="485"/>
      <c r="D13" s="486"/>
      <c r="E13" s="526"/>
      <c r="F13" s="527"/>
      <c r="G13" s="527"/>
      <c r="H13" s="527"/>
      <c r="I13" s="528"/>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546"/>
      <c r="AP13" s="547"/>
      <c r="AQ13" s="547"/>
      <c r="AR13" s="547"/>
      <c r="AS13" s="547"/>
      <c r="AT13" s="5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485"/>
      <c r="C14" s="485"/>
      <c r="D14" s="486"/>
      <c r="E14" s="526"/>
      <c r="F14" s="527"/>
      <c r="G14" s="527"/>
      <c r="H14" s="527"/>
      <c r="I14" s="528"/>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546"/>
      <c r="AP14" s="547"/>
      <c r="AQ14" s="547"/>
      <c r="AR14" s="547"/>
      <c r="AS14" s="547"/>
      <c r="AT14" s="54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485"/>
      <c r="C15" s="485"/>
      <c r="D15" s="486"/>
      <c r="E15" s="529"/>
      <c r="F15" s="530"/>
      <c r="G15" s="530"/>
      <c r="H15" s="530"/>
      <c r="I15" s="531"/>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49"/>
      <c r="AP15" s="550"/>
      <c r="AQ15" s="550"/>
      <c r="AR15" s="550"/>
      <c r="AS15" s="550"/>
      <c r="AT15" s="55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485"/>
      <c r="C16" s="485"/>
      <c r="D16" s="486"/>
      <c r="E16" s="523" t="s">
        <v>130</v>
      </c>
      <c r="F16" s="524"/>
      <c r="G16" s="524"/>
      <c r="H16" s="524"/>
      <c r="I16" s="524"/>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33" t="s">
        <v>131</v>
      </c>
      <c r="AP16" s="534"/>
      <c r="AQ16" s="534"/>
      <c r="AR16" s="534"/>
      <c r="AS16" s="534"/>
      <c r="AT16" s="53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485"/>
      <c r="C17" s="485"/>
      <c r="D17" s="486"/>
      <c r="E17" s="542"/>
      <c r="F17" s="527"/>
      <c r="G17" s="527"/>
      <c r="H17" s="527"/>
      <c r="I17" s="527"/>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536"/>
      <c r="AP17" s="537"/>
      <c r="AQ17" s="537"/>
      <c r="AR17" s="537"/>
      <c r="AS17" s="537"/>
      <c r="AT17" s="53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485"/>
      <c r="C18" s="485"/>
      <c r="D18" s="486"/>
      <c r="E18" s="526"/>
      <c r="F18" s="527"/>
      <c r="G18" s="527"/>
      <c r="H18" s="527"/>
      <c r="I18" s="527"/>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536"/>
      <c r="AP18" s="537"/>
      <c r="AQ18" s="537"/>
      <c r="AR18" s="537"/>
      <c r="AS18" s="537"/>
      <c r="AT18" s="53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485"/>
      <c r="C19" s="485"/>
      <c r="D19" s="486"/>
      <c r="E19" s="526"/>
      <c r="F19" s="527"/>
      <c r="G19" s="527"/>
      <c r="H19" s="527"/>
      <c r="I19" s="527"/>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536"/>
      <c r="AP19" s="537"/>
      <c r="AQ19" s="537"/>
      <c r="AR19" s="537"/>
      <c r="AS19" s="537"/>
      <c r="AT19" s="53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485"/>
      <c r="C20" s="485"/>
      <c r="D20" s="486"/>
      <c r="E20" s="526"/>
      <c r="F20" s="527"/>
      <c r="G20" s="527"/>
      <c r="H20" s="527"/>
      <c r="I20" s="527"/>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536"/>
      <c r="AP20" s="537"/>
      <c r="AQ20" s="537"/>
      <c r="AR20" s="537"/>
      <c r="AS20" s="537"/>
      <c r="AT20" s="53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485"/>
      <c r="C21" s="485"/>
      <c r="D21" s="486"/>
      <c r="E21" s="526"/>
      <c r="F21" s="527"/>
      <c r="G21" s="527"/>
      <c r="H21" s="527"/>
      <c r="I21" s="527"/>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536"/>
      <c r="AP21" s="537"/>
      <c r="AQ21" s="537"/>
      <c r="AR21" s="537"/>
      <c r="AS21" s="537"/>
      <c r="AT21" s="53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485"/>
      <c r="C22" s="485"/>
      <c r="D22" s="486"/>
      <c r="E22" s="526"/>
      <c r="F22" s="527"/>
      <c r="G22" s="527"/>
      <c r="H22" s="527"/>
      <c r="I22" s="527"/>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536"/>
      <c r="AP22" s="537"/>
      <c r="AQ22" s="537"/>
      <c r="AR22" s="537"/>
      <c r="AS22" s="537"/>
      <c r="AT22" s="53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485"/>
      <c r="C23" s="485"/>
      <c r="D23" s="486"/>
      <c r="E23" s="526"/>
      <c r="F23" s="527"/>
      <c r="G23" s="527"/>
      <c r="H23" s="527"/>
      <c r="I23" s="527"/>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536"/>
      <c r="AP23" s="537"/>
      <c r="AQ23" s="537"/>
      <c r="AR23" s="537"/>
      <c r="AS23" s="537"/>
      <c r="AT23" s="53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485"/>
      <c r="C24" s="485"/>
      <c r="D24" s="486"/>
      <c r="E24" s="526"/>
      <c r="F24" s="527"/>
      <c r="G24" s="527"/>
      <c r="H24" s="527"/>
      <c r="I24" s="527"/>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536"/>
      <c r="AP24" s="537"/>
      <c r="AQ24" s="537"/>
      <c r="AR24" s="537"/>
      <c r="AS24" s="537"/>
      <c r="AT24" s="53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485"/>
      <c r="C25" s="485"/>
      <c r="D25" s="486"/>
      <c r="E25" s="529"/>
      <c r="F25" s="530"/>
      <c r="G25" s="530"/>
      <c r="H25" s="530"/>
      <c r="I25" s="530"/>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539"/>
      <c r="AP25" s="540"/>
      <c r="AQ25" s="540"/>
      <c r="AR25" s="540"/>
      <c r="AS25" s="540"/>
      <c r="AT25" s="54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485"/>
      <c r="C26" s="485"/>
      <c r="D26" s="486"/>
      <c r="E26" s="523" t="s">
        <v>132</v>
      </c>
      <c r="F26" s="524"/>
      <c r="G26" s="524"/>
      <c r="H26" s="524"/>
      <c r="I26" s="525"/>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63" t="s">
        <v>133</v>
      </c>
      <c r="AP26" s="564"/>
      <c r="AQ26" s="564"/>
      <c r="AR26" s="564"/>
      <c r="AS26" s="564"/>
      <c r="AT26" s="5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485"/>
      <c r="C27" s="485"/>
      <c r="D27" s="486"/>
      <c r="E27" s="542"/>
      <c r="F27" s="527"/>
      <c r="G27" s="527"/>
      <c r="H27" s="527"/>
      <c r="I27" s="528"/>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66"/>
      <c r="AP27" s="567"/>
      <c r="AQ27" s="567"/>
      <c r="AR27" s="567"/>
      <c r="AS27" s="567"/>
      <c r="AT27" s="5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485"/>
      <c r="C28" s="485"/>
      <c r="D28" s="486"/>
      <c r="E28" s="526"/>
      <c r="F28" s="527"/>
      <c r="G28" s="527"/>
      <c r="H28" s="527"/>
      <c r="I28" s="528"/>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66"/>
      <c r="AP28" s="567"/>
      <c r="AQ28" s="567"/>
      <c r="AR28" s="567"/>
      <c r="AS28" s="567"/>
      <c r="AT28" s="5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485"/>
      <c r="C29" s="485"/>
      <c r="D29" s="486"/>
      <c r="E29" s="526"/>
      <c r="F29" s="527"/>
      <c r="G29" s="527"/>
      <c r="H29" s="527"/>
      <c r="I29" s="528"/>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66"/>
      <c r="AP29" s="567"/>
      <c r="AQ29" s="567"/>
      <c r="AR29" s="567"/>
      <c r="AS29" s="567"/>
      <c r="AT29" s="5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485"/>
      <c r="C30" s="485"/>
      <c r="D30" s="486"/>
      <c r="E30" s="526"/>
      <c r="F30" s="527"/>
      <c r="G30" s="527"/>
      <c r="H30" s="527"/>
      <c r="I30" s="528"/>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66"/>
      <c r="AP30" s="567"/>
      <c r="AQ30" s="567"/>
      <c r="AR30" s="567"/>
      <c r="AS30" s="567"/>
      <c r="AT30" s="5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485"/>
      <c r="C31" s="485"/>
      <c r="D31" s="486"/>
      <c r="E31" s="526"/>
      <c r="F31" s="527"/>
      <c r="G31" s="527"/>
      <c r="H31" s="527"/>
      <c r="I31" s="528"/>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66"/>
      <c r="AP31" s="567"/>
      <c r="AQ31" s="567"/>
      <c r="AR31" s="567"/>
      <c r="AS31" s="567"/>
      <c r="AT31" s="5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485"/>
      <c r="C32" s="485"/>
      <c r="D32" s="486"/>
      <c r="E32" s="526"/>
      <c r="F32" s="527"/>
      <c r="G32" s="527"/>
      <c r="H32" s="527"/>
      <c r="I32" s="528"/>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66"/>
      <c r="AP32" s="567"/>
      <c r="AQ32" s="567"/>
      <c r="AR32" s="567"/>
      <c r="AS32" s="567"/>
      <c r="AT32" s="5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485"/>
      <c r="C33" s="485"/>
      <c r="D33" s="486"/>
      <c r="E33" s="526"/>
      <c r="F33" s="527"/>
      <c r="G33" s="527"/>
      <c r="H33" s="527"/>
      <c r="I33" s="528"/>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66"/>
      <c r="AP33" s="567"/>
      <c r="AQ33" s="567"/>
      <c r="AR33" s="567"/>
      <c r="AS33" s="567"/>
      <c r="AT33" s="5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485"/>
      <c r="C34" s="485"/>
      <c r="D34" s="486"/>
      <c r="E34" s="526"/>
      <c r="F34" s="527"/>
      <c r="G34" s="527"/>
      <c r="H34" s="527"/>
      <c r="I34" s="528"/>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66"/>
      <c r="AP34" s="567"/>
      <c r="AQ34" s="567"/>
      <c r="AR34" s="567"/>
      <c r="AS34" s="567"/>
      <c r="AT34" s="5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485"/>
      <c r="C35" s="485"/>
      <c r="D35" s="486"/>
      <c r="E35" s="529"/>
      <c r="F35" s="530"/>
      <c r="G35" s="530"/>
      <c r="H35" s="530"/>
      <c r="I35" s="531"/>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69"/>
      <c r="AP35" s="570"/>
      <c r="AQ35" s="570"/>
      <c r="AR35" s="570"/>
      <c r="AS35" s="570"/>
      <c r="AT35" s="5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485"/>
      <c r="C36" s="485"/>
      <c r="D36" s="486"/>
      <c r="E36" s="523" t="s">
        <v>134</v>
      </c>
      <c r="F36" s="524"/>
      <c r="G36" s="524"/>
      <c r="H36" s="524"/>
      <c r="I36" s="524"/>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54" t="s">
        <v>135</v>
      </c>
      <c r="AP36" s="555"/>
      <c r="AQ36" s="555"/>
      <c r="AR36" s="555"/>
      <c r="AS36" s="555"/>
      <c r="AT36" s="5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485"/>
      <c r="C37" s="485"/>
      <c r="D37" s="486"/>
      <c r="E37" s="542"/>
      <c r="F37" s="527"/>
      <c r="G37" s="527"/>
      <c r="H37" s="527"/>
      <c r="I37" s="527"/>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R2C1</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57"/>
      <c r="AP37" s="558"/>
      <c r="AQ37" s="558"/>
      <c r="AR37" s="558"/>
      <c r="AS37" s="558"/>
      <c r="AT37" s="5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485"/>
      <c r="C38" s="485"/>
      <c r="D38" s="486"/>
      <c r="E38" s="526"/>
      <c r="F38" s="527"/>
      <c r="G38" s="527"/>
      <c r="H38" s="527"/>
      <c r="I38" s="527"/>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57"/>
      <c r="AP38" s="558"/>
      <c r="AQ38" s="558"/>
      <c r="AR38" s="558"/>
      <c r="AS38" s="558"/>
      <c r="AT38" s="5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485"/>
      <c r="C39" s="485"/>
      <c r="D39" s="486"/>
      <c r="E39" s="526"/>
      <c r="F39" s="527"/>
      <c r="G39" s="527"/>
      <c r="H39" s="527"/>
      <c r="I39" s="527"/>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
      </c>
      <c r="W39" s="68" t="str">
        <f>IF(AND('Mapa de Riesgos'!$Y$31="Baja",'Mapa de Riesgos'!$AA$31="Moderado"),CONCATENATE("R4C",'Mapa de Riesgos'!$O$31),"")</f>
        <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57"/>
      <c r="AP39" s="558"/>
      <c r="AQ39" s="558"/>
      <c r="AR39" s="558"/>
      <c r="AS39" s="558"/>
      <c r="AT39" s="5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485"/>
      <c r="C40" s="485"/>
      <c r="D40" s="486"/>
      <c r="E40" s="526"/>
      <c r="F40" s="527"/>
      <c r="G40" s="527"/>
      <c r="H40" s="527"/>
      <c r="I40" s="527"/>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57"/>
      <c r="AP40" s="558"/>
      <c r="AQ40" s="558"/>
      <c r="AR40" s="558"/>
      <c r="AS40" s="558"/>
      <c r="AT40" s="5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485"/>
      <c r="C41" s="485"/>
      <c r="D41" s="486"/>
      <c r="E41" s="526"/>
      <c r="F41" s="527"/>
      <c r="G41" s="527"/>
      <c r="H41" s="527"/>
      <c r="I41" s="527"/>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57"/>
      <c r="AP41" s="558"/>
      <c r="AQ41" s="558"/>
      <c r="AR41" s="558"/>
      <c r="AS41" s="558"/>
      <c r="AT41" s="5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485"/>
      <c r="C42" s="485"/>
      <c r="D42" s="486"/>
      <c r="E42" s="526"/>
      <c r="F42" s="527"/>
      <c r="G42" s="527"/>
      <c r="H42" s="527"/>
      <c r="I42" s="527"/>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57"/>
      <c r="AP42" s="558"/>
      <c r="AQ42" s="558"/>
      <c r="AR42" s="558"/>
      <c r="AS42" s="558"/>
      <c r="AT42" s="5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485"/>
      <c r="C43" s="485"/>
      <c r="D43" s="486"/>
      <c r="E43" s="526"/>
      <c r="F43" s="527"/>
      <c r="G43" s="527"/>
      <c r="H43" s="527"/>
      <c r="I43" s="527"/>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57"/>
      <c r="AP43" s="558"/>
      <c r="AQ43" s="558"/>
      <c r="AR43" s="558"/>
      <c r="AS43" s="558"/>
      <c r="AT43" s="5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485"/>
      <c r="C44" s="485"/>
      <c r="D44" s="486"/>
      <c r="E44" s="526"/>
      <c r="F44" s="527"/>
      <c r="G44" s="527"/>
      <c r="H44" s="527"/>
      <c r="I44" s="527"/>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57"/>
      <c r="AP44" s="558"/>
      <c r="AQ44" s="558"/>
      <c r="AR44" s="558"/>
      <c r="AS44" s="558"/>
      <c r="AT44" s="5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485"/>
      <c r="C45" s="485"/>
      <c r="D45" s="486"/>
      <c r="E45" s="529"/>
      <c r="F45" s="530"/>
      <c r="G45" s="530"/>
      <c r="H45" s="530"/>
      <c r="I45" s="530"/>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60"/>
      <c r="AP45" s="561"/>
      <c r="AQ45" s="561"/>
      <c r="AR45" s="561"/>
      <c r="AS45" s="561"/>
      <c r="AT45" s="562"/>
    </row>
    <row r="46" spans="1:80" ht="46.5" customHeight="1" x14ac:dyDescent="0.35">
      <c r="A46" s="83"/>
      <c r="B46" s="485"/>
      <c r="C46" s="485"/>
      <c r="D46" s="486"/>
      <c r="E46" s="523" t="s">
        <v>136</v>
      </c>
      <c r="F46" s="524"/>
      <c r="G46" s="524"/>
      <c r="H46" s="524"/>
      <c r="I46" s="525"/>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R1C1</v>
      </c>
      <c r="W46" s="82" t="str">
        <f>IF(AND('Mapa de Riesgos'!$Y$13="Muy Baja",'Mapa de Riesgos'!$AA$13="Moderado"),CONCATENATE("R1C",'Mapa de Riesgos'!$O$13),"")</f>
        <v>R1C2</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485"/>
      <c r="C47" s="485"/>
      <c r="D47" s="486"/>
      <c r="E47" s="542"/>
      <c r="F47" s="527"/>
      <c r="G47" s="527"/>
      <c r="H47" s="527"/>
      <c r="I47" s="528"/>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485"/>
      <c r="C48" s="485"/>
      <c r="D48" s="486"/>
      <c r="E48" s="542"/>
      <c r="F48" s="527"/>
      <c r="G48" s="527"/>
      <c r="H48" s="527"/>
      <c r="I48" s="528"/>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485"/>
      <c r="C49" s="485"/>
      <c r="D49" s="486"/>
      <c r="E49" s="526"/>
      <c r="F49" s="527"/>
      <c r="G49" s="527"/>
      <c r="H49" s="527"/>
      <c r="I49" s="528"/>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485"/>
      <c r="C50" s="485"/>
      <c r="D50" s="486"/>
      <c r="E50" s="526"/>
      <c r="F50" s="527"/>
      <c r="G50" s="527"/>
      <c r="H50" s="527"/>
      <c r="I50" s="528"/>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485"/>
      <c r="C51" s="485"/>
      <c r="D51" s="486"/>
      <c r="E51" s="526"/>
      <c r="F51" s="527"/>
      <c r="G51" s="527"/>
      <c r="H51" s="527"/>
      <c r="I51" s="528"/>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485"/>
      <c r="C52" s="485"/>
      <c r="D52" s="486"/>
      <c r="E52" s="526"/>
      <c r="F52" s="527"/>
      <c r="G52" s="527"/>
      <c r="H52" s="527"/>
      <c r="I52" s="528"/>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485"/>
      <c r="C53" s="485"/>
      <c r="D53" s="486"/>
      <c r="E53" s="526"/>
      <c r="F53" s="527"/>
      <c r="G53" s="527"/>
      <c r="H53" s="527"/>
      <c r="I53" s="528"/>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485"/>
      <c r="C54" s="485"/>
      <c r="D54" s="486"/>
      <c r="E54" s="526"/>
      <c r="F54" s="527"/>
      <c r="G54" s="527"/>
      <c r="H54" s="527"/>
      <c r="I54" s="528"/>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485"/>
      <c r="C55" s="485"/>
      <c r="D55" s="486"/>
      <c r="E55" s="529"/>
      <c r="F55" s="530"/>
      <c r="G55" s="530"/>
      <c r="H55" s="530"/>
      <c r="I55" s="531"/>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23" t="s">
        <v>137</v>
      </c>
      <c r="K56" s="524"/>
      <c r="L56" s="524"/>
      <c r="M56" s="524"/>
      <c r="N56" s="524"/>
      <c r="O56" s="525"/>
      <c r="P56" s="523" t="s">
        <v>138</v>
      </c>
      <c r="Q56" s="524"/>
      <c r="R56" s="524"/>
      <c r="S56" s="524"/>
      <c r="T56" s="524"/>
      <c r="U56" s="525"/>
      <c r="V56" s="523" t="s">
        <v>139</v>
      </c>
      <c r="W56" s="524"/>
      <c r="X56" s="524"/>
      <c r="Y56" s="524"/>
      <c r="Z56" s="524"/>
      <c r="AA56" s="525"/>
      <c r="AB56" s="523" t="s">
        <v>140</v>
      </c>
      <c r="AC56" s="532"/>
      <c r="AD56" s="524"/>
      <c r="AE56" s="524"/>
      <c r="AF56" s="524"/>
      <c r="AG56" s="525"/>
      <c r="AH56" s="523" t="s">
        <v>141</v>
      </c>
      <c r="AI56" s="524"/>
      <c r="AJ56" s="524"/>
      <c r="AK56" s="524"/>
      <c r="AL56" s="524"/>
      <c r="AM56" s="525"/>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26"/>
      <c r="K57" s="527"/>
      <c r="L57" s="527"/>
      <c r="M57" s="527"/>
      <c r="N57" s="527"/>
      <c r="O57" s="528"/>
      <c r="P57" s="526"/>
      <c r="Q57" s="527"/>
      <c r="R57" s="527"/>
      <c r="S57" s="527"/>
      <c r="T57" s="527"/>
      <c r="U57" s="528"/>
      <c r="V57" s="526"/>
      <c r="W57" s="527"/>
      <c r="X57" s="527"/>
      <c r="Y57" s="527"/>
      <c r="Z57" s="527"/>
      <c r="AA57" s="528"/>
      <c r="AB57" s="526"/>
      <c r="AC57" s="527"/>
      <c r="AD57" s="527"/>
      <c r="AE57" s="527"/>
      <c r="AF57" s="527"/>
      <c r="AG57" s="528"/>
      <c r="AH57" s="526"/>
      <c r="AI57" s="527"/>
      <c r="AJ57" s="527"/>
      <c r="AK57" s="527"/>
      <c r="AL57" s="527"/>
      <c r="AM57" s="528"/>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26"/>
      <c r="K58" s="527"/>
      <c r="L58" s="527"/>
      <c r="M58" s="527"/>
      <c r="N58" s="527"/>
      <c r="O58" s="528"/>
      <c r="P58" s="526"/>
      <c r="Q58" s="527"/>
      <c r="R58" s="527"/>
      <c r="S58" s="527"/>
      <c r="T58" s="527"/>
      <c r="U58" s="528"/>
      <c r="V58" s="526"/>
      <c r="W58" s="527"/>
      <c r="X58" s="527"/>
      <c r="Y58" s="527"/>
      <c r="Z58" s="527"/>
      <c r="AA58" s="528"/>
      <c r="AB58" s="526"/>
      <c r="AC58" s="527"/>
      <c r="AD58" s="527"/>
      <c r="AE58" s="527"/>
      <c r="AF58" s="527"/>
      <c r="AG58" s="528"/>
      <c r="AH58" s="526"/>
      <c r="AI58" s="527"/>
      <c r="AJ58" s="527"/>
      <c r="AK58" s="527"/>
      <c r="AL58" s="527"/>
      <c r="AM58" s="528"/>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26"/>
      <c r="K59" s="527"/>
      <c r="L59" s="527"/>
      <c r="M59" s="527"/>
      <c r="N59" s="527"/>
      <c r="O59" s="528"/>
      <c r="P59" s="526"/>
      <c r="Q59" s="527"/>
      <c r="R59" s="527"/>
      <c r="S59" s="527"/>
      <c r="T59" s="527"/>
      <c r="U59" s="528"/>
      <c r="V59" s="526"/>
      <c r="W59" s="527"/>
      <c r="X59" s="527"/>
      <c r="Y59" s="527"/>
      <c r="Z59" s="527"/>
      <c r="AA59" s="528"/>
      <c r="AB59" s="526"/>
      <c r="AC59" s="527"/>
      <c r="AD59" s="527"/>
      <c r="AE59" s="527"/>
      <c r="AF59" s="527"/>
      <c r="AG59" s="528"/>
      <c r="AH59" s="526"/>
      <c r="AI59" s="527"/>
      <c r="AJ59" s="527"/>
      <c r="AK59" s="527"/>
      <c r="AL59" s="527"/>
      <c r="AM59" s="528"/>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26"/>
      <c r="K60" s="527"/>
      <c r="L60" s="527"/>
      <c r="M60" s="527"/>
      <c r="N60" s="527"/>
      <c r="O60" s="528"/>
      <c r="P60" s="526"/>
      <c r="Q60" s="527"/>
      <c r="R60" s="527"/>
      <c r="S60" s="527"/>
      <c r="T60" s="527"/>
      <c r="U60" s="528"/>
      <c r="V60" s="526"/>
      <c r="W60" s="527"/>
      <c r="X60" s="527"/>
      <c r="Y60" s="527"/>
      <c r="Z60" s="527"/>
      <c r="AA60" s="528"/>
      <c r="AB60" s="526"/>
      <c r="AC60" s="527"/>
      <c r="AD60" s="527"/>
      <c r="AE60" s="527"/>
      <c r="AF60" s="527"/>
      <c r="AG60" s="528"/>
      <c r="AH60" s="526"/>
      <c r="AI60" s="527"/>
      <c r="AJ60" s="527"/>
      <c r="AK60" s="527"/>
      <c r="AL60" s="527"/>
      <c r="AM60" s="528"/>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29"/>
      <c r="K61" s="530"/>
      <c r="L61" s="530"/>
      <c r="M61" s="530"/>
      <c r="N61" s="530"/>
      <c r="O61" s="531"/>
      <c r="P61" s="529"/>
      <c r="Q61" s="530"/>
      <c r="R61" s="530"/>
      <c r="S61" s="530"/>
      <c r="T61" s="530"/>
      <c r="U61" s="531"/>
      <c r="V61" s="529"/>
      <c r="W61" s="530"/>
      <c r="X61" s="530"/>
      <c r="Y61" s="530"/>
      <c r="Z61" s="530"/>
      <c r="AA61" s="531"/>
      <c r="AB61" s="529"/>
      <c r="AC61" s="530"/>
      <c r="AD61" s="530"/>
      <c r="AE61" s="530"/>
      <c r="AF61" s="530"/>
      <c r="AG61" s="531"/>
      <c r="AH61" s="529"/>
      <c r="AI61" s="530"/>
      <c r="AJ61" s="530"/>
      <c r="AK61" s="530"/>
      <c r="AL61" s="530"/>
      <c r="AM61" s="53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72" t="s">
        <v>143</v>
      </c>
      <c r="C1" s="572"/>
      <c r="D1" s="5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144</v>
      </c>
      <c r="D3" s="12" t="s">
        <v>127</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145</v>
      </c>
      <c r="C4" s="14" t="s">
        <v>146</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147</v>
      </c>
      <c r="C5" s="17" t="s">
        <v>148</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149</v>
      </c>
      <c r="C6" s="17" t="s">
        <v>150</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151</v>
      </c>
      <c r="C7" s="17" t="s">
        <v>152</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153</v>
      </c>
      <c r="C8" s="17" t="s">
        <v>154</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73" t="s">
        <v>155</v>
      </c>
      <c r="C1" s="573"/>
      <c r="D1" s="5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156</v>
      </c>
      <c r="D3" s="36" t="s">
        <v>157</v>
      </c>
      <c r="E3" s="83"/>
      <c r="F3" s="83"/>
      <c r="G3" s="83"/>
      <c r="H3" s="83"/>
      <c r="I3" s="83"/>
      <c r="J3" s="83"/>
      <c r="K3" s="83"/>
      <c r="L3" s="83"/>
      <c r="M3" s="83"/>
      <c r="N3" s="83"/>
      <c r="O3" s="83"/>
      <c r="P3" s="83"/>
      <c r="Q3" s="83"/>
      <c r="R3" s="83"/>
      <c r="S3" s="83"/>
      <c r="T3" s="83"/>
      <c r="U3" s="83"/>
    </row>
    <row r="4" spans="1:21" ht="33.75" x14ac:dyDescent="0.25">
      <c r="A4" s="100" t="s">
        <v>158</v>
      </c>
      <c r="B4" s="39" t="s">
        <v>159</v>
      </c>
      <c r="C4" s="44" t="s">
        <v>160</v>
      </c>
      <c r="D4" s="37" t="s">
        <v>161</v>
      </c>
      <c r="E4" s="83"/>
      <c r="F4" s="83"/>
      <c r="G4" s="83"/>
      <c r="H4" s="83"/>
      <c r="I4" s="83"/>
      <c r="J4" s="83"/>
      <c r="K4" s="83"/>
      <c r="L4" s="83"/>
      <c r="M4" s="83"/>
      <c r="N4" s="83"/>
      <c r="O4" s="83"/>
      <c r="P4" s="83"/>
      <c r="Q4" s="83"/>
      <c r="R4" s="83"/>
      <c r="S4" s="83"/>
      <c r="T4" s="83"/>
      <c r="U4" s="83"/>
    </row>
    <row r="5" spans="1:21" ht="67.5" x14ac:dyDescent="0.25">
      <c r="A5" s="100" t="s">
        <v>162</v>
      </c>
      <c r="B5" s="40" t="s">
        <v>163</v>
      </c>
      <c r="C5" s="45" t="s">
        <v>164</v>
      </c>
      <c r="D5" s="38" t="s">
        <v>165</v>
      </c>
      <c r="E5" s="83"/>
      <c r="F5" s="83"/>
      <c r="G5" s="83"/>
      <c r="H5" s="83"/>
      <c r="I5" s="83"/>
      <c r="J5" s="83"/>
      <c r="K5" s="83"/>
      <c r="L5" s="83"/>
      <c r="M5" s="83"/>
      <c r="N5" s="83"/>
      <c r="O5" s="83"/>
      <c r="P5" s="83"/>
      <c r="Q5" s="83"/>
      <c r="R5" s="83"/>
      <c r="S5" s="83"/>
      <c r="T5" s="83"/>
      <c r="U5" s="83"/>
    </row>
    <row r="6" spans="1:21" ht="67.5" x14ac:dyDescent="0.25">
      <c r="A6" s="100" t="s">
        <v>133</v>
      </c>
      <c r="B6" s="41" t="s">
        <v>166</v>
      </c>
      <c r="C6" s="45" t="s">
        <v>167</v>
      </c>
      <c r="D6" s="38" t="s">
        <v>168</v>
      </c>
      <c r="E6" s="83"/>
      <c r="F6" s="83"/>
      <c r="G6" s="83"/>
      <c r="H6" s="83"/>
      <c r="I6" s="83"/>
      <c r="J6" s="83"/>
      <c r="K6" s="83"/>
      <c r="L6" s="83"/>
      <c r="M6" s="83"/>
      <c r="N6" s="83"/>
      <c r="O6" s="83"/>
      <c r="P6" s="83"/>
      <c r="Q6" s="83"/>
      <c r="R6" s="83"/>
      <c r="S6" s="83"/>
      <c r="T6" s="83"/>
      <c r="U6" s="83"/>
    </row>
    <row r="7" spans="1:21" ht="101.25" x14ac:dyDescent="0.25">
      <c r="A7" s="100" t="s">
        <v>169</v>
      </c>
      <c r="B7" s="42" t="s">
        <v>170</v>
      </c>
      <c r="C7" s="45" t="s">
        <v>171</v>
      </c>
      <c r="D7" s="38" t="s">
        <v>172</v>
      </c>
      <c r="E7" s="83"/>
      <c r="F7" s="83"/>
      <c r="G7" s="83"/>
      <c r="H7" s="83"/>
      <c r="I7" s="83"/>
      <c r="J7" s="83"/>
      <c r="K7" s="83"/>
      <c r="L7" s="83"/>
      <c r="M7" s="83"/>
      <c r="N7" s="83"/>
      <c r="O7" s="83"/>
      <c r="P7" s="83"/>
      <c r="Q7" s="83"/>
      <c r="R7" s="83"/>
      <c r="S7" s="83"/>
      <c r="T7" s="83"/>
      <c r="U7" s="83"/>
    </row>
    <row r="8" spans="1:21" ht="67.5" x14ac:dyDescent="0.25">
      <c r="A8" s="100" t="s">
        <v>173</v>
      </c>
      <c r="B8" s="43" t="s">
        <v>174</v>
      </c>
      <c r="C8" s="45" t="s">
        <v>175</v>
      </c>
      <c r="D8" s="38" t="s">
        <v>176</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177</v>
      </c>
      <c r="C11" s="100" t="s">
        <v>178</v>
      </c>
      <c r="D11" s="100" t="s">
        <v>179</v>
      </c>
      <c r="E11" s="83"/>
      <c r="F11" s="83"/>
      <c r="G11" s="83"/>
      <c r="H11" s="83"/>
      <c r="I11" s="83"/>
      <c r="J11" s="83"/>
      <c r="K11" s="83"/>
      <c r="L11" s="83"/>
      <c r="M11" s="83"/>
      <c r="N11" s="83"/>
      <c r="O11" s="83"/>
      <c r="P11" s="83"/>
      <c r="Q11" s="83"/>
      <c r="R11" s="83"/>
      <c r="S11" s="83"/>
      <c r="T11" s="83"/>
      <c r="U11" s="83"/>
    </row>
    <row r="12" spans="1:21" x14ac:dyDescent="0.25">
      <c r="A12" s="100"/>
      <c r="B12" s="100" t="s">
        <v>180</v>
      </c>
      <c r="C12" s="100" t="s">
        <v>181</v>
      </c>
      <c r="D12" s="100" t="s">
        <v>182</v>
      </c>
      <c r="E12" s="83"/>
      <c r="F12" s="83"/>
      <c r="G12" s="83"/>
      <c r="H12" s="83"/>
      <c r="I12" s="83"/>
      <c r="J12" s="83"/>
      <c r="K12" s="83"/>
      <c r="L12" s="83"/>
      <c r="M12" s="83"/>
      <c r="N12" s="83"/>
      <c r="O12" s="83"/>
      <c r="P12" s="83"/>
      <c r="Q12" s="83"/>
      <c r="R12" s="83"/>
      <c r="S12" s="83"/>
      <c r="T12" s="83"/>
      <c r="U12" s="83"/>
    </row>
    <row r="13" spans="1:21" x14ac:dyDescent="0.25">
      <c r="A13" s="100"/>
      <c r="B13" s="100"/>
      <c r="C13" s="100" t="s">
        <v>183</v>
      </c>
      <c r="D13" s="100" t="s">
        <v>184</v>
      </c>
      <c r="E13" s="83"/>
      <c r="F13" s="83"/>
      <c r="G13" s="83"/>
      <c r="H13" s="83"/>
      <c r="I13" s="83"/>
      <c r="J13" s="83"/>
      <c r="K13" s="83"/>
      <c r="L13" s="83"/>
      <c r="M13" s="83"/>
      <c r="N13" s="83"/>
      <c r="O13" s="83"/>
      <c r="P13" s="83"/>
      <c r="Q13" s="83"/>
      <c r="R13" s="83"/>
      <c r="S13" s="83"/>
      <c r="T13" s="83"/>
      <c r="U13" s="83"/>
    </row>
    <row r="14" spans="1:21" x14ac:dyDescent="0.25">
      <c r="A14" s="100"/>
      <c r="B14" s="100"/>
      <c r="C14" s="100" t="s">
        <v>185</v>
      </c>
      <c r="D14" s="100" t="s">
        <v>186</v>
      </c>
      <c r="E14" s="83"/>
      <c r="F14" s="83"/>
      <c r="G14" s="83"/>
      <c r="H14" s="83"/>
      <c r="I14" s="83"/>
      <c r="J14" s="83"/>
      <c r="K14" s="83"/>
      <c r="L14" s="83"/>
      <c r="M14" s="83"/>
      <c r="N14" s="83"/>
      <c r="O14" s="83"/>
      <c r="P14" s="83"/>
      <c r="Q14" s="83"/>
      <c r="R14" s="83"/>
      <c r="S14" s="83"/>
      <c r="T14" s="83"/>
      <c r="U14" s="83"/>
    </row>
    <row r="15" spans="1:21" x14ac:dyDescent="0.25">
      <c r="A15" s="100"/>
      <c r="B15" s="100"/>
      <c r="C15" s="100" t="s">
        <v>187</v>
      </c>
      <c r="D15" s="100" t="s">
        <v>188</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189</v>
      </c>
      <c r="C209" s="30" t="s">
        <v>190</v>
      </c>
      <c r="D209" s="33" t="s">
        <v>189</v>
      </c>
      <c r="E209" s="33" t="s">
        <v>190</v>
      </c>
    </row>
    <row r="210" spans="1:8" ht="21" x14ac:dyDescent="0.35">
      <c r="A210" s="83"/>
      <c r="B210" s="31" t="s">
        <v>191</v>
      </c>
      <c r="C210" s="31" t="s">
        <v>192</v>
      </c>
      <c r="D210" t="s">
        <v>191</v>
      </c>
      <c r="F210" t="str">
        <f>IF(NOT(ISBLANK(D210)),D210,IF(NOT(ISBLANK(E210)),"     "&amp;E210,FALSE))</f>
        <v>Afectación Económica o presupuestal</v>
      </c>
      <c r="G210" t="s">
        <v>191</v>
      </c>
      <c r="H210" t="str">
        <f>IF(NOT(ISERROR(MATCH(G210,_xlfn.ANCHORARRAY(B221),0))),F223&amp;"Por favor no seleccionar los criterios de impacto",G210)</f>
        <v>❌Por favor no seleccionar los criterios de impacto</v>
      </c>
    </row>
    <row r="211" spans="1:8" ht="21" x14ac:dyDescent="0.35">
      <c r="A211" s="83"/>
      <c r="B211" s="31" t="s">
        <v>191</v>
      </c>
      <c r="C211" s="31" t="s">
        <v>164</v>
      </c>
      <c r="E211" t="s">
        <v>192</v>
      </c>
      <c r="F211" t="str">
        <f t="shared" ref="F211:F221" si="0">IF(NOT(ISBLANK(D211)),D211,IF(NOT(ISBLANK(E211)),"     "&amp;E211,FALSE))</f>
        <v xml:space="preserve">     Afectación menor a 10 SMLMV .</v>
      </c>
    </row>
    <row r="212" spans="1:8" ht="21" x14ac:dyDescent="0.35">
      <c r="A212" s="83"/>
      <c r="B212" s="31" t="s">
        <v>191</v>
      </c>
      <c r="C212" s="31" t="s">
        <v>167</v>
      </c>
      <c r="E212" t="s">
        <v>164</v>
      </c>
      <c r="F212" t="str">
        <f t="shared" si="0"/>
        <v xml:space="preserve">     Entre 10 y 50 SMLMV </v>
      </c>
    </row>
    <row r="213" spans="1:8" ht="21" x14ac:dyDescent="0.35">
      <c r="A213" s="83"/>
      <c r="B213" s="31" t="s">
        <v>191</v>
      </c>
      <c r="C213" s="31" t="s">
        <v>171</v>
      </c>
      <c r="E213" t="s">
        <v>167</v>
      </c>
      <c r="F213" t="str">
        <f t="shared" si="0"/>
        <v xml:space="preserve">     Entre 50 y 100 SMLMV </v>
      </c>
    </row>
    <row r="214" spans="1:8" ht="21" x14ac:dyDescent="0.35">
      <c r="A214" s="83"/>
      <c r="B214" s="31" t="s">
        <v>191</v>
      </c>
      <c r="C214" s="31" t="s">
        <v>175</v>
      </c>
      <c r="E214" t="s">
        <v>171</v>
      </c>
      <c r="F214" t="str">
        <f t="shared" si="0"/>
        <v xml:space="preserve">     Entre 100 y 500 SMLMV </v>
      </c>
    </row>
    <row r="215" spans="1:8" ht="21" x14ac:dyDescent="0.35">
      <c r="A215" s="83"/>
      <c r="B215" s="31" t="s">
        <v>157</v>
      </c>
      <c r="C215" s="31" t="s">
        <v>161</v>
      </c>
      <c r="E215" t="s">
        <v>175</v>
      </c>
      <c r="F215" t="str">
        <f t="shared" si="0"/>
        <v xml:space="preserve">     Mayor a 500 SMLMV </v>
      </c>
    </row>
    <row r="216" spans="1:8" ht="21" x14ac:dyDescent="0.35">
      <c r="A216" s="83"/>
      <c r="B216" s="31" t="s">
        <v>157</v>
      </c>
      <c r="C216" s="31" t="s">
        <v>165</v>
      </c>
      <c r="D216" t="s">
        <v>157</v>
      </c>
      <c r="F216" t="str">
        <f t="shared" si="0"/>
        <v>Pérdida Reputacional</v>
      </c>
    </row>
    <row r="217" spans="1:8" ht="21" x14ac:dyDescent="0.35">
      <c r="A217" s="83"/>
      <c r="B217" s="31" t="s">
        <v>157</v>
      </c>
      <c r="C217" s="31" t="s">
        <v>168</v>
      </c>
      <c r="E217" t="s">
        <v>161</v>
      </c>
      <c r="F217" t="str">
        <f t="shared" si="0"/>
        <v xml:space="preserve">     El riesgo afecta la imagen de alguna área de la organización</v>
      </c>
    </row>
    <row r="218" spans="1:8" ht="21" x14ac:dyDescent="0.35">
      <c r="A218" s="83"/>
      <c r="B218" s="31" t="s">
        <v>157</v>
      </c>
      <c r="C218" s="31" t="s">
        <v>172</v>
      </c>
      <c r="E218" t="s">
        <v>165</v>
      </c>
      <c r="F218" t="str">
        <f t="shared" si="0"/>
        <v xml:space="preserve">     El riesgo afecta la imagen de la entidad internamente, de conocimiento general, nivel interno, de junta dircetiva y accionistas y/o de provedores</v>
      </c>
    </row>
    <row r="219" spans="1:8" ht="21" x14ac:dyDescent="0.35">
      <c r="A219" s="83"/>
      <c r="B219" s="31" t="s">
        <v>157</v>
      </c>
      <c r="C219" s="31" t="s">
        <v>176</v>
      </c>
      <c r="E219" t="s">
        <v>168</v>
      </c>
      <c r="F219" t="str">
        <f t="shared" si="0"/>
        <v xml:space="preserve">     El riesgo afecta la imagen de la entidad con algunos usuarios de relevancia frente al logro de los objetivos</v>
      </c>
    </row>
    <row r="220" spans="1:8" x14ac:dyDescent="0.25">
      <c r="A220" s="83"/>
      <c r="B220" s="32"/>
      <c r="C220" s="32"/>
      <c r="E220" t="s">
        <v>172</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176</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193</v>
      </c>
    </row>
    <row r="224" spans="1:8" x14ac:dyDescent="0.25">
      <c r="B224" s="22"/>
      <c r="C224" s="22"/>
      <c r="F224" s="35" t="s">
        <v>194</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74" t="s">
        <v>195</v>
      </c>
      <c r="C1" s="575"/>
      <c r="D1" s="575"/>
      <c r="E1" s="575"/>
      <c r="F1" s="576"/>
    </row>
    <row r="2" spans="2:6" ht="16.5" thickBot="1" x14ac:dyDescent="0.3">
      <c r="B2" s="86"/>
      <c r="C2" s="86"/>
      <c r="D2" s="86"/>
      <c r="E2" s="86"/>
      <c r="F2" s="86"/>
    </row>
    <row r="3" spans="2:6" ht="16.5" thickBot="1" x14ac:dyDescent="0.25">
      <c r="B3" s="578" t="s">
        <v>196</v>
      </c>
      <c r="C3" s="579"/>
      <c r="D3" s="579"/>
      <c r="E3" s="98" t="s">
        <v>197</v>
      </c>
      <c r="F3" s="99" t="s">
        <v>198</v>
      </c>
    </row>
    <row r="4" spans="2:6" ht="31.5" x14ac:dyDescent="0.2">
      <c r="B4" s="580" t="s">
        <v>199</v>
      </c>
      <c r="C4" s="582" t="s">
        <v>118</v>
      </c>
      <c r="D4" s="87" t="s">
        <v>200</v>
      </c>
      <c r="E4" s="88" t="s">
        <v>201</v>
      </c>
      <c r="F4" s="89">
        <v>0.25</v>
      </c>
    </row>
    <row r="5" spans="2:6" ht="47.25" x14ac:dyDescent="0.2">
      <c r="B5" s="581"/>
      <c r="C5" s="583"/>
      <c r="D5" s="90" t="s">
        <v>202</v>
      </c>
      <c r="E5" s="91" t="s">
        <v>203</v>
      </c>
      <c r="F5" s="92">
        <v>0.15</v>
      </c>
    </row>
    <row r="6" spans="2:6" ht="47.25" x14ac:dyDescent="0.2">
      <c r="B6" s="581"/>
      <c r="C6" s="583"/>
      <c r="D6" s="90" t="s">
        <v>204</v>
      </c>
      <c r="E6" s="91" t="s">
        <v>205</v>
      </c>
      <c r="F6" s="92">
        <v>0.1</v>
      </c>
    </row>
    <row r="7" spans="2:6" ht="63" x14ac:dyDescent="0.2">
      <c r="B7" s="581"/>
      <c r="C7" s="583" t="s">
        <v>119</v>
      </c>
      <c r="D7" s="90" t="s">
        <v>206</v>
      </c>
      <c r="E7" s="91" t="s">
        <v>207</v>
      </c>
      <c r="F7" s="92">
        <v>0.25</v>
      </c>
    </row>
    <row r="8" spans="2:6" ht="31.5" x14ac:dyDescent="0.2">
      <c r="B8" s="581"/>
      <c r="C8" s="583"/>
      <c r="D8" s="90" t="s">
        <v>208</v>
      </c>
      <c r="E8" s="91" t="s">
        <v>209</v>
      </c>
      <c r="F8" s="92">
        <v>0.15</v>
      </c>
    </row>
    <row r="9" spans="2:6" ht="47.25" x14ac:dyDescent="0.2">
      <c r="B9" s="581" t="s">
        <v>210</v>
      </c>
      <c r="C9" s="583" t="s">
        <v>121</v>
      </c>
      <c r="D9" s="90" t="s">
        <v>211</v>
      </c>
      <c r="E9" s="91" t="s">
        <v>212</v>
      </c>
      <c r="F9" s="93" t="s">
        <v>213</v>
      </c>
    </row>
    <row r="10" spans="2:6" ht="63" x14ac:dyDescent="0.2">
      <c r="B10" s="581"/>
      <c r="C10" s="583"/>
      <c r="D10" s="90" t="s">
        <v>214</v>
      </c>
      <c r="E10" s="91" t="s">
        <v>215</v>
      </c>
      <c r="F10" s="93" t="s">
        <v>213</v>
      </c>
    </row>
    <row r="11" spans="2:6" ht="47.25" x14ac:dyDescent="0.2">
      <c r="B11" s="581"/>
      <c r="C11" s="583" t="s">
        <v>122</v>
      </c>
      <c r="D11" s="90" t="s">
        <v>216</v>
      </c>
      <c r="E11" s="91" t="s">
        <v>217</v>
      </c>
      <c r="F11" s="93" t="s">
        <v>213</v>
      </c>
    </row>
    <row r="12" spans="2:6" ht="47.25" x14ac:dyDescent="0.2">
      <c r="B12" s="581"/>
      <c r="C12" s="583"/>
      <c r="D12" s="90" t="s">
        <v>218</v>
      </c>
      <c r="E12" s="91" t="s">
        <v>219</v>
      </c>
      <c r="F12" s="93" t="s">
        <v>213</v>
      </c>
    </row>
    <row r="13" spans="2:6" ht="31.5" x14ac:dyDescent="0.2">
      <c r="B13" s="581"/>
      <c r="C13" s="583" t="s">
        <v>123</v>
      </c>
      <c r="D13" s="90" t="s">
        <v>220</v>
      </c>
      <c r="E13" s="91" t="s">
        <v>221</v>
      </c>
      <c r="F13" s="93" t="s">
        <v>213</v>
      </c>
    </row>
    <row r="14" spans="2:6" ht="32.25" thickBot="1" x14ac:dyDescent="0.25">
      <c r="B14" s="584"/>
      <c r="C14" s="585"/>
      <c r="D14" s="94" t="s">
        <v>222</v>
      </c>
      <c r="E14" s="95" t="s">
        <v>223</v>
      </c>
      <c r="F14" s="96" t="s">
        <v>213</v>
      </c>
    </row>
    <row r="15" spans="2:6" ht="49.5" customHeight="1" x14ac:dyDescent="0.2">
      <c r="B15" s="577" t="s">
        <v>224</v>
      </c>
      <c r="C15" s="577"/>
      <c r="D15" s="577"/>
      <c r="E15" s="577"/>
      <c r="F15" s="577"/>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225</v>
      </c>
      <c r="E2" t="s">
        <v>226</v>
      </c>
    </row>
    <row r="3" spans="2:5" x14ac:dyDescent="0.25">
      <c r="B3" t="s">
        <v>227</v>
      </c>
      <c r="E3" t="s">
        <v>228</v>
      </c>
    </row>
    <row r="4" spans="2:5" x14ac:dyDescent="0.25">
      <c r="B4" t="s">
        <v>229</v>
      </c>
      <c r="E4" t="s">
        <v>230</v>
      </c>
    </row>
    <row r="5" spans="2:5" x14ac:dyDescent="0.25">
      <c r="B5" t="s">
        <v>231</v>
      </c>
    </row>
    <row r="8" spans="2:5" x14ac:dyDescent="0.25">
      <c r="B8" t="s">
        <v>232</v>
      </c>
    </row>
    <row r="9" spans="2:5" x14ac:dyDescent="0.25">
      <c r="B9" t="s">
        <v>233</v>
      </c>
    </row>
    <row r="10" spans="2:5" x14ac:dyDescent="0.25">
      <c r="B10" t="s">
        <v>234</v>
      </c>
    </row>
    <row r="13" spans="2:5" x14ac:dyDescent="0.25">
      <c r="B13" t="s">
        <v>235</v>
      </c>
    </row>
    <row r="14" spans="2:5" x14ac:dyDescent="0.25">
      <c r="B14" t="s">
        <v>236</v>
      </c>
    </row>
    <row r="15" spans="2:5" x14ac:dyDescent="0.25">
      <c r="B15" t="s">
        <v>237</v>
      </c>
    </row>
    <row r="16" spans="2:5" x14ac:dyDescent="0.25">
      <c r="B16" t="s">
        <v>238</v>
      </c>
    </row>
    <row r="17" spans="2:2" x14ac:dyDescent="0.25">
      <c r="B17" t="s">
        <v>239</v>
      </c>
    </row>
    <row r="18" spans="2:2" x14ac:dyDescent="0.25">
      <c r="B18" t="s">
        <v>240</v>
      </c>
    </row>
    <row r="19" spans="2:2" x14ac:dyDescent="0.25">
      <c r="B19" t="s">
        <v>241</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USUARIO</cp:lastModifiedBy>
  <cp:revision/>
  <dcterms:created xsi:type="dcterms:W3CDTF">2020-03-24T23:12:47Z</dcterms:created>
  <dcterms:modified xsi:type="dcterms:W3CDTF">2023-03-15T23:00:08Z</dcterms:modified>
  <cp:category/>
  <cp:contentStatus/>
</cp:coreProperties>
</file>