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2\1 - PDM\1 - Seguimiento Plan\0 - Plan de acción 2022\09 - Septiembre\1 - Revisados\"/>
    </mc:Choice>
  </mc:AlternateContent>
  <xr:revisionPtr revIDLastSave="0" documentId="13_ncr:1_{23336C6C-CB5F-4A5A-B817-92021B8447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 2022" sheetId="14" r:id="rId1"/>
  </sheets>
  <definedNames>
    <definedName name="_xlnm._FilterDatabase" localSheetId="0" hidden="1">'PA 2022'!$A$8:$AE$80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75" i="14" l="1"/>
  <c r="N78" i="14"/>
  <c r="N74" i="14"/>
  <c r="N72" i="14"/>
  <c r="N71" i="14"/>
  <c r="N70" i="14"/>
  <c r="N68" i="14"/>
  <c r="N67" i="14"/>
  <c r="N66" i="14"/>
  <c r="N65" i="14"/>
  <c r="N64" i="14"/>
  <c r="N62" i="14"/>
  <c r="N61" i="14"/>
  <c r="N59" i="14"/>
  <c r="N9" i="14"/>
  <c r="U45" i="14"/>
  <c r="U78" i="14"/>
  <c r="U74" i="14"/>
  <c r="U71" i="14"/>
  <c r="U70" i="14"/>
  <c r="U68" i="14"/>
  <c r="U67" i="14"/>
  <c r="U65" i="14"/>
  <c r="U64" i="14"/>
  <c r="U62" i="14"/>
  <c r="U61" i="14"/>
  <c r="U59" i="14"/>
  <c r="U58" i="14"/>
  <c r="U57" i="14"/>
  <c r="U56" i="14"/>
  <c r="U55" i="14"/>
  <c r="U54" i="14"/>
  <c r="U53" i="14"/>
  <c r="U52" i="14"/>
  <c r="U51" i="14"/>
  <c r="U50" i="14"/>
  <c r="U49" i="14"/>
  <c r="U48" i="14"/>
  <c r="U44" i="14"/>
  <c r="U43" i="14"/>
  <c r="U42" i="14"/>
  <c r="U41" i="14"/>
  <c r="U40" i="14"/>
  <c r="U39" i="14"/>
  <c r="U37" i="14"/>
  <c r="U36" i="14"/>
  <c r="U34" i="14"/>
  <c r="U33" i="14"/>
  <c r="U31" i="14"/>
  <c r="U23" i="14"/>
  <c r="U22" i="14"/>
  <c r="U20" i="14"/>
  <c r="U16" i="14"/>
  <c r="AA78" i="14" l="1"/>
  <c r="AB78" i="14" s="1"/>
  <c r="AA71" i="14"/>
  <c r="AA68" i="14"/>
  <c r="AA67" i="14"/>
  <c r="AA65" i="14"/>
  <c r="AA57" i="14"/>
  <c r="AA56" i="14"/>
  <c r="AB56" i="14" s="1"/>
  <c r="AA55" i="14"/>
  <c r="AA50" i="14"/>
  <c r="AA49" i="14"/>
  <c r="AA48" i="14"/>
  <c r="AA44" i="14"/>
  <c r="AA43" i="14"/>
  <c r="AA42" i="14"/>
  <c r="AA41" i="14"/>
  <c r="AA36" i="14"/>
  <c r="AA34" i="14"/>
  <c r="AA33" i="14"/>
  <c r="AA30" i="14"/>
  <c r="AA23" i="14"/>
  <c r="AA22" i="14"/>
  <c r="AA20" i="14"/>
  <c r="AB20" i="14" s="1"/>
  <c r="AA19" i="14"/>
  <c r="AA18" i="14"/>
  <c r="AA16" i="14"/>
  <c r="AB16" i="14" s="1"/>
  <c r="AA10" i="14"/>
  <c r="AA9" i="14"/>
  <c r="W25" i="14"/>
  <c r="AA24" i="14" s="1"/>
  <c r="N58" i="14"/>
  <c r="N56" i="14"/>
  <c r="N55" i="14"/>
  <c r="N54" i="14"/>
  <c r="N50" i="14"/>
  <c r="N49" i="14"/>
  <c r="N48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1" i="14"/>
  <c r="N30" i="14"/>
  <c r="N24" i="14"/>
  <c r="N23" i="14"/>
  <c r="N22" i="14"/>
  <c r="N20" i="14"/>
  <c r="N19" i="14"/>
  <c r="N18" i="14"/>
  <c r="N16" i="14"/>
  <c r="N15" i="14"/>
  <c r="N11" i="14"/>
  <c r="N10" i="14"/>
  <c r="Z13" i="14"/>
  <c r="AA13" i="14" s="1"/>
  <c r="T15" i="14"/>
  <c r="U15" i="14" s="1"/>
  <c r="Z19" i="14"/>
  <c r="T19" i="14"/>
  <c r="U19" i="14" s="1"/>
  <c r="Z11" i="14"/>
  <c r="AA11" i="14" s="1"/>
  <c r="T11" i="14"/>
  <c r="U11" i="14" s="1"/>
  <c r="W44" i="14"/>
  <c r="W41" i="14"/>
  <c r="W40" i="14"/>
  <c r="AA40" i="14" s="1"/>
  <c r="W38" i="14"/>
  <c r="AA38" i="14" s="1"/>
  <c r="W39" i="14"/>
  <c r="AA39" i="14" s="1"/>
  <c r="W37" i="14"/>
  <c r="AA37" i="14" s="1"/>
  <c r="W35" i="14"/>
  <c r="AA35" i="14" s="1"/>
  <c r="T18" i="14"/>
  <c r="U18" i="14" s="1"/>
  <c r="V76" i="14" l="1"/>
  <c r="V75" i="14"/>
  <c r="AA75" i="14" s="1"/>
  <c r="V64" i="14"/>
  <c r="AA64" i="14" s="1"/>
  <c r="M53" i="14" l="1"/>
  <c r="N53" i="14" s="1"/>
  <c r="V54" i="14"/>
  <c r="AA54" i="14" s="1"/>
  <c r="V53" i="14"/>
  <c r="AA53" i="14" s="1"/>
  <c r="V52" i="14"/>
  <c r="AA52" i="14" s="1"/>
  <c r="M52" i="14"/>
  <c r="N52" i="14" s="1"/>
  <c r="V51" i="14"/>
  <c r="AA51" i="14" s="1"/>
  <c r="M51" i="14"/>
  <c r="N51" i="14" s="1"/>
  <c r="V74" i="14" l="1"/>
  <c r="AA74" i="14" s="1"/>
  <c r="V72" i="14"/>
  <c r="P72" i="14"/>
  <c r="U72" i="14" s="1"/>
  <c r="V73" i="14"/>
  <c r="V70" i="14"/>
  <c r="AA70" i="14" s="1"/>
  <c r="V66" i="14"/>
  <c r="AA66" i="14" s="1"/>
  <c r="V63" i="14"/>
  <c r="V62" i="14"/>
  <c r="AA62" i="14" s="1"/>
  <c r="V61" i="14"/>
  <c r="AA61" i="14" s="1"/>
  <c r="W59" i="14"/>
  <c r="AA59" i="14" s="1"/>
  <c r="AB59" i="14" s="1"/>
  <c r="W45" i="14"/>
  <c r="V45" i="14"/>
  <c r="AA45" i="14" s="1"/>
  <c r="W31" i="14"/>
  <c r="AA31" i="14" s="1"/>
  <c r="AB31" i="14" s="1"/>
  <c r="AA72" i="14" l="1"/>
  <c r="Z15" i="14"/>
  <c r="W15" i="14"/>
  <c r="AA15" i="14" s="1"/>
  <c r="T10" i="14"/>
  <c r="U10" i="14" s="1"/>
  <c r="V58" i="14" l="1"/>
  <c r="AA58" i="14" s="1"/>
  <c r="Q35" i="14"/>
  <c r="U35" i="14" s="1"/>
  <c r="Q38" i="14"/>
  <c r="U38" i="14" s="1"/>
  <c r="P13" i="14"/>
  <c r="T13" i="14"/>
  <c r="T14" i="14"/>
  <c r="T9" i="14"/>
  <c r="U13" i="14" l="1"/>
  <c r="AB13" i="14" s="1"/>
  <c r="P77" i="14"/>
  <c r="P76" i="14"/>
  <c r="U75" i="14" s="1"/>
  <c r="P66" i="14"/>
  <c r="U66" i="14" s="1"/>
  <c r="Q24" i="14" l="1"/>
  <c r="Q30" i="14"/>
  <c r="U30" i="14" s="1"/>
  <c r="AB47" i="14"/>
  <c r="Q9" i="14" l="1"/>
  <c r="U9" i="14" s="1"/>
  <c r="W80" i="14" l="1"/>
  <c r="X80" i="14"/>
  <c r="Y80" i="14"/>
  <c r="Q80" i="14"/>
  <c r="R80" i="14"/>
  <c r="S80" i="14"/>
  <c r="T80" i="14"/>
  <c r="P24" i="14" l="1"/>
  <c r="U24" i="14" s="1"/>
  <c r="U80" i="14" s="1"/>
  <c r="P80" i="14" l="1"/>
  <c r="A80" i="14"/>
  <c r="AB48" i="14"/>
  <c r="Z80" i="14" l="1"/>
  <c r="N13" i="14" l="1"/>
  <c r="N80" i="14" s="1"/>
  <c r="AB11" i="14" l="1"/>
  <c r="AB30" i="14" l="1"/>
  <c r="AB75" i="14" l="1"/>
  <c r="AB61" i="14"/>
  <c r="AB72" i="14"/>
  <c r="AB42" i="14"/>
  <c r="AB62" i="14"/>
  <c r="AB19" i="14"/>
  <c r="AB35" i="14"/>
  <c r="AB43" i="14"/>
  <c r="AB18" i="14"/>
  <c r="AB33" i="14"/>
  <c r="AB41" i="14"/>
  <c r="AB22" i="14"/>
  <c r="AB36" i="14"/>
  <c r="AB44" i="14"/>
  <c r="AB64" i="14"/>
  <c r="AB74" i="14"/>
  <c r="AB9" i="14"/>
  <c r="AB23" i="14"/>
  <c r="AB37" i="14"/>
  <c r="AB55" i="14"/>
  <c r="AB38" i="14"/>
  <c r="AB39" i="14"/>
  <c r="AB49" i="14"/>
  <c r="AB40" i="14"/>
  <c r="AB50" i="14"/>
  <c r="AB68" i="14"/>
  <c r="AB71" i="14"/>
  <c r="AB70" i="14"/>
  <c r="AB66" i="14"/>
  <c r="AB65" i="14"/>
  <c r="AB58" i="14"/>
  <c r="AB54" i="14"/>
  <c r="AB53" i="14"/>
  <c r="AB52" i="14"/>
  <c r="AB45" i="14"/>
  <c r="AB34" i="14"/>
  <c r="AB15" i="14"/>
  <c r="AB51" i="14" l="1"/>
  <c r="AB24" i="14"/>
  <c r="AB10" i="14" l="1"/>
  <c r="V80" i="14" l="1"/>
  <c r="AB67" i="14" l="1"/>
  <c r="AA80" i="14"/>
  <c r="AB80" i="14" s="1"/>
</calcChain>
</file>

<file path=xl/sharedStrings.xml><?xml version="1.0" encoding="utf-8"?>
<sst xmlns="http://schemas.openxmlformats.org/spreadsheetml/2006/main" count="717" uniqueCount="311">
  <si>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</si>
  <si>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</si>
  <si>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</si>
  <si>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</si>
  <si>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</si>
  <si>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</si>
  <si>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</si>
  <si>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</si>
  <si>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</si>
  <si>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</si>
  <si>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</si>
  <si>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</si>
  <si>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</si>
  <si>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</si>
  <si>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</si>
  <si>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</si>
  <si>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</si>
  <si>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</si>
  <si>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</si>
  <si>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</si>
  <si>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</si>
  <si>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</si>
  <si>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</si>
  <si>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</si>
  <si>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</si>
  <si>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</si>
  <si>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</si>
  <si>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</si>
  <si>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</si>
  <si>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</si>
  <si>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</si>
  <si>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</si>
  <si>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</si>
  <si>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</si>
  <si>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t>RECURSOS PROPIOS INSTITUTOS</t>
  </si>
  <si>
    <t>RECURSOS PROPIOS MUNICIPIO</t>
  </si>
  <si>
    <t>BUCARAMANGA EQUITATIVA E INCLUYENTE: UNA CIUDAD DE BIENESTAR</t>
  </si>
  <si>
    <t xml:space="preserve"> PLAN DE ACCIÓN - PLAN DE DESARROLLO MUNICIPAL
SECRETARÍA DE SALUD Y AMBIENTE</t>
  </si>
  <si>
    <t>Salud Con Calidad, Garantía De Una Ciudad De Oportunidades</t>
  </si>
  <si>
    <t>Garantía De La Autoridad Sanitaria Para La Gestión De La Salud</t>
  </si>
  <si>
    <t>Lograr y mantener el 100% de la población afiliada al Régimen Subsidiado.</t>
  </si>
  <si>
    <t>Porcentaje de población pobre afiliada al régimen subsidiado.</t>
  </si>
  <si>
    <t>MANTENIMIENTO DE LA COBERTURA DE LA SEGURIDAD SOCIAL EN SALUD DE LA POBLACIÓN POBRE SIN CAPACIDAD DE PAGO RESIDENTE EN EL MUNICIPIO DE BUCARAMANGA, SANTANDER</t>
  </si>
  <si>
    <t>Pagos de la población afiliada en el Régimen Subsidiado.
Pagos por la prestación de servicios de salud a la población migrante.
Pagos a la Supersalud.</t>
  </si>
  <si>
    <t>Sec. Salud y Ambiente</t>
  </si>
  <si>
    <t>Mantener el 100% de inspección, vigilancia y control a las IPS que presten servicios de salud de urgencias de la red pública y privada que atienda a la población del Régimen Subsidiado.</t>
  </si>
  <si>
    <t>Porcentaje de IPS que presenten servicios de salud de urgencias de la red pública y privada que atienda a la población del Régimen Subsidiado con inspección, vigilancia y control mantenidos.</t>
  </si>
  <si>
    <t>CONSOLIDACIÓN DE LA AUTORIDAD SANITARIA PARA LA GESTIÓN DE LA SALUD PÚBLICA BUCARAMANGA</t>
  </si>
  <si>
    <t>Auditorías a los servicios de urgencias de las IPS públicas y privadas que atienden a población del Régimen Subsiadiado</t>
  </si>
  <si>
    <t>Mantener la auditoría al 100% de las EAPB contributivas que maneje población subsidiada, EAPB subsidiada e IPS públicas y privadas que presten servicios de salud a los usuarios del Régimen Subsidiado.</t>
  </si>
  <si>
    <t>Porcentaje de EAPB contributivas que maneje población subsidiada, EAPB subsidiada e IPS públicas y privadas que presten servicios de salud a los usuarios del Régimen Subsidiado con auditoría mantenida.</t>
  </si>
  <si>
    <t>Auditorías a las EPS Subsidiadas e IPS públicas y privadas que atienden usuarios del Régimen Subsiadiado</t>
  </si>
  <si>
    <t>Mantener la realización del 100% las acciones de Gestión de la Salud Pública contenidas en el Plan de Acción de Salud.</t>
  </si>
  <si>
    <t>Porcentaje de acciones realizadas de Gestión de la Salud Pública contenidas en el Plan de Acción de Salud mantenidas.</t>
  </si>
  <si>
    <t>Implementar la política pública de participación social en salud.</t>
  </si>
  <si>
    <t>Número de políticas públicas de participación social en salud implementadas.</t>
  </si>
  <si>
    <t>Mantener el seguimiento al 100% de los eventos en vigilancia en salud pública.</t>
  </si>
  <si>
    <t>Porcentaje de eventos en vigilancia en salud pública con seguimiento mantenido.</t>
  </si>
  <si>
    <t>Se realiza vigilancia a todos los eventos de interes en salud pública, el cumplimiento de los protocolos, reporte de la Resolución 4505, Estadícas vitales.</t>
  </si>
  <si>
    <t>Construir, mejorar y/o reponer la infraestructura física de 4 centros y/o unidades de salud.</t>
  </si>
  <si>
    <t>Porcentaje de avance en la construcción, mejoramiento y/o reposición de la infraestructura física de los centros y/o unidades de salud.</t>
  </si>
  <si>
    <t>Adquirir 2 unidades móviles para el área rural.</t>
  </si>
  <si>
    <t>Número de unidades de salud móviles adquiridos para el área rural.</t>
  </si>
  <si>
    <t>Mantener la estrategia de atención primaria en salud.</t>
  </si>
  <si>
    <t>Número de estrategias de atención primaria en salud mantenidas.</t>
  </si>
  <si>
    <t>Desarrollar la Estrategia de Atención Primaria en Salud.</t>
  </si>
  <si>
    <t>Salud Pública Pertinente, Garantía De Una Ciudad De Oportunidades</t>
  </si>
  <si>
    <t>Mejoramiento De Las Condiciones No Transmisibles</t>
  </si>
  <si>
    <t>Realizar actividad física en 100 parques de la ciudad para promover estilos de vida saludable y prevenir enfermedades crónicas no transmisibles.</t>
  </si>
  <si>
    <t xml:space="preserve">Número de parques de la ciudad que se realiza actividad física para promover estilos de vida saludable y prevenir enfermedades crónicas no transmisibles. </t>
  </si>
  <si>
    <t>FORTALECIMIENTO DE LAS ACCIONES TENDIENTES AL CONTROL DE LAS ENFERMEDADES CRÓNICAS NO TRANSMISIBLES EN EL MUNICIPIO DE BUCARAMANGA</t>
  </si>
  <si>
    <t>Realizar actividad física en 100 parques de la ciudad para promover estilos de vida saludable y prevenir enfermedades cónicas no transmisibles.</t>
  </si>
  <si>
    <t>Mantener el monitoreo de las acciones desarrolladas por las EAPB e IPS en 4 enfermedades crónicas no transmisibles.</t>
  </si>
  <si>
    <t>Número de enfermedades crónicas no transmisibles con monitoreo mantenido que son desarrolladas por las EAPB e IPS.</t>
  </si>
  <si>
    <t>Realizar el seguimiento a las enfermedades crónicas no transmisibles en las EAPB e IPS. Igualmenente realizar acciones de promoción de la salud y prevención de la enfermedad.</t>
  </si>
  <si>
    <t>Vida Saludable Y La Prevención De Las Enfermedades Transmisibles</t>
  </si>
  <si>
    <t>Lograr y mantener el 95% de cobertura de vacunación en niños y niñas menores de 5 años.</t>
  </si>
  <si>
    <t>Porcentaje de cobertura de vacunación en niños y niñas menores de 5 años.</t>
  </si>
  <si>
    <t>FORTALECIMIENTO DE LAS ACCIONES PARA LA PREVENCIÓN DE LAS ENFERMEDADES TRANSMISIBLES EN EL MUNICIPIO DE BUCARAMANGA</t>
  </si>
  <si>
    <t>Seguimiento a la cobertura de vacunación, labores del centro de acopio, comité PAI, seguimiento al Paiweb.</t>
  </si>
  <si>
    <t>Mantener 2 estrategias de gestión integral para prevención y control de enfermedades endemoepidémicas y emergentes, reemergentes y desatendidas.</t>
  </si>
  <si>
    <t>Número de estrategias de gestión integral mantenidas para prevención y control de enfermedades endemoepidémicas y emergentes, reemergentes y desatendidas.</t>
  </si>
  <si>
    <t>Actividades que desarrollan el programa de tuberculosis, hansen y enfermedades transmitidas por vectores.</t>
  </si>
  <si>
    <t>IMPLEMENTACIÓN DE ACCIONES PARA LA ATENCIÓN EN SALUD PÚBLICA, MITIGACIÓN Y CONTROL COMO RESPUESTA ANTE LA PRESENCIA DEL VIRUS SARS-COV-2 EN EL MUNICIPIO DE BUCARAMANGA</t>
  </si>
  <si>
    <t>Equipo PRASS, acciones de vigilancian en salud pública del COVID-19, vacunación de COVID-19, manejo del cadaver y cremación de cadaveres con sospoecha o confirmación de COVID-19</t>
  </si>
  <si>
    <t>Prestar atención médica al 100% en el servicio de urgencias y hospitalaria de baja y mediana complejidad a la población con sospecha o confirmación de Coronavirus COVID-19, en el Municipio de Bucaramanga.</t>
  </si>
  <si>
    <t>Salud Mental</t>
  </si>
  <si>
    <t>Formular e implementar el plan de acción de salud mental de acuerdo a la Política Nacional.</t>
  </si>
  <si>
    <t>Número de planes de acción de salud mental de acuerdo a la Política Nacional formulados e implementados.</t>
  </si>
  <si>
    <t>MEJORAMIENTO DE LA SALUD MENTAL Y LA CONVIVENCIA SOCIAL DE BUCARAMANGA</t>
  </si>
  <si>
    <t>Relizar acciones de la Promoción de la Salud y Prevención de la Enfermedad en el Programa de Salud Mental</t>
  </si>
  <si>
    <t>Seguridad Alimentaria Y Nutricional</t>
  </si>
  <si>
    <t>Mantener el Plan de Seguridad Alimentaria y Nutricional.</t>
  </si>
  <si>
    <t>Número de Planes de Seguridad Alimentaria y Nutricional mantenidos.</t>
  </si>
  <si>
    <t>FORTALECIMIENTO DE LAS ACCIONES DE SEGURIDAD ALIMENTARIA Y NUTRICIONAL EN EL MUNICIPIO DE BUCARAMANGA</t>
  </si>
  <si>
    <t>Mantener el Plan de Seguridad Alimentaria y Nutricional del Municipio de Bucaramanga</t>
  </si>
  <si>
    <t>Mantener 1 estrategia de seguimiento a bajo peso al nacer, desnutrición aguda, IAMI y lactancia materna.</t>
  </si>
  <si>
    <t>Número de estrategias de seguimiento a bajo peso al nacer, desnutrición aguda, IAMI y lactancia materna mantenidas.</t>
  </si>
  <si>
    <t>Ejecutar las estrategias de Bajo peso al nacer, desnutrición aguda, IAMI y lactancia materna.</t>
  </si>
  <si>
    <t>Derechos Sexuales Y Reproductivos, Sexualidad Segura</t>
  </si>
  <si>
    <t>Implementar el Modelo de abordaje comunitario para acciones de promoción, prevención y de acceso al diagnóstico de VIH en la población priorizada para la ampliación de la respuesta Nacional al VIH.</t>
  </si>
  <si>
    <t>Numero de Modelos de abordaje comunitario para acciones de promoción, prevención y de acceso al diagnóstico de VIH en la población priorizada de la Ciudad de Bucaramanga para la ampliación de la respuesta Nacional al VIH implementados.</t>
  </si>
  <si>
    <t>FORTALECIMIENTO DE LAS ACCIONES DE PROMOCIÓN, PREVENCIÓN Y VIGILANCIA DE SALUD SEXUAL Y REPRODUCTIVA DEL MUNICIPIO DE BUCARAMANGA</t>
  </si>
  <si>
    <t>Realizar pruebas rápida para el tamizaje de VIH (cuarta generación) a población clave (HSH y Trabajadoras sexuales)  y registro de la información en el SISCOSSR. y adquisición de geles, condones, asesoría  e información requerida para el cumplimiento del Modelo de Abordaje Comunitario.  (PRUEBAS VIH 1566 = HSH 1039 - TS 527) Condones 4698, Lubricantes 1566, tapabocas 10.962 (7 tapabocas c/U)</t>
  </si>
  <si>
    <t>Formular e implementar 1 estrategia de atención intregral en salud para la población LGBTIQ+ que garantice el trato digno.</t>
  </si>
  <si>
    <t>Número de  estrategias de atención integral en salud formuladas e implementadas para la población LGTBIQ+ que garantice el trato digno.</t>
  </si>
  <si>
    <t>Desarrollar una campaña de sensibilización social contra la discriminación social y para la atención integral en salud que garantice el trato digno para la población LGTBIQ+.</t>
  </si>
  <si>
    <t>Mantener 1 estrategia de información, educación y comunicación para fortalecer valores en derechos sexuales y reproductivos.</t>
  </si>
  <si>
    <t>Número de estrategias de información, educación y comunicación mantenidas para fortalecer valores en derechos sexuales y reproductivos diseñada.</t>
  </si>
  <si>
    <t>Desarrollar la estrategia de información, educación y comunicación para fortalecer valores en derechos sexuales y reproductivos.</t>
  </si>
  <si>
    <t>Mantener y fortalecer la estrategia de servicios amigables para adolescentes y jóvenes.</t>
  </si>
  <si>
    <t>Número de estrategias de servicios amigables para adolescentes y jóvenes mantenidas.</t>
  </si>
  <si>
    <t>Realizar inspección, vigilancia y control a las IPS y EAPB en el cumplimiento de la Resolución 3280 en la RIA de mantenimiento de la salud en el adolescente y jóven.</t>
  </si>
  <si>
    <t>Mantener la verificación al 100% de las EAPB e IPS el cumplimiento de la Ruta de Atención Materno-Perinatal.</t>
  </si>
  <si>
    <t>Porcentaje de EAPBs e IPS mantenidas con verificación sobre el cumplimiento de la Ruta de Atención Materno-Perinatal.</t>
  </si>
  <si>
    <t>Gestión Diferencial De Poblaciones Vulnerables</t>
  </si>
  <si>
    <t>Formular e implementar la estrategia de atención integral en primera infancia "En Bucaramanga es haciendo para un inicio feliz".</t>
  </si>
  <si>
    <t xml:space="preserve">Número de estrategias de atención integral en primera infancia "En Bucaramanga es haciendo para un inicio feliz" formuladas e implementadas. </t>
  </si>
  <si>
    <t>DESARROLLO DE LA ESTRATEGIA DE ATENCIÓN INTEGRAL EN PRIMERA INFANCIA “EN BUCARAMANGA ES HACIENDO PARA UN INICIO FELIZ” EN EL MUNICIPIO DE BUCARAMANGA</t>
  </si>
  <si>
    <t>Desarrollar la estrategia de atención integral en primera infancia "En Bucaramanga es haciendo para un inicio feliz".</t>
  </si>
  <si>
    <t>Mantener el Plan de acción intersectorial de entornos saludables PAIE con población víctima del conflicto interno armado.</t>
  </si>
  <si>
    <t>Número de Planes de acción intesectoriales de entornos saludables PAIE con población víctima del conflicto interno armado mantenidos.</t>
  </si>
  <si>
    <t>FORTALECIMIENTO DE LAS ACCIONES DE PROMOCIÓN, PREVENCIÓN Y VIGILANCIA EN LA POBLACION VULNERABLES EN EL MUNICIPIO DE BUCARAMANGA</t>
  </si>
  <si>
    <t>Fortalecer al 100% las acciones en salud publica en el municipio de Bucaramanga para la garantía de los derechos en Salud y Protección de la población vulnerable.</t>
  </si>
  <si>
    <t>Mantener la verificación al 100% de los centros vida y centros día para personas mayores en cumplimiento de la Resolución 055 de 2018.</t>
  </si>
  <si>
    <t>Porcentaje de centros vida y centros día con verificación mantenida para personas mayores en cumplimiento de la Resolución 055 de 2018.</t>
  </si>
  <si>
    <t>Mantener la estrategia AIEPI en las IPS y en la Comunidad.</t>
  </si>
  <si>
    <t>Número de estrategias AIEPI mantenidas en las IPS y en la comunidad.</t>
  </si>
  <si>
    <t>Mantener en funcionamiento 5 salas ERA en IPS públicas para niños y niñas menores de 6 años.</t>
  </si>
  <si>
    <t>Número de salas ERA mantenidas en funcionamiento en IPS públicas para niños y niñas menores de 6 años.</t>
  </si>
  <si>
    <t>Mantener el Plan Municipal de Discapacidad.</t>
  </si>
  <si>
    <t>Número de Planes Municipales de Discapacidad mantenidos.</t>
  </si>
  <si>
    <t>Formular e implementar 1 estrategia de información, educación y comunicación para promover la formación de familias democráticas, respetuosas e incluyentes que reconozca sus derechos, sus responsabilidades y su papel en el fortalecimiento de la comunidad.</t>
  </si>
  <si>
    <t>Número de estrategias de información, educación y comuncación formuladas e implementadas para promover la formación de familias democráticas, respetuosas e incluyentes que reconozca sus derechos, sus responsabilidades y su papel en el fortalecimiento de la comunidad.</t>
  </si>
  <si>
    <t>Formular e implementar 1 estrategia educativa encaminada a la promoción de la salud y prevención de la enfermedad dirigida a poblaciones étnicas.</t>
  </si>
  <si>
    <t xml:space="preserve">Número de estrategias educativas formuladas e implementadas encaminadas a la promoción de la salud y prevención de la enfermedad dirigida a poblaciones étnicas. </t>
  </si>
  <si>
    <t>Salud Ambiental</t>
  </si>
  <si>
    <t>Realizar la identificación y el censo de los individuos caninos y felinos.</t>
  </si>
  <si>
    <t>Número de identificaciones y censos de individuos caninos y felinos realizados.</t>
  </si>
  <si>
    <t>Realizar la vacunación antirrábica de 100.000 individuos entre caninos y felinos.</t>
  </si>
  <si>
    <t>Número de individuos entre caninos y felinos vacunados con antirrábica.</t>
  </si>
  <si>
    <t>FORTALECIMIENTO DEL PROGRAMA DE SALUD AMBIENTAL EN EL MUNICIPIO BUCARAMANGA</t>
  </si>
  <si>
    <t xml:space="preserve">Realizar la vacunación antirrábica de individuos entre caninos y felinos; Hacer seguimiento epidemiológico y la observación Medico Veterinaria al 100% de los caninos y felinos causantes de accidentes por mordedura  con el fin de descartar el virus de la rabia en dichos animales y realizar capacitaciones que apunten a la política de tenencia responsable de animales de compañía, enfermedades zoonoticas y Ley 1774 maltrato animal. </t>
  </si>
  <si>
    <t>Realizar 20.000 esterilizaciones de caninos y felinos.</t>
  </si>
  <si>
    <t>Número de esterilizaciones de caninos y felinos realizadas.</t>
  </si>
  <si>
    <t>Realizar esterilizaciones entre  caninos y felinos machos y hembras en el Municipio de Bucaramanga con el fin de realizar un método de control poblacional .</t>
  </si>
  <si>
    <t>Realizar visitas de inspección, vigilancia y control a 40.000 estalecimientos de alto y bajo riesgo sanitario.</t>
  </si>
  <si>
    <t>Número de visitas de inspección, vigilancia y control realizadas a establecimientos de alto y bajo riesgo sanitario.</t>
  </si>
  <si>
    <t>Realizar visitas de Inspeción Vigilancia y Control a Establecimientos de Alto y Bajo riesgo por parte de la Secretaría de Salud y Ambiente en lo referente al programa de alimentos, ruido, aguas e IPS (PGIRHS).</t>
  </si>
  <si>
    <t>Mantener la estrategia de entorno saludable en la zona urbana y rural.</t>
  </si>
  <si>
    <t>Número de estrategias de entorno saludable mantenidas en la zona urbana y rural.</t>
  </si>
  <si>
    <t>Adecuar la infraestructura física del centro de Zoonosis.</t>
  </si>
  <si>
    <t>Porcentaje de avance en la adecuación de la infraestructura física del centro de Zoonosis.</t>
  </si>
  <si>
    <t>Salud Pública En Emergencias Y Desastres</t>
  </si>
  <si>
    <t>Mantener el Programa de Hospitales Seguros y el Plan Familiar de Emergencias.</t>
  </si>
  <si>
    <t>Número de Programas de Hospitales Seguros y Planes Familiares de Emergencias mantenidos.</t>
  </si>
  <si>
    <t>FORTALECIMIENTO DE LAS ACCIONES EN EMERGENCIAS Y DESASTRES EN SALUD DEL MUNICIPIO DE BUCARAMANGA</t>
  </si>
  <si>
    <t xml:space="preserve">Desarrolla las visitas de Auditorias a las IPS para veificar los planes de emergencias y el programa familiar de emergencias </t>
  </si>
  <si>
    <t>Implementar y mantener el Sistema de Emergencias Médicas.</t>
  </si>
  <si>
    <t>Número de Sistemas de Emergencias Médicas implementados y mantenidos.</t>
  </si>
  <si>
    <t xml:space="preserve">Implementar el Sistema de emergencias médicas del Municipio de Bucaramanga </t>
  </si>
  <si>
    <t>Oportunidad Para La Promoción De La Salud Dentro De Su Ambiente Laboral</t>
  </si>
  <si>
    <t>Mantener el 100% de acciones de promoción y prevención de los riesgos laborales en la población formal e informal.</t>
  </si>
  <si>
    <t>Porcentaje de acciones de promoción y prevención de los riesgos laborales en población formal e informal mantenidos.</t>
  </si>
  <si>
    <t>FORTALECIMIENTO EN EL SISTEMA DE SEGURIDAD Y SALUD EN EL TRABAJO EN EL MUNICIPIO DE BUCARAMANGA</t>
  </si>
  <si>
    <t>Realizar IVC a empresas en lo que respecta al cumplmiento del sistema de seguridad y salud en el trabajo y la promoción de la salu dy prevención de la enfermedad en la población informal.</t>
  </si>
  <si>
    <t>BUCARAMANGA SOSTENIBLE: UNA REGIÓN CON FUTURO</t>
  </si>
  <si>
    <t>Bucaramanga, Ciudad Con Planificación Ambiental Y Territorial En El Marco Del Cambio Climático</t>
  </si>
  <si>
    <t>Planificación Y Educación Ambiental</t>
  </si>
  <si>
    <t>Actualizar y mantener el Sistema de Gestión Ambiental Municipal - SIGAM de acuerdo a la Política Ambiental Municipal.</t>
  </si>
  <si>
    <t>Número de Sistemas de Gestión Ambiental Municipal - SIGAM actualizados y mantenidos de acuerdo a la Política Ambiental Municipal.</t>
  </si>
  <si>
    <t>IMPLEMENTACIÓN DE UNA ESTRATEGIA DE EDUCACIÓN Y PLANIFICACIÓN AMBIENTAL SUSTENTABLE EN EL MUNICIPIO DE BUCARAMANGA</t>
  </si>
  <si>
    <t xml:space="preserve">Relizar revisión, ajuste e implementación del Sistema de Gestión Ambiental municipal </t>
  </si>
  <si>
    <t>Formular e implementar 1 estrategia de educación ambiental para los ciudadanos, las empresas e institutos descentralizados.</t>
  </si>
  <si>
    <t>Número de estrategias de educación ambiental formulados e implementados para los ciudadanos, las empresas e institutos descentralizados.</t>
  </si>
  <si>
    <t>Estructurar e implementar (1) estrategia de educación ambiental que incluya a todos los actores involucrados</t>
  </si>
  <si>
    <t>Formular e implementar 1 estrategia participativa de articulación regional interinstitucional e intergubernamental para generar escenarios de diálogo, planificación y financiación del desarrollo sostenible.</t>
  </si>
  <si>
    <t>Número de estrategias participativas de articulación regional interinstitucional e intergubernamental formuladas e implementadas para generar escenarios de diálogo, planificación y financiación del desarrollo sostenible.</t>
  </si>
  <si>
    <t>Diseñar e implementar 1 estrategia participativa de articulación entre gobierno e instituciones para generar escenarios de diálogo, planificación y financiación del desarrollo sostenible.</t>
  </si>
  <si>
    <t>Formular e implementar 1 Política Pública Ambiental de Cambio Climático y Transición Energética.</t>
  </si>
  <si>
    <t>Número de Políticas Públicas Ambientales de Cambio Climático y Transición Energética formuladas e implementadas.</t>
  </si>
  <si>
    <t>Formular e implementar la política pública ambiental muncipal.</t>
  </si>
  <si>
    <t>Calidad Y Control Del Medio Ambiente</t>
  </si>
  <si>
    <t>Formular e implementar 1 estrategia para incentivar tecnologías limpias y buenas prácticas en las fuentes fijas y móviles, descontaminación de la polución y ruido ambiental con la articulación de la autoridad ambiental correspondiente, sector empresarial, académico y ciudadanía en general.</t>
  </si>
  <si>
    <t>Número de estrategias formuladas e implementadas para incentivar tecnologías limpias y buenas prácticas en las fuentes fijas y móviles, descontaminación de la polución y ruido ambiental con la articulación de la autoridad ambiental correspondiente, sector empresarial, académico y ciudadanía en general.</t>
  </si>
  <si>
    <t>ANÁLISIS Y CONTROL DE LA CONTAMINACIÓN ATMOSFERICA EN EL MUNICIPIO DE BUCARAMANGA</t>
  </si>
  <si>
    <t>Elaborar (1) documento de lineamientos técnicos para la gestión integral de la calidad del aire con un enfoque territorial.</t>
  </si>
  <si>
    <t>Bucaramanga Una Eco-Ciudad</t>
  </si>
  <si>
    <t>Gobernanza Del Agua, Nuestra Agua, Nuestra Vida</t>
  </si>
  <si>
    <t>Formular e implementar 1 estrategia de reforestación y conservación de los predios adquiridos para la preservación de las cuencas hídricas que abastecen al municipio de Bucaramanga.</t>
  </si>
  <si>
    <t>Número de estrategias de reforestación y conservación de los predios adquiridos formuladas e implementadas para la preservación de las cuencas hídricas que abastecen al municipio de Bucaramanga.</t>
  </si>
  <si>
    <t>PROTECCIÓN DEL RECURSO HÍDRICO COMO ESTRATEGIA AMBIENTAL MEDIANTE ACCIONES DE INTERVENCIÓN EN CUENCAS QUE PUEDAN ABASTECER DE AGUA AL MUNICIPIO DE BUCARAMANGA</t>
  </si>
  <si>
    <t xml:space="preserve">Realizar actividades encaminadas a la protección y conservación de las cuencas abastecedoras de agua del municipio de bucaramanga como compra de predios, PSA, Corresponsabilidad y catedra de agua. </t>
  </si>
  <si>
    <t>Formular e implementar 1 estrategia de incidencia social, comunicacional,  interinstitucional,  jurídica, y técnica (estudios hidrológicos e hidrogeológicos, entre otros)  vinculando a gremios, academia, sociedad civil, entidades territoriales y autoridades ambientales para la defensa y protección de la alta montaña de Santurbán ante la amenaza del cambio climático y los impactos de  actividades antrópicas, como los proyectos de megaminería, en dichos ecosistemas estratégicos.</t>
  </si>
  <si>
    <t>Número de estrategias de incidencia social, comunicacional,  interinstitucional,  jurídica, y técnica (estudios hidrológicos e hidrogeológicos, entre otros) vinculando a gremios, academia, sociedad civil, entidades territoriales y autoridades ambientales formuladas e implementadas para la defensa y protección de la alta montaña de Santurbán ante la amenaza del cambio climático y los impactos de  actividades antrópicas, como los proyectos de megaminería, en dichos ecosistemas estratégicos.</t>
  </si>
  <si>
    <t>Realizar 1 estudio para identificar conflictos de uso del suelo y esquemas potenciales de pago por servicios ambientales en ecosistemas estratégicos abastecedores de cuencas hídrica del municipio de Bucaramanga.</t>
  </si>
  <si>
    <t>Número de estudios realizados para identificar conflictos de uso del suelo y esquemas potenciales de pago por servicios ambientales en ecosistemas estratégicos abastecedores de cuencas hídrica del municipio de Bucaramanga.</t>
  </si>
  <si>
    <t>Formular e implementar 1 programa de alternativas socioeconómicas de desarrollo sustentable para la provincia de Soto Norte en el marco de la corresponsabilidad socioambiental.</t>
  </si>
  <si>
    <t>Número de programas de alternativas socioeconómicas de desarrollo sustentable formulados e implementados para la provincia de Soto Norte en el marco de la corresponsabilidad socioambiental.</t>
  </si>
  <si>
    <t>Crecimiento Verde, Ciudad Biodiversa</t>
  </si>
  <si>
    <t>Formular e implementar 1 estrategia para recuperar y rehabilitar corredores de conectividad ecosistémica para fortalecer la estructura ecológica urbana (cerros orientales y escarpa occidental) por medio del manejo integral de arbolado y zonas verdes.</t>
  </si>
  <si>
    <t>Número de estrategias formuladas e implementadas para recuperar y rehabilitar corredores de conectividad ecosistémica para fortalecer la estructura ecológica urbana (cerros orientales y escarpa occidental) por medio del manejo integral de arbolado y zonas verdes.</t>
  </si>
  <si>
    <t>FORTALECIMIENTO AL CRECIMIENTO VERDE, CIUDAD BIODIVERSA DEL MUNICIPIO DE BUCARAMANGA</t>
  </si>
  <si>
    <t>Definir una estrategia de conectividad y manejo del espacio verde urbano y su estructura ecologica principal, para garantizar la oferta de servicios ecosistémicos a la población urbana y rural del muncipio de Bucaramanga, así como generar  información geográfica y temática de los ecosistemas presentes en la estrutura ecológica principal, para su valoración, manejo, conectividad, restauración y seguimiento.</t>
  </si>
  <si>
    <t>Implementar 1 piloto para la gestión de huertas urbanas sostenibles.</t>
  </si>
  <si>
    <t>Número de piloto para la gestión de huertas urbanas sostenibles implementadas.</t>
  </si>
  <si>
    <t>Manejo Integral De Residuos Sólidos, Impacto Positivo En La Calidad De Vida</t>
  </si>
  <si>
    <t>Actualizar e implementar el Plan de Gestión Integral de Residuos Sólidos - PGIRS.</t>
  </si>
  <si>
    <t>Número de Planes de Gestión Integral de Residuos Sólidos - PGIRS actualizados e implementados.</t>
  </si>
  <si>
    <t>FORTALECIMIENTO EN EL MARCO DE LA ECONOMÍA CIRCULAR DE LA GESTIÓN INTEGRAL DE RESIDUOS SÓLIDOS EN EL MUNICIPIO DE BUCARAMANGA</t>
  </si>
  <si>
    <t>Realizar la actualización e implementación del Plan de Gestión Integral de Residuos Sólidos - PGIRS.</t>
  </si>
  <si>
    <t>Juan Jose Rey Serrano</t>
  </si>
  <si>
    <t>Realizar adecuación y repotenciación de la Infraestructura Física del la ESE ISABU</t>
  </si>
  <si>
    <t xml:space="preserve">CONSTRUCCIÓN Y/O REPOSICIÓN Y/O MEJORAMIENTO DE LA INFRAESTRUCTURA FÍSICA DE CENTROS Y/O UNIDADES DE SALUD DE BUCARAMANGA </t>
  </si>
  <si>
    <t xml:space="preserve">ADQUISICIÓN DE UNIDADES MÓVILES PARA MEJORAR LA CAPACIDAD DE ATENCIÓN BÁSICA EN SALUD EN EL MUNICIPIO DE BUCARAMANGA </t>
  </si>
  <si>
    <t>Adquisición de unidades móviles</t>
  </si>
  <si>
    <t xml:space="preserve">APORTE DE LOS RECURSOS PARA GARANTIZAR LA OPERACIÓN CONTINUA Y MANTENIMIENTO PERIODICO DE LA PTLX DENTRO DEL MARCO DEL CONVENIO INTERADMINISTRATIVO 517 DE 2014 ENTRE LA EMAB Y EL MUNICIPIO DE BUCARAMANGA </t>
  </si>
  <si>
    <t>Aportar los recursos financieros en cumplimiento a la obligación contractual bajo convenio 517 de 2014.</t>
  </si>
  <si>
    <t xml:space="preserve">FORTALECIMIENTO A LA PRESTACIÓN DE SERVICIOS DE SALUD EN LA ESE ISABU DESTINADOS A LA ATENCIÓN DE PACIENTES CON CORONAVIRUS SARS-COV-2 EN EL HOSPITAL DE CAMPAÑA EN EL MUNICIPIO DE BUCARAMANGA </t>
  </si>
  <si>
    <t>Construir y/o gestionar el Coso Municipal.</t>
  </si>
  <si>
    <t>BUCARAMANGA CIUDAD VITAL: LA VIDA ES SAGRADA</t>
  </si>
  <si>
    <t>Porcentaje de avance en la construcción y/o gestión del Coso Municipal</t>
  </si>
  <si>
    <r>
      <t xml:space="preserve">Código:  </t>
    </r>
    <r>
      <rPr>
        <sz val="11"/>
        <rFont val="Arial"/>
        <family val="2"/>
      </rPr>
      <t>F-DPM-1210-238,37-030</t>
    </r>
  </si>
  <si>
    <t>FORTALECIMIENTO A LA AGENDA DE EDUCACIÓN Y CULTURA AMBIENTAL DEL MUNICIPIO DE BUCARAMANGA</t>
  </si>
  <si>
    <t>SISTEMATIZACIÓN, ESTANDARIZACIÓN Y ACTUALIZACIÓN DEL CENSO DE ÁRBOLES URBANOS PARA LA PLANIFICACIÓN Y MANEJO SILVICULTURAL EN EL MUNICIPIO DE BUCARAMANGA</t>
  </si>
  <si>
    <t>FORTALECIMIENTO DE LA PRESTACIÓN DEL SERVICIO PÚBLICO DE ASEO PARA LA GESTIÓN INTEGRAL DE RESIDUOS SÓLIDOS EN EL MUNICIPIO DE BUCARAMANGA</t>
  </si>
  <si>
    <t>Espacio Público Vital</t>
  </si>
  <si>
    <t>Equipamiento Comunitario</t>
  </si>
  <si>
    <t xml:space="preserve"> 2.3.2.02.02.009.1905035.91122.274</t>
  </si>
  <si>
    <t>CONTROL, INSPECCIÓN Y VIGILANCIA A LA PRESTACIÓN DE SERVICIOS DE SALUD DE URGENCIAS Y A LOS PROCESOS DIRIGIDOS A REDUCIR LA MORBIMORTALIDAD DE LAS ENFERMEDADES DE SALUD PÚBLICA EN EL MUNCIPIO DE BUCARAMANGA</t>
  </si>
  <si>
    <t>FORTALECIMIENTO EN EL MODELO DE ATENCIÓN PRIMARIA EN SALUD EN EL MUNICIPIO DE BUCARAMANGA</t>
  </si>
  <si>
    <t>2.3.2.02.02.009.3208010.94900.201</t>
  </si>
  <si>
    <t>2.3.2.02.02.009.1905027.91122.209</t>
  </si>
  <si>
    <t>2.3.2.02.02.009.1905019.91122.209</t>
  </si>
  <si>
    <t>2.3.2.02.02.009.1905021.91122.209</t>
  </si>
  <si>
    <t>2.3.2.02.02.009.3202006.94900.201</t>
  </si>
  <si>
    <t>2.3.2.02.02.009.1905025.91122.209</t>
  </si>
  <si>
    <t>2.3.2.02.02.009.1905028.91122.209</t>
  </si>
  <si>
    <t>2.3.2.02.02.009.1905022.91122.209</t>
  </si>
  <si>
    <t>2.3.2.02.02.009.1905030.91122.201</t>
  </si>
  <si>
    <t>2.3.2.02.02.009.1906029.91122.285
2.3.2.02.02.009.1906029.91122.272
2.3.2.02.02.009.1906029.91122.274
2.3.2.02.02.009.1906029.91122.271</t>
  </si>
  <si>
    <t>2.3.2.02.02.009.1905019.91122.201 $430.739.965
2.3.2.02.02.009.1905019.91122.209 $119.260.035
2.3.2.02.02.009.1905019.91122.270 $ 50.000.000</t>
  </si>
  <si>
    <t>2.3.2.02.02.009.3202042.91122.201 $1.340.925.701
2.3.2.02.02.009.3202002.94900.201 $   118.285.299
2.3.2.02.02.009.3202002.94900.280 $     36.000.000</t>
  </si>
  <si>
    <t>2.3.2.02.02.009.1905023.91122.209</t>
  </si>
  <si>
    <t>2.3.2.02.02.009.3208008.91122.201</t>
  </si>
  <si>
    <t>2.3.2.02.02.009.1903038.91122.201
2.3.2.02.02.009.1903040.94219.209</t>
  </si>
  <si>
    <t>2.3.2.02.02.009.1903038.91122.201
2.3.2.02.02.009.1903038.91122.270</t>
  </si>
  <si>
    <t>2.3.2.02.02.009.1903040.91122.201
2.3.2.02.02.009.1903042.91122.201
2.3.2.02.02.009.1903042.91122.209</t>
  </si>
  <si>
    <t>2.3.2.02.02.005.1906030.53129.274
2.3.2.02.02.005.1906030.53129.269</t>
  </si>
  <si>
    <t>2.3.2.02.02.009.1905030.91122.209</t>
  </si>
  <si>
    <t>2.3.2.02.02.009.1905019.91122.201
2.3.2.02.02.009.1905019.91122.209</t>
  </si>
  <si>
    <t>2.3.2.02.02.009.1906004.93119.201</t>
  </si>
  <si>
    <t>IMPLEMENTACIÓN DEL PROCESO DE VALORACIÓN Y EXPEDICIÓN DE LA CERTIFICACIÓN DE DISCAPACIDAD Y REGISTRO DE LA LOCALIZACIÓN Y CARACTERIZACIÓN DE LAS PERSONAS CON DISCAPACIDAD RLCPD EN EL MUNICIPIO DE BUCARAMANGA</t>
  </si>
  <si>
    <t>Realizar la valoración clínica multidisciplinaria, simultanea como el procedimiento requerido para la certificación de personas con discapacidad en el Municipio de Bucaramanga</t>
  </si>
  <si>
    <t>2.3.2.02.02.009.1901007.91310.285</t>
  </si>
  <si>
    <t>2.3.2.02.02.009.4501058,54129.201</t>
  </si>
  <si>
    <t>CONSTRUCCION DE LA UNIDAD DE BIENESTAR ANIMAL DEL MUNICIPIO DE BUCARAMANGA</t>
  </si>
  <si>
    <t>Adicional contrato + personal</t>
  </si>
  <si>
    <t>FORTALECIMIENTO DE LAS ACCIONES PARA LA PREVENCIOÓN Y CONTROL DEL DENGUE EN EL MUNICIPIO DE BUCARAMANGA</t>
  </si>
  <si>
    <t>Realizar acciones para la prevención y control del dengue en el Municipio de Bucaramanga</t>
  </si>
  <si>
    <t>2.3.2.02.02.009.1905019.91122.285</t>
  </si>
  <si>
    <t>PROTECCIÓN DE LA FAUNA URBANO RURAL QUE INTEGRA LOS CORREDORES DE CONECTIVIDAD ECOSISTÉMICOS DEL MUNICIPIO DE BUCARAMANGA</t>
  </si>
  <si>
    <t>Realizar atención masiva veterinaria a los caninos y felinos en condiciones de abandono y vulnerabilidad que se encuentren en la Unidad de Bienestar Animal</t>
  </si>
  <si>
    <t>2.3.2.02.02.009.4501054.83510.201</t>
  </si>
  <si>
    <t>2.3.2.02.02.009.1906004.91310.208 $  85,924,629,838
2.3.2.02.02.009.1906004.91310.279 $155,600,573,498,74
2.3.2.02.02.009.1906004.91310.281 $ 17,483,441,048,48
2.3.2.02.02.009.1906004.91310.285 $    6.235.045.609
2.3.2.02.02.009.1903011.91310.279 $1,056,311,232,39
2.3.2.02.02.009.1906004.93121.274 $4,240,844,651</t>
  </si>
  <si>
    <t>PENDIENTE POR ADICIONAR EN ESTE PROYECTO</t>
  </si>
  <si>
    <t>2.3.2.02.02.009.1906029.91122.574 $10,106,209,72
2.3.2.02.02.009.1906029.91122.701 $300,000,000</t>
  </si>
  <si>
    <t>DOTACIÓN</t>
  </si>
  <si>
    <t>2.3.2.02.02.009.1905040.91310.701</t>
  </si>
  <si>
    <t>2.3.2.02.02.009.1903038.91122.701
2.3.2.02.02.009.1903038.91122.585</t>
  </si>
  <si>
    <t>2.3.2.02.02.009.1905021.91122.209
2.3.2.02.02.009.1905019.91122.701</t>
  </si>
  <si>
    <t>2.3.2.02.02.009.1905025.91122.701
2.3.2.02.02.009.1905025.91122.570</t>
  </si>
  <si>
    <t>2.3.2.02.02.009.1905030.91122.585</t>
  </si>
  <si>
    <t>2.3.2.02.02.009.1905026.91122.209 $492.821.482
2.3.2.02.02.009.1905026.91122.201 $186.076.667</t>
  </si>
  <si>
    <t>PREVENCIÓN Y CONTROL DE LAS ENFERMEDADES TRANSMISIBLES EN EL MUNICIPIO DE BUCARAMANGA</t>
  </si>
  <si>
    <t>2.3.2.02.02.009.1905026.91122.509</t>
  </si>
  <si>
    <t>2.3.2.02.02.009.1905022.91122.701
2.3.2.02.02.009.1905022.91122.209</t>
  </si>
  <si>
    <t xml:space="preserve">Seguimiento al Plan Territorial de Salud, formulación de proyectos, acciones de apoyo a la subsecretaría de Salud Pública, informes de calidad, planes de mejoramiento y calibración de equipos de la Secretaría de Salud. </t>
  </si>
  <si>
    <t>PENDIENTE POR ADICIONAR EN PROYECTO NUEVO</t>
  </si>
  <si>
    <t>2.3.2.02.02.009.3208010.94900.201 $103.100.000
2.3.2.02.02.009.3208010.94900.218 $    9.000.000 
2.3.2.02.02.009.3208010.94900.280 $  21.000.000
2.3.2.02.02.009.3208010.94900.580 $8,800,000</t>
  </si>
  <si>
    <t xml:space="preserve">2.3.2.02.02.009.3208010.94900.201
2.3.2.02.02.009.3208010.94900.580 $3,300,000
</t>
  </si>
  <si>
    <t>2.3.2.02.02.009.3208008.91122.201
2.3.2.02.02.009.3208010.94900.580 $36,650,000</t>
  </si>
  <si>
    <t>2.3.2.02.02.009.3204046.94900.201
2.3.2.02.02.009.3204046.94900.580 $110081084</t>
  </si>
  <si>
    <t xml:space="preserve">2.3.2.02.02.009.3202002.94900.201 $260.090.785
2.3.2.02.02.009.3202002.94900.280 $  12.259.215
2.3.2.02.02.009.3202002.94900.580 $25900000,30
</t>
  </si>
  <si>
    <t>2.3.2.02.02.009.3201009.94900.201 $1.118.903.218
2.3.2.02.02.009.4003022.91122.201 $   431.074.299
2.3.2.02.02.009.3201009.94900.280 $     66.000.000
2.3.2.02.02.009.4003022.91122.580 $30,618,756.34</t>
  </si>
  <si>
    <t>2.3.2.02.02.009.4003022.91122.201
2.3.2.02.02.009.4003022.91122.580 $20,999,999,85</t>
  </si>
  <si>
    <t>2.3.2.02.02.009.3201009.94900.201
2.3.2.02.02.009.4003022.91122.580 $20,629,864,36
2.3.7.06.02.4599002.94900.601 $95,407</t>
  </si>
  <si>
    <t xml:space="preserve">CUMBRE DE PARAMOS </t>
  </si>
  <si>
    <t>2.3.2.02.02.009.3202006.94900.201 $     41.800.000
2.3.2.02.02.009.3202005.94900.201 $3,767,160,490
2.3.2.02.02.009.3202005.94900.501 $2550377964,65</t>
  </si>
  <si>
    <t>2.3.2.02.02.009.3202006.94900.201 $    96.500.000
2.3.2.02.02.009.3202005.94900.201 $100000000</t>
  </si>
  <si>
    <t>2.3.2.02.02.009.1903016.91122.285 $234,222,000
2.3.2.02.02.009.1905019.91122.285 $271.251.000
2.3.2.02.02.009.1903003.91122.701 $45,000,000
2.3.2.02.02.009.1903016.91122.585 $291,200,000
2.3.2.02.02.009.1905019.91122.585 $37,080,000</t>
  </si>
  <si>
    <t>2.3.2.02.02.009.1903003.91122.585 $1.038.034.546,96
2.3.2.02.02.009.1903003.91122.572 $  195.329.466,32</t>
  </si>
  <si>
    <t>2.3.2.02.02.009.1905029.91122.272 $  20.000.000
2.3.2.02.02.009.1905019.91122.285 $615.219.000
2.3.2.02.02.009.1905029.91122.285 $  30.000.000
2.3.2.02.02.009.1903003.91122.701 $40.000.000
2.3.2.02.02.009.1905019.91122.585 $43,260,000
2.3.2.02.02.009.1905019.91122.585 $177,424,100
2.3.2.02.02.009.1905019.91122.585 $25,750,000
2.3.2.02.02.009.1903003.91122.701 $83,880,996,08
2.3.2.02.02.009.1903003,91122.572 $96,119,003,92</t>
  </si>
  <si>
    <t>2.3.2.02.02.009.1905019.91122.285
2.3.2.02.02.009.1905019.91122.209
2.3.2.02.02.009.1905019.91122.701
2.3.2.02.02.009.1905019.91122.585</t>
  </si>
  <si>
    <t xml:space="preserve">2.3.2.02.02.009.1903031.91122.209
2.3.2.02.02.009.1903031.91122.201
2.3.2.02.02.009.1903031.91122.585
</t>
  </si>
  <si>
    <t>2.3.2.02.02.009.1906033.93119.285
2.3.2.02.02.009.1903003,91122,701</t>
  </si>
  <si>
    <t>2.3.2.02.02.009.1905023.91122.209
2.3.2.02.02.009.1905023.91122.701</t>
  </si>
  <si>
    <t>IMPLEMENTACIÓN DE LA ESTRATEGIA "PROMOCIÓN DE LA AFECTIVIDAD COMO FACTOR PROTECTOR DE LA SALUD MENTAL - PROAFECTO" EN LA POBLACIÓN DE BUCARAMANGA</t>
  </si>
  <si>
    <t>Ejecutar la estrategia PROAFECTO en la población de Bucaramanga</t>
  </si>
  <si>
    <t>2.3.2.02.02.009.3202002.94900.201 $ 81.793.916
2.3.2.02.02.009.3202002.94900.280 $ 11.911.992
2.3.2.02.02.009.3202002.94900.580 $11,052,058
2.3.2.02.02.009.3202002.94900.588 $3.220.436</t>
  </si>
  <si>
    <t>Implementación de la política de participación social</t>
  </si>
  <si>
    <t>DIAGNOSTICO Y EXPEDICIÓN DE LA CERTIFICACIÓN DE DISCAPACIÓN Y REGISTRO DE LA LOCALIZACIÓN Y CARACTERIZACIÓN DE LAS PERSONAS CON DISCAPACIDAD - RLCPD EN EL MUNICIPIO DE BUCARAMANGA</t>
  </si>
  <si>
    <t>FORTALECIMIENTO DE LOS ENTORNOS DE TRABAJO SEGURO Y SALUDABLE PARA LOS TRABAJADORES FORMALES E INFORMALES A TRAVES DE LA CULTURA DE LA PREVENCIÓN EN EL MUNICIPIO DE BUCARAMANGA</t>
  </si>
  <si>
    <t>Realizar Acciones para la preveción en los entornos de trabajo seguro para la población formal e informal del municipio de Bucaramanga</t>
  </si>
  <si>
    <t>Realizar la identificacion y censo de individuos caninos y felinos.</t>
  </si>
  <si>
    <t>Realizar el censo georreferenciado al 100% de los árboles presentes en el área urbana del municipio de Bucaramanga para obtener la información dasométrica y fitosanitaria de cada árbol para su seguimiento y manejo silvicultural.</t>
  </si>
  <si>
    <t>Fortalecer la prestación del servicio público de aseo para la gestión integral de residuos sólidos.,</t>
  </si>
  <si>
    <t xml:space="preserve">Realizar Evaluación y seguimiento a las viviendas  que cumplieron con la implementacion de la estrategia "Vivienda saludable" en el 2016 y 2017 del área Urbana y Rural; e implementacion de la estrategia  en nuevas viviendas priorizadas con la Subsecretaria de Ambiente. </t>
  </si>
  <si>
    <t>Pendiente por incluir en proyecto</t>
  </si>
  <si>
    <r>
      <t xml:space="preserve">Versión: </t>
    </r>
    <r>
      <rPr>
        <sz val="11"/>
        <rFont val="Arial"/>
        <family val="2"/>
      </rPr>
      <t>0.0</t>
    </r>
  </si>
  <si>
    <r>
      <t>Fecha aprobación:</t>
    </r>
    <r>
      <rPr>
        <sz val="11"/>
        <rFont val="Arial"/>
        <family val="2"/>
      </rPr>
      <t xml:space="preserve"> Abril-22-2021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</si>
</sst>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\ #,##0;\-&quot;$&quot;\ #,##0"/>
    <numFmt numFmtId="6" formatCode="&quot;$&quot;\ #,##0;[Red]\-&quot;$&quot;\ #,##0"/>
    <numFmt numFmtId="7" formatCode="&quot;$&quot;\ #,##0.00;\-&quot;$&quot;\ #,##0.00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  <numFmt numFmtId="167" formatCode="_-* #,##0_-;\-* #,##0_-;_-* &quot;-&quot;??_-;_-@_-"/>
    <numFmt numFmtId="168" formatCode="&quot;$&quot;\ #,##0.000"/>
    <numFmt numFmtId="169" formatCode="&quot;$&quot;\ #,##0.00"/>
    <numFmt numFmtId="170" formatCode="#,##0.0"/>
  </numFmts>
  <fonts count="11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justify"/>
    </xf>
    <xf numFmtId="0" fontId="6" fillId="2" borderId="4" xfId="0" applyFont="1" applyFill="1" applyBorder="1"/>
    <xf numFmtId="9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165" fontId="6" fillId="2" borderId="4" xfId="108" applyNumberFormat="1" applyFont="1" applyFill="1" applyBorder="1" applyAlignment="1">
      <alignment vertical="center"/>
    </xf>
    <xf numFmtId="9" fontId="7" fillId="2" borderId="4" xfId="107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right"/>
    </xf>
    <xf numFmtId="9" fontId="8" fillId="0" borderId="2" xfId="0" applyNumberFormat="1" applyFont="1" applyBorder="1" applyAlignment="1">
      <alignment horizontal="center" vertical="center" wrapText="1"/>
    </xf>
    <xf numFmtId="9" fontId="8" fillId="2" borderId="2" xfId="0" applyNumberFormat="1" applyFont="1" applyFill="1" applyBorder="1" applyAlignment="1">
      <alignment horizontal="center" vertical="center" wrapText="1"/>
    </xf>
    <xf numFmtId="9" fontId="6" fillId="0" borderId="2" xfId="107" applyFont="1" applyFill="1" applyBorder="1" applyAlignment="1">
      <alignment horizontal="center" vertical="center" wrapText="1"/>
    </xf>
    <xf numFmtId="5" fontId="6" fillId="0" borderId="2" xfId="108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5" fontId="6" fillId="0" borderId="2" xfId="108" applyNumberFormat="1" applyFont="1" applyFill="1" applyBorder="1" applyAlignment="1">
      <alignment vertical="center" wrapText="1"/>
    </xf>
    <xf numFmtId="3" fontId="8" fillId="0" borderId="2" xfId="0" applyNumberFormat="1" applyFont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7" fontId="6" fillId="0" borderId="2" xfId="108" applyNumberFormat="1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9" fontId="8" fillId="2" borderId="2" xfId="107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justify" vertical="center" wrapText="1"/>
    </xf>
    <xf numFmtId="0" fontId="9" fillId="2" borderId="2" xfId="0" applyFont="1" applyFill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14" fontId="4" fillId="3" borderId="0" xfId="109" applyNumberFormat="1" applyFont="1" applyFill="1" applyBorder="1" applyAlignment="1">
      <alignment vertical="center"/>
    </xf>
    <xf numFmtId="0" fontId="6" fillId="3" borderId="0" xfId="0" applyFont="1" applyFill="1" applyBorder="1" applyAlignment="1">
      <alignment vertical="top"/>
    </xf>
    <xf numFmtId="0" fontId="6" fillId="0" borderId="0" xfId="0" applyFont="1"/>
    <xf numFmtId="44" fontId="6" fillId="0" borderId="0" xfId="0" applyNumberFormat="1" applyFont="1"/>
    <xf numFmtId="0" fontId="3" fillId="0" borderId="0" xfId="0" applyFont="1"/>
    <xf numFmtId="14" fontId="3" fillId="3" borderId="0" xfId="109" applyNumberFormat="1" applyFont="1" applyFill="1" applyBorder="1" applyAlignment="1">
      <alignment vertical="top"/>
    </xf>
    <xf numFmtId="0" fontId="3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top"/>
    </xf>
    <xf numFmtId="0" fontId="3" fillId="3" borderId="0" xfId="0" applyFont="1" applyFill="1" applyBorder="1"/>
    <xf numFmtId="0" fontId="3" fillId="3" borderId="3" xfId="0" applyFont="1" applyFill="1" applyBorder="1"/>
    <xf numFmtId="0" fontId="3" fillId="2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9" fontId="3" fillId="0" borderId="2" xfId="107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9" fontId="3" fillId="4" borderId="2" xfId="107" applyFont="1" applyFill="1" applyBorder="1" applyAlignment="1">
      <alignment horizontal="center" vertical="center"/>
    </xf>
    <xf numFmtId="9" fontId="3" fillId="5" borderId="2" xfId="107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166" fontId="6" fillId="0" borderId="0" xfId="0" applyNumberFormat="1" applyFont="1"/>
    <xf numFmtId="6" fontId="6" fillId="0" borderId="0" xfId="0" applyNumberFormat="1" applyFont="1"/>
    <xf numFmtId="3" fontId="6" fillId="0" borderId="0" xfId="0" applyNumberFormat="1" applyFont="1"/>
    <xf numFmtId="1" fontId="6" fillId="0" borderId="2" xfId="0" applyNumberFormat="1" applyFont="1" applyFill="1" applyBorder="1" applyAlignment="1">
      <alignment horizontal="right" vertical="center" wrapText="1"/>
    </xf>
    <xf numFmtId="1" fontId="3" fillId="0" borderId="2" xfId="0" applyNumberFormat="1" applyFont="1" applyFill="1" applyBorder="1" applyAlignment="1">
      <alignment horizontal="right" vertical="center"/>
    </xf>
    <xf numFmtId="1" fontId="6" fillId="0" borderId="4" xfId="0" applyNumberFormat="1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8" fillId="2" borderId="4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justify" vertical="center"/>
    </xf>
    <xf numFmtId="167" fontId="6" fillId="0" borderId="0" xfId="111" applyNumberFormat="1" applyFont="1"/>
    <xf numFmtId="3" fontId="6" fillId="3" borderId="0" xfId="0" applyNumberFormat="1" applyFont="1" applyFill="1" applyBorder="1" applyAlignment="1">
      <alignment vertical="top"/>
    </xf>
    <xf numFmtId="166" fontId="6" fillId="0" borderId="2" xfId="111" applyNumberFormat="1" applyFont="1" applyFill="1" applyBorder="1" applyAlignment="1">
      <alignment horizontal="right" vertical="center" wrapText="1"/>
    </xf>
    <xf numFmtId="166" fontId="6" fillId="0" borderId="2" xfId="111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horizontal="center" vertical="center"/>
    </xf>
    <xf numFmtId="44" fontId="3" fillId="0" borderId="0" xfId="0" applyNumberFormat="1" applyFont="1"/>
    <xf numFmtId="5" fontId="6" fillId="0" borderId="4" xfId="108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164" fontId="4" fillId="2" borderId="4" xfId="0" applyNumberFormat="1" applyFont="1" applyFill="1" applyBorder="1" applyAlignment="1">
      <alignment horizontal="justify" vertical="center"/>
    </xf>
    <xf numFmtId="169" fontId="6" fillId="0" borderId="2" xfId="111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justify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center" vertical="center" wrapText="1"/>
    </xf>
    <xf numFmtId="169" fontId="6" fillId="3" borderId="0" xfId="0" applyNumberFormat="1" applyFont="1" applyFill="1" applyBorder="1" applyAlignment="1">
      <alignment vertical="top"/>
    </xf>
    <xf numFmtId="169" fontId="7" fillId="2" borderId="2" xfId="0" applyNumberFormat="1" applyFont="1" applyFill="1" applyBorder="1" applyAlignment="1">
      <alignment horizontal="center" vertical="center" wrapText="1"/>
    </xf>
    <xf numFmtId="169" fontId="6" fillId="0" borderId="0" xfId="0" applyNumberFormat="1" applyFont="1"/>
    <xf numFmtId="164" fontId="6" fillId="0" borderId="2" xfId="0" applyNumberFormat="1" applyFont="1" applyFill="1" applyBorder="1" applyAlignment="1">
      <alignment vertical="center" wrapText="1"/>
    </xf>
    <xf numFmtId="166" fontId="6" fillId="0" borderId="4" xfId="111" applyNumberFormat="1" applyFont="1" applyFill="1" applyBorder="1" applyAlignment="1">
      <alignment horizontal="right" vertical="center" wrapText="1"/>
    </xf>
    <xf numFmtId="166" fontId="6" fillId="0" borderId="4" xfId="111" applyNumberFormat="1" applyFont="1" applyFill="1" applyBorder="1" applyAlignment="1">
      <alignment horizontal="right" vertical="center"/>
    </xf>
    <xf numFmtId="170" fontId="8" fillId="2" borderId="2" xfId="0" applyNumberFormat="1" applyFont="1" applyFill="1" applyBorder="1" applyAlignment="1">
      <alignment horizontal="center" vertical="center" wrapText="1"/>
    </xf>
    <xf numFmtId="169" fontId="6" fillId="0" borderId="4" xfId="111" applyNumberFormat="1" applyFont="1" applyFill="1" applyBorder="1" applyAlignment="1">
      <alignment horizontal="right" vertical="center" wrapText="1"/>
    </xf>
    <xf numFmtId="164" fontId="3" fillId="0" borderId="2" xfId="0" applyNumberFormat="1" applyFont="1" applyFill="1" applyBorder="1" applyAlignment="1">
      <alignment horizontal="justify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justify" vertical="center" wrapText="1"/>
    </xf>
    <xf numFmtId="164" fontId="6" fillId="0" borderId="2" xfId="0" applyNumberFormat="1" applyFont="1" applyFill="1" applyBorder="1" applyAlignment="1">
      <alignment horizontal="justify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6" fillId="0" borderId="4" xfId="0" applyFont="1" applyFill="1" applyBorder="1" applyAlignment="1">
      <alignment horizontal="justify" vertical="center" wrapText="1"/>
    </xf>
    <xf numFmtId="164" fontId="3" fillId="0" borderId="4" xfId="0" applyNumberFormat="1" applyFont="1" applyFill="1" applyBorder="1" applyAlignment="1">
      <alignment horizontal="justify" vertical="center" wrapText="1"/>
    </xf>
    <xf numFmtId="0" fontId="8" fillId="0" borderId="4" xfId="0" applyFont="1" applyFill="1" applyBorder="1" applyAlignment="1">
      <alignment horizontal="justify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justify" vertical="center" wrapText="1"/>
    </xf>
    <xf numFmtId="164" fontId="0" fillId="0" borderId="2" xfId="0" applyNumberFormat="1" applyFont="1" applyFill="1" applyBorder="1" applyAlignment="1">
      <alignment vertical="center" wrapText="1"/>
    </xf>
    <xf numFmtId="164" fontId="3" fillId="0" borderId="2" xfId="0" applyNumberFormat="1" applyFont="1" applyFill="1" applyBorder="1" applyAlignment="1">
      <alignment vertical="center" wrapText="1"/>
    </xf>
    <xf numFmtId="164" fontId="3" fillId="0" borderId="2" xfId="0" applyNumberFormat="1" applyFont="1" applyFill="1" applyBorder="1" applyAlignment="1">
      <alignment vertical="center"/>
    </xf>
    <xf numFmtId="169" fontId="6" fillId="0" borderId="2" xfId="111" applyNumberFormat="1" applyFont="1" applyFill="1" applyBorder="1" applyAlignment="1">
      <alignment horizontal="right"/>
    </xf>
    <xf numFmtId="0" fontId="6" fillId="0" borderId="0" xfId="0" applyFont="1" applyFill="1"/>
    <xf numFmtId="166" fontId="6" fillId="0" borderId="0" xfId="111" applyNumberFormat="1" applyFont="1" applyFill="1" applyAlignment="1">
      <alignment horizontal="right"/>
    </xf>
    <xf numFmtId="4" fontId="0" fillId="0" borderId="0" xfId="0" applyNumberFormat="1" applyFill="1" applyAlignment="1">
      <alignment vertical="center"/>
    </xf>
    <xf numFmtId="166" fontId="7" fillId="0" borderId="2" xfId="111" applyNumberFormat="1" applyFont="1" applyFill="1" applyBorder="1" applyAlignment="1">
      <alignment horizontal="right" vertical="center" wrapText="1"/>
    </xf>
    <xf numFmtId="166" fontId="6" fillId="0" borderId="2" xfId="111" applyNumberFormat="1" applyFont="1" applyFill="1" applyBorder="1" applyAlignment="1">
      <alignment horizontal="right" vertical="center"/>
    </xf>
    <xf numFmtId="169" fontId="7" fillId="0" borderId="2" xfId="111" applyNumberFormat="1" applyFont="1" applyFill="1" applyBorder="1" applyAlignment="1">
      <alignment horizontal="right" vertical="center" wrapText="1"/>
    </xf>
    <xf numFmtId="166" fontId="6" fillId="0" borderId="0" xfId="111" applyNumberFormat="1" applyFont="1" applyFill="1" applyBorder="1" applyAlignment="1">
      <alignment horizontal="right"/>
    </xf>
    <xf numFmtId="168" fontId="6" fillId="0" borderId="2" xfId="111" applyNumberFormat="1" applyFont="1" applyFill="1" applyBorder="1" applyAlignment="1">
      <alignment horizontal="right" vertical="center" wrapText="1"/>
    </xf>
    <xf numFmtId="0" fontId="6" fillId="0" borderId="0" xfId="0" applyFont="1" applyFill="1" applyBorder="1"/>
    <xf numFmtId="4" fontId="10" fillId="0" borderId="0" xfId="0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" fontId="8" fillId="2" borderId="2" xfId="0" applyNumberFormat="1" applyFont="1" applyFill="1" applyBorder="1" applyAlignment="1">
      <alignment horizontal="center" vertical="center" wrapText="1"/>
    </xf>
    <xf numFmtId="9" fontId="6" fillId="2" borderId="2" xfId="107" applyNumberFormat="1" applyFont="1" applyFill="1" applyBorder="1" applyAlignment="1">
      <alignment horizontal="center" vertical="center" wrapText="1"/>
    </xf>
    <xf numFmtId="166" fontId="6" fillId="0" borderId="0" xfId="0" applyNumberFormat="1" applyFont="1" applyFill="1"/>
    <xf numFmtId="164" fontId="3" fillId="0" borderId="4" xfId="0" applyNumberFormat="1" applyFont="1" applyFill="1" applyBorder="1" applyAlignment="1">
      <alignment vertical="center" wrapText="1"/>
    </xf>
    <xf numFmtId="166" fontId="6" fillId="0" borderId="4" xfId="111" applyNumberFormat="1" applyFont="1" applyFill="1" applyBorder="1" applyAlignment="1">
      <alignment horizontal="right"/>
    </xf>
    <xf numFmtId="14" fontId="6" fillId="0" borderId="7" xfId="0" applyNumberFormat="1" applyFont="1" applyFill="1" applyBorder="1" applyAlignment="1">
      <alignment horizontal="center" vertical="center"/>
    </xf>
    <xf numFmtId="14" fontId="6" fillId="0" borderId="8" xfId="0" applyNumberFormat="1" applyFont="1" applyFill="1" applyBorder="1" applyAlignment="1">
      <alignment horizontal="center" vertical="center"/>
    </xf>
    <xf numFmtId="166" fontId="7" fillId="2" borderId="2" xfId="111" applyNumberFormat="1" applyFont="1" applyFill="1" applyBorder="1" applyAlignment="1">
      <alignment horizontal="right" vertical="center" wrapText="1"/>
    </xf>
    <xf numFmtId="166" fontId="7" fillId="2" borderId="4" xfId="111" applyNumberFormat="1" applyFont="1" applyFill="1" applyBorder="1" applyAlignment="1">
      <alignment horizontal="right" vertical="center" wrapText="1"/>
    </xf>
    <xf numFmtId="165" fontId="7" fillId="2" borderId="4" xfId="108" applyNumberFormat="1" applyFont="1" applyFill="1" applyBorder="1" applyAlignment="1">
      <alignment vertical="center"/>
    </xf>
    <xf numFmtId="0" fontId="3" fillId="0" borderId="1" xfId="0" applyFont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164" fontId="3" fillId="0" borderId="1" xfId="0" applyNumberFormat="1" applyFont="1" applyFill="1" applyBorder="1" applyAlignment="1">
      <alignment horizontal="justify" vertical="center" wrapText="1"/>
    </xf>
    <xf numFmtId="164" fontId="0" fillId="0" borderId="1" xfId="0" applyNumberFormat="1" applyFont="1" applyFill="1" applyBorder="1" applyAlignment="1">
      <alignment vertical="center" wrapText="1"/>
    </xf>
    <xf numFmtId="166" fontId="6" fillId="0" borderId="1" xfId="111" applyNumberFormat="1" applyFont="1" applyFill="1" applyBorder="1" applyAlignment="1">
      <alignment horizontal="right" vertical="center" wrapText="1"/>
    </xf>
    <xf numFmtId="169" fontId="6" fillId="0" borderId="1" xfId="111" applyNumberFormat="1" applyFont="1" applyFill="1" applyBorder="1" applyAlignment="1">
      <alignment horizontal="right" vertical="center" wrapText="1"/>
    </xf>
    <xf numFmtId="169" fontId="7" fillId="0" borderId="1" xfId="111" applyNumberFormat="1" applyFont="1" applyFill="1" applyBorder="1" applyAlignment="1">
      <alignment horizontal="right" vertical="center" wrapText="1"/>
    </xf>
    <xf numFmtId="0" fontId="6" fillId="0" borderId="2" xfId="0" applyFont="1" applyFill="1" applyBorder="1"/>
    <xf numFmtId="169" fontId="6" fillId="0" borderId="2" xfId="0" applyNumberFormat="1" applyFont="1" applyFill="1" applyBorder="1"/>
    <xf numFmtId="1" fontId="6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6" fontId="7" fillId="2" borderId="1" xfId="111" applyNumberFormat="1" applyFont="1" applyFill="1" applyBorder="1" applyAlignment="1">
      <alignment horizontal="right" vertical="center" wrapText="1"/>
    </xf>
    <xf numFmtId="166" fontId="7" fillId="2" borderId="6" xfId="111" applyNumberFormat="1" applyFont="1" applyFill="1" applyBorder="1" applyAlignment="1">
      <alignment horizontal="right" vertical="center" wrapText="1"/>
    </xf>
    <xf numFmtId="166" fontId="7" fillId="2" borderId="4" xfId="111" applyNumberFormat="1" applyFont="1" applyFill="1" applyBorder="1" applyAlignment="1">
      <alignment horizontal="right" vertical="center" wrapText="1"/>
    </xf>
    <xf numFmtId="9" fontId="6" fillId="0" borderId="1" xfId="107" applyFont="1" applyFill="1" applyBorder="1" applyAlignment="1">
      <alignment horizontal="center" vertical="center" wrapText="1"/>
    </xf>
    <xf numFmtId="9" fontId="6" fillId="0" borderId="6" xfId="107" applyFont="1" applyFill="1" applyBorder="1" applyAlignment="1">
      <alignment horizontal="center" vertical="center" wrapText="1"/>
    </xf>
    <xf numFmtId="9" fontId="6" fillId="0" borderId="4" xfId="107" applyFont="1" applyFill="1" applyBorder="1" applyAlignment="1">
      <alignment horizontal="center" vertical="center" wrapText="1"/>
    </xf>
    <xf numFmtId="5" fontId="6" fillId="0" borderId="1" xfId="108" applyNumberFormat="1" applyFont="1" applyFill="1" applyBorder="1" applyAlignment="1">
      <alignment horizontal="center" vertical="center" wrapText="1"/>
    </xf>
    <xf numFmtId="5" fontId="6" fillId="0" borderId="6" xfId="108" applyNumberFormat="1" applyFont="1" applyFill="1" applyBorder="1" applyAlignment="1">
      <alignment horizontal="center" vertical="center" wrapText="1"/>
    </xf>
    <xf numFmtId="5" fontId="6" fillId="0" borderId="4" xfId="108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14" fontId="3" fillId="0" borderId="2" xfId="109" applyNumberFormat="1" applyFont="1" applyBorder="1" applyAlignment="1">
      <alignment horizontal="center" vertical="center"/>
    </xf>
    <xf numFmtId="14" fontId="3" fillId="0" borderId="1" xfId="109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8" fillId="2" borderId="4" xfId="0" applyNumberFormat="1" applyFont="1" applyFill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9" fontId="3" fillId="0" borderId="1" xfId="107" applyFont="1" applyBorder="1" applyAlignment="1">
      <alignment horizontal="center" vertical="center"/>
    </xf>
    <xf numFmtId="9" fontId="3" fillId="0" borderId="2" xfId="107" applyFont="1" applyBorder="1" applyAlignment="1">
      <alignment horizontal="center" vertical="center"/>
    </xf>
    <xf numFmtId="9" fontId="8" fillId="2" borderId="1" xfId="0" applyNumberFormat="1" applyFont="1" applyFill="1" applyBorder="1" applyAlignment="1">
      <alignment horizontal="center" vertical="center" wrapText="1"/>
    </xf>
    <xf numFmtId="9" fontId="8" fillId="2" borderId="4" xfId="0" applyNumberFormat="1" applyFont="1" applyFill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9" fontId="8" fillId="0" borderId="4" xfId="0" applyNumberFormat="1" applyFont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3" fontId="8" fillId="2" borderId="6" xfId="0" applyNumberFormat="1" applyFont="1" applyFill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 wrapText="1"/>
    </xf>
    <xf numFmtId="9" fontId="3" fillId="0" borderId="4" xfId="107" applyFont="1" applyBorder="1" applyAlignment="1">
      <alignment horizontal="center" vertical="center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12" applyNumberFormat="1" applyFont="1" applyBorder="1" applyAlignment="1">
      <alignment horizontal="left" vertical="center" wrapText="1"/>
    </xf>
    <xf numFmtId="2" fontId="7" fillId="0" borderId="9" xfId="112" applyNumberFormat="1" applyFont="1" applyBorder="1" applyAlignment="1">
      <alignment horizontal="left" vertical="center" wrapText="1"/>
    </xf>
    <xf numFmtId="2" fontId="7" fillId="0" borderId="10" xfId="112" applyNumberFormat="1" applyFont="1" applyBorder="1" applyAlignment="1">
      <alignment horizontal="left" vertical="center" wrapText="1"/>
    </xf>
    <xf numFmtId="2" fontId="7" fillId="0" borderId="11" xfId="112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3" fontId="8" fillId="2" borderId="4" xfId="0" applyNumberFormat="1" applyFont="1" applyFill="1" applyBorder="1" applyAlignment="1">
      <alignment horizontal="center" vertical="center" wrapText="1"/>
    </xf>
    <xf numFmtId="9" fontId="8" fillId="0" borderId="2" xfId="0" applyNumberFormat="1" applyFont="1" applyBorder="1" applyAlignment="1">
      <alignment horizontal="center" vertical="center" wrapText="1"/>
    </xf>
    <xf numFmtId="9" fontId="8" fillId="2" borderId="2" xfId="110" applyNumberFormat="1" applyFont="1" applyFill="1" applyBorder="1" applyAlignment="1">
      <alignment horizontal="center" vertical="center" wrapText="1"/>
    </xf>
    <xf numFmtId="9" fontId="8" fillId="2" borderId="4" xfId="110" applyNumberFormat="1" applyFont="1" applyFill="1" applyBorder="1" applyAlignment="1">
      <alignment horizontal="center" vertical="center" wrapText="1"/>
    </xf>
    <xf numFmtId="2" fontId="8" fillId="2" borderId="1" xfId="110" applyNumberFormat="1" applyFont="1" applyFill="1" applyBorder="1" applyAlignment="1">
      <alignment horizontal="center" vertical="center" wrapText="1"/>
    </xf>
    <xf numFmtId="2" fontId="8" fillId="2" borderId="6" xfId="110" applyNumberFormat="1" applyFont="1" applyFill="1" applyBorder="1" applyAlignment="1">
      <alignment horizontal="center" vertical="center" wrapText="1"/>
    </xf>
    <xf numFmtId="2" fontId="8" fillId="2" borderId="4" xfId="110" applyNumberFormat="1" applyFont="1" applyFill="1" applyBorder="1" applyAlignment="1">
      <alignment horizontal="center" vertical="center" wrapText="1"/>
    </xf>
    <xf numFmtId="9" fontId="3" fillId="0" borderId="6" xfId="107" applyFont="1" applyBorder="1" applyAlignment="1">
      <alignment horizontal="center" vertical="center"/>
    </xf>
    <xf numFmtId="166" fontId="7" fillId="2" borderId="2" xfId="111" applyNumberFormat="1" applyFont="1" applyFill="1" applyBorder="1" applyAlignment="1">
      <alignment horizontal="right" vertical="center" wrapText="1"/>
    </xf>
  </cellXfs>
  <cellStyles count="11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1" builtinId="3"/>
    <cellStyle name="Millares [0]" xfId="110" builtinId="6"/>
    <cellStyle name="Moneda" xfId="108" builtinId="4"/>
    <cellStyle name="Normal" xfId="0" builtinId="0"/>
    <cellStyle name="Normal 2" xfId="109" xr:uid="{00000000-0005-0000-0000-00006E000000}"/>
    <cellStyle name="Normal 2 2" xfId="112" xr:uid="{49448887-C296-4E65-8BCD-DAD0BB0CF504}"/>
    <cellStyle name="Porcentaje" xfId="107" builtinId="5"/>
  </cellStyles>
  <dxfs count="6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FFCC"/>
      <color rgb="FFFF714F"/>
      <color rgb="FFFF99FF"/>
      <color rgb="FF00CC99"/>
      <color rgb="FFFFFF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1847133</xdr:colOff>
      <xdr:row>0</xdr:row>
      <xdr:rowOff>0</xdr:rowOff>
    </xdr:from>
    <xdr:to>
      <xdr:col>3</xdr:col>
      <xdr:colOff>365595</xdr:colOff>
      <xdr:row>3</xdr:row>
      <xdr:rowOff>96873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90333" y="0"/>
          <a:ext cx="613962" cy="6302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1"/>
  <sheetViews>
    <sheetView tabSelected="1" zoomScale="60" zoomScaleNormal="60" workbookViewId="0">
      <selection activeCell="AC2" sqref="AC2:AE2"/>
    </sheetView>
  </sheetViews>
  <sheetFormatPr baseColWidth="10" defaultColWidth="11.25" defaultRowHeight="14.25" x14ac:dyDescent="0.2"/>
  <cols>
    <col min="1" max="1" width="7.5" style="32" customWidth="1"/>
    <col min="2" max="2" width="28.5" style="32" customWidth="1"/>
    <col min="3" max="4" width="27.5" style="32" customWidth="1"/>
    <col min="5" max="6" width="53.75" style="32" customWidth="1"/>
    <col min="7" max="7" width="16.625" style="47" customWidth="1"/>
    <col min="8" max="8" width="47.625" style="32" customWidth="1"/>
    <col min="9" max="9" width="53.25" style="32" customWidth="1"/>
    <col min="10" max="10" width="14.375" style="32" customWidth="1"/>
    <col min="11" max="11" width="16" style="32" customWidth="1"/>
    <col min="12" max="12" width="14.625" style="32" customWidth="1"/>
    <col min="13" max="13" width="12.75" style="32" customWidth="1"/>
    <col min="14" max="14" width="11.25" style="32" customWidth="1"/>
    <col min="15" max="15" width="48.25" style="30" customWidth="1"/>
    <col min="16" max="20" width="18.25" style="30" customWidth="1"/>
    <col min="21" max="21" width="28.25" style="78" customWidth="1"/>
    <col min="22" max="22" width="20" style="30" customWidth="1"/>
    <col min="23" max="23" width="19.5" style="30" customWidth="1"/>
    <col min="24" max="25" width="15.75" style="30" customWidth="1"/>
    <col min="26" max="26" width="18.625" style="30" customWidth="1"/>
    <col min="27" max="27" width="26.25" style="32" customWidth="1"/>
    <col min="28" max="28" width="15.75" style="48" customWidth="1"/>
    <col min="29" max="29" width="19" style="32" customWidth="1"/>
    <col min="30" max="31" width="22" style="32" customWidth="1"/>
    <col min="32" max="16384" width="11.25" style="32"/>
  </cols>
  <sheetData>
    <row r="1" spans="1:31" ht="15" x14ac:dyDescent="0.2">
      <c r="A1" s="143"/>
      <c r="B1" s="146" t="s">
        <v>37</v>
      </c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66" t="s">
        <v>222</v>
      </c>
      <c r="AD1" s="166"/>
      <c r="AE1" s="166"/>
    </row>
    <row r="2" spans="1:31" ht="15" x14ac:dyDescent="0.2">
      <c r="A2" s="143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67" t="s">
        <v>309</v>
      </c>
      <c r="AD2" s="167"/>
      <c r="AE2" s="167"/>
    </row>
    <row r="3" spans="1:31" ht="15" customHeight="1" x14ac:dyDescent="0.2">
      <c r="A3" s="143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68" t="s">
        <v>310</v>
      </c>
      <c r="AD3" s="169"/>
      <c r="AE3" s="170"/>
    </row>
    <row r="4" spans="1:31" ht="15" x14ac:dyDescent="0.2">
      <c r="A4" s="143"/>
      <c r="B4" s="146"/>
      <c r="C4" s="146"/>
      <c r="D4" s="146"/>
      <c r="E4" s="146"/>
      <c r="F4" s="146"/>
      <c r="G4" s="146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71" t="s">
        <v>33</v>
      </c>
      <c r="AD4" s="171"/>
      <c r="AE4" s="171"/>
    </row>
    <row r="5" spans="1:31" ht="15" x14ac:dyDescent="0.2">
      <c r="A5" s="144" t="s">
        <v>31</v>
      </c>
      <c r="B5" s="144"/>
      <c r="C5" s="144"/>
      <c r="D5" s="148">
        <v>44839</v>
      </c>
      <c r="E5" s="148"/>
      <c r="F5" s="148"/>
      <c r="G5" s="148"/>
      <c r="H5" s="33"/>
      <c r="I5" s="33"/>
      <c r="J5" s="33"/>
      <c r="K5" s="33"/>
      <c r="L5" s="33"/>
      <c r="M5" s="34"/>
      <c r="N5" s="34"/>
      <c r="O5" s="29"/>
      <c r="P5" s="29"/>
      <c r="Q5" s="29"/>
      <c r="R5" s="29"/>
      <c r="S5" s="29"/>
      <c r="T5" s="61"/>
      <c r="U5" s="76"/>
      <c r="V5" s="29"/>
      <c r="W5" s="29"/>
      <c r="X5" s="29"/>
      <c r="Y5" s="29"/>
      <c r="Z5" s="29"/>
      <c r="AA5" s="34"/>
      <c r="AB5" s="35"/>
      <c r="AC5" s="34"/>
      <c r="AD5" s="34"/>
      <c r="AE5" s="36"/>
    </row>
    <row r="6" spans="1:31" ht="15" x14ac:dyDescent="0.2">
      <c r="A6" s="145" t="s">
        <v>32</v>
      </c>
      <c r="B6" s="145"/>
      <c r="C6" s="145"/>
      <c r="D6" s="148">
        <v>44834</v>
      </c>
      <c r="E6" s="148"/>
      <c r="F6" s="148"/>
      <c r="G6" s="149"/>
      <c r="H6" s="28"/>
      <c r="I6" s="28"/>
      <c r="J6" s="28"/>
      <c r="K6" s="28"/>
      <c r="L6" s="28"/>
      <c r="M6" s="34"/>
      <c r="N6" s="34"/>
      <c r="O6" s="29"/>
      <c r="P6" s="29"/>
      <c r="Q6" s="29"/>
      <c r="R6" s="29"/>
      <c r="S6" s="29"/>
      <c r="T6" s="61"/>
      <c r="U6" s="76"/>
      <c r="V6" s="29"/>
      <c r="W6" s="29"/>
      <c r="X6" s="29"/>
      <c r="Y6" s="29"/>
      <c r="Z6" s="29"/>
      <c r="AA6" s="34"/>
      <c r="AB6" s="35"/>
      <c r="AC6" s="34"/>
      <c r="AD6" s="37"/>
      <c r="AE6" s="38"/>
    </row>
    <row r="7" spans="1:31" ht="15" x14ac:dyDescent="0.2">
      <c r="A7" s="39"/>
      <c r="B7" s="174" t="s">
        <v>10</v>
      </c>
      <c r="C7" s="174"/>
      <c r="D7" s="174"/>
      <c r="E7" s="174"/>
      <c r="F7" s="174"/>
      <c r="G7" s="174" t="s">
        <v>11</v>
      </c>
      <c r="H7" s="174"/>
      <c r="I7" s="174"/>
      <c r="J7" s="174"/>
      <c r="K7" s="174"/>
      <c r="L7" s="174" t="s">
        <v>26</v>
      </c>
      <c r="M7" s="174"/>
      <c r="N7" s="174"/>
      <c r="O7" s="174" t="s">
        <v>24</v>
      </c>
      <c r="P7" s="174"/>
      <c r="Q7" s="174"/>
      <c r="R7" s="174"/>
      <c r="S7" s="174"/>
      <c r="T7" s="174"/>
      <c r="U7" s="174"/>
      <c r="V7" s="174" t="s">
        <v>18</v>
      </c>
      <c r="W7" s="174"/>
      <c r="X7" s="174"/>
      <c r="Y7" s="174"/>
      <c r="Z7" s="174"/>
      <c r="AA7" s="174"/>
      <c r="AB7" s="172" t="s">
        <v>19</v>
      </c>
      <c r="AC7" s="172" t="s">
        <v>27</v>
      </c>
      <c r="AD7" s="172" t="s">
        <v>25</v>
      </c>
      <c r="AE7" s="172"/>
    </row>
    <row r="8" spans="1:31" ht="45" x14ac:dyDescent="0.2">
      <c r="A8" s="1" t="s">
        <v>30</v>
      </c>
      <c r="B8" s="57" t="s">
        <v>1</v>
      </c>
      <c r="C8" s="1" t="s">
        <v>6</v>
      </c>
      <c r="D8" s="1" t="s">
        <v>2</v>
      </c>
      <c r="E8" s="1" t="s">
        <v>7</v>
      </c>
      <c r="F8" s="57" t="s">
        <v>20</v>
      </c>
      <c r="G8" s="56" t="s">
        <v>15</v>
      </c>
      <c r="H8" s="56" t="s">
        <v>3</v>
      </c>
      <c r="I8" s="56" t="s">
        <v>16</v>
      </c>
      <c r="J8" s="56" t="s">
        <v>22</v>
      </c>
      <c r="K8" s="56" t="s">
        <v>23</v>
      </c>
      <c r="L8" s="56" t="s">
        <v>4</v>
      </c>
      <c r="M8" s="56" t="s">
        <v>5</v>
      </c>
      <c r="N8" s="56" t="s">
        <v>0</v>
      </c>
      <c r="O8" s="55" t="s">
        <v>9</v>
      </c>
      <c r="P8" s="56" t="s">
        <v>35</v>
      </c>
      <c r="Q8" s="56" t="s">
        <v>8</v>
      </c>
      <c r="R8" s="56" t="s">
        <v>28</v>
      </c>
      <c r="S8" s="56" t="s">
        <v>34</v>
      </c>
      <c r="T8" s="56" t="s">
        <v>12</v>
      </c>
      <c r="U8" s="77" t="s">
        <v>21</v>
      </c>
      <c r="V8" s="57" t="s">
        <v>35</v>
      </c>
      <c r="W8" s="57" t="s">
        <v>8</v>
      </c>
      <c r="X8" s="57" t="s">
        <v>28</v>
      </c>
      <c r="Y8" s="57" t="s">
        <v>34</v>
      </c>
      <c r="Z8" s="75" t="s">
        <v>12</v>
      </c>
      <c r="AA8" s="57" t="s">
        <v>29</v>
      </c>
      <c r="AB8" s="173"/>
      <c r="AC8" s="173"/>
      <c r="AD8" s="57" t="s">
        <v>13</v>
      </c>
      <c r="AE8" s="57" t="s">
        <v>14</v>
      </c>
    </row>
    <row r="9" spans="1:31" ht="102" customHeight="1" x14ac:dyDescent="0.2">
      <c r="A9" s="55">
        <v>27</v>
      </c>
      <c r="B9" s="43" t="s">
        <v>36</v>
      </c>
      <c r="C9" s="43" t="s">
        <v>38</v>
      </c>
      <c r="D9" s="43" t="s">
        <v>39</v>
      </c>
      <c r="E9" s="15" t="s">
        <v>40</v>
      </c>
      <c r="F9" s="72" t="s">
        <v>41</v>
      </c>
      <c r="G9" s="52">
        <v>2020680010036</v>
      </c>
      <c r="H9" s="72" t="s">
        <v>42</v>
      </c>
      <c r="I9" s="84" t="s">
        <v>43</v>
      </c>
      <c r="J9" s="85">
        <v>44566</v>
      </c>
      <c r="K9" s="85">
        <v>44926</v>
      </c>
      <c r="L9" s="11">
        <v>1</v>
      </c>
      <c r="M9" s="12">
        <v>0.75</v>
      </c>
      <c r="N9" s="41">
        <f>IFERROR(IF(M9/L9&gt;100%,100%,M9/L9),"-")</f>
        <v>0.75</v>
      </c>
      <c r="O9" s="79" t="s">
        <v>264</v>
      </c>
      <c r="P9" s="62"/>
      <c r="Q9" s="62">
        <f>82953028661+2971601177</f>
        <v>85924629838</v>
      </c>
      <c r="R9" s="62"/>
      <c r="S9" s="98"/>
      <c r="T9" s="71">
        <f>155600573498.74+6235045609+17483441048.48+1056311232.39+3000000000</f>
        <v>183375371388.61002</v>
      </c>
      <c r="U9" s="117">
        <f>SUM(P9:T9)</f>
        <v>269300001226.61002</v>
      </c>
      <c r="V9" s="62"/>
      <c r="W9" s="62">
        <v>64216845753</v>
      </c>
      <c r="X9" s="62"/>
      <c r="Y9" s="62"/>
      <c r="Z9" s="100">
        <v>141156103411.51999</v>
      </c>
      <c r="AA9" s="117">
        <f>SUM(V9:Z9)</f>
        <v>205372949164.51999</v>
      </c>
      <c r="AB9" s="13">
        <f t="shared" ref="AB9:AB11" si="0">IFERROR(AA9/U9,"-")</f>
        <v>0.76261770601220003</v>
      </c>
      <c r="AC9" s="14"/>
      <c r="AD9" s="42" t="s">
        <v>44</v>
      </c>
      <c r="AE9" s="42" t="s">
        <v>211</v>
      </c>
    </row>
    <row r="10" spans="1:31" ht="87" customHeight="1" x14ac:dyDescent="0.2">
      <c r="A10" s="55">
        <v>28</v>
      </c>
      <c r="B10" s="43" t="s">
        <v>36</v>
      </c>
      <c r="C10" s="43" t="s">
        <v>38</v>
      </c>
      <c r="D10" s="43" t="s">
        <v>39</v>
      </c>
      <c r="E10" s="15" t="s">
        <v>49</v>
      </c>
      <c r="F10" s="72" t="s">
        <v>50</v>
      </c>
      <c r="G10" s="52">
        <v>2020680010032</v>
      </c>
      <c r="H10" s="72" t="s">
        <v>47</v>
      </c>
      <c r="I10" s="84" t="s">
        <v>51</v>
      </c>
      <c r="J10" s="85">
        <v>44566</v>
      </c>
      <c r="K10" s="85">
        <v>44926</v>
      </c>
      <c r="L10" s="11">
        <v>1</v>
      </c>
      <c r="M10" s="12">
        <v>0.75</v>
      </c>
      <c r="N10" s="41">
        <f>IFERROR(IF(M10/L10&gt;100%,100%,M10/L10),"-")</f>
        <v>0.75</v>
      </c>
      <c r="O10" s="79" t="s">
        <v>290</v>
      </c>
      <c r="P10" s="62">
        <v>45000000</v>
      </c>
      <c r="Q10" s="62"/>
      <c r="R10" s="62"/>
      <c r="S10" s="62"/>
      <c r="T10" s="62">
        <f>379091000+291200000</f>
        <v>670291000</v>
      </c>
      <c r="U10" s="117">
        <f>SUM(P10:T10)</f>
        <v>715291000</v>
      </c>
      <c r="V10" s="62"/>
      <c r="W10" s="62"/>
      <c r="X10" s="101"/>
      <c r="Y10" s="62"/>
      <c r="Z10" s="62">
        <v>667871000</v>
      </c>
      <c r="AA10" s="117">
        <f>SUM(V10:Z10)</f>
        <v>667871000</v>
      </c>
      <c r="AB10" s="13">
        <f t="shared" si="0"/>
        <v>0.93370530315633782</v>
      </c>
      <c r="AC10" s="14"/>
      <c r="AD10" s="42" t="s">
        <v>44</v>
      </c>
      <c r="AE10" s="42" t="s">
        <v>211</v>
      </c>
    </row>
    <row r="11" spans="1:31" ht="95.25" customHeight="1" x14ac:dyDescent="0.2">
      <c r="A11" s="55">
        <v>29</v>
      </c>
      <c r="B11" s="43" t="s">
        <v>36</v>
      </c>
      <c r="C11" s="43" t="s">
        <v>38</v>
      </c>
      <c r="D11" s="43" t="s">
        <v>39</v>
      </c>
      <c r="E11" s="15" t="s">
        <v>45</v>
      </c>
      <c r="F11" s="72" t="s">
        <v>46</v>
      </c>
      <c r="G11" s="52">
        <v>2021680010144</v>
      </c>
      <c r="H11" s="72" t="s">
        <v>229</v>
      </c>
      <c r="I11" s="84" t="s">
        <v>48</v>
      </c>
      <c r="J11" s="85">
        <v>44566</v>
      </c>
      <c r="K11" s="85">
        <v>44926</v>
      </c>
      <c r="L11" s="160">
        <v>1</v>
      </c>
      <c r="M11" s="158">
        <v>0.75</v>
      </c>
      <c r="N11" s="156">
        <f>IFERROR(IF(M11/L11&gt;100%,100%,M11/L11),"-")</f>
        <v>0.75</v>
      </c>
      <c r="O11" s="79" t="s">
        <v>240</v>
      </c>
      <c r="P11" s="62"/>
      <c r="Q11" s="62"/>
      <c r="R11" s="62"/>
      <c r="S11" s="62"/>
      <c r="T11" s="62">
        <f>2447368366+50843000+45636438</f>
        <v>2543847804</v>
      </c>
      <c r="U11" s="133">
        <f>SUM(P11:T12)</f>
        <v>2843847804</v>
      </c>
      <c r="V11" s="62"/>
      <c r="W11" s="101"/>
      <c r="X11" s="101"/>
      <c r="Y11" s="62"/>
      <c r="Z11" s="71">
        <f>428517167.33+50000000</f>
        <v>478517167.32999998</v>
      </c>
      <c r="AA11" s="133">
        <f>SUM(V11:Z12)</f>
        <v>478517167.32999998</v>
      </c>
      <c r="AB11" s="136">
        <f t="shared" si="0"/>
        <v>0.16826398608847634</v>
      </c>
      <c r="AC11" s="139"/>
      <c r="AD11" s="131" t="s">
        <v>44</v>
      </c>
      <c r="AE11" s="131" t="s">
        <v>211</v>
      </c>
    </row>
    <row r="12" spans="1:31" ht="97.5" customHeight="1" x14ac:dyDescent="0.2">
      <c r="A12" s="67">
        <v>29</v>
      </c>
      <c r="B12" s="43" t="s">
        <v>36</v>
      </c>
      <c r="C12" s="43" t="s">
        <v>38</v>
      </c>
      <c r="D12" s="43" t="s">
        <v>39</v>
      </c>
      <c r="E12" s="15" t="s">
        <v>45</v>
      </c>
      <c r="F12" s="72" t="s">
        <v>46</v>
      </c>
      <c r="G12" s="52">
        <v>2021680010144</v>
      </c>
      <c r="H12" s="72" t="s">
        <v>229</v>
      </c>
      <c r="I12" s="86" t="s">
        <v>265</v>
      </c>
      <c r="J12" s="85"/>
      <c r="K12" s="85"/>
      <c r="L12" s="161"/>
      <c r="M12" s="159"/>
      <c r="N12" s="165"/>
      <c r="O12" s="79" t="s">
        <v>266</v>
      </c>
      <c r="P12" s="62">
        <v>300000000</v>
      </c>
      <c r="Q12" s="62"/>
      <c r="R12" s="62"/>
      <c r="S12" s="62"/>
      <c r="T12" s="98"/>
      <c r="U12" s="135"/>
      <c r="V12" s="62"/>
      <c r="W12" s="101"/>
      <c r="X12" s="101"/>
      <c r="Y12" s="62"/>
      <c r="Z12" s="62"/>
      <c r="AA12" s="135"/>
      <c r="AB12" s="138"/>
      <c r="AC12" s="141"/>
      <c r="AD12" s="132"/>
      <c r="AE12" s="132"/>
    </row>
    <row r="13" spans="1:31" ht="141" customHeight="1" x14ac:dyDescent="0.2">
      <c r="A13" s="55">
        <v>30</v>
      </c>
      <c r="B13" s="43" t="s">
        <v>36</v>
      </c>
      <c r="C13" s="43" t="s">
        <v>38</v>
      </c>
      <c r="D13" s="43" t="s">
        <v>39</v>
      </c>
      <c r="E13" s="15" t="s">
        <v>52</v>
      </c>
      <c r="F13" s="72" t="s">
        <v>53</v>
      </c>
      <c r="G13" s="52">
        <v>2020680010032</v>
      </c>
      <c r="H13" s="72" t="s">
        <v>47</v>
      </c>
      <c r="I13" s="86" t="s">
        <v>277</v>
      </c>
      <c r="J13" s="85">
        <v>44566</v>
      </c>
      <c r="K13" s="85">
        <v>44926</v>
      </c>
      <c r="L13" s="160">
        <v>1</v>
      </c>
      <c r="M13" s="158">
        <v>0.75</v>
      </c>
      <c r="N13" s="156">
        <f>IFERROR(IF(M13/L13&gt;100%,100%,M13/L13),"-")</f>
        <v>0.75</v>
      </c>
      <c r="O13" s="79" t="s">
        <v>292</v>
      </c>
      <c r="P13" s="62">
        <f>20000000+180000000</f>
        <v>200000000</v>
      </c>
      <c r="Q13" s="62"/>
      <c r="R13" s="62"/>
      <c r="S13" s="62"/>
      <c r="T13" s="62">
        <f>645219000+246434100</f>
        <v>891653100</v>
      </c>
      <c r="U13" s="133">
        <f>SUM(P13:T14)</f>
        <v>2107893113.28</v>
      </c>
      <c r="V13" s="62">
        <v>7330400</v>
      </c>
      <c r="W13" s="101"/>
      <c r="X13" s="101"/>
      <c r="Y13" s="62"/>
      <c r="Z13" s="62">
        <f>826452932.32+13286999.98</f>
        <v>839739932.30000007</v>
      </c>
      <c r="AA13" s="133">
        <f>SUM(V13:Z14)</f>
        <v>847070332.30000007</v>
      </c>
      <c r="AB13" s="136">
        <f t="shared" ref="AB13" si="1">IFERROR(AA13/U13,"-")</f>
        <v>0.40185639725437078</v>
      </c>
      <c r="AC13" s="139"/>
      <c r="AD13" s="131" t="s">
        <v>44</v>
      </c>
      <c r="AE13" s="131" t="s">
        <v>211</v>
      </c>
    </row>
    <row r="14" spans="1:31" ht="76.900000000000006" customHeight="1" x14ac:dyDescent="0.2">
      <c r="A14" s="67">
        <v>30</v>
      </c>
      <c r="B14" s="43" t="s">
        <v>36</v>
      </c>
      <c r="C14" s="43" t="s">
        <v>38</v>
      </c>
      <c r="D14" s="43" t="s">
        <v>39</v>
      </c>
      <c r="E14" s="15" t="s">
        <v>52</v>
      </c>
      <c r="F14" s="72" t="s">
        <v>53</v>
      </c>
      <c r="G14" s="52"/>
      <c r="H14" s="72" t="s">
        <v>267</v>
      </c>
      <c r="I14" s="86" t="s">
        <v>278</v>
      </c>
      <c r="J14" s="85"/>
      <c r="K14" s="85"/>
      <c r="L14" s="161"/>
      <c r="M14" s="159"/>
      <c r="N14" s="165"/>
      <c r="O14" s="79" t="s">
        <v>291</v>
      </c>
      <c r="P14" s="71">
        <v>195329466.31999999</v>
      </c>
      <c r="Q14" s="62"/>
      <c r="R14" s="62"/>
      <c r="S14" s="62"/>
      <c r="T14" s="71">
        <f>1038034546.96-(40000000+53000000+50000000+15000000+59124000)</f>
        <v>820910546.96000004</v>
      </c>
      <c r="U14" s="135"/>
      <c r="V14" s="62"/>
      <c r="W14" s="101"/>
      <c r="X14" s="101"/>
      <c r="Y14" s="62"/>
      <c r="Z14" s="62"/>
      <c r="AA14" s="135"/>
      <c r="AB14" s="138"/>
      <c r="AC14" s="141"/>
      <c r="AD14" s="132"/>
      <c r="AE14" s="132"/>
    </row>
    <row r="15" spans="1:31" ht="86.25" customHeight="1" x14ac:dyDescent="0.2">
      <c r="A15" s="55">
        <v>31</v>
      </c>
      <c r="B15" s="43" t="s">
        <v>36</v>
      </c>
      <c r="C15" s="43" t="s">
        <v>38</v>
      </c>
      <c r="D15" s="43" t="s">
        <v>39</v>
      </c>
      <c r="E15" s="15" t="s">
        <v>54</v>
      </c>
      <c r="F15" s="72" t="s">
        <v>55</v>
      </c>
      <c r="G15" s="52">
        <v>2020680010032</v>
      </c>
      <c r="H15" s="72" t="s">
        <v>47</v>
      </c>
      <c r="I15" s="86" t="s">
        <v>300</v>
      </c>
      <c r="J15" s="85">
        <v>44566</v>
      </c>
      <c r="K15" s="85">
        <v>44926</v>
      </c>
      <c r="L15" s="18">
        <v>1</v>
      </c>
      <c r="M15" s="110">
        <v>1</v>
      </c>
      <c r="N15" s="41">
        <f>IFERROR(IF(M15/L15&gt;100%,100%,M15/L15),"-")</f>
        <v>1</v>
      </c>
      <c r="O15" s="79" t="s">
        <v>293</v>
      </c>
      <c r="P15" s="62">
        <v>40000000</v>
      </c>
      <c r="Q15" s="62">
        <v>53251000</v>
      </c>
      <c r="R15" s="62"/>
      <c r="S15" s="62"/>
      <c r="T15" s="62">
        <f>66847000+27346500+40000000</f>
        <v>134193500</v>
      </c>
      <c r="U15" s="117">
        <f>SUM(P15:T15)</f>
        <v>227444500</v>
      </c>
      <c r="V15" s="62"/>
      <c r="W15" s="62">
        <f>30000000+21500000</f>
        <v>51500000</v>
      </c>
      <c r="X15" s="62"/>
      <c r="Y15" s="62"/>
      <c r="Z15" s="62">
        <f>36462000+8154167</f>
        <v>44616167</v>
      </c>
      <c r="AA15" s="117">
        <f t="shared" ref="AA15:AA23" si="2">SUM(V15:Z15)</f>
        <v>96116167</v>
      </c>
      <c r="AB15" s="13">
        <f t="shared" ref="AB15:AB24" si="3">IFERROR(AA15/U15,"-")</f>
        <v>0.42259173996293603</v>
      </c>
      <c r="AC15" s="14"/>
      <c r="AD15" s="42" t="s">
        <v>44</v>
      </c>
      <c r="AE15" s="42" t="s">
        <v>211</v>
      </c>
    </row>
    <row r="16" spans="1:31" ht="57" x14ac:dyDescent="0.2">
      <c r="A16" s="55">
        <v>32</v>
      </c>
      <c r="B16" s="43" t="s">
        <v>36</v>
      </c>
      <c r="C16" s="43" t="s">
        <v>38</v>
      </c>
      <c r="D16" s="43" t="s">
        <v>39</v>
      </c>
      <c r="E16" s="15" t="s">
        <v>56</v>
      </c>
      <c r="F16" s="72" t="s">
        <v>57</v>
      </c>
      <c r="G16" s="52">
        <v>2020680010032</v>
      </c>
      <c r="H16" s="72" t="s">
        <v>47</v>
      </c>
      <c r="I16" s="84" t="s">
        <v>58</v>
      </c>
      <c r="J16" s="85">
        <v>44566</v>
      </c>
      <c r="K16" s="85">
        <v>44926</v>
      </c>
      <c r="L16" s="160">
        <v>1</v>
      </c>
      <c r="M16" s="158">
        <v>1</v>
      </c>
      <c r="N16" s="156">
        <f>IFERROR(IF(M16/L16&gt;100%,100%,M16/L16),"-")</f>
        <v>1</v>
      </c>
      <c r="O16" s="79" t="s">
        <v>294</v>
      </c>
      <c r="P16" s="62">
        <v>309000000</v>
      </c>
      <c r="Q16" s="62">
        <v>558981000</v>
      </c>
      <c r="R16" s="62"/>
      <c r="S16" s="62"/>
      <c r="T16" s="62">
        <v>15000000</v>
      </c>
      <c r="U16" s="133">
        <f>SUM(P16:T17)</f>
        <v>912981000</v>
      </c>
      <c r="V16" s="62">
        <v>309000000</v>
      </c>
      <c r="W16" s="71">
        <v>552952066.98000002</v>
      </c>
      <c r="X16" s="101"/>
      <c r="Y16" s="101"/>
      <c r="Z16" s="101"/>
      <c r="AA16" s="133">
        <f>SUM(V16:Z17)</f>
        <v>861952066.98000002</v>
      </c>
      <c r="AB16" s="136">
        <f t="shared" si="3"/>
        <v>0.94410734394253548</v>
      </c>
      <c r="AC16" s="139"/>
      <c r="AD16" s="131" t="s">
        <v>44</v>
      </c>
      <c r="AE16" s="131" t="s">
        <v>211</v>
      </c>
    </row>
    <row r="17" spans="1:31" ht="60" customHeight="1" x14ac:dyDescent="0.2">
      <c r="A17" s="67">
        <v>32</v>
      </c>
      <c r="B17" s="43" t="s">
        <v>36</v>
      </c>
      <c r="C17" s="43" t="s">
        <v>38</v>
      </c>
      <c r="D17" s="43" t="s">
        <v>39</v>
      </c>
      <c r="E17" s="15" t="s">
        <v>56</v>
      </c>
      <c r="F17" s="72" t="s">
        <v>57</v>
      </c>
      <c r="G17" s="52">
        <v>2020680010032</v>
      </c>
      <c r="H17" s="72" t="s">
        <v>47</v>
      </c>
      <c r="I17" s="86" t="s">
        <v>265</v>
      </c>
      <c r="J17" s="85"/>
      <c r="K17" s="85"/>
      <c r="L17" s="161"/>
      <c r="M17" s="159"/>
      <c r="N17" s="165"/>
      <c r="O17" s="79" t="s">
        <v>233</v>
      </c>
      <c r="P17" s="62"/>
      <c r="Q17" s="62"/>
      <c r="R17" s="62"/>
      <c r="S17" s="62"/>
      <c r="T17" s="62">
        <v>30000000</v>
      </c>
      <c r="U17" s="135"/>
      <c r="V17" s="62"/>
      <c r="W17" s="62"/>
      <c r="X17" s="101"/>
      <c r="Y17" s="101"/>
      <c r="Z17" s="101"/>
      <c r="AA17" s="135"/>
      <c r="AB17" s="138"/>
      <c r="AC17" s="141"/>
      <c r="AD17" s="132"/>
      <c r="AE17" s="132"/>
    </row>
    <row r="18" spans="1:31" ht="57" x14ac:dyDescent="0.2">
      <c r="A18" s="55">
        <v>33</v>
      </c>
      <c r="B18" s="43" t="s">
        <v>36</v>
      </c>
      <c r="C18" s="43" t="s">
        <v>38</v>
      </c>
      <c r="D18" s="43" t="s">
        <v>39</v>
      </c>
      <c r="E18" s="15" t="s">
        <v>59</v>
      </c>
      <c r="F18" s="72" t="s">
        <v>60</v>
      </c>
      <c r="G18" s="52">
        <v>2021080010145</v>
      </c>
      <c r="H18" s="72" t="s">
        <v>213</v>
      </c>
      <c r="I18" s="87" t="s">
        <v>212</v>
      </c>
      <c r="J18" s="85">
        <v>44566</v>
      </c>
      <c r="K18" s="85">
        <v>44926</v>
      </c>
      <c r="L18" s="26">
        <v>0.25</v>
      </c>
      <c r="M18" s="12">
        <v>0</v>
      </c>
      <c r="N18" s="44">
        <f>IFERROR(IF(M18/L18&gt;100%,100%,M18/L18),"-")</f>
        <v>0</v>
      </c>
      <c r="O18" s="79" t="s">
        <v>248</v>
      </c>
      <c r="P18" s="62"/>
      <c r="Q18" s="62"/>
      <c r="R18" s="62"/>
      <c r="S18" s="62"/>
      <c r="T18" s="62">
        <f>19689282746+500000000+10106209.72+2909783758</f>
        <v>23109172713.720001</v>
      </c>
      <c r="U18" s="117">
        <f>SUM(P18:T18)</f>
        <v>23109172713.720001</v>
      </c>
      <c r="V18" s="62"/>
      <c r="W18" s="62"/>
      <c r="X18" s="62"/>
      <c r="Y18" s="62"/>
      <c r="Z18" s="101"/>
      <c r="AA18" s="117">
        <f t="shared" si="2"/>
        <v>0</v>
      </c>
      <c r="AB18" s="13">
        <f t="shared" si="3"/>
        <v>0</v>
      </c>
      <c r="AC18" s="20"/>
      <c r="AD18" s="42" t="s">
        <v>44</v>
      </c>
      <c r="AE18" s="42" t="s">
        <v>211</v>
      </c>
    </row>
    <row r="19" spans="1:31" ht="66.75" customHeight="1" x14ac:dyDescent="0.2">
      <c r="A19" s="55">
        <v>34</v>
      </c>
      <c r="B19" s="43" t="s">
        <v>36</v>
      </c>
      <c r="C19" s="43" t="s">
        <v>38</v>
      </c>
      <c r="D19" s="43" t="s">
        <v>39</v>
      </c>
      <c r="E19" s="15" t="s">
        <v>61</v>
      </c>
      <c r="F19" s="72" t="s">
        <v>62</v>
      </c>
      <c r="G19" s="52">
        <v>2021680010105</v>
      </c>
      <c r="H19" s="72" t="s">
        <v>214</v>
      </c>
      <c r="I19" s="84" t="s">
        <v>215</v>
      </c>
      <c r="J19" s="85">
        <v>44566</v>
      </c>
      <c r="K19" s="85">
        <v>44926</v>
      </c>
      <c r="L19" s="18">
        <v>2</v>
      </c>
      <c r="M19" s="82">
        <v>0.4</v>
      </c>
      <c r="N19" s="41">
        <f>IFERROR(IF(M19/L19&gt;100%,100%,M19/L19),"-")</f>
        <v>0.2</v>
      </c>
      <c r="O19" s="94" t="s">
        <v>295</v>
      </c>
      <c r="P19" s="62"/>
      <c r="Q19" s="62"/>
      <c r="R19" s="62"/>
      <c r="S19" s="62"/>
      <c r="T19" s="62">
        <f>600000000+40000000</f>
        <v>640000000</v>
      </c>
      <c r="U19" s="117">
        <f>SUM(P19:T19)</f>
        <v>640000000</v>
      </c>
      <c r="V19" s="102"/>
      <c r="W19" s="62"/>
      <c r="X19" s="62"/>
      <c r="Y19" s="62"/>
      <c r="Z19" s="62">
        <f>600000000+40000000</f>
        <v>640000000</v>
      </c>
      <c r="AA19" s="117">
        <f t="shared" si="2"/>
        <v>640000000</v>
      </c>
      <c r="AB19" s="13">
        <f t="shared" si="3"/>
        <v>1</v>
      </c>
      <c r="AC19" s="14"/>
      <c r="AD19" s="42" t="s">
        <v>44</v>
      </c>
      <c r="AE19" s="42" t="s">
        <v>211</v>
      </c>
    </row>
    <row r="20" spans="1:31" ht="42.75" x14ac:dyDescent="0.2">
      <c r="A20" s="55">
        <v>35</v>
      </c>
      <c r="B20" s="43" t="s">
        <v>36</v>
      </c>
      <c r="C20" s="43" t="s">
        <v>38</v>
      </c>
      <c r="D20" s="43" t="s">
        <v>39</v>
      </c>
      <c r="E20" s="15" t="s">
        <v>63</v>
      </c>
      <c r="F20" s="72" t="s">
        <v>64</v>
      </c>
      <c r="G20" s="52">
        <v>2020680010130</v>
      </c>
      <c r="H20" s="72" t="s">
        <v>230</v>
      </c>
      <c r="I20" s="84" t="s">
        <v>65</v>
      </c>
      <c r="J20" s="85">
        <v>44566</v>
      </c>
      <c r="K20" s="85">
        <v>44926</v>
      </c>
      <c r="L20" s="150">
        <v>1</v>
      </c>
      <c r="M20" s="152">
        <v>0.75</v>
      </c>
      <c r="N20" s="156">
        <f>IFERROR(IF(M20/L20&gt;100%,100%,M20/L20),"-")</f>
        <v>0.75</v>
      </c>
      <c r="O20" s="79" t="s">
        <v>241</v>
      </c>
      <c r="P20" s="62">
        <v>430739965</v>
      </c>
      <c r="Q20" s="62">
        <v>119260035</v>
      </c>
      <c r="R20" s="62"/>
      <c r="S20" s="62"/>
      <c r="T20" s="62">
        <v>50000000</v>
      </c>
      <c r="U20" s="133">
        <f>SUM(P20:T21)</f>
        <v>870587827</v>
      </c>
      <c r="V20" s="62">
        <v>430739965</v>
      </c>
      <c r="W20" s="62">
        <v>119260035</v>
      </c>
      <c r="X20" s="62"/>
      <c r="Y20" s="62"/>
      <c r="Z20" s="62">
        <v>50000000</v>
      </c>
      <c r="AA20" s="133">
        <f>SUM(V20:Z21)</f>
        <v>600000000</v>
      </c>
      <c r="AB20" s="136">
        <f t="shared" si="3"/>
        <v>0.68918951240975712</v>
      </c>
      <c r="AC20" s="139"/>
      <c r="AD20" s="131" t="s">
        <v>44</v>
      </c>
      <c r="AE20" s="131" t="s">
        <v>211</v>
      </c>
    </row>
    <row r="21" spans="1:31" ht="75" customHeight="1" x14ac:dyDescent="0.2">
      <c r="A21" s="67">
        <v>35</v>
      </c>
      <c r="B21" s="43" t="s">
        <v>36</v>
      </c>
      <c r="C21" s="43" t="s">
        <v>38</v>
      </c>
      <c r="D21" s="43" t="s">
        <v>39</v>
      </c>
      <c r="E21" s="15" t="s">
        <v>63</v>
      </c>
      <c r="F21" s="72" t="s">
        <v>64</v>
      </c>
      <c r="G21" s="52">
        <v>2020680010130</v>
      </c>
      <c r="H21" s="72" t="s">
        <v>230</v>
      </c>
      <c r="I21" s="86" t="s">
        <v>265</v>
      </c>
      <c r="J21" s="85"/>
      <c r="K21" s="85"/>
      <c r="L21" s="151"/>
      <c r="M21" s="153"/>
      <c r="N21" s="165"/>
      <c r="O21" s="79" t="s">
        <v>233</v>
      </c>
      <c r="P21" s="62"/>
      <c r="Q21" s="62">
        <v>270587827</v>
      </c>
      <c r="R21" s="62"/>
      <c r="S21" s="62"/>
      <c r="T21" s="62"/>
      <c r="U21" s="135"/>
      <c r="V21" s="62"/>
      <c r="W21" s="62"/>
      <c r="X21" s="62"/>
      <c r="Y21" s="62"/>
      <c r="Z21" s="62"/>
      <c r="AA21" s="135"/>
      <c r="AB21" s="138"/>
      <c r="AC21" s="141"/>
      <c r="AD21" s="132"/>
      <c r="AE21" s="132"/>
    </row>
    <row r="22" spans="1:31" ht="79.5" customHeight="1" x14ac:dyDescent="0.2">
      <c r="A22" s="55">
        <v>38</v>
      </c>
      <c r="B22" s="43" t="s">
        <v>36</v>
      </c>
      <c r="C22" s="43" t="s">
        <v>66</v>
      </c>
      <c r="D22" s="43" t="s">
        <v>67</v>
      </c>
      <c r="E22" s="15" t="s">
        <v>68</v>
      </c>
      <c r="F22" s="72" t="s">
        <v>69</v>
      </c>
      <c r="G22" s="52">
        <v>2020680010101</v>
      </c>
      <c r="H22" s="72" t="s">
        <v>70</v>
      </c>
      <c r="I22" s="84" t="s">
        <v>71</v>
      </c>
      <c r="J22" s="85">
        <v>44566</v>
      </c>
      <c r="K22" s="85">
        <v>44926</v>
      </c>
      <c r="L22" s="73">
        <v>15</v>
      </c>
      <c r="M22" s="19">
        <v>21</v>
      </c>
      <c r="N22" s="41">
        <f>IFERROR(IF(M22/L22&gt;100%,100%,M22/L22),"-")</f>
        <v>1</v>
      </c>
      <c r="O22" s="79" t="s">
        <v>296</v>
      </c>
      <c r="P22" s="62">
        <v>30000000</v>
      </c>
      <c r="Q22" s="62">
        <v>139000000</v>
      </c>
      <c r="R22" s="62"/>
      <c r="S22" s="62"/>
      <c r="T22" s="62"/>
      <c r="U22" s="117">
        <f>SUM(P22:T22)</f>
        <v>169000000</v>
      </c>
      <c r="V22" s="62">
        <v>28860000</v>
      </c>
      <c r="W22" s="71">
        <v>139000000</v>
      </c>
      <c r="X22" s="62"/>
      <c r="Y22" s="62"/>
      <c r="Z22" s="101"/>
      <c r="AA22" s="117">
        <f t="shared" si="2"/>
        <v>167860000</v>
      </c>
      <c r="AB22" s="13">
        <f t="shared" si="3"/>
        <v>0.99325443786982248</v>
      </c>
      <c r="AC22" s="14"/>
      <c r="AD22" s="42" t="s">
        <v>44</v>
      </c>
      <c r="AE22" s="42" t="s">
        <v>211</v>
      </c>
    </row>
    <row r="23" spans="1:31" ht="77.25" customHeight="1" x14ac:dyDescent="0.2">
      <c r="A23" s="55">
        <v>39</v>
      </c>
      <c r="B23" s="43" t="s">
        <v>36</v>
      </c>
      <c r="C23" s="43" t="s">
        <v>66</v>
      </c>
      <c r="D23" s="43" t="s">
        <v>67</v>
      </c>
      <c r="E23" s="15" t="s">
        <v>72</v>
      </c>
      <c r="F23" s="72" t="s">
        <v>73</v>
      </c>
      <c r="G23" s="52">
        <v>2020680010101</v>
      </c>
      <c r="H23" s="72" t="s">
        <v>70</v>
      </c>
      <c r="I23" s="84" t="s">
        <v>74</v>
      </c>
      <c r="J23" s="85">
        <v>44566</v>
      </c>
      <c r="K23" s="85">
        <v>44926</v>
      </c>
      <c r="L23" s="18">
        <v>4</v>
      </c>
      <c r="M23" s="19">
        <v>4</v>
      </c>
      <c r="N23" s="41">
        <f>IFERROR(IF(M23/L23&gt;100%,100%,M23/L23),"-")</f>
        <v>1</v>
      </c>
      <c r="O23" s="79" t="s">
        <v>243</v>
      </c>
      <c r="P23" s="62"/>
      <c r="Q23" s="62">
        <v>290960000</v>
      </c>
      <c r="R23" s="62"/>
      <c r="S23" s="62"/>
      <c r="T23" s="62"/>
      <c r="U23" s="117">
        <f>SUM(P23:T23)</f>
        <v>290960000</v>
      </c>
      <c r="V23" s="62"/>
      <c r="W23" s="71">
        <v>289586666.66000003</v>
      </c>
      <c r="X23" s="62"/>
      <c r="Y23" s="62"/>
      <c r="Z23" s="101"/>
      <c r="AA23" s="117">
        <f t="shared" si="2"/>
        <v>289586666.66000003</v>
      </c>
      <c r="AB23" s="13">
        <f t="shared" si="3"/>
        <v>0.99527999264503719</v>
      </c>
      <c r="AC23" s="14"/>
      <c r="AD23" s="42" t="s">
        <v>44</v>
      </c>
      <c r="AE23" s="42" t="s">
        <v>211</v>
      </c>
    </row>
    <row r="24" spans="1:31" ht="60" x14ac:dyDescent="0.2">
      <c r="A24" s="55">
        <v>40</v>
      </c>
      <c r="B24" s="16" t="s">
        <v>36</v>
      </c>
      <c r="C24" s="16" t="s">
        <v>66</v>
      </c>
      <c r="D24" s="16" t="s">
        <v>75</v>
      </c>
      <c r="E24" s="15" t="s">
        <v>80</v>
      </c>
      <c r="F24" s="72" t="s">
        <v>81</v>
      </c>
      <c r="G24" s="52">
        <v>2020680010047</v>
      </c>
      <c r="H24" s="72" t="s">
        <v>78</v>
      </c>
      <c r="I24" s="86" t="s">
        <v>82</v>
      </c>
      <c r="J24" s="85">
        <v>44566</v>
      </c>
      <c r="K24" s="85">
        <v>44926</v>
      </c>
      <c r="L24" s="150">
        <v>2</v>
      </c>
      <c r="M24" s="162">
        <v>2</v>
      </c>
      <c r="N24" s="156">
        <f>IFERROR(IF(M24/L24&gt;100%,100%,M24/L24),"-")</f>
        <v>1</v>
      </c>
      <c r="O24" s="79" t="s">
        <v>273</v>
      </c>
      <c r="P24" s="62">
        <f>186076667</f>
        <v>186076667</v>
      </c>
      <c r="Q24" s="71">
        <f>319928815+172892667</f>
        <v>492821482</v>
      </c>
      <c r="R24" s="62"/>
      <c r="S24" s="62"/>
      <c r="T24" s="62"/>
      <c r="U24" s="133">
        <f>SUM(P24:T29)</f>
        <v>4793555893</v>
      </c>
      <c r="V24" s="62">
        <v>179391967</v>
      </c>
      <c r="W24" s="62">
        <v>477147047.67000002</v>
      </c>
      <c r="X24" s="62"/>
      <c r="Y24" s="62"/>
      <c r="Z24" s="62"/>
      <c r="AA24" s="133">
        <f>SUM(V24:Z29)</f>
        <v>3846693462.3099999</v>
      </c>
      <c r="AB24" s="136">
        <f t="shared" si="3"/>
        <v>0.80247180760472669</v>
      </c>
      <c r="AC24" s="139"/>
      <c r="AD24" s="131" t="s">
        <v>44</v>
      </c>
      <c r="AE24" s="131" t="s">
        <v>211</v>
      </c>
    </row>
    <row r="25" spans="1:31" ht="65.25" customHeight="1" x14ac:dyDescent="0.2">
      <c r="A25" s="67">
        <v>40</v>
      </c>
      <c r="B25" s="16" t="s">
        <v>36</v>
      </c>
      <c r="C25" s="16" t="s">
        <v>66</v>
      </c>
      <c r="D25" s="16" t="s">
        <v>75</v>
      </c>
      <c r="E25" s="15" t="s">
        <v>80</v>
      </c>
      <c r="F25" s="72" t="s">
        <v>81</v>
      </c>
      <c r="G25" s="52">
        <v>2022680010019</v>
      </c>
      <c r="H25" s="72" t="s">
        <v>274</v>
      </c>
      <c r="I25" s="84" t="s">
        <v>82</v>
      </c>
      <c r="J25" s="85">
        <v>44729</v>
      </c>
      <c r="K25" s="85">
        <v>44926</v>
      </c>
      <c r="L25" s="164"/>
      <c r="M25" s="163"/>
      <c r="N25" s="182"/>
      <c r="O25" s="79" t="s">
        <v>275</v>
      </c>
      <c r="P25" s="62"/>
      <c r="Q25" s="62">
        <v>945277270</v>
      </c>
      <c r="R25" s="62"/>
      <c r="S25" s="62"/>
      <c r="T25" s="62"/>
      <c r="U25" s="134"/>
      <c r="V25" s="62"/>
      <c r="W25" s="62">
        <f>540000000+109592000+8610800+131149266.64</f>
        <v>789352066.63999999</v>
      </c>
      <c r="X25" s="62"/>
      <c r="Y25" s="62"/>
      <c r="Z25" s="62"/>
      <c r="AA25" s="134"/>
      <c r="AB25" s="137"/>
      <c r="AC25" s="140"/>
      <c r="AD25" s="142"/>
      <c r="AE25" s="142"/>
    </row>
    <row r="26" spans="1:31" ht="65.25" customHeight="1" x14ac:dyDescent="0.2">
      <c r="A26" s="108">
        <v>40</v>
      </c>
      <c r="B26" s="16" t="s">
        <v>36</v>
      </c>
      <c r="C26" s="16" t="s">
        <v>66</v>
      </c>
      <c r="D26" s="16" t="s">
        <v>75</v>
      </c>
      <c r="E26" s="15" t="s">
        <v>80</v>
      </c>
      <c r="F26" s="72" t="s">
        <v>81</v>
      </c>
      <c r="G26" s="52">
        <v>2022680010019</v>
      </c>
      <c r="H26" s="72" t="s">
        <v>274</v>
      </c>
      <c r="I26" s="84" t="s">
        <v>308</v>
      </c>
      <c r="J26" s="85"/>
      <c r="K26" s="85"/>
      <c r="L26" s="164"/>
      <c r="M26" s="163"/>
      <c r="N26" s="182"/>
      <c r="O26" s="79" t="s">
        <v>275</v>
      </c>
      <c r="P26" s="62"/>
      <c r="Q26" s="62">
        <v>550446978</v>
      </c>
      <c r="R26" s="62"/>
      <c r="S26" s="62"/>
      <c r="T26" s="62"/>
      <c r="U26" s="134"/>
      <c r="V26" s="62"/>
      <c r="W26" s="62"/>
      <c r="X26" s="62"/>
      <c r="Y26" s="62"/>
      <c r="Z26" s="62"/>
      <c r="AA26" s="134"/>
      <c r="AB26" s="137"/>
      <c r="AC26" s="140"/>
      <c r="AD26" s="142"/>
      <c r="AE26" s="142"/>
    </row>
    <row r="27" spans="1:31" ht="71.25" x14ac:dyDescent="0.2">
      <c r="A27" s="55">
        <v>40</v>
      </c>
      <c r="B27" s="16" t="s">
        <v>36</v>
      </c>
      <c r="C27" s="16" t="s">
        <v>66</v>
      </c>
      <c r="D27" s="16" t="s">
        <v>75</v>
      </c>
      <c r="E27" s="15" t="s">
        <v>80</v>
      </c>
      <c r="F27" s="72" t="s">
        <v>81</v>
      </c>
      <c r="G27" s="52">
        <v>2021680010005</v>
      </c>
      <c r="H27" s="72" t="s">
        <v>83</v>
      </c>
      <c r="I27" s="84" t="s">
        <v>84</v>
      </c>
      <c r="J27" s="85">
        <v>44566</v>
      </c>
      <c r="K27" s="85">
        <v>44926</v>
      </c>
      <c r="L27" s="164"/>
      <c r="M27" s="163"/>
      <c r="N27" s="182"/>
      <c r="O27" s="79" t="s">
        <v>228</v>
      </c>
      <c r="P27" s="62"/>
      <c r="Q27" s="62"/>
      <c r="R27" s="62"/>
      <c r="S27" s="62"/>
      <c r="T27" s="62">
        <v>1900933496</v>
      </c>
      <c r="U27" s="134"/>
      <c r="V27" s="62"/>
      <c r="W27" s="62"/>
      <c r="X27" s="62"/>
      <c r="Y27" s="62"/>
      <c r="Z27" s="62">
        <v>1900933496</v>
      </c>
      <c r="AA27" s="134"/>
      <c r="AB27" s="137"/>
      <c r="AC27" s="140"/>
      <c r="AD27" s="142"/>
      <c r="AE27" s="142"/>
    </row>
    <row r="28" spans="1:31" ht="84" customHeight="1" x14ac:dyDescent="0.2">
      <c r="A28" s="55">
        <v>40</v>
      </c>
      <c r="B28" s="16" t="s">
        <v>36</v>
      </c>
      <c r="C28" s="16" t="s">
        <v>66</v>
      </c>
      <c r="D28" s="16" t="s">
        <v>75</v>
      </c>
      <c r="E28" s="15" t="s">
        <v>80</v>
      </c>
      <c r="F28" s="72" t="s">
        <v>81</v>
      </c>
      <c r="G28" s="52">
        <v>2021680010104</v>
      </c>
      <c r="H28" s="72" t="s">
        <v>218</v>
      </c>
      <c r="I28" s="84" t="s">
        <v>85</v>
      </c>
      <c r="J28" s="85">
        <v>44566</v>
      </c>
      <c r="K28" s="85">
        <v>44926</v>
      </c>
      <c r="L28" s="164"/>
      <c r="M28" s="163"/>
      <c r="N28" s="182"/>
      <c r="O28" s="95" t="s">
        <v>251</v>
      </c>
      <c r="P28" s="62">
        <v>500000000</v>
      </c>
      <c r="Q28" s="62"/>
      <c r="R28" s="62"/>
      <c r="S28" s="62"/>
      <c r="T28" s="62"/>
      <c r="U28" s="134"/>
      <c r="V28" s="62">
        <v>499868885</v>
      </c>
      <c r="W28" s="62"/>
      <c r="X28" s="62"/>
      <c r="Y28" s="62"/>
      <c r="Z28" s="62"/>
      <c r="AA28" s="134"/>
      <c r="AB28" s="137"/>
      <c r="AC28" s="140"/>
      <c r="AD28" s="142"/>
      <c r="AE28" s="142"/>
    </row>
    <row r="29" spans="1:31" ht="84" customHeight="1" x14ac:dyDescent="0.2">
      <c r="A29" s="64">
        <v>40</v>
      </c>
      <c r="B29" s="16" t="s">
        <v>36</v>
      </c>
      <c r="C29" s="16" t="s">
        <v>66</v>
      </c>
      <c r="D29" s="16" t="s">
        <v>75</v>
      </c>
      <c r="E29" s="15" t="s">
        <v>80</v>
      </c>
      <c r="F29" s="72" t="s">
        <v>81</v>
      </c>
      <c r="G29" s="52">
        <v>20220680010012</v>
      </c>
      <c r="H29" s="72" t="s">
        <v>258</v>
      </c>
      <c r="I29" s="86" t="s">
        <v>259</v>
      </c>
      <c r="J29" s="85">
        <v>44697</v>
      </c>
      <c r="K29" s="85">
        <v>44926</v>
      </c>
      <c r="L29" s="164"/>
      <c r="M29" s="163"/>
      <c r="N29" s="182"/>
      <c r="O29" s="94" t="s">
        <v>260</v>
      </c>
      <c r="P29" s="62"/>
      <c r="Q29" s="62"/>
      <c r="R29" s="62"/>
      <c r="S29" s="62"/>
      <c r="T29" s="62">
        <v>218000000</v>
      </c>
      <c r="U29" s="135"/>
      <c r="V29" s="62"/>
      <c r="W29" s="62"/>
      <c r="X29" s="62"/>
      <c r="Y29" s="62"/>
      <c r="Z29" s="62"/>
      <c r="AA29" s="135"/>
      <c r="AB29" s="138"/>
      <c r="AC29" s="141"/>
      <c r="AD29" s="132"/>
      <c r="AE29" s="132"/>
    </row>
    <row r="30" spans="1:31" ht="66" customHeight="1" x14ac:dyDescent="0.2">
      <c r="A30" s="55">
        <v>41</v>
      </c>
      <c r="B30" s="43" t="s">
        <v>36</v>
      </c>
      <c r="C30" s="43" t="s">
        <v>66</v>
      </c>
      <c r="D30" s="43" t="s">
        <v>75</v>
      </c>
      <c r="E30" s="15" t="s">
        <v>76</v>
      </c>
      <c r="F30" s="72" t="s">
        <v>77</v>
      </c>
      <c r="G30" s="52">
        <v>2020680010047</v>
      </c>
      <c r="H30" s="72" t="s">
        <v>78</v>
      </c>
      <c r="I30" s="84" t="s">
        <v>79</v>
      </c>
      <c r="J30" s="85">
        <v>44566</v>
      </c>
      <c r="K30" s="85">
        <v>44926</v>
      </c>
      <c r="L30" s="11">
        <v>0.95</v>
      </c>
      <c r="M30" s="111">
        <v>0.6089</v>
      </c>
      <c r="N30" s="41">
        <f>IFERROR(IF(M30/L30&gt;100%,100%,M30/L30),"-")</f>
        <v>0.64094736842105271</v>
      </c>
      <c r="O30" s="94" t="s">
        <v>232</v>
      </c>
      <c r="P30" s="62"/>
      <c r="Q30" s="62">
        <f>116305000+80000000</f>
        <v>196305000</v>
      </c>
      <c r="R30" s="62"/>
      <c r="S30" s="62"/>
      <c r="T30" s="62"/>
      <c r="U30" s="117">
        <f>SUM(P30:T30)</f>
        <v>196305000</v>
      </c>
      <c r="V30" s="62"/>
      <c r="W30" s="62">
        <v>169610000</v>
      </c>
      <c r="X30" s="101"/>
      <c r="Y30" s="101"/>
      <c r="Z30" s="101"/>
      <c r="AA30" s="117">
        <f t="shared" ref="AA30:AA37" si="4">SUM(V30:Z30)</f>
        <v>169610000</v>
      </c>
      <c r="AB30" s="13">
        <f t="shared" ref="AB30:AB31" si="5">IFERROR(AA30/U30,"-")</f>
        <v>0.86401263340210388</v>
      </c>
      <c r="AC30" s="14"/>
      <c r="AD30" s="42" t="s">
        <v>44</v>
      </c>
      <c r="AE30" s="42" t="s">
        <v>211</v>
      </c>
    </row>
    <row r="31" spans="1:31" ht="42.75" x14ac:dyDescent="0.2">
      <c r="A31" s="55">
        <v>42</v>
      </c>
      <c r="B31" s="43" t="s">
        <v>36</v>
      </c>
      <c r="C31" s="43" t="s">
        <v>66</v>
      </c>
      <c r="D31" s="120" t="s">
        <v>86</v>
      </c>
      <c r="E31" s="121" t="s">
        <v>87</v>
      </c>
      <c r="F31" s="122" t="s">
        <v>88</v>
      </c>
      <c r="G31" s="130">
        <v>2020680010111</v>
      </c>
      <c r="H31" s="122" t="s">
        <v>89</v>
      </c>
      <c r="I31" s="123" t="s">
        <v>90</v>
      </c>
      <c r="J31" s="109">
        <v>44566</v>
      </c>
      <c r="K31" s="109">
        <v>44926</v>
      </c>
      <c r="L31" s="150">
        <v>1</v>
      </c>
      <c r="M31" s="152">
        <v>0.75</v>
      </c>
      <c r="N31" s="156">
        <f>IFERROR(IF(M31/L31&gt;100%,100%,M31/L31),"-")</f>
        <v>0.75</v>
      </c>
      <c r="O31" s="124" t="s">
        <v>238</v>
      </c>
      <c r="P31" s="125"/>
      <c r="Q31" s="125">
        <v>203108000</v>
      </c>
      <c r="R31" s="125"/>
      <c r="S31" s="125"/>
      <c r="T31" s="125"/>
      <c r="U31" s="133">
        <f>SUM(P31:T32)</f>
        <v>1934676595.28</v>
      </c>
      <c r="V31" s="126"/>
      <c r="W31" s="126">
        <f>46968000+117000000+32616666.66</f>
        <v>196584666.66</v>
      </c>
      <c r="X31" s="127"/>
      <c r="Y31" s="127"/>
      <c r="Z31" s="127"/>
      <c r="AA31" s="133">
        <f>SUM(V31:Z32)</f>
        <v>1403670257.9699998</v>
      </c>
      <c r="AB31" s="136">
        <f t="shared" si="5"/>
        <v>0.72553224729885712</v>
      </c>
      <c r="AC31" s="139"/>
      <c r="AD31" s="131" t="s">
        <v>44</v>
      </c>
      <c r="AE31" s="131" t="s">
        <v>211</v>
      </c>
    </row>
    <row r="32" spans="1:31" ht="78" customHeight="1" x14ac:dyDescent="0.2">
      <c r="A32" s="67">
        <v>42</v>
      </c>
      <c r="B32" s="43" t="s">
        <v>36</v>
      </c>
      <c r="C32" s="43" t="s">
        <v>66</v>
      </c>
      <c r="D32" s="43" t="s">
        <v>86</v>
      </c>
      <c r="E32" s="15" t="s">
        <v>87</v>
      </c>
      <c r="F32" s="72" t="s">
        <v>88</v>
      </c>
      <c r="G32" s="52">
        <v>2022680010028</v>
      </c>
      <c r="H32" s="72" t="s">
        <v>297</v>
      </c>
      <c r="I32" s="86" t="s">
        <v>298</v>
      </c>
      <c r="J32" s="85">
        <v>44757</v>
      </c>
      <c r="K32" s="85">
        <v>44926</v>
      </c>
      <c r="L32" s="154"/>
      <c r="M32" s="155"/>
      <c r="N32" s="157"/>
      <c r="O32" s="94" t="s">
        <v>276</v>
      </c>
      <c r="P32" s="128"/>
      <c r="Q32" s="62">
        <v>573202425</v>
      </c>
      <c r="R32" s="62"/>
      <c r="S32" s="62"/>
      <c r="T32" s="71">
        <v>1158366170.28</v>
      </c>
      <c r="U32" s="183"/>
      <c r="V32" s="129"/>
      <c r="W32" s="71">
        <v>573202425</v>
      </c>
      <c r="X32" s="103"/>
      <c r="Y32" s="103"/>
      <c r="Z32" s="71">
        <v>633883166.30999994</v>
      </c>
      <c r="AA32" s="135"/>
      <c r="AB32" s="138"/>
      <c r="AC32" s="141"/>
      <c r="AD32" s="132"/>
      <c r="AE32" s="132"/>
    </row>
    <row r="33" spans="1:31" ht="57.75" customHeight="1" x14ac:dyDescent="0.2">
      <c r="A33" s="55">
        <v>43</v>
      </c>
      <c r="B33" s="43" t="s">
        <v>36</v>
      </c>
      <c r="C33" s="43" t="s">
        <v>66</v>
      </c>
      <c r="D33" s="43" t="s">
        <v>91</v>
      </c>
      <c r="E33" s="15" t="s">
        <v>92</v>
      </c>
      <c r="F33" s="72" t="s">
        <v>93</v>
      </c>
      <c r="G33" s="52">
        <v>2020680010109</v>
      </c>
      <c r="H33" s="72" t="s">
        <v>94</v>
      </c>
      <c r="I33" s="84" t="s">
        <v>95</v>
      </c>
      <c r="J33" s="85">
        <v>44566</v>
      </c>
      <c r="K33" s="85">
        <v>44926</v>
      </c>
      <c r="L33" s="18">
        <v>1</v>
      </c>
      <c r="M33" s="21">
        <v>0.75</v>
      </c>
      <c r="N33" s="41">
        <f t="shared" ref="N33:N45" si="6">IFERROR(IF(M33/L33&gt;100%,100%,M33/L33),"-")</f>
        <v>0.75</v>
      </c>
      <c r="O33" s="94" t="s">
        <v>237</v>
      </c>
      <c r="P33" s="62"/>
      <c r="Q33" s="62">
        <v>103897142</v>
      </c>
      <c r="R33" s="62"/>
      <c r="S33" s="62"/>
      <c r="T33" s="62">
        <v>50000000</v>
      </c>
      <c r="U33" s="117">
        <f t="shared" ref="U33:U44" si="7">SUM(P33:T33)</f>
        <v>153897142</v>
      </c>
      <c r="V33" s="62"/>
      <c r="W33" s="62">
        <v>101542856</v>
      </c>
      <c r="X33" s="62"/>
      <c r="Y33" s="62"/>
      <c r="Z33" s="62">
        <v>50000000</v>
      </c>
      <c r="AA33" s="117">
        <f t="shared" si="4"/>
        <v>151542856</v>
      </c>
      <c r="AB33" s="13">
        <f>IFERROR(AA33/U33,"-")</f>
        <v>0.98470221103911082</v>
      </c>
      <c r="AC33" s="14"/>
      <c r="AD33" s="42" t="s">
        <v>44</v>
      </c>
      <c r="AE33" s="42" t="s">
        <v>211</v>
      </c>
    </row>
    <row r="34" spans="1:31" ht="42.75" x14ac:dyDescent="0.2">
      <c r="A34" s="55">
        <v>44</v>
      </c>
      <c r="B34" s="43" t="s">
        <v>36</v>
      </c>
      <c r="C34" s="43" t="s">
        <v>66</v>
      </c>
      <c r="D34" s="43" t="s">
        <v>91</v>
      </c>
      <c r="E34" s="15" t="s">
        <v>96</v>
      </c>
      <c r="F34" s="72" t="s">
        <v>97</v>
      </c>
      <c r="G34" s="52">
        <v>2020680010109</v>
      </c>
      <c r="H34" s="72" t="s">
        <v>94</v>
      </c>
      <c r="I34" s="84" t="s">
        <v>98</v>
      </c>
      <c r="J34" s="85">
        <v>44566</v>
      </c>
      <c r="K34" s="85">
        <v>44926</v>
      </c>
      <c r="L34" s="18">
        <v>1</v>
      </c>
      <c r="M34" s="21">
        <v>0.75</v>
      </c>
      <c r="N34" s="41">
        <f t="shared" si="6"/>
        <v>0.75</v>
      </c>
      <c r="O34" s="95" t="s">
        <v>237</v>
      </c>
      <c r="P34" s="62"/>
      <c r="Q34" s="62">
        <v>64742858</v>
      </c>
      <c r="R34" s="62"/>
      <c r="S34" s="62"/>
      <c r="T34" s="62"/>
      <c r="U34" s="117">
        <f t="shared" si="7"/>
        <v>64742858</v>
      </c>
      <c r="V34" s="62"/>
      <c r="W34" s="62">
        <v>58857144</v>
      </c>
      <c r="X34" s="62"/>
      <c r="Y34" s="62"/>
      <c r="Z34" s="62"/>
      <c r="AA34" s="117">
        <f t="shared" si="4"/>
        <v>58857144</v>
      </c>
      <c r="AB34" s="13">
        <f>IFERROR(AA34/U34,"-")</f>
        <v>0.90909091470753423</v>
      </c>
      <c r="AC34" s="17"/>
      <c r="AD34" s="40" t="s">
        <v>44</v>
      </c>
      <c r="AE34" s="40" t="s">
        <v>211</v>
      </c>
    </row>
    <row r="35" spans="1:31" ht="128.25" customHeight="1" x14ac:dyDescent="0.2">
      <c r="A35" s="55">
        <v>45</v>
      </c>
      <c r="B35" s="43" t="s">
        <v>36</v>
      </c>
      <c r="C35" s="43" t="s">
        <v>66</v>
      </c>
      <c r="D35" s="43" t="s">
        <v>99</v>
      </c>
      <c r="E35" s="15" t="s">
        <v>100</v>
      </c>
      <c r="F35" s="72" t="s">
        <v>101</v>
      </c>
      <c r="G35" s="52">
        <v>2020680010102</v>
      </c>
      <c r="H35" s="72" t="s">
        <v>102</v>
      </c>
      <c r="I35" s="84" t="s">
        <v>103</v>
      </c>
      <c r="J35" s="85">
        <v>44566</v>
      </c>
      <c r="K35" s="85">
        <v>44926</v>
      </c>
      <c r="L35" s="18">
        <v>1</v>
      </c>
      <c r="M35" s="21">
        <v>0.5</v>
      </c>
      <c r="N35" s="41">
        <f t="shared" si="6"/>
        <v>0.5</v>
      </c>
      <c r="O35" s="94" t="s">
        <v>270</v>
      </c>
      <c r="P35" s="98"/>
      <c r="Q35" s="62">
        <f>130000000+16428500</f>
        <v>146428500</v>
      </c>
      <c r="R35" s="62"/>
      <c r="S35" s="62"/>
      <c r="T35" s="62">
        <v>40000000</v>
      </c>
      <c r="U35" s="117">
        <f t="shared" si="7"/>
        <v>186428500</v>
      </c>
      <c r="V35" s="112"/>
      <c r="W35" s="62">
        <f>8441000+130000000+3227333+2586444</f>
        <v>144254777</v>
      </c>
      <c r="X35" s="101"/>
      <c r="Y35" s="101"/>
      <c r="Z35" s="62">
        <v>40000000</v>
      </c>
      <c r="AA35" s="117">
        <f t="shared" si="4"/>
        <v>184254777</v>
      </c>
      <c r="AB35" s="13">
        <f t="shared" ref="AB35:AB50" si="8">IFERROR(AA35/U35,"-")</f>
        <v>0.98834017867439794</v>
      </c>
      <c r="AC35" s="14"/>
      <c r="AD35" s="42" t="s">
        <v>44</v>
      </c>
      <c r="AE35" s="42" t="s">
        <v>211</v>
      </c>
    </row>
    <row r="36" spans="1:31" ht="57" x14ac:dyDescent="0.2">
      <c r="A36" s="55">
        <v>46</v>
      </c>
      <c r="B36" s="43" t="s">
        <v>36</v>
      </c>
      <c r="C36" s="43" t="s">
        <v>66</v>
      </c>
      <c r="D36" s="43" t="s">
        <v>99</v>
      </c>
      <c r="E36" s="15" t="s">
        <v>104</v>
      </c>
      <c r="F36" s="72" t="s">
        <v>105</v>
      </c>
      <c r="G36" s="52">
        <v>2020680010102</v>
      </c>
      <c r="H36" s="72" t="s">
        <v>102</v>
      </c>
      <c r="I36" s="84" t="s">
        <v>106</v>
      </c>
      <c r="J36" s="85">
        <v>44566</v>
      </c>
      <c r="K36" s="85">
        <v>44926</v>
      </c>
      <c r="L36" s="18">
        <v>1</v>
      </c>
      <c r="M36" s="21">
        <v>0.5</v>
      </c>
      <c r="N36" s="41">
        <f t="shared" si="6"/>
        <v>0.5</v>
      </c>
      <c r="O36" s="95" t="s">
        <v>234</v>
      </c>
      <c r="P36" s="62"/>
      <c r="Q36" s="62">
        <v>10000000</v>
      </c>
      <c r="R36" s="62"/>
      <c r="S36" s="62"/>
      <c r="T36" s="62"/>
      <c r="U36" s="117">
        <f t="shared" si="7"/>
        <v>10000000</v>
      </c>
      <c r="V36" s="62"/>
      <c r="W36" s="62">
        <v>10000000</v>
      </c>
      <c r="X36" s="101"/>
      <c r="Y36" s="101"/>
      <c r="Z36" s="101"/>
      <c r="AA36" s="117">
        <f t="shared" si="4"/>
        <v>10000000</v>
      </c>
      <c r="AB36" s="13">
        <f t="shared" si="8"/>
        <v>1</v>
      </c>
      <c r="AC36" s="14"/>
      <c r="AD36" s="42" t="s">
        <v>44</v>
      </c>
      <c r="AE36" s="42" t="s">
        <v>211</v>
      </c>
    </row>
    <row r="37" spans="1:31" ht="57" x14ac:dyDescent="0.2">
      <c r="A37" s="55">
        <v>47</v>
      </c>
      <c r="B37" s="43" t="s">
        <v>36</v>
      </c>
      <c r="C37" s="43" t="s">
        <v>66</v>
      </c>
      <c r="D37" s="43" t="s">
        <v>99</v>
      </c>
      <c r="E37" s="15" t="s">
        <v>107</v>
      </c>
      <c r="F37" s="72" t="s">
        <v>108</v>
      </c>
      <c r="G37" s="52">
        <v>2020680010102</v>
      </c>
      <c r="H37" s="72" t="s">
        <v>102</v>
      </c>
      <c r="I37" s="84" t="s">
        <v>109</v>
      </c>
      <c r="J37" s="85">
        <v>44566</v>
      </c>
      <c r="K37" s="85">
        <v>44926</v>
      </c>
      <c r="L37" s="18">
        <v>1</v>
      </c>
      <c r="M37" s="21">
        <v>0.75</v>
      </c>
      <c r="N37" s="41">
        <f t="shared" si="6"/>
        <v>0.75</v>
      </c>
      <c r="O37" s="95" t="s">
        <v>234</v>
      </c>
      <c r="P37" s="62"/>
      <c r="Q37" s="62">
        <v>171285500</v>
      </c>
      <c r="R37" s="62"/>
      <c r="S37" s="62"/>
      <c r="T37" s="62"/>
      <c r="U37" s="117">
        <f t="shared" si="7"/>
        <v>171285500</v>
      </c>
      <c r="V37" s="62"/>
      <c r="W37" s="62">
        <f>157005001+2586444+2586444+2586446.67</f>
        <v>164764335.66999999</v>
      </c>
      <c r="X37" s="101"/>
      <c r="Y37" s="101"/>
      <c r="Z37" s="101"/>
      <c r="AA37" s="117">
        <f t="shared" si="4"/>
        <v>164764335.66999999</v>
      </c>
      <c r="AB37" s="13">
        <f t="shared" si="8"/>
        <v>0.96192810056893308</v>
      </c>
      <c r="AC37" s="14"/>
      <c r="AD37" s="42" t="s">
        <v>44</v>
      </c>
      <c r="AE37" s="42" t="s">
        <v>211</v>
      </c>
    </row>
    <row r="38" spans="1:31" ht="57" x14ac:dyDescent="0.2">
      <c r="A38" s="55">
        <v>48</v>
      </c>
      <c r="B38" s="43" t="s">
        <v>36</v>
      </c>
      <c r="C38" s="43" t="s">
        <v>66</v>
      </c>
      <c r="D38" s="43" t="s">
        <v>99</v>
      </c>
      <c r="E38" s="15" t="s">
        <v>110</v>
      </c>
      <c r="F38" s="72" t="s">
        <v>111</v>
      </c>
      <c r="G38" s="52">
        <v>2020680010102</v>
      </c>
      <c r="H38" s="72" t="s">
        <v>102</v>
      </c>
      <c r="I38" s="84" t="s">
        <v>112</v>
      </c>
      <c r="J38" s="85">
        <v>44566</v>
      </c>
      <c r="K38" s="85">
        <v>44926</v>
      </c>
      <c r="L38" s="18">
        <v>1</v>
      </c>
      <c r="M38" s="21">
        <v>0.75</v>
      </c>
      <c r="N38" s="41">
        <f t="shared" si="6"/>
        <v>0.75</v>
      </c>
      <c r="O38" s="95" t="s">
        <v>234</v>
      </c>
      <c r="P38" s="62"/>
      <c r="Q38" s="62">
        <f>16428500+57050000</f>
        <v>73478500</v>
      </c>
      <c r="R38" s="62"/>
      <c r="S38" s="62"/>
      <c r="T38" s="62"/>
      <c r="U38" s="117">
        <f t="shared" si="7"/>
        <v>73478500</v>
      </c>
      <c r="V38" s="62"/>
      <c r="W38" s="62">
        <f>68718333+2586444</f>
        <v>71304777</v>
      </c>
      <c r="X38" s="101"/>
      <c r="Y38" s="101"/>
      <c r="Z38" s="101"/>
      <c r="AA38" s="117">
        <f>SUM(V38:Z38)</f>
        <v>71304777</v>
      </c>
      <c r="AB38" s="13">
        <f t="shared" si="8"/>
        <v>0.97041688385037805</v>
      </c>
      <c r="AC38" s="14"/>
      <c r="AD38" s="42" t="s">
        <v>44</v>
      </c>
      <c r="AE38" s="42" t="s">
        <v>211</v>
      </c>
    </row>
    <row r="39" spans="1:31" ht="57" x14ac:dyDescent="0.2">
      <c r="A39" s="55">
        <v>49</v>
      </c>
      <c r="B39" s="43" t="s">
        <v>36</v>
      </c>
      <c r="C39" s="43" t="s">
        <v>66</v>
      </c>
      <c r="D39" s="43" t="s">
        <v>99</v>
      </c>
      <c r="E39" s="15" t="s">
        <v>113</v>
      </c>
      <c r="F39" s="72" t="s">
        <v>114</v>
      </c>
      <c r="G39" s="52">
        <v>2020680010102</v>
      </c>
      <c r="H39" s="72" t="s">
        <v>102</v>
      </c>
      <c r="I39" s="84" t="s">
        <v>113</v>
      </c>
      <c r="J39" s="85">
        <v>44566</v>
      </c>
      <c r="K39" s="85">
        <v>44926</v>
      </c>
      <c r="L39" s="11">
        <v>1</v>
      </c>
      <c r="M39" s="22">
        <v>0.75</v>
      </c>
      <c r="N39" s="41">
        <f t="shared" si="6"/>
        <v>0.75</v>
      </c>
      <c r="O39" s="95" t="s">
        <v>234</v>
      </c>
      <c r="P39" s="62"/>
      <c r="Q39" s="62">
        <v>31428500</v>
      </c>
      <c r="R39" s="62"/>
      <c r="S39" s="62"/>
      <c r="T39" s="62"/>
      <c r="U39" s="117">
        <f t="shared" si="7"/>
        <v>31428500</v>
      </c>
      <c r="V39" s="62"/>
      <c r="W39" s="62">
        <f>26668333+2586444</f>
        <v>29254777</v>
      </c>
      <c r="X39" s="101"/>
      <c r="Y39" s="101"/>
      <c r="Z39" s="101"/>
      <c r="AA39" s="117">
        <f t="shared" ref="AA39:AA44" si="9">SUM(V39:Z39)</f>
        <v>29254777</v>
      </c>
      <c r="AB39" s="13">
        <f t="shared" si="8"/>
        <v>0.9308359291725663</v>
      </c>
      <c r="AC39" s="14"/>
      <c r="AD39" s="42" t="s">
        <v>44</v>
      </c>
      <c r="AE39" s="42" t="s">
        <v>211</v>
      </c>
    </row>
    <row r="40" spans="1:31" ht="57" x14ac:dyDescent="0.2">
      <c r="A40" s="55">
        <v>50</v>
      </c>
      <c r="B40" s="43" t="s">
        <v>36</v>
      </c>
      <c r="C40" s="43" t="s">
        <v>66</v>
      </c>
      <c r="D40" s="43" t="s">
        <v>115</v>
      </c>
      <c r="E40" s="15" t="s">
        <v>116</v>
      </c>
      <c r="F40" s="72" t="s">
        <v>117</v>
      </c>
      <c r="G40" s="53">
        <v>2021680010044</v>
      </c>
      <c r="H40" s="72" t="s">
        <v>118</v>
      </c>
      <c r="I40" s="84" t="s">
        <v>119</v>
      </c>
      <c r="J40" s="85">
        <v>44566</v>
      </c>
      <c r="K40" s="85">
        <v>44926</v>
      </c>
      <c r="L40" s="18">
        <v>1</v>
      </c>
      <c r="M40" s="21">
        <v>0.75</v>
      </c>
      <c r="N40" s="41">
        <f t="shared" si="6"/>
        <v>0.75</v>
      </c>
      <c r="O40" s="95" t="s">
        <v>233</v>
      </c>
      <c r="P40" s="62"/>
      <c r="Q40" s="62">
        <v>538175000</v>
      </c>
      <c r="R40" s="62"/>
      <c r="S40" s="62"/>
      <c r="T40" s="62"/>
      <c r="U40" s="117">
        <f t="shared" si="7"/>
        <v>538175000</v>
      </c>
      <c r="V40" s="62"/>
      <c r="W40" s="71">
        <f>289560000+183357166.7+21527000</f>
        <v>494444166.69999999</v>
      </c>
      <c r="X40" s="101"/>
      <c r="Y40" s="101"/>
      <c r="Z40" s="101"/>
      <c r="AA40" s="117">
        <f t="shared" si="9"/>
        <v>494444166.69999999</v>
      </c>
      <c r="AB40" s="13">
        <f t="shared" si="8"/>
        <v>0.91874235462442511</v>
      </c>
      <c r="AC40" s="14"/>
      <c r="AD40" s="42" t="s">
        <v>44</v>
      </c>
      <c r="AE40" s="42" t="s">
        <v>211</v>
      </c>
    </row>
    <row r="41" spans="1:31" ht="57" x14ac:dyDescent="0.2">
      <c r="A41" s="55">
        <v>51</v>
      </c>
      <c r="B41" s="43" t="s">
        <v>36</v>
      </c>
      <c r="C41" s="43" t="s">
        <v>66</v>
      </c>
      <c r="D41" s="43" t="s">
        <v>115</v>
      </c>
      <c r="E41" s="15" t="s">
        <v>120</v>
      </c>
      <c r="F41" s="72" t="s">
        <v>121</v>
      </c>
      <c r="G41" s="52">
        <v>2020680010091</v>
      </c>
      <c r="H41" s="72" t="s">
        <v>122</v>
      </c>
      <c r="I41" s="84" t="s">
        <v>123</v>
      </c>
      <c r="J41" s="85">
        <v>44566</v>
      </c>
      <c r="K41" s="85">
        <v>44926</v>
      </c>
      <c r="L41" s="18">
        <v>1</v>
      </c>
      <c r="M41" s="21">
        <v>0.75</v>
      </c>
      <c r="N41" s="41">
        <f t="shared" si="6"/>
        <v>0.75</v>
      </c>
      <c r="O41" s="95" t="s">
        <v>233</v>
      </c>
      <c r="P41" s="62"/>
      <c r="Q41" s="62">
        <v>346600000</v>
      </c>
      <c r="R41" s="62"/>
      <c r="S41" s="62"/>
      <c r="T41" s="62"/>
      <c r="U41" s="117">
        <f t="shared" si="7"/>
        <v>346600000</v>
      </c>
      <c r="V41" s="62"/>
      <c r="W41" s="62">
        <f>120480000+120000000+65676000+15656000</f>
        <v>321812000</v>
      </c>
      <c r="X41" s="101"/>
      <c r="Y41" s="101"/>
      <c r="Z41" s="101"/>
      <c r="AA41" s="117">
        <f t="shared" si="9"/>
        <v>321812000</v>
      </c>
      <c r="AB41" s="13">
        <f t="shared" si="8"/>
        <v>0.92848240046162722</v>
      </c>
      <c r="AC41" s="14"/>
      <c r="AD41" s="42" t="s">
        <v>44</v>
      </c>
      <c r="AE41" s="42" t="s">
        <v>211</v>
      </c>
    </row>
    <row r="42" spans="1:31" ht="57" x14ac:dyDescent="0.2">
      <c r="A42" s="55">
        <v>52</v>
      </c>
      <c r="B42" s="43" t="s">
        <v>36</v>
      </c>
      <c r="C42" s="43" t="s">
        <v>66</v>
      </c>
      <c r="D42" s="43" t="s">
        <v>115</v>
      </c>
      <c r="E42" s="15" t="s">
        <v>124</v>
      </c>
      <c r="F42" s="72" t="s">
        <v>125</v>
      </c>
      <c r="G42" s="52">
        <v>2020680010091</v>
      </c>
      <c r="H42" s="72" t="s">
        <v>122</v>
      </c>
      <c r="I42" s="84" t="s">
        <v>123</v>
      </c>
      <c r="J42" s="85">
        <v>44566</v>
      </c>
      <c r="K42" s="85">
        <v>44926</v>
      </c>
      <c r="L42" s="11">
        <v>1</v>
      </c>
      <c r="M42" s="22">
        <v>0.75</v>
      </c>
      <c r="N42" s="41">
        <f t="shared" si="6"/>
        <v>0.75</v>
      </c>
      <c r="O42" s="95" t="s">
        <v>233</v>
      </c>
      <c r="P42" s="62"/>
      <c r="Q42" s="62">
        <v>111712000</v>
      </c>
      <c r="R42" s="62"/>
      <c r="S42" s="62"/>
      <c r="T42" s="62"/>
      <c r="U42" s="117">
        <f t="shared" si="7"/>
        <v>111712000</v>
      </c>
      <c r="V42" s="62"/>
      <c r="W42" s="62">
        <v>109811200</v>
      </c>
      <c r="X42" s="101"/>
      <c r="Y42" s="101"/>
      <c r="Z42" s="101"/>
      <c r="AA42" s="117">
        <f t="shared" si="9"/>
        <v>109811200</v>
      </c>
      <c r="AB42" s="13">
        <f t="shared" si="8"/>
        <v>0.9829848181036952</v>
      </c>
      <c r="AC42" s="14"/>
      <c r="AD42" s="42" t="s">
        <v>44</v>
      </c>
      <c r="AE42" s="42" t="s">
        <v>211</v>
      </c>
    </row>
    <row r="43" spans="1:31" ht="57" x14ac:dyDescent="0.2">
      <c r="A43" s="55">
        <v>53</v>
      </c>
      <c r="B43" s="43" t="s">
        <v>36</v>
      </c>
      <c r="C43" s="43" t="s">
        <v>66</v>
      </c>
      <c r="D43" s="43" t="s">
        <v>115</v>
      </c>
      <c r="E43" s="15" t="s">
        <v>126</v>
      </c>
      <c r="F43" s="72" t="s">
        <v>127</v>
      </c>
      <c r="G43" s="52">
        <v>2020680010091</v>
      </c>
      <c r="H43" s="72" t="s">
        <v>122</v>
      </c>
      <c r="I43" s="84" t="s">
        <v>123</v>
      </c>
      <c r="J43" s="85">
        <v>44566</v>
      </c>
      <c r="K43" s="85">
        <v>44926</v>
      </c>
      <c r="L43" s="18">
        <v>1</v>
      </c>
      <c r="M43" s="21">
        <v>0.75</v>
      </c>
      <c r="N43" s="41">
        <f t="shared" si="6"/>
        <v>0.75</v>
      </c>
      <c r="O43" s="95" t="s">
        <v>233</v>
      </c>
      <c r="P43" s="62"/>
      <c r="Q43" s="62">
        <v>149354167</v>
      </c>
      <c r="R43" s="62"/>
      <c r="S43" s="62"/>
      <c r="T43" s="62"/>
      <c r="U43" s="117">
        <f t="shared" si="7"/>
        <v>149354167</v>
      </c>
      <c r="V43" s="62"/>
      <c r="W43" s="71">
        <v>141986805.66999999</v>
      </c>
      <c r="X43" s="101"/>
      <c r="Y43" s="101"/>
      <c r="Z43" s="101"/>
      <c r="AA43" s="117">
        <f t="shared" si="9"/>
        <v>141986805.66999999</v>
      </c>
      <c r="AB43" s="13">
        <f t="shared" si="8"/>
        <v>0.95067187291801503</v>
      </c>
      <c r="AC43" s="14"/>
      <c r="AD43" s="42" t="s">
        <v>44</v>
      </c>
      <c r="AE43" s="42" t="s">
        <v>211</v>
      </c>
    </row>
    <row r="44" spans="1:31" ht="57" x14ac:dyDescent="0.2">
      <c r="A44" s="55">
        <v>54</v>
      </c>
      <c r="B44" s="43" t="s">
        <v>36</v>
      </c>
      <c r="C44" s="43" t="s">
        <v>66</v>
      </c>
      <c r="D44" s="43" t="s">
        <v>115</v>
      </c>
      <c r="E44" s="23" t="s">
        <v>128</v>
      </c>
      <c r="F44" s="72" t="s">
        <v>129</v>
      </c>
      <c r="G44" s="52">
        <v>2020680010091</v>
      </c>
      <c r="H44" s="72" t="s">
        <v>122</v>
      </c>
      <c r="I44" s="84" t="s">
        <v>123</v>
      </c>
      <c r="J44" s="85">
        <v>44566</v>
      </c>
      <c r="K44" s="85">
        <v>44926</v>
      </c>
      <c r="L44" s="73">
        <v>5</v>
      </c>
      <c r="M44" s="19">
        <v>5</v>
      </c>
      <c r="N44" s="41">
        <f t="shared" si="6"/>
        <v>1</v>
      </c>
      <c r="O44" s="95" t="s">
        <v>233</v>
      </c>
      <c r="P44" s="62"/>
      <c r="Q44" s="62">
        <v>16050833</v>
      </c>
      <c r="R44" s="62"/>
      <c r="S44" s="62"/>
      <c r="T44" s="62"/>
      <c r="U44" s="117">
        <f t="shared" si="7"/>
        <v>16050833</v>
      </c>
      <c r="V44" s="62"/>
      <c r="W44" s="71">
        <f>11616111+2961250</f>
        <v>14577361</v>
      </c>
      <c r="X44" s="63"/>
      <c r="Y44" s="63"/>
      <c r="Z44" s="63"/>
      <c r="AA44" s="117">
        <f t="shared" si="9"/>
        <v>14577361</v>
      </c>
      <c r="AB44" s="13">
        <f t="shared" si="8"/>
        <v>0.90819965543221337</v>
      </c>
      <c r="AC44" s="14"/>
      <c r="AD44" s="42" t="s">
        <v>44</v>
      </c>
      <c r="AE44" s="42" t="s">
        <v>211</v>
      </c>
    </row>
    <row r="45" spans="1:31" ht="57" x14ac:dyDescent="0.2">
      <c r="A45" s="55">
        <v>55</v>
      </c>
      <c r="B45" s="43" t="s">
        <v>36</v>
      </c>
      <c r="C45" s="43" t="s">
        <v>66</v>
      </c>
      <c r="D45" s="43" t="s">
        <v>115</v>
      </c>
      <c r="E45" s="24" t="s">
        <v>130</v>
      </c>
      <c r="F45" s="88" t="s">
        <v>131</v>
      </c>
      <c r="G45" s="52">
        <v>2020680010091</v>
      </c>
      <c r="H45" s="72" t="s">
        <v>122</v>
      </c>
      <c r="I45" s="84" t="s">
        <v>123</v>
      </c>
      <c r="J45" s="85">
        <v>44566</v>
      </c>
      <c r="K45" s="85">
        <v>44926</v>
      </c>
      <c r="L45" s="150">
        <v>1</v>
      </c>
      <c r="M45" s="162">
        <v>1</v>
      </c>
      <c r="N45" s="156">
        <f t="shared" si="6"/>
        <v>1</v>
      </c>
      <c r="O45" s="79" t="s">
        <v>250</v>
      </c>
      <c r="P45" s="62">
        <v>21527000</v>
      </c>
      <c r="Q45" s="62">
        <v>135320000</v>
      </c>
      <c r="R45" s="62"/>
      <c r="S45" s="62"/>
      <c r="T45" s="99"/>
      <c r="U45" s="133">
        <f>SUM(P45:T47)</f>
        <v>396847000</v>
      </c>
      <c r="V45" s="71">
        <f>11742000+8480333.33</f>
        <v>20222333.329999998</v>
      </c>
      <c r="W45" s="71">
        <f>24720000+90000000+18265333.33</f>
        <v>132985333.33</v>
      </c>
      <c r="X45" s="63"/>
      <c r="Y45" s="63"/>
      <c r="Z45" s="104"/>
      <c r="AA45" s="133">
        <f>SUM(V45:Z47)</f>
        <v>193207666.66</v>
      </c>
      <c r="AB45" s="136">
        <f t="shared" si="8"/>
        <v>0.48685681549816429</v>
      </c>
      <c r="AC45" s="139"/>
      <c r="AD45" s="131" t="s">
        <v>44</v>
      </c>
      <c r="AE45" s="131" t="s">
        <v>211</v>
      </c>
    </row>
    <row r="46" spans="1:31" ht="85.5" x14ac:dyDescent="0.2">
      <c r="A46" s="55">
        <v>55</v>
      </c>
      <c r="B46" s="43" t="s">
        <v>36</v>
      </c>
      <c r="C46" s="43" t="s">
        <v>66</v>
      </c>
      <c r="D46" s="43" t="s">
        <v>115</v>
      </c>
      <c r="E46" s="24" t="s">
        <v>130</v>
      </c>
      <c r="F46" s="88" t="s">
        <v>131</v>
      </c>
      <c r="G46" s="52">
        <v>2021680010200</v>
      </c>
      <c r="H46" s="72" t="s">
        <v>252</v>
      </c>
      <c r="I46" s="84" t="s">
        <v>253</v>
      </c>
      <c r="J46" s="85">
        <v>44650</v>
      </c>
      <c r="K46" s="85">
        <v>44926</v>
      </c>
      <c r="L46" s="164"/>
      <c r="M46" s="163"/>
      <c r="N46" s="182"/>
      <c r="O46" s="94" t="s">
        <v>254</v>
      </c>
      <c r="P46" s="62"/>
      <c r="Q46" s="62"/>
      <c r="R46" s="62"/>
      <c r="S46" s="62"/>
      <c r="T46" s="62">
        <v>40000000</v>
      </c>
      <c r="U46" s="134"/>
      <c r="V46" s="62"/>
      <c r="W46" s="62"/>
      <c r="X46" s="63"/>
      <c r="Y46" s="63"/>
      <c r="Z46" s="62">
        <v>40000000</v>
      </c>
      <c r="AA46" s="134"/>
      <c r="AB46" s="138"/>
      <c r="AC46" s="141"/>
      <c r="AD46" s="132"/>
      <c r="AE46" s="132"/>
    </row>
    <row r="47" spans="1:31" ht="84" customHeight="1" x14ac:dyDescent="0.2">
      <c r="A47" s="67">
        <v>55</v>
      </c>
      <c r="B47" s="43" t="s">
        <v>36</v>
      </c>
      <c r="C47" s="43" t="s">
        <v>66</v>
      </c>
      <c r="D47" s="43" t="s">
        <v>115</v>
      </c>
      <c r="E47" s="24" t="s">
        <v>130</v>
      </c>
      <c r="F47" s="88" t="s">
        <v>131</v>
      </c>
      <c r="G47" s="52">
        <v>2022680010063</v>
      </c>
      <c r="H47" s="72" t="s">
        <v>301</v>
      </c>
      <c r="I47" s="84" t="s">
        <v>253</v>
      </c>
      <c r="J47" s="85">
        <v>44804</v>
      </c>
      <c r="K47" s="85">
        <v>44926</v>
      </c>
      <c r="L47" s="151"/>
      <c r="M47" s="175"/>
      <c r="N47" s="165"/>
      <c r="O47" s="94" t="s">
        <v>268</v>
      </c>
      <c r="P47" s="98"/>
      <c r="Q47" s="62"/>
      <c r="R47" s="62"/>
      <c r="S47" s="62"/>
      <c r="T47" s="62">
        <v>200000000</v>
      </c>
      <c r="U47" s="135"/>
      <c r="V47" s="62"/>
      <c r="W47" s="62"/>
      <c r="X47" s="63"/>
      <c r="Y47" s="63"/>
      <c r="Z47" s="62"/>
      <c r="AA47" s="135"/>
      <c r="AB47" s="13" t="str">
        <f t="shared" si="8"/>
        <v>-</v>
      </c>
      <c r="AC47" s="66"/>
      <c r="AD47" s="42" t="s">
        <v>44</v>
      </c>
      <c r="AE47" s="42" t="s">
        <v>211</v>
      </c>
    </row>
    <row r="48" spans="1:31" ht="88.5" customHeight="1" x14ac:dyDescent="0.2">
      <c r="A48" s="55">
        <v>56</v>
      </c>
      <c r="B48" s="43" t="s">
        <v>36</v>
      </c>
      <c r="C48" s="43" t="s">
        <v>66</v>
      </c>
      <c r="D48" s="43" t="s">
        <v>115</v>
      </c>
      <c r="E48" s="24" t="s">
        <v>132</v>
      </c>
      <c r="F48" s="88" t="s">
        <v>133</v>
      </c>
      <c r="G48" s="52">
        <v>2020680010091</v>
      </c>
      <c r="H48" s="72" t="s">
        <v>122</v>
      </c>
      <c r="I48" s="84" t="s">
        <v>123</v>
      </c>
      <c r="J48" s="85">
        <v>44566</v>
      </c>
      <c r="K48" s="85">
        <v>44926</v>
      </c>
      <c r="L48" s="18">
        <v>1</v>
      </c>
      <c r="M48" s="21">
        <v>0.5</v>
      </c>
      <c r="N48" s="41">
        <f t="shared" ref="N48:N56" si="10">IFERROR(IF(M48/L48&gt;100%,100%,M48/L48),"-")</f>
        <v>0.5</v>
      </c>
      <c r="O48" s="95" t="s">
        <v>233</v>
      </c>
      <c r="P48" s="62"/>
      <c r="Q48" s="62">
        <v>39200000</v>
      </c>
      <c r="R48" s="62"/>
      <c r="S48" s="62"/>
      <c r="T48" s="62"/>
      <c r="U48" s="117">
        <f t="shared" ref="U48:U58" si="11">SUM(P48:T48)</f>
        <v>39200000</v>
      </c>
      <c r="V48" s="62"/>
      <c r="W48" s="62">
        <v>39200000</v>
      </c>
      <c r="X48" s="63"/>
      <c r="Y48" s="63"/>
      <c r="Z48" s="62"/>
      <c r="AA48" s="117">
        <f t="shared" ref="AA48:AA61" si="12">SUM(V48:Z48)</f>
        <v>39200000</v>
      </c>
      <c r="AB48" s="13">
        <f t="shared" si="8"/>
        <v>1</v>
      </c>
      <c r="AC48" s="14"/>
      <c r="AD48" s="42" t="s">
        <v>44</v>
      </c>
      <c r="AE48" s="42" t="s">
        <v>211</v>
      </c>
    </row>
    <row r="49" spans="1:31" ht="90.75" customHeight="1" x14ac:dyDescent="0.2">
      <c r="A49" s="55">
        <v>57</v>
      </c>
      <c r="B49" s="43" t="s">
        <v>36</v>
      </c>
      <c r="C49" s="43" t="s">
        <v>66</v>
      </c>
      <c r="D49" s="43" t="s">
        <v>115</v>
      </c>
      <c r="E49" s="24" t="s">
        <v>134</v>
      </c>
      <c r="F49" s="88" t="s">
        <v>135</v>
      </c>
      <c r="G49" s="52">
        <v>2020680010091</v>
      </c>
      <c r="H49" s="72" t="s">
        <v>122</v>
      </c>
      <c r="I49" s="84" t="s">
        <v>123</v>
      </c>
      <c r="J49" s="85">
        <v>44566</v>
      </c>
      <c r="K49" s="85">
        <v>44926</v>
      </c>
      <c r="L49" s="18">
        <v>1</v>
      </c>
      <c r="M49" s="21">
        <v>0.75</v>
      </c>
      <c r="N49" s="41">
        <f t="shared" si="10"/>
        <v>0.75</v>
      </c>
      <c r="O49" s="94" t="s">
        <v>233</v>
      </c>
      <c r="P49" s="62"/>
      <c r="Q49" s="62">
        <v>37728000</v>
      </c>
      <c r="R49" s="62"/>
      <c r="S49" s="62"/>
      <c r="T49" s="62"/>
      <c r="U49" s="117">
        <f t="shared" si="11"/>
        <v>37728000</v>
      </c>
      <c r="V49" s="62"/>
      <c r="W49" s="62">
        <v>37252800</v>
      </c>
      <c r="X49" s="63"/>
      <c r="Y49" s="63"/>
      <c r="Z49" s="63"/>
      <c r="AA49" s="117">
        <f t="shared" si="12"/>
        <v>37252800</v>
      </c>
      <c r="AB49" s="13">
        <f t="shared" si="8"/>
        <v>0.98740458015267174</v>
      </c>
      <c r="AC49" s="14"/>
      <c r="AD49" s="42" t="s">
        <v>44</v>
      </c>
      <c r="AE49" s="42" t="s">
        <v>211</v>
      </c>
    </row>
    <row r="50" spans="1:31" ht="76.5" customHeight="1" x14ac:dyDescent="0.2">
      <c r="A50" s="55">
        <v>58</v>
      </c>
      <c r="B50" s="74" t="s">
        <v>36</v>
      </c>
      <c r="C50" s="43" t="s">
        <v>66</v>
      </c>
      <c r="D50" s="43" t="s">
        <v>136</v>
      </c>
      <c r="E50" s="24" t="s">
        <v>137</v>
      </c>
      <c r="F50" s="88" t="s">
        <v>138</v>
      </c>
      <c r="G50" s="52">
        <v>2020680010138</v>
      </c>
      <c r="H50" s="89" t="s">
        <v>141</v>
      </c>
      <c r="I50" s="84" t="s">
        <v>304</v>
      </c>
      <c r="J50" s="85">
        <v>44805</v>
      </c>
      <c r="K50" s="85">
        <v>44926</v>
      </c>
      <c r="L50" s="18">
        <v>0</v>
      </c>
      <c r="M50" s="21">
        <v>0</v>
      </c>
      <c r="N50" s="41" t="str">
        <f t="shared" si="10"/>
        <v>-</v>
      </c>
      <c r="O50" s="79" t="s">
        <v>269</v>
      </c>
      <c r="P50" s="71">
        <v>47836944.369999997</v>
      </c>
      <c r="Q50" s="62"/>
      <c r="R50" s="62"/>
      <c r="S50" s="62"/>
      <c r="T50" s="71">
        <v>52163055.630000003</v>
      </c>
      <c r="U50" s="117">
        <f t="shared" si="11"/>
        <v>100000000</v>
      </c>
      <c r="V50" s="62"/>
      <c r="W50" s="62"/>
      <c r="X50" s="63"/>
      <c r="Y50" s="63"/>
      <c r="Z50" s="63"/>
      <c r="AA50" s="117">
        <f t="shared" si="12"/>
        <v>0</v>
      </c>
      <c r="AB50" s="13">
        <f t="shared" si="8"/>
        <v>0</v>
      </c>
      <c r="AC50" s="14"/>
      <c r="AD50" s="42" t="s">
        <v>44</v>
      </c>
      <c r="AE50" s="42" t="s">
        <v>211</v>
      </c>
    </row>
    <row r="51" spans="1:31" ht="114" x14ac:dyDescent="0.2">
      <c r="A51" s="55">
        <v>59</v>
      </c>
      <c r="B51" s="43" t="s">
        <v>36</v>
      </c>
      <c r="C51" s="43" t="s">
        <v>66</v>
      </c>
      <c r="D51" s="43" t="s">
        <v>136</v>
      </c>
      <c r="E51" s="24" t="s">
        <v>139</v>
      </c>
      <c r="F51" s="88" t="s">
        <v>140</v>
      </c>
      <c r="G51" s="52">
        <v>2020680010138</v>
      </c>
      <c r="H51" s="72" t="s">
        <v>141</v>
      </c>
      <c r="I51" s="84" t="s">
        <v>142</v>
      </c>
      <c r="J51" s="85">
        <v>44566</v>
      </c>
      <c r="K51" s="85">
        <v>44926</v>
      </c>
      <c r="L51" s="27">
        <v>37500</v>
      </c>
      <c r="M51" s="19">
        <f>5+2886+3226+1875+2290+2595+2892+753+3323</f>
        <v>19845</v>
      </c>
      <c r="N51" s="45">
        <f t="shared" si="10"/>
        <v>0.5292</v>
      </c>
      <c r="O51" s="95" t="s">
        <v>245</v>
      </c>
      <c r="P51" s="62">
        <v>385941000</v>
      </c>
      <c r="Q51" s="62">
        <v>20000000</v>
      </c>
      <c r="R51" s="62"/>
      <c r="S51" s="62"/>
      <c r="T51" s="62"/>
      <c r="U51" s="117">
        <f t="shared" si="11"/>
        <v>405941000</v>
      </c>
      <c r="V51" s="62">
        <f>296022000+68787367+7371366.67+7175667</f>
        <v>379356400.67000002</v>
      </c>
      <c r="W51" s="62">
        <v>20000000</v>
      </c>
      <c r="X51" s="63"/>
      <c r="Y51" s="63"/>
      <c r="Z51" s="63"/>
      <c r="AA51" s="117">
        <f t="shared" si="12"/>
        <v>399356400.67000002</v>
      </c>
      <c r="AB51" s="13">
        <f>IFERROR(AA51/U51,"-")</f>
        <v>0.98377941787106993</v>
      </c>
      <c r="AC51" s="17"/>
      <c r="AD51" s="40" t="s">
        <v>44</v>
      </c>
      <c r="AE51" s="40" t="s">
        <v>211</v>
      </c>
    </row>
    <row r="52" spans="1:31" ht="56.25" customHeight="1" x14ac:dyDescent="0.2">
      <c r="A52" s="55">
        <v>60</v>
      </c>
      <c r="B52" s="43" t="s">
        <v>36</v>
      </c>
      <c r="C52" s="43" t="s">
        <v>66</v>
      </c>
      <c r="D52" s="43" t="s">
        <v>136</v>
      </c>
      <c r="E52" s="24" t="s">
        <v>143</v>
      </c>
      <c r="F52" s="88" t="s">
        <v>144</v>
      </c>
      <c r="G52" s="52">
        <v>2020680010138</v>
      </c>
      <c r="H52" s="72" t="s">
        <v>141</v>
      </c>
      <c r="I52" s="84" t="s">
        <v>145</v>
      </c>
      <c r="J52" s="85">
        <v>44566</v>
      </c>
      <c r="K52" s="85">
        <v>44926</v>
      </c>
      <c r="L52" s="27">
        <v>7200</v>
      </c>
      <c r="M52" s="19">
        <f>680+1026+753+1075+856+838+136+897</f>
        <v>6261</v>
      </c>
      <c r="N52" s="41">
        <f t="shared" si="10"/>
        <v>0.86958333333333337</v>
      </c>
      <c r="O52" s="95" t="s">
        <v>246</v>
      </c>
      <c r="P52" s="62">
        <v>556316722</v>
      </c>
      <c r="Q52" s="62"/>
      <c r="R52" s="62"/>
      <c r="S52" s="62"/>
      <c r="T52" s="62">
        <v>8464748</v>
      </c>
      <c r="U52" s="117">
        <f t="shared" si="11"/>
        <v>564781470</v>
      </c>
      <c r="V52" s="62">
        <f>132870000+95814033.67+70658000</f>
        <v>299342033.67000002</v>
      </c>
      <c r="W52" s="62"/>
      <c r="X52" s="63"/>
      <c r="Y52" s="63"/>
      <c r="Z52" s="63"/>
      <c r="AA52" s="117">
        <f t="shared" si="12"/>
        <v>299342033.67000002</v>
      </c>
      <c r="AB52" s="13">
        <f>IFERROR(AA52/U52,"-")</f>
        <v>0.53001390727284314</v>
      </c>
      <c r="AC52" s="17"/>
      <c r="AD52" s="40" t="s">
        <v>44</v>
      </c>
      <c r="AE52" s="42" t="s">
        <v>211</v>
      </c>
    </row>
    <row r="53" spans="1:31" ht="57" x14ac:dyDescent="0.2">
      <c r="A53" s="55">
        <v>61</v>
      </c>
      <c r="B53" s="43" t="s">
        <v>36</v>
      </c>
      <c r="C53" s="43" t="s">
        <v>66</v>
      </c>
      <c r="D53" s="43" t="s">
        <v>136</v>
      </c>
      <c r="E53" s="24" t="s">
        <v>146</v>
      </c>
      <c r="F53" s="88" t="s">
        <v>147</v>
      </c>
      <c r="G53" s="52">
        <v>2020680010138</v>
      </c>
      <c r="H53" s="72" t="s">
        <v>141</v>
      </c>
      <c r="I53" s="84" t="s">
        <v>148</v>
      </c>
      <c r="J53" s="85">
        <v>44566</v>
      </c>
      <c r="K53" s="85">
        <v>44926</v>
      </c>
      <c r="L53" s="27">
        <v>12000</v>
      </c>
      <c r="M53" s="19">
        <f>8863+673+445+294+649+514+402</f>
        <v>11840</v>
      </c>
      <c r="N53" s="41">
        <f t="shared" si="10"/>
        <v>0.98666666666666669</v>
      </c>
      <c r="O53" s="95" t="s">
        <v>247</v>
      </c>
      <c r="P53" s="62">
        <v>186945000</v>
      </c>
      <c r="Q53" s="62">
        <v>90000000</v>
      </c>
      <c r="R53" s="62"/>
      <c r="S53" s="62"/>
      <c r="T53" s="62"/>
      <c r="U53" s="117">
        <f t="shared" si="11"/>
        <v>276945000</v>
      </c>
      <c r="V53" s="62">
        <f>101970000+64300000+13200000</f>
        <v>179470000</v>
      </c>
      <c r="W53" s="62">
        <v>90000000</v>
      </c>
      <c r="X53" s="63"/>
      <c r="Y53" s="63"/>
      <c r="Z53" s="63"/>
      <c r="AA53" s="117">
        <f t="shared" si="12"/>
        <v>269470000</v>
      </c>
      <c r="AB53" s="13">
        <f>IFERROR(AA53/U53,"-")</f>
        <v>0.97300908122551411</v>
      </c>
      <c r="AC53" s="14"/>
      <c r="AD53" s="42" t="s">
        <v>44</v>
      </c>
      <c r="AE53" s="42" t="s">
        <v>211</v>
      </c>
    </row>
    <row r="54" spans="1:31" ht="76.5" customHeight="1" x14ac:dyDescent="0.2">
      <c r="A54" s="55">
        <v>62</v>
      </c>
      <c r="B54" s="43" t="s">
        <v>36</v>
      </c>
      <c r="C54" s="43" t="s">
        <v>66</v>
      </c>
      <c r="D54" s="43" t="s">
        <v>136</v>
      </c>
      <c r="E54" s="24" t="s">
        <v>149</v>
      </c>
      <c r="F54" s="88" t="s">
        <v>150</v>
      </c>
      <c r="G54" s="52">
        <v>2020680010138</v>
      </c>
      <c r="H54" s="72" t="s">
        <v>141</v>
      </c>
      <c r="I54" s="84" t="s">
        <v>307</v>
      </c>
      <c r="J54" s="85">
        <v>44566</v>
      </c>
      <c r="K54" s="85">
        <v>44926</v>
      </c>
      <c r="L54" s="18">
        <v>1</v>
      </c>
      <c r="M54" s="19">
        <v>1</v>
      </c>
      <c r="N54" s="41">
        <f t="shared" si="10"/>
        <v>1</v>
      </c>
      <c r="O54" s="95" t="s">
        <v>247</v>
      </c>
      <c r="P54" s="62">
        <v>90640000</v>
      </c>
      <c r="Q54" s="62">
        <v>100000000</v>
      </c>
      <c r="R54" s="62"/>
      <c r="S54" s="62"/>
      <c r="T54" s="62"/>
      <c r="U54" s="117">
        <f t="shared" si="11"/>
        <v>190640000</v>
      </c>
      <c r="V54" s="62">
        <f>49440000+16480000+13733333.33</f>
        <v>79653333.329999998</v>
      </c>
      <c r="W54" s="62">
        <v>100000000</v>
      </c>
      <c r="X54" s="63"/>
      <c r="Y54" s="63"/>
      <c r="Z54" s="63"/>
      <c r="AA54" s="117">
        <f t="shared" si="12"/>
        <v>179653333.32999998</v>
      </c>
      <c r="AB54" s="13">
        <f>IFERROR(AA54/U54,"-")</f>
        <v>0.94236956215904311</v>
      </c>
      <c r="AC54" s="17"/>
      <c r="AD54" s="40" t="s">
        <v>44</v>
      </c>
      <c r="AE54" s="40" t="s">
        <v>211</v>
      </c>
    </row>
    <row r="55" spans="1:31" ht="66" customHeight="1" x14ac:dyDescent="0.2">
      <c r="A55" s="55">
        <v>63</v>
      </c>
      <c r="B55" s="43" t="s">
        <v>36</v>
      </c>
      <c r="C55" s="43" t="s">
        <v>66</v>
      </c>
      <c r="D55" s="43" t="s">
        <v>136</v>
      </c>
      <c r="E55" s="24" t="s">
        <v>151</v>
      </c>
      <c r="F55" s="88" t="s">
        <v>152</v>
      </c>
      <c r="G55" s="54">
        <v>2021680010186</v>
      </c>
      <c r="H55" s="89" t="s">
        <v>256</v>
      </c>
      <c r="I55" s="84" t="s">
        <v>257</v>
      </c>
      <c r="J55" s="85">
        <v>44566</v>
      </c>
      <c r="K55" s="85">
        <v>44742</v>
      </c>
      <c r="L55" s="11">
        <v>0</v>
      </c>
      <c r="M55" s="12">
        <v>0.17</v>
      </c>
      <c r="N55" s="41" t="str">
        <f t="shared" si="10"/>
        <v>-</v>
      </c>
      <c r="O55" s="95" t="s">
        <v>255</v>
      </c>
      <c r="P55" s="62">
        <v>149870193</v>
      </c>
      <c r="Q55" s="62"/>
      <c r="R55" s="62"/>
      <c r="S55" s="62"/>
      <c r="T55" s="62"/>
      <c r="U55" s="117">
        <f t="shared" si="11"/>
        <v>149870193</v>
      </c>
      <c r="V55" s="71">
        <v>149870193</v>
      </c>
      <c r="W55" s="62"/>
      <c r="X55" s="63"/>
      <c r="Y55" s="63"/>
      <c r="Z55" s="63"/>
      <c r="AA55" s="117">
        <f t="shared" si="12"/>
        <v>149870193</v>
      </c>
      <c r="AB55" s="13">
        <f t="shared" ref="AB55:AB65" si="13">IFERROR(AA55/U55,"-")</f>
        <v>1</v>
      </c>
      <c r="AC55" s="14"/>
      <c r="AD55" s="42" t="s">
        <v>44</v>
      </c>
      <c r="AE55" s="42" t="s">
        <v>211</v>
      </c>
    </row>
    <row r="56" spans="1:31" ht="56.25" customHeight="1" x14ac:dyDescent="0.2">
      <c r="A56" s="55">
        <v>64</v>
      </c>
      <c r="B56" s="43" t="s">
        <v>36</v>
      </c>
      <c r="C56" s="43" t="s">
        <v>66</v>
      </c>
      <c r="D56" s="43" t="s">
        <v>153</v>
      </c>
      <c r="E56" s="24" t="s">
        <v>154</v>
      </c>
      <c r="F56" s="88" t="s">
        <v>155</v>
      </c>
      <c r="G56" s="52">
        <v>2020680010103</v>
      </c>
      <c r="H56" s="72" t="s">
        <v>156</v>
      </c>
      <c r="I56" s="90" t="s">
        <v>157</v>
      </c>
      <c r="J56" s="92">
        <v>44566</v>
      </c>
      <c r="K56" s="92">
        <v>44926</v>
      </c>
      <c r="L56" s="164">
        <v>2</v>
      </c>
      <c r="M56" s="163">
        <v>2</v>
      </c>
      <c r="N56" s="182">
        <f t="shared" si="10"/>
        <v>1</v>
      </c>
      <c r="O56" s="113" t="s">
        <v>249</v>
      </c>
      <c r="P56" s="114"/>
      <c r="Q56" s="80">
        <v>95275000</v>
      </c>
      <c r="R56" s="80"/>
      <c r="S56" s="62"/>
      <c r="T56" s="62"/>
      <c r="U56" s="117">
        <f t="shared" si="11"/>
        <v>95275000</v>
      </c>
      <c r="V56" s="97"/>
      <c r="W56" s="71">
        <v>95225216.670000002</v>
      </c>
      <c r="X56" s="97"/>
      <c r="Y56" s="97"/>
      <c r="Z56" s="97"/>
      <c r="AA56" s="117">
        <f t="shared" si="12"/>
        <v>95225216.670000002</v>
      </c>
      <c r="AB56" s="136">
        <f t="shared" si="13"/>
        <v>0.99947747751246396</v>
      </c>
      <c r="AC56" s="139"/>
      <c r="AD56" s="131" t="s">
        <v>44</v>
      </c>
      <c r="AE56" s="131" t="s">
        <v>211</v>
      </c>
    </row>
    <row r="57" spans="1:31" ht="54" customHeight="1" x14ac:dyDescent="0.2">
      <c r="A57" s="67">
        <v>64</v>
      </c>
      <c r="B57" s="43" t="s">
        <v>36</v>
      </c>
      <c r="C57" s="43" t="s">
        <v>66</v>
      </c>
      <c r="D57" s="43" t="s">
        <v>153</v>
      </c>
      <c r="E57" s="24" t="s">
        <v>154</v>
      </c>
      <c r="F57" s="88" t="s">
        <v>155</v>
      </c>
      <c r="G57" s="52">
        <v>2020680010103</v>
      </c>
      <c r="H57" s="72" t="s">
        <v>156</v>
      </c>
      <c r="I57" s="86" t="s">
        <v>265</v>
      </c>
      <c r="J57" s="85"/>
      <c r="K57" s="85"/>
      <c r="L57" s="151"/>
      <c r="M57" s="175"/>
      <c r="N57" s="165"/>
      <c r="O57" s="94" t="s">
        <v>272</v>
      </c>
      <c r="P57" s="63"/>
      <c r="Q57" s="62"/>
      <c r="R57" s="62"/>
      <c r="S57" s="62"/>
      <c r="T57" s="62">
        <v>53000000</v>
      </c>
      <c r="U57" s="117">
        <f t="shared" si="11"/>
        <v>53000000</v>
      </c>
      <c r="V57" s="97"/>
      <c r="W57" s="71"/>
      <c r="X57" s="97"/>
      <c r="Y57" s="97"/>
      <c r="Z57" s="97"/>
      <c r="AA57" s="117">
        <f t="shared" si="12"/>
        <v>0</v>
      </c>
      <c r="AB57" s="138"/>
      <c r="AC57" s="141"/>
      <c r="AD57" s="132"/>
      <c r="AE57" s="132"/>
    </row>
    <row r="58" spans="1:31" ht="63.75" customHeight="1" x14ac:dyDescent="0.2">
      <c r="A58" s="55">
        <v>65</v>
      </c>
      <c r="B58" s="43" t="s">
        <v>36</v>
      </c>
      <c r="C58" s="43" t="s">
        <v>66</v>
      </c>
      <c r="D58" s="43" t="s">
        <v>153</v>
      </c>
      <c r="E58" s="24" t="s">
        <v>158</v>
      </c>
      <c r="F58" s="88" t="s">
        <v>159</v>
      </c>
      <c r="G58" s="52">
        <v>2020680010103</v>
      </c>
      <c r="H58" s="72" t="s">
        <v>156</v>
      </c>
      <c r="I58" s="84" t="s">
        <v>160</v>
      </c>
      <c r="J58" s="85">
        <v>44566</v>
      </c>
      <c r="K58" s="85">
        <v>44926</v>
      </c>
      <c r="L58" s="18">
        <v>1</v>
      </c>
      <c r="M58" s="19">
        <v>1</v>
      </c>
      <c r="N58" s="41">
        <f>IFERROR(IF(M58/L58&gt;100%,100%,M58/L58),"-")</f>
        <v>1</v>
      </c>
      <c r="O58" s="95" t="s">
        <v>239</v>
      </c>
      <c r="P58" s="62">
        <v>197760000</v>
      </c>
      <c r="Q58" s="63"/>
      <c r="R58" s="62"/>
      <c r="S58" s="62"/>
      <c r="T58" s="62"/>
      <c r="U58" s="117">
        <f t="shared" si="11"/>
        <v>197760000</v>
      </c>
      <c r="V58" s="71">
        <f>98880000+65920000</f>
        <v>164800000</v>
      </c>
      <c r="W58" s="97"/>
      <c r="X58" s="97"/>
      <c r="Y58" s="97"/>
      <c r="Z58" s="97"/>
      <c r="AA58" s="117">
        <f t="shared" si="12"/>
        <v>164800000</v>
      </c>
      <c r="AB58" s="13">
        <f t="shared" si="13"/>
        <v>0.83333333333333337</v>
      </c>
      <c r="AC58" s="14"/>
      <c r="AD58" s="42" t="s">
        <v>44</v>
      </c>
      <c r="AE58" s="42" t="s">
        <v>211</v>
      </c>
    </row>
    <row r="59" spans="1:31" ht="57" x14ac:dyDescent="0.2">
      <c r="A59" s="55">
        <v>66</v>
      </c>
      <c r="B59" s="43" t="s">
        <v>36</v>
      </c>
      <c r="C59" s="43" t="s">
        <v>66</v>
      </c>
      <c r="D59" s="43" t="s">
        <v>161</v>
      </c>
      <c r="E59" s="24" t="s">
        <v>162</v>
      </c>
      <c r="F59" s="88" t="s">
        <v>163</v>
      </c>
      <c r="G59" s="53">
        <v>2020680010142</v>
      </c>
      <c r="H59" s="72" t="s">
        <v>164</v>
      </c>
      <c r="I59" s="84" t="s">
        <v>165</v>
      </c>
      <c r="J59" s="85">
        <v>44566</v>
      </c>
      <c r="K59" s="85">
        <v>44926</v>
      </c>
      <c r="L59" s="160">
        <v>1</v>
      </c>
      <c r="M59" s="158">
        <v>0.67</v>
      </c>
      <c r="N59" s="156">
        <f>IFERROR(IF(M59/L59&gt;100%,100%,M59/L59),"-")</f>
        <v>0.67</v>
      </c>
      <c r="O59" s="94" t="s">
        <v>236</v>
      </c>
      <c r="P59" s="62"/>
      <c r="Q59" s="62">
        <v>72512000</v>
      </c>
      <c r="R59" s="62"/>
      <c r="S59" s="62"/>
      <c r="T59" s="62"/>
      <c r="U59" s="133">
        <f>SUM(P59:T60)</f>
        <v>372512000</v>
      </c>
      <c r="V59" s="62"/>
      <c r="W59" s="71">
        <f>39552000+28239166.67</f>
        <v>67791166.670000002</v>
      </c>
      <c r="X59" s="63"/>
      <c r="Y59" s="63"/>
      <c r="Z59" s="63"/>
      <c r="AA59" s="133">
        <f>SUM(V59:Z60)</f>
        <v>67791166.670000002</v>
      </c>
      <c r="AB59" s="136">
        <f t="shared" ref="AB59" si="14">IFERROR(AA59/U59,"-")</f>
        <v>0.18198384661433725</v>
      </c>
      <c r="AC59" s="139"/>
      <c r="AD59" s="131" t="s">
        <v>44</v>
      </c>
      <c r="AE59" s="131" t="s">
        <v>211</v>
      </c>
    </row>
    <row r="60" spans="1:31" ht="90" customHeight="1" x14ac:dyDescent="0.2">
      <c r="A60" s="67">
        <v>66</v>
      </c>
      <c r="B60" s="43" t="s">
        <v>36</v>
      </c>
      <c r="C60" s="43" t="s">
        <v>66</v>
      </c>
      <c r="D60" s="43" t="s">
        <v>161</v>
      </c>
      <c r="E60" s="24" t="s">
        <v>162</v>
      </c>
      <c r="F60" s="88" t="s">
        <v>163</v>
      </c>
      <c r="G60" s="53">
        <v>2022680010065</v>
      </c>
      <c r="H60" s="72" t="s">
        <v>302</v>
      </c>
      <c r="I60" s="86" t="s">
        <v>303</v>
      </c>
      <c r="J60" s="85">
        <v>44804</v>
      </c>
      <c r="K60" s="85">
        <v>44926</v>
      </c>
      <c r="L60" s="161"/>
      <c r="M60" s="159"/>
      <c r="N60" s="165"/>
      <c r="O60" s="94" t="s">
        <v>271</v>
      </c>
      <c r="P60" s="71">
        <v>256849016.47</v>
      </c>
      <c r="Q60" s="62"/>
      <c r="R60" s="62"/>
      <c r="S60" s="62"/>
      <c r="T60" s="62">
        <v>43150983.530000001</v>
      </c>
      <c r="U60" s="135"/>
      <c r="V60" s="62"/>
      <c r="W60" s="62"/>
      <c r="X60" s="63"/>
      <c r="Y60" s="63"/>
      <c r="Z60" s="63"/>
      <c r="AA60" s="135"/>
      <c r="AB60" s="138"/>
      <c r="AC60" s="141"/>
      <c r="AD60" s="132"/>
      <c r="AE60" s="132"/>
    </row>
    <row r="61" spans="1:31" ht="57" x14ac:dyDescent="0.2">
      <c r="A61" s="55">
        <v>151</v>
      </c>
      <c r="B61" s="43" t="s">
        <v>166</v>
      </c>
      <c r="C61" s="43" t="s">
        <v>167</v>
      </c>
      <c r="D61" s="46" t="s">
        <v>168</v>
      </c>
      <c r="E61" s="24" t="s">
        <v>169</v>
      </c>
      <c r="F61" s="88" t="s">
        <v>170</v>
      </c>
      <c r="G61" s="52">
        <v>2020680010112</v>
      </c>
      <c r="H61" s="72" t="s">
        <v>171</v>
      </c>
      <c r="I61" s="84" t="s">
        <v>172</v>
      </c>
      <c r="J61" s="85">
        <v>44566</v>
      </c>
      <c r="K61" s="85">
        <v>44926</v>
      </c>
      <c r="L61" s="18">
        <v>1</v>
      </c>
      <c r="M61" s="58">
        <v>0.71230000000000004</v>
      </c>
      <c r="N61" s="41">
        <f>IFERROR(IF(M61/L61&gt;100%,100%,M61/L61),"-")</f>
        <v>0.71230000000000004</v>
      </c>
      <c r="O61" s="95" t="s">
        <v>231</v>
      </c>
      <c r="P61" s="62">
        <v>233500000</v>
      </c>
      <c r="Q61" s="62"/>
      <c r="R61" s="62"/>
      <c r="S61" s="62"/>
      <c r="T61" s="62"/>
      <c r="U61" s="118">
        <f>SUM(P61:T61)</f>
        <v>233500000</v>
      </c>
      <c r="V61" s="71">
        <f>123000000+101683333.33-18000000</f>
        <v>206683333.32999998</v>
      </c>
      <c r="W61" s="62"/>
      <c r="X61" s="63"/>
      <c r="Y61" s="63"/>
      <c r="Z61" s="63"/>
      <c r="AA61" s="118">
        <f t="shared" si="12"/>
        <v>206683333.32999998</v>
      </c>
      <c r="AB61" s="13">
        <f t="shared" si="13"/>
        <v>0.88515346179871512</v>
      </c>
      <c r="AC61" s="14"/>
      <c r="AD61" s="42" t="s">
        <v>44</v>
      </c>
      <c r="AE61" s="42" t="s">
        <v>211</v>
      </c>
    </row>
    <row r="62" spans="1:31" ht="57" x14ac:dyDescent="0.2">
      <c r="A62" s="55">
        <v>152</v>
      </c>
      <c r="B62" s="43" t="s">
        <v>166</v>
      </c>
      <c r="C62" s="43" t="s">
        <v>167</v>
      </c>
      <c r="D62" s="46" t="s">
        <v>168</v>
      </c>
      <c r="E62" s="24" t="s">
        <v>173</v>
      </c>
      <c r="F62" s="88" t="s">
        <v>174</v>
      </c>
      <c r="G62" s="52">
        <v>2020680010112</v>
      </c>
      <c r="H62" s="72" t="s">
        <v>171</v>
      </c>
      <c r="I62" s="84" t="s">
        <v>175</v>
      </c>
      <c r="J62" s="85">
        <v>44566</v>
      </c>
      <c r="K62" s="85">
        <v>44926</v>
      </c>
      <c r="L62" s="150">
        <v>1</v>
      </c>
      <c r="M62" s="152">
        <v>0.73740000000000006</v>
      </c>
      <c r="N62" s="156">
        <f>IFERROR(IF(M62/L62&gt;100%,100%,M62/L62),"-")</f>
        <v>0.73740000000000006</v>
      </c>
      <c r="O62" s="94" t="s">
        <v>279</v>
      </c>
      <c r="P62" s="62">
        <v>145450000</v>
      </c>
      <c r="Q62" s="62"/>
      <c r="R62" s="62"/>
      <c r="S62" s="62"/>
      <c r="T62" s="62">
        <v>30000000</v>
      </c>
      <c r="U62" s="133">
        <f>SUM(P62:T63)</f>
        <v>559100000</v>
      </c>
      <c r="V62" s="71">
        <f>86400000+57716666.66</f>
        <v>144116666.66</v>
      </c>
      <c r="W62" s="62"/>
      <c r="X62" s="63"/>
      <c r="Y62" s="63"/>
      <c r="Z62" s="102">
        <v>23470405</v>
      </c>
      <c r="AA62" s="133">
        <f>SUM(V62:Z63)</f>
        <v>205587071.66</v>
      </c>
      <c r="AB62" s="136">
        <f t="shared" si="13"/>
        <v>0.36771073450187802</v>
      </c>
      <c r="AC62" s="139"/>
      <c r="AD62" s="131" t="s">
        <v>44</v>
      </c>
      <c r="AE62" s="131" t="s">
        <v>211</v>
      </c>
    </row>
    <row r="63" spans="1:31" ht="57" x14ac:dyDescent="0.2">
      <c r="A63" s="55">
        <v>152</v>
      </c>
      <c r="B63" s="43" t="s">
        <v>166</v>
      </c>
      <c r="C63" s="43" t="s">
        <v>167</v>
      </c>
      <c r="D63" s="46" t="s">
        <v>168</v>
      </c>
      <c r="E63" s="24" t="s">
        <v>173</v>
      </c>
      <c r="F63" s="88" t="s">
        <v>174</v>
      </c>
      <c r="G63" s="52">
        <v>2021680010216</v>
      </c>
      <c r="H63" s="72" t="s">
        <v>223</v>
      </c>
      <c r="I63" s="84" t="s">
        <v>175</v>
      </c>
      <c r="J63" s="85">
        <v>44566</v>
      </c>
      <c r="K63" s="85">
        <v>44926</v>
      </c>
      <c r="L63" s="151"/>
      <c r="M63" s="153"/>
      <c r="N63" s="165"/>
      <c r="O63" s="94" t="s">
        <v>281</v>
      </c>
      <c r="P63" s="62">
        <v>383650000</v>
      </c>
      <c r="Q63" s="62"/>
      <c r="R63" s="62"/>
      <c r="S63" s="62"/>
      <c r="T63" s="62"/>
      <c r="U63" s="135"/>
      <c r="V63" s="62">
        <f>22800000+15200000</f>
        <v>38000000</v>
      </c>
      <c r="W63" s="62"/>
      <c r="X63" s="63"/>
      <c r="Y63" s="63"/>
      <c r="Z63" s="63"/>
      <c r="AA63" s="135"/>
      <c r="AB63" s="138"/>
      <c r="AC63" s="141"/>
      <c r="AD63" s="132"/>
      <c r="AE63" s="132"/>
    </row>
    <row r="64" spans="1:31" ht="78.75" customHeight="1" x14ac:dyDescent="0.2">
      <c r="A64" s="55">
        <v>153</v>
      </c>
      <c r="B64" s="43" t="s">
        <v>166</v>
      </c>
      <c r="C64" s="43" t="s">
        <v>167</v>
      </c>
      <c r="D64" s="46" t="s">
        <v>168</v>
      </c>
      <c r="E64" s="24" t="s">
        <v>176</v>
      </c>
      <c r="F64" s="88" t="s">
        <v>177</v>
      </c>
      <c r="G64" s="52">
        <v>2020680010112</v>
      </c>
      <c r="H64" s="72" t="s">
        <v>171</v>
      </c>
      <c r="I64" s="84" t="s">
        <v>178</v>
      </c>
      <c r="J64" s="85">
        <v>44566</v>
      </c>
      <c r="K64" s="85">
        <v>44926</v>
      </c>
      <c r="L64" s="18">
        <v>1</v>
      </c>
      <c r="M64" s="21">
        <v>0.68</v>
      </c>
      <c r="N64" s="41">
        <f>IFERROR(IF(M64/L64&gt;100%,100%,M64/L64),"-")</f>
        <v>0.68</v>
      </c>
      <c r="O64" s="95" t="s">
        <v>231</v>
      </c>
      <c r="P64" s="62">
        <v>33000000</v>
      </c>
      <c r="Q64" s="62"/>
      <c r="R64" s="62"/>
      <c r="S64" s="62"/>
      <c r="T64" s="62"/>
      <c r="U64" s="117">
        <f>SUM(P64:T64)</f>
        <v>33000000</v>
      </c>
      <c r="V64" s="62">
        <f>18000000+10500000</f>
        <v>28500000</v>
      </c>
      <c r="W64" s="62"/>
      <c r="X64" s="63"/>
      <c r="Y64" s="63"/>
      <c r="Z64" s="63"/>
      <c r="AA64" s="117">
        <f>SUM(V64:Z64)</f>
        <v>28500000</v>
      </c>
      <c r="AB64" s="13">
        <f t="shared" si="13"/>
        <v>0.86363636363636365</v>
      </c>
      <c r="AC64" s="14"/>
      <c r="AD64" s="42" t="s">
        <v>44</v>
      </c>
      <c r="AE64" s="42" t="s">
        <v>211</v>
      </c>
    </row>
    <row r="65" spans="1:31" ht="57" x14ac:dyDescent="0.2">
      <c r="A65" s="55">
        <v>154</v>
      </c>
      <c r="B65" s="43" t="s">
        <v>166</v>
      </c>
      <c r="C65" s="43" t="s">
        <v>167</v>
      </c>
      <c r="D65" s="46" t="s">
        <v>168</v>
      </c>
      <c r="E65" s="24" t="s">
        <v>179</v>
      </c>
      <c r="F65" s="88" t="s">
        <v>180</v>
      </c>
      <c r="G65" s="52">
        <v>2020680010112</v>
      </c>
      <c r="H65" s="72" t="s">
        <v>171</v>
      </c>
      <c r="I65" s="84" t="s">
        <v>181</v>
      </c>
      <c r="J65" s="85">
        <v>44566</v>
      </c>
      <c r="K65" s="85">
        <v>44926</v>
      </c>
      <c r="L65" s="73">
        <v>1</v>
      </c>
      <c r="M65" s="21">
        <v>0.71230000000000004</v>
      </c>
      <c r="N65" s="41">
        <f>IFERROR(IF(M65/L65&gt;100%,100%,M65/L65),"-")</f>
        <v>0.71230000000000004</v>
      </c>
      <c r="O65" s="94" t="s">
        <v>280</v>
      </c>
      <c r="P65" s="62">
        <v>166750000</v>
      </c>
      <c r="Q65" s="62"/>
      <c r="R65" s="62"/>
      <c r="S65" s="62"/>
      <c r="T65" s="62"/>
      <c r="U65" s="117">
        <f>SUM(P65:T65)</f>
        <v>166750000</v>
      </c>
      <c r="V65" s="71">
        <v>150766666.66999999</v>
      </c>
      <c r="W65" s="62"/>
      <c r="X65" s="63"/>
      <c r="Y65" s="63"/>
      <c r="Z65" s="63"/>
      <c r="AA65" s="117">
        <f>SUM(V65:Z65)</f>
        <v>150766666.66999999</v>
      </c>
      <c r="AB65" s="13">
        <f t="shared" si="13"/>
        <v>0.90414792605697147</v>
      </c>
      <c r="AC65" s="14"/>
      <c r="AD65" s="42" t="s">
        <v>44</v>
      </c>
      <c r="AE65" s="42" t="s">
        <v>211</v>
      </c>
    </row>
    <row r="66" spans="1:31" ht="120" customHeight="1" x14ac:dyDescent="0.2">
      <c r="A66" s="55">
        <v>155</v>
      </c>
      <c r="B66" s="43" t="s">
        <v>166</v>
      </c>
      <c r="C66" s="43" t="s">
        <v>167</v>
      </c>
      <c r="D66" s="43" t="s">
        <v>182</v>
      </c>
      <c r="E66" s="24" t="s">
        <v>183</v>
      </c>
      <c r="F66" s="88" t="s">
        <v>184</v>
      </c>
      <c r="G66" s="53">
        <v>2021680010014</v>
      </c>
      <c r="H66" s="46" t="s">
        <v>185</v>
      </c>
      <c r="I66" s="46" t="s">
        <v>186</v>
      </c>
      <c r="J66" s="85">
        <v>44566</v>
      </c>
      <c r="K66" s="85">
        <v>44926</v>
      </c>
      <c r="L66" s="18">
        <v>1</v>
      </c>
      <c r="M66" s="21">
        <v>0.67</v>
      </c>
      <c r="N66" s="41">
        <f>IFERROR(IF(M66/L66&gt;100%,100%,M66/L66),"-")</f>
        <v>0.67</v>
      </c>
      <c r="O66" s="94" t="s">
        <v>282</v>
      </c>
      <c r="P66" s="62">
        <f>177050000+110081084</f>
        <v>287131084</v>
      </c>
      <c r="Q66" s="62"/>
      <c r="R66" s="62"/>
      <c r="S66" s="62"/>
      <c r="T66" s="62"/>
      <c r="U66" s="117">
        <f>SUM(P66:T66)</f>
        <v>287131084</v>
      </c>
      <c r="V66" s="62">
        <f>100800000+60250000</f>
        <v>161050000</v>
      </c>
      <c r="W66" s="62"/>
      <c r="X66" s="62"/>
      <c r="Y66" s="62"/>
      <c r="Z66" s="62"/>
      <c r="AA66" s="117">
        <f>SUM(V66:Z66)</f>
        <v>161050000</v>
      </c>
      <c r="AB66" s="13">
        <f t="shared" ref="AB66:AB75" si="15">IFERROR(AA66/U66,"-")</f>
        <v>0.5608936439636748</v>
      </c>
      <c r="AC66" s="14"/>
      <c r="AD66" s="42" t="s">
        <v>44</v>
      </c>
      <c r="AE66" s="42" t="s">
        <v>211</v>
      </c>
    </row>
    <row r="67" spans="1:31" ht="103.5" customHeight="1" x14ac:dyDescent="0.2">
      <c r="A67" s="55">
        <v>156</v>
      </c>
      <c r="B67" s="43" t="s">
        <v>166</v>
      </c>
      <c r="C67" s="43" t="s">
        <v>187</v>
      </c>
      <c r="D67" s="43" t="s">
        <v>188</v>
      </c>
      <c r="E67" s="24" t="s">
        <v>189</v>
      </c>
      <c r="F67" s="88" t="s">
        <v>190</v>
      </c>
      <c r="G67" s="52">
        <v>2021680010007</v>
      </c>
      <c r="H67" s="84" t="s">
        <v>191</v>
      </c>
      <c r="I67" s="84" t="s">
        <v>192</v>
      </c>
      <c r="J67" s="85">
        <v>44566</v>
      </c>
      <c r="K67" s="85">
        <v>44926</v>
      </c>
      <c r="L67" s="18">
        <v>1</v>
      </c>
      <c r="M67" s="21">
        <v>0.78600000000000003</v>
      </c>
      <c r="N67" s="41">
        <f>IFERROR(IF(M67/L67&gt;100%,100%,M67/L67),"-")</f>
        <v>0.78600000000000003</v>
      </c>
      <c r="O67" s="94" t="s">
        <v>288</v>
      </c>
      <c r="P67" s="71">
        <v>6343008861.6499996</v>
      </c>
      <c r="Q67" s="62"/>
      <c r="R67" s="62"/>
      <c r="S67" s="62"/>
      <c r="T67" s="62"/>
      <c r="U67" s="117">
        <f>SUM(P67:T67)</f>
        <v>6343008861.6499996</v>
      </c>
      <c r="V67" s="71">
        <v>1129803751.0799999</v>
      </c>
      <c r="W67" s="63"/>
      <c r="X67" s="63"/>
      <c r="Y67" s="63"/>
      <c r="Z67" s="63"/>
      <c r="AA67" s="117">
        <f>SUM(V67:Z67)</f>
        <v>1129803751.0799999</v>
      </c>
      <c r="AB67" s="13">
        <f t="shared" si="15"/>
        <v>0.17811795249267637</v>
      </c>
      <c r="AC67" s="14"/>
      <c r="AD67" s="42" t="s">
        <v>44</v>
      </c>
      <c r="AE67" s="42" t="s">
        <v>211</v>
      </c>
    </row>
    <row r="68" spans="1:31" ht="170.45" customHeight="1" x14ac:dyDescent="0.2">
      <c r="A68" s="55">
        <v>157</v>
      </c>
      <c r="B68" s="43" t="s">
        <v>166</v>
      </c>
      <c r="C68" s="43" t="s">
        <v>187</v>
      </c>
      <c r="D68" s="43" t="s">
        <v>188</v>
      </c>
      <c r="E68" s="24" t="s">
        <v>193</v>
      </c>
      <c r="F68" s="88" t="s">
        <v>194</v>
      </c>
      <c r="G68" s="52">
        <v>2021680010007</v>
      </c>
      <c r="H68" s="84" t="s">
        <v>191</v>
      </c>
      <c r="I68" s="84" t="s">
        <v>192</v>
      </c>
      <c r="J68" s="85">
        <v>44566</v>
      </c>
      <c r="K68" s="85">
        <v>44926</v>
      </c>
      <c r="L68" s="150">
        <v>1</v>
      </c>
      <c r="M68" s="152">
        <v>0.6</v>
      </c>
      <c r="N68" s="156">
        <f>IFERROR(IF(M68/L68&gt;100%,100%,M68/L68),"-")</f>
        <v>0.6</v>
      </c>
      <c r="O68" s="95" t="s">
        <v>235</v>
      </c>
      <c r="P68" s="71">
        <v>120300000</v>
      </c>
      <c r="Q68" s="71"/>
      <c r="R68" s="71"/>
      <c r="S68" s="71"/>
      <c r="T68" s="71"/>
      <c r="U68" s="133">
        <f>SUM(P68:T69)</f>
        <v>720300000</v>
      </c>
      <c r="V68" s="71">
        <v>103839999.8</v>
      </c>
      <c r="W68" s="97"/>
      <c r="X68" s="63"/>
      <c r="Y68" s="63"/>
      <c r="Z68" s="63"/>
      <c r="AA68" s="133">
        <f>SUM(V68:Z69)</f>
        <v>103839999.8</v>
      </c>
      <c r="AB68" s="136">
        <f t="shared" si="15"/>
        <v>0.14416215438011939</v>
      </c>
      <c r="AC68" s="139"/>
      <c r="AD68" s="131" t="s">
        <v>44</v>
      </c>
      <c r="AE68" s="131" t="s">
        <v>211</v>
      </c>
    </row>
    <row r="69" spans="1:31" ht="157.15" customHeight="1" x14ac:dyDescent="0.2">
      <c r="A69" s="55">
        <v>157</v>
      </c>
      <c r="B69" s="43" t="s">
        <v>166</v>
      </c>
      <c r="C69" s="43" t="s">
        <v>187</v>
      </c>
      <c r="D69" s="43" t="s">
        <v>188</v>
      </c>
      <c r="E69" s="24" t="s">
        <v>193</v>
      </c>
      <c r="F69" s="88" t="s">
        <v>194</v>
      </c>
      <c r="G69" s="52">
        <v>2021680010216</v>
      </c>
      <c r="H69" s="84" t="s">
        <v>223</v>
      </c>
      <c r="I69" s="86" t="s">
        <v>287</v>
      </c>
      <c r="J69" s="85">
        <v>44566</v>
      </c>
      <c r="K69" s="85">
        <v>44926</v>
      </c>
      <c r="L69" s="151"/>
      <c r="M69" s="153"/>
      <c r="N69" s="165"/>
      <c r="O69" s="95" t="s">
        <v>244</v>
      </c>
      <c r="P69" s="62">
        <v>600000000</v>
      </c>
      <c r="Q69" s="62"/>
      <c r="R69" s="62"/>
      <c r="S69" s="62"/>
      <c r="T69" s="62"/>
      <c r="U69" s="135"/>
      <c r="V69" s="62"/>
      <c r="W69" s="63"/>
      <c r="X69" s="63"/>
      <c r="Y69" s="63"/>
      <c r="Z69" s="63"/>
      <c r="AA69" s="135"/>
      <c r="AB69" s="138"/>
      <c r="AC69" s="141"/>
      <c r="AD69" s="132"/>
      <c r="AE69" s="132"/>
    </row>
    <row r="70" spans="1:31" ht="76.900000000000006" customHeight="1" x14ac:dyDescent="0.2">
      <c r="A70" s="55">
        <v>158</v>
      </c>
      <c r="B70" s="43" t="s">
        <v>166</v>
      </c>
      <c r="C70" s="43" t="s">
        <v>187</v>
      </c>
      <c r="D70" s="43" t="s">
        <v>188</v>
      </c>
      <c r="E70" s="24" t="s">
        <v>195</v>
      </c>
      <c r="F70" s="88" t="s">
        <v>196</v>
      </c>
      <c r="G70" s="52">
        <v>2021680010007</v>
      </c>
      <c r="H70" s="84" t="s">
        <v>191</v>
      </c>
      <c r="I70" s="84" t="s">
        <v>192</v>
      </c>
      <c r="J70" s="85">
        <v>44566</v>
      </c>
      <c r="K70" s="85">
        <v>44926</v>
      </c>
      <c r="L70" s="18">
        <v>1</v>
      </c>
      <c r="M70" s="21">
        <v>0.71060000000000001</v>
      </c>
      <c r="N70" s="41">
        <f>IFERROR(IF(M70/L70&gt;100%,100%,M70/L70),"-")</f>
        <v>0.71060000000000001</v>
      </c>
      <c r="O70" s="94" t="s">
        <v>289</v>
      </c>
      <c r="P70" s="71">
        <v>196500000</v>
      </c>
      <c r="Q70" s="71"/>
      <c r="R70" s="71"/>
      <c r="S70" s="71"/>
      <c r="T70" s="71"/>
      <c r="U70" s="117">
        <f>SUM(P70:T70)</f>
        <v>196500000</v>
      </c>
      <c r="V70" s="71">
        <f>54000000+36200000-6333333</f>
        <v>83866667</v>
      </c>
      <c r="W70" s="63"/>
      <c r="X70" s="63"/>
      <c r="Y70" s="63"/>
      <c r="Z70" s="63"/>
      <c r="AA70" s="117">
        <f>SUM(V70:Z70)</f>
        <v>83866667</v>
      </c>
      <c r="AB70" s="13">
        <f t="shared" si="15"/>
        <v>0.42680237659033077</v>
      </c>
      <c r="AC70" s="14"/>
      <c r="AD70" s="42" t="s">
        <v>44</v>
      </c>
      <c r="AE70" s="42" t="s">
        <v>211</v>
      </c>
    </row>
    <row r="71" spans="1:31" ht="71.25" x14ac:dyDescent="0.2">
      <c r="A71" s="55">
        <v>159</v>
      </c>
      <c r="B71" s="43" t="s">
        <v>166</v>
      </c>
      <c r="C71" s="43" t="s">
        <v>187</v>
      </c>
      <c r="D71" s="43" t="s">
        <v>188</v>
      </c>
      <c r="E71" s="24" t="s">
        <v>197</v>
      </c>
      <c r="F71" s="88" t="s">
        <v>198</v>
      </c>
      <c r="G71" s="52">
        <v>2021680010007</v>
      </c>
      <c r="H71" s="84" t="s">
        <v>191</v>
      </c>
      <c r="I71" s="84" t="s">
        <v>192</v>
      </c>
      <c r="J71" s="85">
        <v>44566</v>
      </c>
      <c r="K71" s="85">
        <v>44926</v>
      </c>
      <c r="L71" s="18">
        <v>1</v>
      </c>
      <c r="M71" s="21">
        <v>0.6</v>
      </c>
      <c r="N71" s="41">
        <f>IFERROR(IF(M71/L71&gt;100%,100%,M71/L71),"-")</f>
        <v>0.6</v>
      </c>
      <c r="O71" s="96" t="s">
        <v>235</v>
      </c>
      <c r="P71" s="71">
        <v>75575000</v>
      </c>
      <c r="Q71" s="71"/>
      <c r="R71" s="71"/>
      <c r="S71" s="71"/>
      <c r="T71" s="71"/>
      <c r="U71" s="117">
        <f>SUM(P71:T71)</f>
        <v>75575000</v>
      </c>
      <c r="V71" s="71">
        <v>74046666.530000001</v>
      </c>
      <c r="W71" s="63"/>
      <c r="X71" s="63"/>
      <c r="Y71" s="63"/>
      <c r="Z71" s="63"/>
      <c r="AA71" s="117">
        <f>SUM(V71:Z71)</f>
        <v>74046666.530000001</v>
      </c>
      <c r="AB71" s="13">
        <f t="shared" si="15"/>
        <v>0.97977726139596433</v>
      </c>
      <c r="AC71" s="14"/>
      <c r="AD71" s="42" t="s">
        <v>44</v>
      </c>
      <c r="AE71" s="42" t="s">
        <v>211</v>
      </c>
    </row>
    <row r="72" spans="1:31" ht="114" x14ac:dyDescent="0.2">
      <c r="A72" s="55">
        <v>162</v>
      </c>
      <c r="B72" s="25" t="s">
        <v>166</v>
      </c>
      <c r="C72" s="25" t="s">
        <v>187</v>
      </c>
      <c r="D72" s="25" t="s">
        <v>199</v>
      </c>
      <c r="E72" s="24" t="s">
        <v>200</v>
      </c>
      <c r="F72" s="88" t="s">
        <v>201</v>
      </c>
      <c r="G72" s="53">
        <v>2021680010019</v>
      </c>
      <c r="H72" s="72" t="s">
        <v>202</v>
      </c>
      <c r="I72" s="84" t="s">
        <v>203</v>
      </c>
      <c r="J72" s="85">
        <v>44566</v>
      </c>
      <c r="K72" s="85">
        <v>44926</v>
      </c>
      <c r="L72" s="150">
        <v>1</v>
      </c>
      <c r="M72" s="152">
        <v>0.58579999999999999</v>
      </c>
      <c r="N72" s="156">
        <f>IFERROR(IF(M72/L72&gt;100%,100%,M72/L72),"-")</f>
        <v>0.58579999999999999</v>
      </c>
      <c r="O72" s="79" t="s">
        <v>283</v>
      </c>
      <c r="P72" s="71">
        <f>255050000+43200000</f>
        <v>298250000</v>
      </c>
      <c r="Q72" s="71"/>
      <c r="R72" s="71"/>
      <c r="S72" s="71"/>
      <c r="T72" s="71"/>
      <c r="U72" s="133">
        <f>SUM(P72:T73)</f>
        <v>1793461000.3</v>
      </c>
      <c r="V72" s="71">
        <f>157500000+124900000+10500000</f>
        <v>292900000</v>
      </c>
      <c r="W72" s="63"/>
      <c r="X72" s="63"/>
      <c r="Y72" s="63"/>
      <c r="Z72" s="63"/>
      <c r="AA72" s="133">
        <f>SUM(V72:Z73)</f>
        <v>459586666.65999997</v>
      </c>
      <c r="AB72" s="136">
        <f t="shared" si="15"/>
        <v>0.25625685006984983</v>
      </c>
      <c r="AC72" s="139"/>
      <c r="AD72" s="131" t="s">
        <v>44</v>
      </c>
      <c r="AE72" s="131" t="s">
        <v>211</v>
      </c>
    </row>
    <row r="73" spans="1:31" ht="94.15" customHeight="1" x14ac:dyDescent="0.2">
      <c r="A73" s="55">
        <v>162</v>
      </c>
      <c r="B73" s="25" t="s">
        <v>166</v>
      </c>
      <c r="C73" s="25" t="s">
        <v>187</v>
      </c>
      <c r="D73" s="25" t="s">
        <v>199</v>
      </c>
      <c r="E73" s="24" t="s">
        <v>200</v>
      </c>
      <c r="F73" s="88" t="s">
        <v>201</v>
      </c>
      <c r="G73" s="53">
        <v>2021680010214</v>
      </c>
      <c r="H73" s="72" t="s">
        <v>224</v>
      </c>
      <c r="I73" s="84" t="s">
        <v>305</v>
      </c>
      <c r="J73" s="85">
        <v>44566</v>
      </c>
      <c r="K73" s="85">
        <v>44926</v>
      </c>
      <c r="L73" s="151"/>
      <c r="M73" s="153"/>
      <c r="N73" s="165"/>
      <c r="O73" s="79" t="s">
        <v>242</v>
      </c>
      <c r="P73" s="71">
        <v>1459211000</v>
      </c>
      <c r="Q73" s="71"/>
      <c r="R73" s="71"/>
      <c r="S73" s="71"/>
      <c r="T73" s="71">
        <v>36000000.299999997</v>
      </c>
      <c r="U73" s="135"/>
      <c r="V73" s="71">
        <f>102000000+68286666.66-3600000</f>
        <v>166686666.66</v>
      </c>
      <c r="W73" s="63"/>
      <c r="X73" s="63"/>
      <c r="Y73" s="63"/>
      <c r="Z73" s="63"/>
      <c r="AA73" s="135"/>
      <c r="AB73" s="138"/>
      <c r="AC73" s="141"/>
      <c r="AD73" s="132"/>
      <c r="AE73" s="132"/>
    </row>
    <row r="74" spans="1:31" ht="111.75" customHeight="1" x14ac:dyDescent="0.2">
      <c r="A74" s="55">
        <v>163</v>
      </c>
      <c r="B74" s="43" t="s">
        <v>166</v>
      </c>
      <c r="C74" s="43" t="s">
        <v>187</v>
      </c>
      <c r="D74" s="43" t="s">
        <v>199</v>
      </c>
      <c r="E74" s="24" t="s">
        <v>204</v>
      </c>
      <c r="F74" s="88" t="s">
        <v>205</v>
      </c>
      <c r="G74" s="53">
        <v>2021680010019</v>
      </c>
      <c r="H74" s="72" t="s">
        <v>202</v>
      </c>
      <c r="I74" s="84" t="s">
        <v>203</v>
      </c>
      <c r="J74" s="85">
        <v>44566</v>
      </c>
      <c r="K74" s="85">
        <v>44926</v>
      </c>
      <c r="L74" s="18">
        <v>1</v>
      </c>
      <c r="M74" s="21">
        <v>0.38</v>
      </c>
      <c r="N74" s="41">
        <f>IFERROR(IF(M74/L74&gt;100%,100%,M74/L74),"-")</f>
        <v>0.38</v>
      </c>
      <c r="O74" s="79" t="s">
        <v>299</v>
      </c>
      <c r="P74" s="105">
        <v>81793916</v>
      </c>
      <c r="Q74" s="105"/>
      <c r="R74" s="105"/>
      <c r="S74" s="105"/>
      <c r="T74" s="105">
        <v>26184486</v>
      </c>
      <c r="U74" s="117">
        <f>SUM(P74:T74)</f>
        <v>107978402</v>
      </c>
      <c r="V74" s="71">
        <f>37500000+25000000</f>
        <v>62500000</v>
      </c>
      <c r="W74" s="63"/>
      <c r="X74" s="63"/>
      <c r="Y74" s="63"/>
      <c r="Z74" s="63"/>
      <c r="AA74" s="117">
        <f>SUM(V74:Z74)</f>
        <v>62500000</v>
      </c>
      <c r="AB74" s="13">
        <f t="shared" si="15"/>
        <v>0.57881945687620007</v>
      </c>
      <c r="AC74" s="14"/>
      <c r="AD74" s="42" t="s">
        <v>44</v>
      </c>
      <c r="AE74" s="42" t="s">
        <v>211</v>
      </c>
    </row>
    <row r="75" spans="1:31" ht="72" customHeight="1" x14ac:dyDescent="0.2">
      <c r="A75" s="55">
        <v>168</v>
      </c>
      <c r="B75" s="43" t="s">
        <v>166</v>
      </c>
      <c r="C75" s="43" t="s">
        <v>187</v>
      </c>
      <c r="D75" s="43" t="s">
        <v>206</v>
      </c>
      <c r="E75" s="59" t="s">
        <v>207</v>
      </c>
      <c r="F75" s="88" t="s">
        <v>208</v>
      </c>
      <c r="G75" s="52">
        <v>2021680010002</v>
      </c>
      <c r="H75" s="72" t="s">
        <v>209</v>
      </c>
      <c r="I75" s="84" t="s">
        <v>210</v>
      </c>
      <c r="J75" s="85">
        <v>44566</v>
      </c>
      <c r="K75" s="85">
        <v>44926</v>
      </c>
      <c r="L75" s="150">
        <v>1</v>
      </c>
      <c r="M75" s="179">
        <v>0.73950000000000005</v>
      </c>
      <c r="N75" s="156">
        <f>IFERROR(IF(M75/L75&gt;100%,100%,M75/L75),"-")</f>
        <v>0.73950000000000005</v>
      </c>
      <c r="O75" s="79" t="s">
        <v>284</v>
      </c>
      <c r="P75" s="71">
        <v>1646500866.3400009</v>
      </c>
      <c r="Q75" s="62"/>
      <c r="R75" s="62"/>
      <c r="S75" s="62"/>
      <c r="T75" s="62"/>
      <c r="U75" s="133">
        <f>SUM(P75:T77)</f>
        <v>4746896784.5500002</v>
      </c>
      <c r="V75" s="71">
        <f>376320000-30400000+255236666.33+94923260+133392708</f>
        <v>829472634.33000004</v>
      </c>
      <c r="W75" s="62"/>
      <c r="X75" s="102"/>
      <c r="Y75" s="102"/>
      <c r="Z75" s="102"/>
      <c r="AA75" s="133">
        <f>SUM(V75:Z77)</f>
        <v>2974789812.3499999</v>
      </c>
      <c r="AB75" s="136">
        <f t="shared" si="15"/>
        <v>0.62668095544698177</v>
      </c>
      <c r="AC75" s="139"/>
      <c r="AD75" s="131" t="s">
        <v>44</v>
      </c>
      <c r="AE75" s="131" t="s">
        <v>211</v>
      </c>
    </row>
    <row r="76" spans="1:31" ht="57" x14ac:dyDescent="0.2">
      <c r="A76" s="55">
        <v>168</v>
      </c>
      <c r="B76" s="43" t="s">
        <v>166</v>
      </c>
      <c r="C76" s="43" t="s">
        <v>187</v>
      </c>
      <c r="D76" s="43" t="s">
        <v>206</v>
      </c>
      <c r="E76" s="59" t="s">
        <v>207</v>
      </c>
      <c r="F76" s="88" t="s">
        <v>208</v>
      </c>
      <c r="G76" s="52">
        <v>2021680010215</v>
      </c>
      <c r="H76" s="72" t="s">
        <v>225</v>
      </c>
      <c r="I76" s="84" t="s">
        <v>306</v>
      </c>
      <c r="J76" s="85">
        <v>44566</v>
      </c>
      <c r="K76" s="85">
        <v>44926</v>
      </c>
      <c r="L76" s="164"/>
      <c r="M76" s="180"/>
      <c r="N76" s="182"/>
      <c r="O76" s="79" t="s">
        <v>285</v>
      </c>
      <c r="P76" s="62">
        <f>1280000000+20999999.85</f>
        <v>1300999999.8499999</v>
      </c>
      <c r="Q76" s="62"/>
      <c r="R76" s="62"/>
      <c r="S76" s="62"/>
      <c r="T76" s="62"/>
      <c r="U76" s="134"/>
      <c r="V76" s="71">
        <f>225600000+120416666.66</f>
        <v>346016666.65999997</v>
      </c>
      <c r="W76" s="62"/>
      <c r="X76" s="102"/>
      <c r="Y76" s="102"/>
      <c r="Z76" s="102"/>
      <c r="AA76" s="134"/>
      <c r="AB76" s="137"/>
      <c r="AC76" s="140"/>
      <c r="AD76" s="142"/>
      <c r="AE76" s="142"/>
    </row>
    <row r="77" spans="1:31" ht="86.25" customHeight="1" x14ac:dyDescent="0.2">
      <c r="A77" s="55">
        <v>168</v>
      </c>
      <c r="B77" s="43" t="s">
        <v>166</v>
      </c>
      <c r="C77" s="43" t="s">
        <v>187</v>
      </c>
      <c r="D77" s="43" t="s">
        <v>206</v>
      </c>
      <c r="E77" s="59" t="s">
        <v>207</v>
      </c>
      <c r="F77" s="88" t="s">
        <v>208</v>
      </c>
      <c r="G77" s="52">
        <v>2021680010142</v>
      </c>
      <c r="H77" s="72" t="s">
        <v>216</v>
      </c>
      <c r="I77" s="84" t="s">
        <v>217</v>
      </c>
      <c r="J77" s="85">
        <v>44566</v>
      </c>
      <c r="K77" s="85">
        <v>44926</v>
      </c>
      <c r="L77" s="151"/>
      <c r="M77" s="181"/>
      <c r="N77" s="165"/>
      <c r="O77" s="79" t="s">
        <v>286</v>
      </c>
      <c r="P77" s="62">
        <f>1778670647+20629864.36+95407</f>
        <v>1799395918.3599999</v>
      </c>
      <c r="Q77" s="62"/>
      <c r="R77" s="62"/>
      <c r="S77" s="62"/>
      <c r="T77" s="62"/>
      <c r="U77" s="135"/>
      <c r="V77" s="71">
        <v>1799300511.3599999</v>
      </c>
      <c r="W77" s="62"/>
      <c r="X77" s="102"/>
      <c r="Y77" s="102"/>
      <c r="Z77" s="102"/>
      <c r="AA77" s="135"/>
      <c r="AB77" s="138"/>
      <c r="AC77" s="141"/>
      <c r="AD77" s="132"/>
      <c r="AE77" s="132"/>
    </row>
    <row r="78" spans="1:31" ht="41.25" customHeight="1" x14ac:dyDescent="0.2">
      <c r="A78" s="2">
        <v>218</v>
      </c>
      <c r="B78" s="43" t="s">
        <v>220</v>
      </c>
      <c r="C78" s="43" t="s">
        <v>226</v>
      </c>
      <c r="D78" s="43" t="s">
        <v>227</v>
      </c>
      <c r="E78" s="59" t="s">
        <v>219</v>
      </c>
      <c r="F78" s="91" t="s">
        <v>221</v>
      </c>
      <c r="G78" s="54">
        <v>2021680010186</v>
      </c>
      <c r="H78" s="89" t="s">
        <v>256</v>
      </c>
      <c r="I78" s="84" t="s">
        <v>257</v>
      </c>
      <c r="J78" s="85">
        <v>44566</v>
      </c>
      <c r="K78" s="85">
        <v>44742</v>
      </c>
      <c r="L78" s="176">
        <v>0</v>
      </c>
      <c r="M78" s="177">
        <v>0.08</v>
      </c>
      <c r="N78" s="157" t="str">
        <f>IFERROR(IF(M78/L78&gt;100%,100%,M78/L78),"-")</f>
        <v>-</v>
      </c>
      <c r="O78" s="95" t="s">
        <v>255</v>
      </c>
      <c r="P78" s="62">
        <v>188666497</v>
      </c>
      <c r="Q78" s="62"/>
      <c r="R78" s="62"/>
      <c r="S78" s="80"/>
      <c r="T78" s="80"/>
      <c r="U78" s="133">
        <f>SUM(P78:T79)</f>
        <v>835720143</v>
      </c>
      <c r="V78" s="71">
        <v>188666497</v>
      </c>
      <c r="W78" s="80"/>
      <c r="X78" s="81"/>
      <c r="Y78" s="81"/>
      <c r="Z78" s="81"/>
      <c r="AA78" s="133">
        <f>SUM(V78:Z79)</f>
        <v>626613418.29999995</v>
      </c>
      <c r="AB78" s="136">
        <f t="shared" ref="AB78" si="16">IFERROR(AA78/U78,"-")</f>
        <v>0.74978857880657779</v>
      </c>
      <c r="AC78" s="139"/>
      <c r="AD78" s="131" t="s">
        <v>44</v>
      </c>
      <c r="AE78" s="131" t="s">
        <v>211</v>
      </c>
    </row>
    <row r="79" spans="1:31" ht="78" customHeight="1" x14ac:dyDescent="0.2">
      <c r="A79" s="2">
        <v>218</v>
      </c>
      <c r="B79" s="68" t="s">
        <v>220</v>
      </c>
      <c r="C79" s="69" t="s">
        <v>226</v>
      </c>
      <c r="D79" s="69" t="s">
        <v>227</v>
      </c>
      <c r="E79" s="70" t="s">
        <v>219</v>
      </c>
      <c r="F79" s="91" t="s">
        <v>221</v>
      </c>
      <c r="G79" s="54">
        <v>2022680010011</v>
      </c>
      <c r="H79" s="89" t="s">
        <v>261</v>
      </c>
      <c r="I79" s="93" t="s">
        <v>262</v>
      </c>
      <c r="J79" s="115">
        <v>44713</v>
      </c>
      <c r="K79" s="116">
        <v>44926</v>
      </c>
      <c r="L79" s="161"/>
      <c r="M79" s="178"/>
      <c r="N79" s="165"/>
      <c r="O79" s="113" t="s">
        <v>263</v>
      </c>
      <c r="P79" s="80">
        <v>647053646</v>
      </c>
      <c r="Q79" s="80"/>
      <c r="R79" s="80"/>
      <c r="S79" s="80"/>
      <c r="T79" s="80"/>
      <c r="U79" s="135"/>
      <c r="V79" s="83">
        <v>437946921.29999995</v>
      </c>
      <c r="W79" s="80"/>
      <c r="X79" s="81"/>
      <c r="Y79" s="81"/>
      <c r="Z79" s="81"/>
      <c r="AA79" s="135"/>
      <c r="AB79" s="138"/>
      <c r="AC79" s="141"/>
      <c r="AD79" s="132"/>
      <c r="AE79" s="132"/>
    </row>
    <row r="80" spans="1:31" ht="18" customHeight="1" x14ac:dyDescent="0.2">
      <c r="A80" s="2">
        <f>SUM(--(FREQUENCY(A9:A78,A9:A78)&gt;0))</f>
        <v>51</v>
      </c>
      <c r="B80" s="3"/>
      <c r="C80" s="4"/>
      <c r="D80" s="4"/>
      <c r="E80" s="4"/>
      <c r="F80" s="4"/>
      <c r="G80" s="10"/>
      <c r="H80" s="4"/>
      <c r="I80" s="4"/>
      <c r="J80" s="4"/>
      <c r="K80" s="5"/>
      <c r="L80" s="5"/>
      <c r="M80" s="6" t="s">
        <v>17</v>
      </c>
      <c r="N80" s="5">
        <f>IFERROR(AVERAGE(N9:N79),"-")</f>
        <v>0.73563119517543873</v>
      </c>
      <c r="O80" s="7"/>
      <c r="P80" s="8">
        <f t="shared" ref="P80:V80" si="17">SUM(P9:P79)</f>
        <v>20136568763.360001</v>
      </c>
      <c r="Q80" s="8">
        <f t="shared" si="17"/>
        <v>92671018855</v>
      </c>
      <c r="R80" s="8">
        <f t="shared" si="17"/>
        <v>0</v>
      </c>
      <c r="S80" s="8">
        <f t="shared" si="17"/>
        <v>0</v>
      </c>
      <c r="T80" s="8">
        <f t="shared" si="17"/>
        <v>216136702993.03</v>
      </c>
      <c r="U80" s="119">
        <f>SUM(U9:U79)</f>
        <v>328944290611.39001</v>
      </c>
      <c r="V80" s="8">
        <f t="shared" si="17"/>
        <v>8972069159.3799992</v>
      </c>
      <c r="W80" s="8">
        <f>SUM(W9:W79)</f>
        <v>69820105444.320007</v>
      </c>
      <c r="X80" s="8">
        <f>SUM(X9:X79)</f>
        <v>0</v>
      </c>
      <c r="Y80" s="8">
        <f>SUM(Y9:Y79)</f>
        <v>0</v>
      </c>
      <c r="Z80" s="8">
        <f>SUM(Z9:Z79)</f>
        <v>146565134745.45996</v>
      </c>
      <c r="AA80" s="119">
        <f>SUM(AA9:AA79)</f>
        <v>225357309349.16003</v>
      </c>
      <c r="AB80" s="9">
        <f>IFERROR(AA80/U80,"-")</f>
        <v>0.68509263051898928</v>
      </c>
      <c r="AC80" s="7"/>
      <c r="AD80" s="7"/>
      <c r="AE80" s="7"/>
    </row>
    <row r="81" spans="7:27" x14ac:dyDescent="0.2">
      <c r="G81"/>
    </row>
    <row r="82" spans="7:27" x14ac:dyDescent="0.2">
      <c r="P82" s="49"/>
      <c r="AA82" s="65"/>
    </row>
    <row r="83" spans="7:27" x14ac:dyDescent="0.2">
      <c r="O83" s="50"/>
      <c r="P83" s="49"/>
      <c r="Q83"/>
      <c r="U83"/>
      <c r="V83"/>
      <c r="W83"/>
      <c r="X83"/>
      <c r="Y83"/>
      <c r="Z83"/>
      <c r="AA83"/>
    </row>
    <row r="84" spans="7:27" x14ac:dyDescent="0.2">
      <c r="O84" s="51"/>
      <c r="P84" s="60"/>
      <c r="Q84"/>
      <c r="S84" s="106"/>
      <c r="T84" s="107"/>
      <c r="U84"/>
      <c r="V84"/>
      <c r="W84"/>
      <c r="X84"/>
      <c r="Y84"/>
      <c r="Z84"/>
      <c r="AA84"/>
    </row>
    <row r="85" spans="7:27" x14ac:dyDescent="0.2">
      <c r="P85" s="49"/>
      <c r="Q85"/>
      <c r="U85"/>
      <c r="V85"/>
      <c r="W85"/>
      <c r="X85"/>
      <c r="Y85"/>
      <c r="Z85"/>
      <c r="AA85"/>
    </row>
    <row r="86" spans="7:27" x14ac:dyDescent="0.2">
      <c r="P86" s="60"/>
      <c r="Q86"/>
      <c r="S86" s="31"/>
      <c r="U86"/>
      <c r="V86"/>
      <c r="W86"/>
      <c r="X86"/>
      <c r="Y86"/>
      <c r="Z86"/>
      <c r="AA86"/>
    </row>
    <row r="87" spans="7:27" x14ac:dyDescent="0.2">
      <c r="Q87"/>
      <c r="U87"/>
      <c r="V87"/>
      <c r="W87"/>
      <c r="X87"/>
      <c r="Y87"/>
      <c r="Z87"/>
      <c r="AA87"/>
    </row>
    <row r="88" spans="7:27" x14ac:dyDescent="0.2">
      <c r="Q88"/>
      <c r="U88"/>
      <c r="V88"/>
      <c r="W88"/>
      <c r="X88"/>
      <c r="Y88"/>
      <c r="Z88"/>
      <c r="AA88"/>
    </row>
    <row r="89" spans="7:27" x14ac:dyDescent="0.2">
      <c r="Q89"/>
      <c r="U89"/>
      <c r="V89"/>
      <c r="W89"/>
      <c r="X89"/>
      <c r="Y89"/>
      <c r="Z89"/>
      <c r="AA89"/>
    </row>
    <row r="90" spans="7:27" x14ac:dyDescent="0.2">
      <c r="Q90"/>
      <c r="U90"/>
      <c r="V90"/>
      <c r="W90"/>
      <c r="X90"/>
      <c r="Y90"/>
      <c r="Z90"/>
      <c r="AA90"/>
    </row>
    <row r="91" spans="7:27" x14ac:dyDescent="0.2">
      <c r="U91"/>
      <c r="V91"/>
      <c r="W91"/>
      <c r="X91"/>
      <c r="Y91"/>
      <c r="Z91"/>
      <c r="AA91"/>
    </row>
  </sheetData>
  <mergeCells count="142">
    <mergeCell ref="AC59:AC60"/>
    <mergeCell ref="AD59:AD60"/>
    <mergeCell ref="AE59:AE60"/>
    <mergeCell ref="AC78:AC79"/>
    <mergeCell ref="AD78:AD79"/>
    <mergeCell ref="AE78:AE79"/>
    <mergeCell ref="AE31:AE32"/>
    <mergeCell ref="AB56:AB57"/>
    <mergeCell ref="AC56:AC57"/>
    <mergeCell ref="AD56:AD57"/>
    <mergeCell ref="AE56:AE57"/>
    <mergeCell ref="AD72:AD73"/>
    <mergeCell ref="AE72:AE73"/>
    <mergeCell ref="AC72:AC73"/>
    <mergeCell ref="AC75:AC77"/>
    <mergeCell ref="AE62:AE63"/>
    <mergeCell ref="AC68:AC69"/>
    <mergeCell ref="AD68:AD69"/>
    <mergeCell ref="AE68:AE69"/>
    <mergeCell ref="AE75:AE77"/>
    <mergeCell ref="AD75:AD77"/>
    <mergeCell ref="AD62:AD63"/>
    <mergeCell ref="AC62:AC63"/>
    <mergeCell ref="AC45:AC46"/>
    <mergeCell ref="AB16:AB17"/>
    <mergeCell ref="AC16:AC17"/>
    <mergeCell ref="AD16:AD17"/>
    <mergeCell ref="AE16:AE17"/>
    <mergeCell ref="AB20:AB21"/>
    <mergeCell ref="AC20:AC21"/>
    <mergeCell ref="AD20:AD21"/>
    <mergeCell ref="AE20:AE21"/>
    <mergeCell ref="AB11:AB12"/>
    <mergeCell ref="AC11:AC12"/>
    <mergeCell ref="AD11:AD12"/>
    <mergeCell ref="AE11:AE12"/>
    <mergeCell ref="AB13:AB14"/>
    <mergeCell ref="AC13:AC14"/>
    <mergeCell ref="AD13:AD14"/>
    <mergeCell ref="AE13:AE14"/>
    <mergeCell ref="U59:U60"/>
    <mergeCell ref="AA59:AA60"/>
    <mergeCell ref="AB59:AB60"/>
    <mergeCell ref="U78:U79"/>
    <mergeCell ref="AA78:AA79"/>
    <mergeCell ref="AB78:AB79"/>
    <mergeCell ref="U20:U21"/>
    <mergeCell ref="AA20:AA21"/>
    <mergeCell ref="U24:U29"/>
    <mergeCell ref="AA24:AA29"/>
    <mergeCell ref="U31:U32"/>
    <mergeCell ref="AA31:AA32"/>
    <mergeCell ref="U72:U73"/>
    <mergeCell ref="AA72:AA73"/>
    <mergeCell ref="AB72:AB73"/>
    <mergeCell ref="U75:U77"/>
    <mergeCell ref="AA68:AA69"/>
    <mergeCell ref="AB68:AB69"/>
    <mergeCell ref="U68:U69"/>
    <mergeCell ref="AB62:AB63"/>
    <mergeCell ref="U62:U63"/>
    <mergeCell ref="AA62:AA63"/>
    <mergeCell ref="AB75:AB77"/>
    <mergeCell ref="AA75:AA77"/>
    <mergeCell ref="U11:U12"/>
    <mergeCell ref="U13:U14"/>
    <mergeCell ref="AA11:AA12"/>
    <mergeCell ref="AA13:AA14"/>
    <mergeCell ref="U16:U17"/>
    <mergeCell ref="AA16:AA17"/>
    <mergeCell ref="M16:M17"/>
    <mergeCell ref="L16:L17"/>
    <mergeCell ref="M20:M21"/>
    <mergeCell ref="L20:L21"/>
    <mergeCell ref="M56:M57"/>
    <mergeCell ref="L56:L57"/>
    <mergeCell ref="M11:M12"/>
    <mergeCell ref="L11:L12"/>
    <mergeCell ref="M13:M14"/>
    <mergeCell ref="L13:L14"/>
    <mergeCell ref="L78:L79"/>
    <mergeCell ref="M78:M79"/>
    <mergeCell ref="N78:N79"/>
    <mergeCell ref="N72:N73"/>
    <mergeCell ref="L75:L77"/>
    <mergeCell ref="M68:M69"/>
    <mergeCell ref="N68:N69"/>
    <mergeCell ref="N62:N63"/>
    <mergeCell ref="M75:M77"/>
    <mergeCell ref="N75:N77"/>
    <mergeCell ref="N24:N29"/>
    <mergeCell ref="N45:N47"/>
    <mergeCell ref="M45:M47"/>
    <mergeCell ref="L45:L47"/>
    <mergeCell ref="N56:N57"/>
    <mergeCell ref="N59:N60"/>
    <mergeCell ref="AC1:AE1"/>
    <mergeCell ref="AC2:AE2"/>
    <mergeCell ref="AC3:AE3"/>
    <mergeCell ref="AC4:AE4"/>
    <mergeCell ref="AC7:AC8"/>
    <mergeCell ref="AD7:AE7"/>
    <mergeCell ref="V7:AA7"/>
    <mergeCell ref="AB7:AB8"/>
    <mergeCell ref="B7:F7"/>
    <mergeCell ref="G7:K7"/>
    <mergeCell ref="L7:N7"/>
    <mergeCell ref="O7:U7"/>
    <mergeCell ref="A1:A4"/>
    <mergeCell ref="A5:C5"/>
    <mergeCell ref="A6:C6"/>
    <mergeCell ref="B1:AB4"/>
    <mergeCell ref="D6:G6"/>
    <mergeCell ref="D5:G5"/>
    <mergeCell ref="L68:L69"/>
    <mergeCell ref="L72:L73"/>
    <mergeCell ref="M72:M73"/>
    <mergeCell ref="L62:L63"/>
    <mergeCell ref="M62:M63"/>
    <mergeCell ref="L31:L32"/>
    <mergeCell ref="M31:M32"/>
    <mergeCell ref="N31:N32"/>
    <mergeCell ref="M59:M60"/>
    <mergeCell ref="L59:L60"/>
    <mergeCell ref="U45:U47"/>
    <mergeCell ref="M24:M29"/>
    <mergeCell ref="L24:L29"/>
    <mergeCell ref="AB45:AB46"/>
    <mergeCell ref="N11:N12"/>
    <mergeCell ref="N13:N14"/>
    <mergeCell ref="N16:N17"/>
    <mergeCell ref="N20:N21"/>
    <mergeCell ref="AD45:AD46"/>
    <mergeCell ref="AE45:AE46"/>
    <mergeCell ref="AA45:AA47"/>
    <mergeCell ref="AB24:AB29"/>
    <mergeCell ref="AC24:AC29"/>
    <mergeCell ref="AD24:AD29"/>
    <mergeCell ref="AE24:AE29"/>
    <mergeCell ref="AB31:AB32"/>
    <mergeCell ref="AC31:AC32"/>
    <mergeCell ref="AD31:AD32"/>
  </mergeCells>
  <conditionalFormatting sqref="N64:N68 N70:N72 N74:N76 N9:N11 N31 N33:N45 N48:N56 N13 N15:N16 N18:N20 N22:N24 N58:N59 N61:N62">
    <cfRule type="cellIs" dxfId="5" priority="7" operator="between">
      <formula>0.67</formula>
      <formula>1</formula>
    </cfRule>
    <cfRule type="cellIs" dxfId="4" priority="8" operator="between">
      <formula>0.34</formula>
      <formula>0.66</formula>
    </cfRule>
    <cfRule type="cellIs" dxfId="3" priority="9" operator="between">
      <formula>0</formula>
      <formula>0.33</formula>
    </cfRule>
  </conditionalFormatting>
  <conditionalFormatting sqref="N30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2021-02-09T14:28:18Z</cp:lastPrinted>
  <dcterms:created xsi:type="dcterms:W3CDTF">2008-07-08T21:30:46Z</dcterms:created>
  <dcterms:modified xsi:type="dcterms:W3CDTF">2023-01-16T16:40:16Z</dcterms:modified>
</cp:coreProperties>
</file>