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D:\2022\1 - PDM\1 - Seguimiento Plan\0 - Plan de acción 2022\09 - Septiembre\1 - Revisados\"/>
    </mc:Choice>
  </mc:AlternateContent>
  <xr:revisionPtr revIDLastSave="0" documentId="13_ncr:1_{E032CC4B-7A19-4CFD-86E3-9B26BE6E49B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A 2022 " sheetId="16" r:id="rId1"/>
  </sheets>
  <definedNames>
    <definedName name="_xlnm._FilterDatabase" localSheetId="0" hidden="1">'PA 2022 '!$A$8:$AF$98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98" i="16" l="1"/>
  <c r="U22" i="16"/>
  <c r="U9" i="16"/>
  <c r="P85" i="16"/>
  <c r="U85" i="16" s="1"/>
  <c r="T48" i="16"/>
  <c r="V10" i="16"/>
  <c r="V17" i="16" l="1"/>
  <c r="AA17" i="16" s="1"/>
  <c r="V15" i="16"/>
  <c r="V14" i="16"/>
  <c r="P15" i="16"/>
  <c r="U15" i="16" s="1"/>
  <c r="P14" i="16"/>
  <c r="U14" i="16" s="1"/>
  <c r="V11" i="16" l="1"/>
  <c r="V16" i="16"/>
  <c r="V13" i="16"/>
  <c r="Z38" i="16" l="1"/>
  <c r="T33" i="16"/>
  <c r="V76" i="16"/>
  <c r="V27" i="16"/>
  <c r="Z33" i="16"/>
  <c r="Z9" i="16"/>
  <c r="Z48" i="16" l="1"/>
  <c r="V73" i="16"/>
  <c r="Z72" i="16" l="1"/>
  <c r="V23" i="16" l="1"/>
  <c r="V91" i="16"/>
  <c r="V88" i="16"/>
  <c r="V85" i="16"/>
  <c r="AA85" i="16" s="1"/>
  <c r="V96" i="16"/>
  <c r="V31" i="16"/>
  <c r="V26" i="16"/>
  <c r="V22" i="16"/>
  <c r="V69" i="16"/>
  <c r="V64" i="16"/>
  <c r="V74" i="16"/>
  <c r="T45" i="16"/>
  <c r="T93" i="16"/>
  <c r="V62" i="16" l="1"/>
  <c r="V37" i="16" l="1"/>
  <c r="V68" i="16"/>
  <c r="V34" i="16" l="1"/>
  <c r="Z66" i="16" l="1"/>
  <c r="Z63" i="16" l="1"/>
  <c r="V67" i="16" l="1"/>
  <c r="V89" i="16"/>
  <c r="V84" i="16"/>
  <c r="V83" i="16"/>
  <c r="V65" i="16"/>
  <c r="P56" i="16" l="1"/>
  <c r="T56" i="16"/>
  <c r="P94" i="16"/>
  <c r="P11" i="16"/>
  <c r="U11" i="16" s="1"/>
  <c r="P10" i="16"/>
  <c r="U10" i="16" s="1"/>
  <c r="P17" i="16"/>
  <c r="P16" i="16"/>
  <c r="U16" i="16" s="1"/>
  <c r="P13" i="16"/>
  <c r="U13" i="16" s="1"/>
  <c r="T40" i="16"/>
  <c r="P21" i="16"/>
  <c r="P18" i="16"/>
  <c r="P12" i="16"/>
  <c r="U12" i="16" s="1"/>
  <c r="P95" i="16"/>
  <c r="P76" i="16"/>
  <c r="P68" i="16"/>
  <c r="P90" i="16"/>
  <c r="P52" i="16"/>
  <c r="P26" i="16"/>
  <c r="P73" i="16"/>
  <c r="P65" i="16"/>
  <c r="P96" i="16"/>
  <c r="P55" i="16"/>
  <c r="P31" i="16"/>
  <c r="P44" i="16"/>
  <c r="P77" i="16"/>
  <c r="U17" i="16" l="1"/>
  <c r="V94" i="16"/>
  <c r="AA34" i="16" l="1"/>
  <c r="U61" i="16"/>
  <c r="U63" i="16"/>
  <c r="AA96" i="16"/>
  <c r="U95" i="16"/>
  <c r="AA95" i="16"/>
  <c r="U94" i="16"/>
  <c r="AA94" i="16"/>
  <c r="U89" i="16"/>
  <c r="AA89" i="16"/>
  <c r="U87" i="16"/>
  <c r="U81" i="16"/>
  <c r="U78" i="16"/>
  <c r="AA78" i="16"/>
  <c r="U77" i="16"/>
  <c r="AA77" i="16"/>
  <c r="U66" i="16"/>
  <c r="U68" i="16"/>
  <c r="U76" i="16"/>
  <c r="AA73" i="16"/>
  <c r="AA76" i="16"/>
  <c r="AA69" i="16"/>
  <c r="AA68" i="16"/>
  <c r="AA66" i="16"/>
  <c r="AA10" i="16"/>
  <c r="AA57" i="16"/>
  <c r="AA61" i="16"/>
  <c r="AA27" i="16"/>
  <c r="AB94" i="16" l="1"/>
  <c r="AB77" i="16"/>
  <c r="AB78" i="16"/>
  <c r="AB76" i="16"/>
  <c r="AB68" i="16"/>
  <c r="AB66" i="16"/>
  <c r="P67" i="16"/>
  <c r="P62" i="16"/>
  <c r="P37" i="16"/>
  <c r="P34" i="16"/>
  <c r="U34" i="16" s="1"/>
  <c r="AB34" i="16" s="1"/>
  <c r="P27" i="16"/>
  <c r="P59" i="16" l="1"/>
  <c r="U57" i="16" s="1"/>
  <c r="AB57" i="16" s="1"/>
  <c r="V52" i="16"/>
  <c r="AA37" i="16" s="1"/>
  <c r="V81" i="16"/>
  <c r="AA81" i="16" s="1"/>
  <c r="AB81" i="16" s="1"/>
  <c r="V87" i="16"/>
  <c r="U73" i="16"/>
  <c r="AB73" i="16" s="1"/>
  <c r="P30" i="16"/>
  <c r="U29" i="16" s="1"/>
  <c r="AA71" i="16"/>
  <c r="AA87" i="16" l="1"/>
  <c r="AB87" i="16" s="1"/>
  <c r="V30" i="16"/>
  <c r="AA29" i="16" s="1"/>
  <c r="AA63" i="16" l="1"/>
  <c r="U37" i="16" l="1"/>
  <c r="AB37" i="16" s="1"/>
  <c r="N95" i="16" l="1"/>
  <c r="AA22" i="16" l="1"/>
  <c r="V32" i="16"/>
  <c r="AB85" i="16"/>
  <c r="AA13" i="16" l="1"/>
  <c r="N17" i="16"/>
  <c r="AA26" i="16" l="1"/>
  <c r="AC98" i="16" l="1"/>
  <c r="Z98" i="16"/>
  <c r="Y98" i="16"/>
  <c r="X98" i="16"/>
  <c r="W98" i="16"/>
  <c r="T98" i="16"/>
  <c r="S98" i="16"/>
  <c r="R98" i="16"/>
  <c r="Q98" i="16"/>
  <c r="U96" i="16"/>
  <c r="N96" i="16"/>
  <c r="N94" i="16"/>
  <c r="AA93" i="16"/>
  <c r="U93" i="16"/>
  <c r="N93" i="16"/>
  <c r="AA92" i="16"/>
  <c r="U92" i="16"/>
  <c r="N92" i="16"/>
  <c r="AA91" i="16"/>
  <c r="U91" i="16"/>
  <c r="N91" i="16"/>
  <c r="N89" i="16"/>
  <c r="N88" i="16"/>
  <c r="N87" i="16"/>
  <c r="N85" i="16"/>
  <c r="AA84" i="16"/>
  <c r="U84" i="16"/>
  <c r="N84" i="16"/>
  <c r="AA83" i="16"/>
  <c r="U83" i="16"/>
  <c r="N83" i="16"/>
  <c r="N81" i="16"/>
  <c r="N78" i="16"/>
  <c r="N77" i="16"/>
  <c r="N76" i="16"/>
  <c r="N73" i="16"/>
  <c r="U71" i="16"/>
  <c r="N71" i="16"/>
  <c r="U69" i="16"/>
  <c r="N69" i="16"/>
  <c r="N68" i="16"/>
  <c r="AA67" i="16"/>
  <c r="U67" i="16"/>
  <c r="N67" i="16"/>
  <c r="N66" i="16"/>
  <c r="N63" i="16"/>
  <c r="AA62" i="16"/>
  <c r="U62" i="16"/>
  <c r="N62" i="16"/>
  <c r="N61" i="16"/>
  <c r="N58" i="16"/>
  <c r="N37" i="16"/>
  <c r="N34" i="16"/>
  <c r="AA33" i="16"/>
  <c r="U33" i="16"/>
  <c r="N33" i="16"/>
  <c r="AA32" i="16"/>
  <c r="U32" i="16"/>
  <c r="N32" i="16"/>
  <c r="N29" i="16"/>
  <c r="U27" i="16"/>
  <c r="N27" i="16"/>
  <c r="U26" i="16"/>
  <c r="N26" i="16"/>
  <c r="N22" i="16"/>
  <c r="AA16" i="16"/>
  <c r="N16" i="16"/>
  <c r="AA15" i="16"/>
  <c r="N15" i="16"/>
  <c r="AA14" i="16"/>
  <c r="N14" i="16"/>
  <c r="N13" i="16"/>
  <c r="AA12" i="16"/>
  <c r="N12" i="16"/>
  <c r="AA11" i="16"/>
  <c r="N11" i="16"/>
  <c r="N10" i="16"/>
  <c r="AA9" i="16"/>
  <c r="N9" i="16"/>
  <c r="N98" i="16" l="1"/>
  <c r="AB62" i="16"/>
  <c r="U98" i="16"/>
  <c r="AB69" i="16"/>
  <c r="AB67" i="16"/>
  <c r="AB71" i="16"/>
  <c r="AB92" i="16"/>
  <c r="AB96" i="16"/>
  <c r="AB63" i="16"/>
  <c r="AB27" i="16"/>
  <c r="AB15" i="16"/>
  <c r="AB11" i="16"/>
  <c r="AB22" i="16"/>
  <c r="AB10" i="16"/>
  <c r="AB14" i="16"/>
  <c r="AB33" i="16"/>
  <c r="AB61" i="16"/>
  <c r="AB91" i="16"/>
  <c r="AB95" i="16"/>
  <c r="AB13" i="16"/>
  <c r="AB17" i="16"/>
  <c r="AB32" i="16"/>
  <c r="AB84" i="16"/>
  <c r="AB89" i="16"/>
  <c r="AB12" i="16"/>
  <c r="AB16" i="16"/>
  <c r="AB29" i="16"/>
  <c r="AB83" i="16"/>
  <c r="AB93" i="16"/>
  <c r="AB9" i="16"/>
  <c r="AB26" i="16"/>
  <c r="P98" i="16"/>
  <c r="V98" i="16" l="1"/>
  <c r="AA98" i="16"/>
  <c r="AB98" i="16" l="1"/>
</calcChain>
</file>

<file path=xl/sharedStrings.xml><?xml version="1.0" encoding="utf-8"?>
<sst xmlns="http://schemas.openxmlformats.org/spreadsheetml/2006/main" count="822" uniqueCount="322">
  <si>
    <t xml:space="preserve"> PLAN DE ACCIÓN - PLAN DE DESARROLLO MUNICIPAL
SECRETARÍA DEL INTERIOR</t>
  </si>
  <si>
    <r>
      <t xml:space="preserve">Código:  </t>
    </r>
    <r>
      <rPr>
        <sz val="11"/>
        <rFont val="Arial"/>
        <family val="2"/>
      </rPr>
      <t>F-DPM-1210-238,37-030</t>
    </r>
  </si>
  <si>
    <r>
      <t xml:space="preserve">Página: </t>
    </r>
    <r>
      <rPr>
        <sz val="11"/>
        <rFont val="Arial"/>
        <family val="2"/>
      </rPr>
      <t>1 de 1</t>
    </r>
  </si>
  <si>
    <t xml:space="preserve">FECHA DE SUSCRIPCIÓN:  </t>
  </si>
  <si>
    <t>FECHA DE CORTE:</t>
  </si>
  <si>
    <t>PDM 2020-2023</t>
  </si>
  <si>
    <t>PROYECTOS DE INVERSIÓN</t>
  </si>
  <si>
    <t>CUMPLIMIENTO DE META</t>
  </si>
  <si>
    <t>RECURSOS PROGRAMADOS</t>
  </si>
  <si>
    <t>RECURSOS EJECUTADOS</t>
  </si>
  <si>
    <t>EJECUCIÓN PPTAL</t>
  </si>
  <si>
    <t>RECURSOS GESTIONADOS</t>
  </si>
  <si>
    <t>RESPONSABLES</t>
  </si>
  <si>
    <t>No.</t>
  </si>
  <si>
    <t>Línea estratégica</t>
  </si>
  <si>
    <t>Componente</t>
  </si>
  <si>
    <t xml:space="preserve">Programa </t>
  </si>
  <si>
    <t>Meta PDM</t>
  </si>
  <si>
    <t>Indicador de producto</t>
  </si>
  <si>
    <t>Código BPIN</t>
  </si>
  <si>
    <t>Nombre del Proyecto</t>
  </si>
  <si>
    <t>Actividades</t>
  </si>
  <si>
    <t>Fecha inicio</t>
  </si>
  <si>
    <t>Fecha de terminación</t>
  </si>
  <si>
    <t>Meta programada</t>
  </si>
  <si>
    <t>Meta ejecutada</t>
  </si>
  <si>
    <t>AVANCE</t>
  </si>
  <si>
    <t>Rubro - Programado</t>
  </si>
  <si>
    <t>RECURSOS PROPIOS MUNICIPIO</t>
  </si>
  <si>
    <t>SGP</t>
  </si>
  <si>
    <t>SGR</t>
  </si>
  <si>
    <t>RECURSOS PROPIOS INSTITUTOS</t>
  </si>
  <si>
    <t>OTROS</t>
  </si>
  <si>
    <t>TOTAL PROGRAMADO</t>
  </si>
  <si>
    <t>TOTAL EJECUTADO</t>
  </si>
  <si>
    <t>Dependencia</t>
  </si>
  <si>
    <t>Responsable</t>
  </si>
  <si>
    <t>BUCARAMANGA EQUITATIVA E INCLUYENTE: UNA CIUDAD DE BIENESTAR</t>
  </si>
  <si>
    <t>Capacidades Y Oportunidades Para Superar Brechas Sociales</t>
  </si>
  <si>
    <t>Aceleradores De Desarrollo Social</t>
  </si>
  <si>
    <t>Formular e implementar 1 estrategia para brindar asistencia social a la población afectada por las diferentes emergencias y particularmente COVID-19.</t>
  </si>
  <si>
    <t>Número de estrategias formuladas e implementadas para brindar asistencia social a la población afectada por las diferentes emergencias y particularmente COVID-19.</t>
  </si>
  <si>
    <t xml:space="preserve">DESARROLLO DE ESTRATEGIAS PARA LA PREVENCION DE DELITOS EN NIÑOS, NIÑAS, ADOLESCENTES Y JOVENES EN LA CIUDAD DE BUCAMANGA </t>
  </si>
  <si>
    <t>2.3.2.02.02.008.4501004.83990.204 - $ 27.416.675</t>
  </si>
  <si>
    <t>Sec. Interior</t>
  </si>
  <si>
    <t>Jenny Melissa Franco</t>
  </si>
  <si>
    <t>BUCARAMANGA SOSTENIBLE: UNA REGIÓN CON FUTURO</t>
  </si>
  <si>
    <t>Bucaramanga Gestiona El Riesgo De Desastre Y Se Adapta Al Proceso De Cambio Climático</t>
  </si>
  <si>
    <t>Conocimiento Del Riesgo Y Adaptación Al Cambio Climático</t>
  </si>
  <si>
    <t>Actualizar e implementar el Plan Municipal de Gestión de Riesgo y su Adaptación al Cambio Climático y la Política Pública de Gestión de Riesgo y Adaptación al Cambio Climático.</t>
  </si>
  <si>
    <t>Número de Planes Municipales de Gestión de Riesgo y su Adaptación al Cambio Político y Políticas Públicas de de Gestión de Riesgo y Adaptación al Cambio Climático actualizados e implementados.</t>
  </si>
  <si>
    <t>IMPLEMENTACIÓN DE ACCIONES PARA EL CONOCIMIENTO E IDENTIFICACIÓN DEL RIESGO A TRAVÉS DE LA UNIDAD MUNICIPAL DE GESTIÓN DEL RIESGO DEL MUNICIPIO DE BUCARAMANGA</t>
  </si>
  <si>
    <t>Mejorar la capacidad operativa de la Unidad Municipal de gestión del Riesgo y Desastre para la respuesta eficiente a los eventos de desastre natural y otros en el municipio de Bucaramanga.</t>
  </si>
  <si>
    <t>2.3.2.02.02.008.4503003.83990.201 - $ 75.000.000
2.3.2.01.01.004.01.01.04.4503032.45269.201 - $ 120.000.000
2.3.2.01.01.003.05.03.4503003.4731101.501 - $ 35.000.000
2.3.2.02.01.003.4503003.4964001.501 - $ 160.000.000
2.3.2.01.01.005.02.03.01.01.4503003.47813.501 - $ 40.000.000
2.3.2.02.02.008.4503003.83990.501 - $ 63.000.000</t>
  </si>
  <si>
    <t>Realizar 9 estudios en áreas o zonas con situaciones de riesgo.</t>
  </si>
  <si>
    <t>Número de estudios en áreas o zonas con situaciones de riesgo realizados.</t>
  </si>
  <si>
    <t>2.3.2.02.02.008.4503003.83990.201 - $ 24.000.000
2.3.2.02.02.008.4503003.83990.501 - $ 19.000.000</t>
  </si>
  <si>
    <t>Adquirir 5 Sistema de Alertas Tempranas e Innovación para la gestión del riesgo.</t>
  </si>
  <si>
    <t>Número de Sistemas de Alertas Tempranas e Innovación adquiridos para la gestión del riesgo.</t>
  </si>
  <si>
    <t>IMPLEMENTACIÓN Y PUESTA EN MARCHA DEL SISTEMA DE ALERTAS TEMPRANAS PARA LA PREVENCIÓN Y ATENCION  DE LOS EVENTOS NATURALES ASOCIADOS A LA GESTIÓN DEL RIESGO Y DESASTRE EN EL MUNICIPIO DE BUCARAMANGA  BUCARAMANGA</t>
  </si>
  <si>
    <t>Implementación y puesta en marcha del sistema de alertas tempranas para la prevención y atencion  de los eventos naturales asociados a la gestión del riesgo y desastre en el municipio de Bucaramanga  Bucaramanga</t>
  </si>
  <si>
    <t>2.3.2.02.02.008.4503019.83143.201 - $ 691.888.591
2.3.2.02.02.008.4503019.83162.588 - $ 3.000.000</t>
  </si>
  <si>
    <t>Reducción, Mitigación Del Riesgo Y Adaptación Al Cambio Climático</t>
  </si>
  <si>
    <t>Formular e implementar 1 estrategia de respuesta a emergencia - EMRE que contenga el protocolo de atención de emergencias por calidad del aire.</t>
  </si>
  <si>
    <t>Número de estrategias de respuesta a emergencia - EMRE que contenga el protocolo de atención de emergencias por calidad del aire formuladas e implementadas.</t>
  </si>
  <si>
    <t>IMPLEMENTACIÓN DE ACCIONES DE FORTALECIMIENTO A LA GESTIÓN DEL RIESGO DE DESASTRES EN EL MUNICIPIO DE BUCARAMANGA</t>
  </si>
  <si>
    <t>2.3.2.02.02.008.4503003.83990.201 - $ 21.000.000
2.3.2.02.02.008.4503003.83990.501 - $ 17.500.000</t>
  </si>
  <si>
    <t xml:space="preserve">Fortalecer 30 instancias sociales del Sistema Municipal de Gestión de Riesgo. </t>
  </si>
  <si>
    <t>Número instancias sociales fortalecidas del Sistema Municipal de Gestión de Riesgo.</t>
  </si>
  <si>
    <t>2.3.2.02.02.008.4503003.83990.201 - $ 69.000.000
2.3.2.02.02.008.4503003.83990.501 - $ 37.500.000</t>
  </si>
  <si>
    <t>Intervenir estratégicamente 6 zonas de riesgo de desastre.</t>
  </si>
  <si>
    <t>Número de zonas de riesgo de desastre intervenidas estratégicamente.</t>
  </si>
  <si>
    <t>2.3.2.02.02.008.4503003.83990.501 - $ 20.000.000</t>
  </si>
  <si>
    <t>Realizar 1 inventario municipal de asentamientos humanos localizados en zonas de alto riesgo no mitigable.</t>
  </si>
  <si>
    <t>Número de inventarios municipales de asentamientos humanos localizados en zonas de alto riesgo no mitigable realizados.</t>
  </si>
  <si>
    <t>Mantener la atención al 100% de las familias en emergencias naturales y antrópicas.</t>
  </si>
  <si>
    <t>Porcentaje de familias atendidas en emergencias naturales y antrópicas.</t>
  </si>
  <si>
    <t>2.3.2.01.01.004.01.01.04.4503003.4299911.201 - $ 363.825.000
2.3.2.02.02.008.4503003.83990.201 - $ 21.000.000
2.3.2.02.02.008.4503003.83990.501 - $ 17.500.000</t>
  </si>
  <si>
    <t>CONSTRUCCIÓN DE OBRAS DE MITIGACIÓN Y RECUPERACIÓN VIAL DE LOS SECTORES AFECTADOS EN EL MARCO DE LA DECLARATORIA DE CALAMIDAD PUBLICA EN EL MUNICIPIO DE BUCARAMANGA, SANTANDER</t>
  </si>
  <si>
    <t>2.3.2.02.02.008.3205018.83990.201 - $ .4.511.723.409</t>
  </si>
  <si>
    <t>ACTUALIZACION DE LA CAPACIDAD REMANENTE DEL SITIO DE DISPOSICION FINAL "EL CARRASCO" ETAPA E Y F EN EL MUNICIPIO DE BUCARAMANGA</t>
  </si>
  <si>
    <t>2.3.2.02.02.005.4003012.94332.201 - $ 1.106.552.323</t>
  </si>
  <si>
    <t xml:space="preserve">PENDIENTE BPIN </t>
  </si>
  <si>
    <t>CONSTRUCCIÓN DE OBRAS DE MITIGACIÓN Y ESTABILIZACIÓN EN LOS SECTORES LA GLORIA, NAZARETH Y PABLO VI DEL MUNICIPIO DE BUCARAMANGA - DEPARTAMENTO DE SANTANDER</t>
  </si>
  <si>
    <t>2.3.2.02.02.005.3205018.53290.200 - $ 46.830.428.703</t>
  </si>
  <si>
    <t>CONSTRUCCIÓN DE OBRAS DE MITIGACIÓN Y APOYO AL SECTOR DE PUNTA PARAISO EN EL MARCO DE LA DECLARATORIA DE CALAMIDAD PUBLICA EN EL MUNICIPIO DE BUCARAMANGA.</t>
  </si>
  <si>
    <t xml:space="preserve">2.3.2.02.02.005.4503022.53290.201 - $ 2.985.000.005
2.3.2.02.02.005.4503022.53290.501 - $ 1.000.000.000
2.3.2.02.02.009.4503028.97990.201 - $21.000.000
</t>
  </si>
  <si>
    <t>Manejo Del Riesgo Y Adaptación Al Cambio Climático</t>
  </si>
  <si>
    <t>Mantener la atención integral al 100% de las emergencias y desastres ocurridas en el municipio.</t>
  </si>
  <si>
    <t>Porcentaje de emergencias y desastres ocurridas en el municipio atendidas integralmente.</t>
  </si>
  <si>
    <t>SUBSIDIO Y ASIGNACIÓN DE RECURSOS COMPLEMENTARIOS PARA ATENDER EMERGENCIAS Y EVENTOS NATURALES EN EL MUNICIPIO DE BUCARAMANGA</t>
  </si>
  <si>
    <t>2.3.2.02.01.003.4503028.3815099.201 - $ 394.935.041
2.3.2.02.01.003.4503004.3899997.201 - $ 250.000.000
2.3.2.02.01.003.4503004.3899997.201 - $ 150.000.000</t>
  </si>
  <si>
    <t>SUBSIDIO PARA LA ATENCION DE DAMNIFICADOS DE EMERGENCIAS Y EVENTOS NATURALES EN EL MUNICIPIO DE BUCARMANGA</t>
  </si>
  <si>
    <t>2.3.2.02.02.009.4503028.97990.201 - $ 115.500.000</t>
  </si>
  <si>
    <t>FORTALECIMIENTO A LAS ACCIONES DE MANEJO Y ATENCIÓN A EVENTOS DE RIESGO DE DESASTRES DEL MUNICIPIO DE BUCARAMANGA</t>
  </si>
  <si>
    <t>2.3.2.02.01.003.4503004.4292299.501</t>
  </si>
  <si>
    <t xml:space="preserve">PENDIENTE JUNTA DIRECTIVA DEL FONDO </t>
  </si>
  <si>
    <t>2.3.2.02.02.008.4503003.83990.501 - $ 469.149.243</t>
  </si>
  <si>
    <t>BUCARAMANGA CIUDAD VITAL: LA VIDA ES SAGRADA</t>
  </si>
  <si>
    <t>Espacio Público Vital</t>
  </si>
  <si>
    <t>Equipamiento Comunitario</t>
  </si>
  <si>
    <t>Mantener las 4 Plazas de Mercado administradas por el Municipio.</t>
  </si>
  <si>
    <t>Número de plazas de mercado administradas por el Municipio mantenidas.</t>
  </si>
  <si>
    <t>FORTALECIMIENTO A LA OPERATIVIDAD DE LOS CENTROS DE ACOPIO A CARGO DEL MUNICIPIO DE BUCARAMANGA</t>
  </si>
  <si>
    <t>Garantizar una eficaz gestión y funcionamiento de las plazas de mercado que se encuentran bajo la administración de la Alcaldía de Bucaramanga.</t>
  </si>
  <si>
    <t>2.3.2.02.01.003.4002031.3529901.201 - $ 2.000.000
2.3.2.02.01.003.4002031.3649098.201 - $ 70.000.000
2.3.2.02.02.008.4002017.83990.201 - $ 124.200.000
2.3.2.02.02.008.4002017.82199.201 - $ 21.000.000
2.3.2.02.02.008.4002031.85330.201 - $ 400.000.000 
2.3.2.02.02.008.4002031.8715999.201 - $ 10.000.000
2.3.2.02.02.008.4002031.85250.201 - $ 364.746.543
2.3.2.02.02.008.4002031.82199.501 - $ 15.870.000
2.3.2.02.02.008.4002031.83990.501 - $ 97.130.000</t>
  </si>
  <si>
    <t>Bucaramanga Segura</t>
  </si>
  <si>
    <t>Prevención Del Delito</t>
  </si>
  <si>
    <t>Formular e implementar 1 programa de gestores de convivencia.</t>
  </si>
  <si>
    <t>Número de programas de gestores de convivencia formulados e implementados.</t>
  </si>
  <si>
    <t>IMPLEMENTACIÓN DE ACCIONES E INICIATIVAS SOCIALES PARA LA CONSERVACIÓN DE LA SANA CONVIVENCIA, GESTIÓN DE CONFLICTOS COMUNITARIOS Y USO ADECUADO DEL ESPACIO PÚBLICO EN EL MUNICIPIO DE BUCARAMANGA</t>
  </si>
  <si>
    <t>Reducir la invasión y el uso inadecuado del espacio público en la ciudad de Bucaramanga.</t>
  </si>
  <si>
    <t>2.3.2.02.02.008.4501004.83990.201 - $ 1.248.600.000
2.3.2.02.02.008.4501004.82199.201 - $ 45.000.000
2.3.2.02.01.003.4002017.3899997.201 - $ 50.000.000
2.3.2.02.01.003.4501004.3899997.201 $ 41.808.469,00
2.3.2.02.02.008.4501004.83990.501 - $ 1.159.840.001</t>
  </si>
  <si>
    <t>DOTACIÓN DE VEHICULO DE CARGA PARA REALIZAR INTERVENCIONES DEL ESPACIO PUBLICO EN LA CIUDAD DE BUCARAMANGA.</t>
  </si>
  <si>
    <t xml:space="preserve">Disponer de medios de transporte en la intervención y control del espacio público </t>
  </si>
  <si>
    <t>2.3.2.01.01.004.01.01.04.4501004.4911402.201 - $ 142.191.531</t>
  </si>
  <si>
    <t>Formular e implementar 1 estrategia orientada a erradicar la violencia y fortalecer la protección en niños, niñas y adolescentes, mujeres, líderes sociales y personas mayores en entornos de violencia.</t>
  </si>
  <si>
    <t>Número de estrategias formuladas e implementadas orientadas a erradicar la violencia y fortalecer la protección en niños, niñas y adolescentes, mujeres, líderes sociales y personas mayores en entornos de violencia.</t>
  </si>
  <si>
    <t>MEJORAMIENTO DE LAS ESTRATEGIAS ORIENTADAS A LA PROTECCIÓN, PREVENCIÓN Y MITIGACIÓN DE LA VIOLENCIA INTRAFAMILIAR Y DE GÉNERO PARA POBLACIÓN VULNERABLE EN EL MUNICIPIO DE BUCARAMANGA</t>
  </si>
  <si>
    <t>2.3.2.02.02.008.1202034.82199.201 - $ 60.000.000</t>
  </si>
  <si>
    <t>2.3.2.02.02.008.1202002.83990.501 $ 46.743.332,34
2.3.2.02.02.008.1202034.82199.501 - $ 3.256.667,66</t>
  </si>
  <si>
    <t>CONSOLIDACIÓN DE LA RUTA DE ATENCIÓN DE PREVENCIÓN Y PROTECCION DE LIDERES SOCIALES EN LA CIUDAD DE BUCARAMANGA.</t>
  </si>
  <si>
    <t>Articular los programas para la prevención y protección de lideres sociales del municipio de Bucaramanga.</t>
  </si>
  <si>
    <t>2.3.2.02.02.008.4501029.83990.201 - $ 20.000.000
2.3.2.02.02.008.4501029.83990.501 - $ 20.000.000</t>
  </si>
  <si>
    <t>Mantener 1 hogar de paso para la protección de niños y niñas en riesgo y/o vulnerabilidad.</t>
  </si>
  <si>
    <t>Número de hogares de paso para las niñas y niños en riesgo y/o vulnerabilidad mantenidos.</t>
  </si>
  <si>
    <t>FORTALECIMIENTO DEL HOGAR DE PASO PARA PROTECCIÓN DE NIÑOS, NIÑAS Y ADOLESCENTES DEL MUNICIPIO DE BUCARAMANGA</t>
  </si>
  <si>
    <t>Garantizar la prestación del servicio mediante la modalidad de hogar de paso como medida de protección provisional de niñas, niños y adolescente con derechos amenazados y/o vulnerados y en estado de inobservancia del municipio de Bucaramanga.</t>
  </si>
  <si>
    <t>2.3.2.02.02.006.4102037.63290.201 - $ 460.000.000</t>
  </si>
  <si>
    <t>Mantener el Programa de Tolerancia en Movimiento con el objetivo de fortalecer la convivencia y seguridad ciudadana.</t>
  </si>
  <si>
    <t>Número de Programas de Tolerancia en Movimiento mantenidos con el objetivo de fortalecer la convivencia y seguridad ciudadana.</t>
  </si>
  <si>
    <t>Reducir los índices de inseguridad ciudadana e intolerancia social en el municipio de Bucaramanga.</t>
  </si>
  <si>
    <t>2.3.2.02.02.008.4501004.8715999.204 - $ 54.519.766,64
2.3.2.02.02.008.4501004.83990.204 - $ 195.480.233.36
2.3.2.02.02.008.4501004.83990.204 - $ 493,159,360
2.3.2.02.02.008.4501004.83990.204 - $ 4.709.483
2.3.2.02.02.008.4501029.83990.536 - $ 86.800.000</t>
  </si>
  <si>
    <t>Intervenir 10 puntos críticos de criminalidad con acciones integrales.</t>
  </si>
  <si>
    <t>Número de puntos críticos de criminalidad intervenidos con acciones integrales.</t>
  </si>
  <si>
    <t>Disminuir la prevalencia de conflictos sociales derivados de la frágil convivencia ciudadana en el municipio de Bucaramanga.</t>
  </si>
  <si>
    <t>2.3.2.02.02.008.4501004.83990.201 - $ 123.000.000
2.3.2.02.02.008.4501004.83990.501 - $ 83.610.000</t>
  </si>
  <si>
    <t xml:space="preserve">DESARROLLO DE ACCIONES PARA LA IDENTIFICACIÓN Y PREVENCIÓN DE CASOS DE NIÑOS, NIÑAS Y ADOLESCENTES VINCULADOS A DELITOS Y CONTRAVENCIONES  DENTRO Y FUERA DE LAS INSTITUCIONES EDUCATIVAS DEL MUNICIPIO DE BUCARAMANGA </t>
  </si>
  <si>
    <t xml:space="preserve">Promover la resolución pacífica de conflictos sociales  a través de acciones para la sana convivencia de las diferentes comunas y corregimientos de la ciudad de Bucaramanga. </t>
  </si>
  <si>
    <t>2.3.2.02.02.008.4501004.83990.204 - $ 86.757.348</t>
  </si>
  <si>
    <t>2.3.2.02.02.008.4501029.83990.501 - $ 80.000.000</t>
  </si>
  <si>
    <t>Fortalecimiento Institucional A Los Organismos De Seguridad</t>
  </si>
  <si>
    <t>Formular e implementar el Plan Integral de Seguridad y Convivencia Ciudadana (PISCC) en conjunto con las entidades pertinentes.</t>
  </si>
  <si>
    <t>Número de Planes Integral de Seguridad y Convivencia Ciudadana (PISCC) formulados e implementados en conjunto con las entidades pertinentes.</t>
  </si>
  <si>
    <t>2.3.2.02.02.008.4501004.83990.201 - $ 107.400.000
2.3.2.02.02.008.4501004.82199.201 - $ 21.000.000
'2.3.2.02.02.008.4501004.83990.501 - $ 98.906.667</t>
  </si>
  <si>
    <t xml:space="preserve">Mejorar la infraestructura física de algunas instalaciones donde opera y presta el servicio la Fiscalía General de la Nación en el municipio de Bucaramanga, buscando una eficiente prestación del servicio en el marco del orden público. </t>
  </si>
  <si>
    <t>2.3.2.02.02.008.4501004.83990.204 - $ 50.400.000</t>
  </si>
  <si>
    <t>FORTALECIMIENTO A LAS ESTRATEGIAS DE ORDEN PÚBLICO EN EL MARCO DEL PLAN INTEGRAL DE SEGURIDAD Y CONVIVENCIA CIUDADANA PISCC DEL MUNICIPIO DE BUCARAMANGA.</t>
  </si>
  <si>
    <t>Adquisición de vehículos para el transporte de tropa del batallón de servicios n° 5 “Mercedes Abrego” del municipio de Bucaramanga.</t>
  </si>
  <si>
    <t>2.3.2.02.02.006.4501029.63399.204 - $ 274.741.412</t>
  </si>
  <si>
    <t>APOYO A LAS ACCIONES OPERATIVAS E INCREMENTO AL PIE DE FUERZA DE LA POLICÍA METROPOLITANA DE BUCARAMANGA</t>
  </si>
  <si>
    <t xml:space="preserve">
2.3.2.02.01.003.4501029.3899997.504 - $ 118.913.181</t>
  </si>
  <si>
    <t>APOYO FINANCIERO PARA LA ENTREGA DE RECOMPENSAS A INFORMANTES DE LA POLICÍA METROPOLITANA DE BUCARAMANGA.</t>
  </si>
  <si>
    <t>Mejorar la prestación del servicio del usuario y ciudadano del CFSM de Bucaramanga, a través de la adecuación de las condiciones físicas del CFSM para la atención de trámites migratorios y retención temporal de ciudadanos extranjeros por parte de Migración Colombia en el Municipio de Bucaramanga.</t>
  </si>
  <si>
    <t>2.3.2.02.02.009.4501056.97990.204 - $ 100.000.000</t>
  </si>
  <si>
    <t>APOYO FINANCIERO PARA GASTOS DE BIENESTAR DE LA POLICIA METROPOLITANA DE BUCARAMANGA</t>
  </si>
  <si>
    <t>Implementar acciones que permitan la  mejorar prestación del servicio integral a la comunidad por parte de la Policia Nacional en el municipio de Bucaramanga.</t>
  </si>
  <si>
    <t>2.3.2.02.01.003.4501029.3824004.201 - $ 11.259.724
2.3.2.02.02.008.4501029.83990.201 - $ 7.013.803
2.3.2.02.02.008.4501029.83990.261 - $ 7.986.197</t>
  </si>
  <si>
    <t xml:space="preserve">FORTALECIMIENTO DE LOS ORGANISMOS DE SEGURIDAD CON LOS ELEMENTOS NECESARIOS PARA LA REALIZACION DE LAS FUNCIONES EN EL MUNICIPIO DE BUCARAMANGA  </t>
  </si>
  <si>
    <t>2.3.2.02.02.008.4501004.83990.204 - $ 209.751.964</t>
  </si>
  <si>
    <t>2.3.2.01.01.003.03.02.4599007.45250.501 - $ 539.679.813</t>
  </si>
  <si>
    <t>ADECUACIÓN DE LAS SALAS DE PASO, ATENCIÓN AL USUARIO Y UNIDAD DE REACCIÓN INMEDIATA DE LA SEDE PRINCIPAL DE LA FISCALÍA GENERAL DE LA NACIÓN EN BUCARAMANGA</t>
  </si>
  <si>
    <t>2.3.2.02.02.008.4501056.83990.204 - $ 101.895.142,12
2.3.2.01.01.003.03.02.4501052.45250.504 - $ 121.000.000</t>
  </si>
  <si>
    <t xml:space="preserve">MEJORAMIENTO Y OBRAS COMPLEMENTARIAS A LAS INSTALACIONES DE LA SEDE FUERTE NORTE PERTENECIENTE AL DISTRITO DE LA POLICIA METROPOLITANA DEL MUNICIPIO DE BUCARAMANGA </t>
  </si>
  <si>
    <t>2.3.2.02.02.008.4599016.83990.204 - $ 196.811.537,16</t>
  </si>
  <si>
    <t xml:space="preserve">MEJORAMIENTO Y OBRAS COMPLEMENTARIAS PARA ALOJAMIENTO DEL BATALLON DE INGENIEROS NO. 5 CORONEL FRANCISCO JOSÉ DE CALDAS DEL MUNICIPIO DE BUCARAMANGA </t>
  </si>
  <si>
    <t>2.3.2.02.02.008.4599016.83990.204 - $ 163.509.429</t>
  </si>
  <si>
    <t>CONSOLIDACIÓN DE LA ESTRATEGIA DENOMINADA "AGUANTE LA BARRA: BARRISMO TOLERANTE, APORTAR, CONVIVIR Y ALENTAR"</t>
  </si>
  <si>
    <t>Promover la reducción de los índices de violencia ocasionados por los barristas en el municipio de Bucaramanga.</t>
  </si>
  <si>
    <t>2.3.2.02.02.008.4501004.83990.204 - $ 267.119.538
2.3.2.02.02.008.4501004.83990.501 - $148.000.000</t>
  </si>
  <si>
    <t>Pendiente por incluir en proeycto</t>
  </si>
  <si>
    <t>2.3.2.01.01.003.03.02.4501052.45250.504 - $ 298.000.000</t>
  </si>
  <si>
    <t>DOTACIÓN DE MOBILIARIO Y ELEMENTOS PARA MEJORAR LA CAPACIDAD OPERATIVA EN INSTALACIONES DE LOS ORGANISMOS DE SEGURIDAD DEL MUNICIPIO DE BUCARAMANGA</t>
  </si>
  <si>
    <t xml:space="preserve">Aumentar el nivel de protección y seguridad de la integridad física de los miembros de la policía metropolitana de Bucaramanga </t>
  </si>
  <si>
    <t>2.3.2.01.01.004.01.01.02.4599034.3812299.204 - $ 267.119.536</t>
  </si>
  <si>
    <t>FORTALECIMIENTO INSTITUCIONAL DEL EJERCITO NACIONAL EN LA CIUDAD DE BUCARAMANGA</t>
  </si>
  <si>
    <t>2.3.2.02.02.008.4501004.83990.204 - $ 267.119.537</t>
  </si>
  <si>
    <t>FORTALECIMIENTO A LA OPERATIVIDAD DE LAS ACCIONES Y ESTRATEGIAS DE SEGURIDAD Y CONVIVENCIA CIUDADANA EJERCIDAS POR LA POLICIA METROPOLITANA DE BUCARAMANGA</t>
  </si>
  <si>
    <t>2.3.2.02.02.006.4501029.63399.201 - $ 296.726.473
2.3.2.01.01.003.05.03.4501052.4731101.201  - $ 435.000.000
2.3.2.01.01.003.07.01.4501029.4911301.201 - $ 555.000.000
2.3.2.02.02.006.4501029.63399.501 $ 147.937.104
2.3.2.01.01.003.05.03.4501052.4731101.501 $395.441.710 Pendiente por incluir en proyecto</t>
  </si>
  <si>
    <t>MEJORAMIENTO DE LOS SISTEMAS DE SEGURIDAD DE LA CIUDAD DE BUCARAMANGA</t>
  </si>
  <si>
    <t>2.3.2.02.02.008.4501004.83990.204 - $ 400.000.000</t>
  </si>
  <si>
    <t xml:space="preserve">DOTACIÓN Y MANTENIMIENTO DE LOS SISTEMAS DE ALARMA COMUNITARIAS EN EL MUNICIPIO DE BUCARAMANGA </t>
  </si>
  <si>
    <t xml:space="preserve">Fortalecer los frentes de seguridad del municipio a través del mejoramiento de los sistemas de alarma comunitarias en el Municipio de Bucaramanga </t>
  </si>
  <si>
    <t>2.3.2.01.01.003.03.02.4599007.45250.501 - $ 1.213.316.976</t>
  </si>
  <si>
    <t xml:space="preserve">IMPLEMENTACIÓN DE ACCIONES PARA LA RENOVACIÓN DE LOS EQUIPOS TECNOLOGICOS Y SISTEMAS DE INFORMACIÓN PARA LAS DIFERENTES AREAS DE INVESTIGACIÓN DE LA FISCALIA GENERAL DE LA NACIÓN - SEDE BUCARAMANGA </t>
  </si>
  <si>
    <t>MEJORAR LA EFICIENCIA EN EL ANÁLISIS Y PROCESAMIENTO DE LA INFORMACIÓN DE LOS PROCESOS DE INVESTIGACIÓN JUDICIAL Y EN EL MANEJO DE LOS ELEMENTOS MATERIALES PROBATORIOS (EMP) Y EVIDENCIA FÍSICA (EF) QUE ADELANTA LA FISCALÍA GENERAL DE LA NACIÓN SEDE BUCARAMANGA.</t>
  </si>
  <si>
    <t>2.3.2.01.01.003.03.02.4599007.45250.501 - $ 120.000.000</t>
  </si>
  <si>
    <t>PENDIENTE</t>
  </si>
  <si>
    <t>ADQUISICION DEL SISTEMA DE RECONOCIMIENTO FACIAL INTEGRADO CON EL SISTEMA MULTIBIOMÉTRICO DENOMINADO SISTEMA AUTOMÁTICO DE IDENTIFICACIÓN BIOMÉTRICA ABIS DE LA POLICÍA METROPOLITANA DE BUCARAMANGA.</t>
  </si>
  <si>
    <t xml:space="preserve">2.3.2.01.01.003.03.02.4501052.45250.504 - $ 3.180.233,90
2.3.2.02.01.003.4501029.3899997.504 - $ 130.524.904
2.3.2.02.02.008.4501029.83990.536 - $ 1.073.459.472
2.3.2.02.02.008.4501004.83990.204 - $ 50.000.000
2.3.2.01.01.003.03.02.4501052.45250.504 - $204.024.786
2.3.2.02.01.003.4501029.3899997.204 - $ 609.343.202
2.3.2.02.01.003.4501029.3899997.236 - $ 523.655.898
2.3.2.02.02.009.4501053.97990.204 - $ 213.524.004
2.3.2.02.02.009.4501053.97990.504 - $ 350.000.000
2.3.2.02.01.003.4501029.3899997.504 - $ 750.501.915
2.3.2.01.01.003.03.02.4501052.45250.504 - $295.975.215
2.3.2.01.01.003.03.02.4599007.45250.501 - $ 119.558.494
2.3.2.02.02.008.4501004.83990.501 - $ 19.800.000
2.3.2.01.01.003.03.02.4599007.45250.501 - $35.727.178
</t>
  </si>
  <si>
    <t>Mantener la adquisición del 100% las herramientas de innovación, ciencia y tecnología aprobadas a los organismos de orden público en marco de una ciudad inteligente.</t>
  </si>
  <si>
    <t>Porcentaje de herramientas de innovación, ciencia y tecnología adquiridas aprobadas a los organismos de orden público en marco de una ciudad inteligente.</t>
  </si>
  <si>
    <t>DOTACION DE EQUIPOS TECNOLÓGICOS INTEROPERABLES CON EL SISTEMA DE IDENTIFICACIÓN BIOMÉTRICA AUTOMATIZADO – ABIS PARA LA UNIDAD SECCIONAL DE INVESTIGACION CRIMINAL DE LA POLICIA METROPOLITANA DE BUCARAMANGA</t>
  </si>
  <si>
    <t xml:space="preserve">
2.3.2.01.01.003.03.02.4501029.45250.504 - $400.000.000</t>
  </si>
  <si>
    <t>Mejorar la operatividad de los sistemas de información para el desarrollo de las acciones encaminadas a la vigilancia, seguridad y convivencia ciudadana de los centros de información estratégica policial seccional CIEPS de la metropolitana de Bucaramanga.</t>
  </si>
  <si>
    <t>RENOVACIÓN DE LA PLATAFORMA TECNOLÓGICA Y SISTEMAS DE INFORMACION DEL SISTEMA INTEGRADO DE EMERGENCIAS Y SEGURIDAD SIES DE LA MEBUC EN EL MUNICIPIO DE BUCARAMANGA</t>
  </si>
  <si>
    <t>Aumentar la capacidad operativa de en los sistemas tecnológicos y de información para el desarrollo de actividades de vigilancia y atención de Emergencias y Seguridad SIES, de la Policía Metropolitana de Bucaramanga</t>
  </si>
  <si>
    <t>2.3.2.01.01.004.01.01.04.4501032.45250.501 - $1.867.007.382
2.3.2.01.01.004.01.01.02.4501032.4516099.501 - $402.419.720</t>
  </si>
  <si>
    <t>2.3.2.01.01.003.03.02.4599007.45250.501 - $ 265.000.000</t>
  </si>
  <si>
    <t>Mantener en funcionamiento el Circuito Cerrado de Televisión.</t>
  </si>
  <si>
    <t>Número de Circuitos Cerrados de Televisión en funcionamiento.</t>
  </si>
  <si>
    <t>MANTENIMIENTO AL CIRCUITO CERRADO DE TELEVISIÓN CCTV PARA LAS ACCIONES DE VIGILANCIA EN EL MUNICIPIO DE BUCARAMANGA</t>
  </si>
  <si>
    <t>Mantener en óptimas condiciones el CCTV para la vigilancia, control y seguimiento de la inseguridad en el municipio de Bucaramanga.</t>
  </si>
  <si>
    <t>2.3.2.02.02.008.4501056.8715999.204 - $ 400.000.000
2.3.2.02.02.008.4501056.8715999.501 - $ 200.000.000 Pendiente por incluir en proyecto</t>
  </si>
  <si>
    <t>Formular e implementar el plan de acción para la habilitación  del Centro de Traslado por Protección - CTP en cumplimiento por el Código Nacional de Seguridad y Convicencia Ciudadana.</t>
  </si>
  <si>
    <t>Número de planes de acción formulados e implementados para la habilitación  del Centro de Traslado por Protección - CTP en cumplimiento por el Código Nacional de Seguridad y Convicencia Ciudadana.</t>
  </si>
  <si>
    <t>2.3.2.02.02.008.4501004.82199.201 - $ 21.000.000
2.3.2.02.02.008.4501004.83990.501 - $ 15.750.000</t>
  </si>
  <si>
    <t>Promoción De La Seguridad Ciudadana, El Orden Público Y La Convivencia</t>
  </si>
  <si>
    <t>Formular e implementar 1 estrategia para mejorar la prestación del servicio de las inspecciones de policía y el seguimiento a los procesos policivos.</t>
  </si>
  <si>
    <t>Número de estrategias formuladas e implementadas para mejorar la prestación del servicio de las inspecciones de policía y el seguimiento a los procesos policivos.</t>
  </si>
  <si>
    <t>MEJORAMIENTO EN LA PRESTACIÓN DEL SERVICIO PARA LA ATENCIÓN AL CIUDADANO EN LAS COMISARÍAS E INSPECCIONES DEL MUNICIPIO DE BUCARAMANGA</t>
  </si>
  <si>
    <t>2.3.2.01.01.004.01.01.04.4501004.45150.204 - $ 44.950.840
2.3.2.01.01.004.01.01.04.4501004.45250.204 - $ 5.753.215
2.3.2.01.01.004.01.01.04.4501004.3899998.204 - $ 8.033.629
2.3.2.02.02.008.4501004.83990.204 - $ 550.589.041</t>
  </si>
  <si>
    <t>APOYO A LA OPERATIVIDAD Y CAPACIDAD DE RESPUESTA DE LAS INSPECCIONES Y COMISARIAS PERTENECIENTES A LA SECRETARÍA DE INTERIOR DEL MUNICIPIO DE BUCARAMANGA</t>
  </si>
  <si>
    <t xml:space="preserve">
2.3.2.01.01.004.01.01.04.4501018.45250.201 - $ 23.801.169
</t>
  </si>
  <si>
    <t>FORTALECIMIENTO DE LA CAPACIDAD INSTITUCIONAL A INSPECCIONES Y COMISARIAS DEL MUNICIPIO DE BUCARAMANGA</t>
  </si>
  <si>
    <t>Mejorar la capacidad operativa para la descongestión y atención de los procesos policivo de las Inspecciones y Comisarías del municipio de Bucaramanga.</t>
  </si>
  <si>
    <t>2.3.2.02.02.008.1202034.82199.201 - $ 406.200.000
2.3.2.02.02.008.1202002.83990.201 - $ 180.600.000
2.3.2.02.02.008.1202002.8715999.201 - $ 7.792.000
2.3.2.02.02.008.1202002.8715999.598 - $ 58.383.667,46
2.3.7.06.02.4599025.82199.601 - $ 8.249.999,99
2.3.2.02.02.008.1202034.82199.501 - $ 340.725.000
2.3.2.02.02.008.1202002.83990.501 - $ 10.780.000</t>
  </si>
  <si>
    <t>Crear y mantener 1 observatorio de convivencia y seguridad ciudadana.</t>
  </si>
  <si>
    <t>Número de observatorios de convivencia y seguridad ciudadana creados y mantenidos.</t>
  </si>
  <si>
    <t>IMPLEMENTACIÓN DE ACCIONES PARA EL MEJORAMIENTO DE LA CONSOLIDACIÓN Y MANEJO DE DATOS DEL OBSERVATORIO DE LA INFORMACIÓN ASOCIADA A LA SEGURIDAD Y CONVIVENCIA CIUDADANA EN EL MUNICIPIO DE BUCARAMANGA</t>
  </si>
  <si>
    <t>Mejorar la capacidad operativa para la consolidación y reporte de los datos de criminalidad del observatorio de seguridad y convivencia ciudadana del municipio de Bucaramanga.</t>
  </si>
  <si>
    <t>2.3.2.02.02.008.4501004.83990.204 - $ 187.000.000
2.3.2.02.02.008.4501004.83990.501 - $ 205.000.000</t>
  </si>
  <si>
    <t>Desarrollar e implementar 1 protocolo para la coordinación de acciones de respeto y garantía a la protesta pacífica.</t>
  </si>
  <si>
    <t>Número de protocolos desarrollados e implementados para la coordinación de acciones de respeto y garantía a la protesta pacífica.</t>
  </si>
  <si>
    <t>2.3.2.02.02.008.4501004.83990.201 - $ 58.800.000
2.3.2.02.02.008.4501004.82199.201 - $ 21.000.000
2.3.2.02.02.008.4501004.82199.501 $ 48.853.332</t>
  </si>
  <si>
    <t>Formular 1 estrategia de diagnóstico y abordaje de las conflictividades sociales.</t>
  </si>
  <si>
    <t>Número de estrategias de diagnóstico y abordaje de las conflictividades sociales formuladas e implementadas.</t>
  </si>
  <si>
    <t>2.3.2.02.02.008.4501004.83990.201 - $ 36.000.000
2.3.2.02.02.008.4501004.83990.501 - $ 28.800.000</t>
  </si>
  <si>
    <t>Promoción De Los Métodos De Resolución De Conflictos, Acceso A La Justicia Y Aplicación De La Justicia Restaurativa</t>
  </si>
  <si>
    <t>Mantener la casa de justicia como espacio de atención y descongestión de los servicios de justicia garantizando la asesoría de las personas que solicitan el servicio.</t>
  </si>
  <si>
    <t>Número de casas de justicia mantenidas como espacio de atención y descongestión de los servicios de justicia garantizando la asesoría de las personas que solicitan el servicio.</t>
  </si>
  <si>
    <t xml:space="preserve">FORTALECIMIENTO PROGRAMA CASA DE JUSTICIA EN EL MUNICIPIO DE BUCARAMANGA </t>
  </si>
  <si>
    <t>2.3.2.02.02.008.4502038.83990.201 - $ 93.500.000
2.3.2.01.01.003.03.01.4502038.3814091.201 - $ 11.250.000
2.3.2.01.01.004.01.01.02.4502038.3812299.201 - $ 31.077.435
2.3.2.01.01.004.01.01.04.4502038.45250.201 - $ 14.172.565</t>
  </si>
  <si>
    <t>2.3.2.02.02.008.4501004.83990.204 - $ 6.600.443</t>
  </si>
  <si>
    <t xml:space="preserve">Formular e implementar 1 estrategia de promoción y efectividad del Código Nacional de Seguridad y Convivencia Ciudadana. </t>
  </si>
  <si>
    <t xml:space="preserve">Número de estrategias formuladas e implementadas de promoción y efectividad del Código Nacional de Seguridad y Convivencia Ciudadana. </t>
  </si>
  <si>
    <t>MEJORAMIENTO A LAS ACCIONES REALIZADAS POR EL COMITÉ DE DISCAPACIDAD, COMITÉ DE BIENESTAR ANIMAL Y CONSEJO DE PAZ DEL MUNICIPIO DE BUCARAMANGA</t>
  </si>
  <si>
    <t>2.3.2.02.02.008.4502001.83990.201 - $ 25.000.000</t>
  </si>
  <si>
    <t>2.3.2.02.02.008.4501004.83990.264 - $ 165.376.119
2.3.2.02.02.008.4501004.83990.204 - $ 291.898.008</t>
  </si>
  <si>
    <t>Mantener y fortalecer la prestación integral del servicio en las 3 comisarías de familia para prevenir la violencia intrafamiliar.</t>
  </si>
  <si>
    <t>Número de comisarías de familia mantenidas con la prestación integral del servicio para prevenir la violencia intrafamiliar.</t>
  </si>
  <si>
    <t>2.3.2.02.02.008.1202034.82199.201 - $ 54.600.000
2.3.2.02.02.008.1202002.83990.201 - $ 161.400.000
2.3.2.02.02.008.1202002.83990.501 - $ 234.356.667
2.3.2.02.02.008.1202034.82199.501 - $ 95.588.332,34</t>
  </si>
  <si>
    <t xml:space="preserve">2.3.2.01.01.004.01.01.02.4599034.4516099.201 - $ 40.569.431
</t>
  </si>
  <si>
    <t xml:space="preserve">MANTENIMIENTO Y MEJORAMIENTO DE LA INFRAESTRUCTURA EXISTENTE DE LA COMISARIA DE LA FAMILIA LA JOYA EN EL MUNICIPIO DE BUCARAMANGA </t>
  </si>
  <si>
    <t>2.3.2.02.02.008.4502021.83990.204 - $ 116.750.898,20</t>
  </si>
  <si>
    <t>Formular e implementar 1 estrategia de promoción comunitaria de los mecanismos alternativos de solución de conflictos y  aplicación de la justicia restaurativa.</t>
  </si>
  <si>
    <t>Número de estrategias de  promoción comunitaria de los mecanismos alternativos de solución de conflictos y de aplicación de la justicia restaurativa formuladas e implementadas.</t>
  </si>
  <si>
    <t>2.3.2.02.02.008.4501004.83990.201 - $ 54.000.000
2.3.2.02.02.008.4501004.82199.501 - $ 35.930.000
2.3.2.02.02.008.4501004.83990.501 - $ 6.470.000</t>
  </si>
  <si>
    <t>En Bucaramanga Construimos Un Territorio De Paz</t>
  </si>
  <si>
    <t>Transformando Vidas</t>
  </si>
  <si>
    <t>Formular e implementar 1 plan de acción con la Agencia para la Reincorporación y la Normalización - ARN.</t>
  </si>
  <si>
    <t xml:space="preserve">Número de planes de acción formulados e implementados concon la Agencia para la Reincorporación y la Normalización - ARN. </t>
  </si>
  <si>
    <t xml:space="preserve">APOYO INSTITUCIONAL PARA LA REINCORPORACIÓN Y REINTEGRACIÓN DE DESMOVILIZADOS Y PERSONAS EN DEJACIÓN DE ARMAS EN LA CIUDAD DE BUCARAMANGA. </t>
  </si>
  <si>
    <t>Aumentar la oferta institucional de programas dirigidos a las personas en proceso de  reincorporación y reintegración del municipio de Bucaramanga.</t>
  </si>
  <si>
    <t>2.3.2.02.02.008.4501029.83990.201 - $ 10.000.000
2.3.2.02.02.008.4501029.83990.501 - $ 10.000.000 Pendiente por incluir</t>
  </si>
  <si>
    <t xml:space="preserve">Mantener la atención integral al 100% de la población adolescente en conflicto con la ley penal. </t>
  </si>
  <si>
    <t>Porcentaje de población adolescente en conflicto con la ley penal mantenidos con atención integal.</t>
  </si>
  <si>
    <t>APOYO AL SISTEMA DE RESPONSABILIDAD PENAL ADOLESCENTE EN EL MUNICIPIO DE BUCARAMANGA</t>
  </si>
  <si>
    <t>2.3.2.02.02.006.4102046.63290.201 - $ 22.713.843</t>
  </si>
  <si>
    <t>2.3.2.02.02.006.4102046.63290.501 - $ 3.422.667.539</t>
  </si>
  <si>
    <t>2.3.2.02.02.008.4102046.53290.501 - $ 140.000.000</t>
  </si>
  <si>
    <t>Desarrollar 4 iniciativas para la prevención de la trata de personas y explotación sexual comercial de niñas, niños y adolescentes.</t>
  </si>
  <si>
    <t>Número de iniciativas desarrolladas para la prevención de la trata de personas y explotación sexual comercial en niñas, niños y adolescentes.</t>
  </si>
  <si>
    <t>IMPLEMENTACION DE ACCIONES DE ASISTENCIA, PROTECCION Y PREVENCION A VICTIMAS DEL DELITO DE TRATA DE PERSONAS DEL MUNICIPIO DE BUCARAMANGA</t>
  </si>
  <si>
    <t>2.3.2.02.02.008.4501029.83619.201 - $ 4.000.000
2.3.2.02.02.006.4501029.64220.201 - $ 16.000.000</t>
  </si>
  <si>
    <t>2.3.2.02.02.006.4501029.64220.501 - $ 30.000.000</t>
  </si>
  <si>
    <t>Atención A Víctimas Del Conflicto Armado</t>
  </si>
  <si>
    <t>Formular e implementar el Plan de Acción Territorial.</t>
  </si>
  <si>
    <t>Número de Planes de Acción Territorial formulados e implementados.</t>
  </si>
  <si>
    <t>FORTALECIMIENTO A LA ATENCIÓN INTEGRAL DE LA POBLACIÓN VICTIMA DEL CONFLICTO ARMADO EN EL MUNICIPIO DE BUCARAMANGA</t>
  </si>
  <si>
    <t xml:space="preserve">Alcanzar en el CAIV altos niveles de atención, asistencia y reparación integral  a la población víctima del conflicto armado reubicadas en el municipio de Bucaramanga. </t>
  </si>
  <si>
    <t>2.3.2.02.02.008.4101031.82199.201 - $ 33.000.000 - OK
2.3.2.02.02.008.4101031.83990.201 - $ 44.000.000 - OK</t>
  </si>
  <si>
    <t>Formular e implementar el Plan Integral de prevención de violaciones a derechos humanos e infracciones al derecho internacional humanitario.</t>
  </si>
  <si>
    <t>Número de Planes Integrales de prevención de violaciones a derechos humanos e infracciones al derecho internacional humanitario formulados e implementados.</t>
  </si>
  <si>
    <t>2.3.2.02.02.008.4101031.83990.201 - $ 55.000.000 - OK</t>
  </si>
  <si>
    <t>Mantener la ayuda y atención humanitaria de emergencia y en transición al 100% de la población víctima del conflicto interno armado que cumpla con los requisitos de ley.</t>
  </si>
  <si>
    <t>Porcentaje de población víctima del conflicto interno armado que cumpla con los requisitos de ley con ayuda humanitaria de emergencia y en transición .</t>
  </si>
  <si>
    <t>2.3.2.02.02.009.4101031.97990.201 - $ 270.000.000
2.3.2.02.02.009.4101031.97990.201 - $ 284.206.076</t>
  </si>
  <si>
    <t>2.3.2.02.02.009.4101031.97990.501 - $ 381.000.000</t>
  </si>
  <si>
    <t>Mantener la asistencia funeraria al 100% de la población víctima del conflicto que cumpla con los requisitos de ley.</t>
  </si>
  <si>
    <t>Porcentaje de población víctima del conflicto que cumpla con los requisitos de ley con asistencia funeraria.</t>
  </si>
  <si>
    <t>2.3.2.02.02.009.4101031.97321.201 - $ 80.000.000</t>
  </si>
  <si>
    <t>Mantener las medidas de protección para prevenir riesgos y proteger a víctimas del conflicto interno armado al 100% de las solicitudes que cumplan con los requisitos de ley.</t>
  </si>
  <si>
    <t>Porcentaje de solicitudes que cumplan con los requisitos de ley con medidas de protección mantenidas para prevenir riesgos y proteger a víctimas del conflicto interno armado.</t>
  </si>
  <si>
    <t>2.3.2.02.02.009.4101031.97990.201 - $ 20.000.000</t>
  </si>
  <si>
    <t>Mantener el Centro de Atención Integral a Víctimas del conflicto interno - CAIV.</t>
  </si>
  <si>
    <t>Número de Centros de Atención Integral para las Víctimas del conflicto interno mantenidos.</t>
  </si>
  <si>
    <t>2.3.2.02.02.008.4101031.83990.201 - $ 198.000.000 - OK</t>
  </si>
  <si>
    <t>MEJORAMIENTO A LA ATENCIÓN Y PRESTACIÓN DEL SERVICIO A LA POBLACIÓN VÍCTIMA.</t>
  </si>
  <si>
    <t>2.3.2.02.02.008.4101021.83990.201 - $ 300.000.000
2.3.2.02.02.008.4101021.83990.501 - $ 150.000.000 Pendiente por incluir</t>
  </si>
  <si>
    <t>Mantener el 100% de los espacios de participación de las víctimas del conflicto establecidos por la ley en la implementación de la política pública de víctimas.</t>
  </si>
  <si>
    <t>Porcentaje de espacios de participación de las víctimas del conflicto establecidos por la ley en la implementación de la política pública de víctimas mantenidos.</t>
  </si>
  <si>
    <t>2.3.2.02.02.009.4101031.97990.201 - $ 80.000.000
2.3.2.02.02.008.4101031.83990.201 - $ 30.000.000 - OK</t>
  </si>
  <si>
    <t>Realizar 4 iniciativas encaminadas a generar garantías de no repetición, memoria histórica y medidas de satisfacción a víctimas del conflicto interno armado.</t>
  </si>
  <si>
    <t>Número de iniciativas realizadas encaminadas a generar garantías de no repetición, memoria histórica y medidas de satisfacción a víctimas del conflicto interno armado.</t>
  </si>
  <si>
    <t>2.3.2.02.02.006.4101031.63391.201 - $ 40.000.000 - OK
2.3.2.02.02.008.4101031.83990.201 - $ 50.000.000 - OK</t>
  </si>
  <si>
    <t>Sistema Penitenciario Carcelario En El Marco De Los Derechos Humanos</t>
  </si>
  <si>
    <t>Formular e implementar 1 plan de acción con el Instituto Nacional Penitenciario y Carcelario - INPEC para construir la red de apoyo intersectorial de la casa de libertad.</t>
  </si>
  <si>
    <t>Número de planes de acción formulados e implementados con el Instituto Nacional Penitenciario y Carcelario - INPEC para construir la red de apoyo intersectorial de la casa de libertad.</t>
  </si>
  <si>
    <t>DESARROLLO DEL PROGRAMA CASA LIBERTAD EN LA CIUDAD DE BUCARAMANGA</t>
  </si>
  <si>
    <t>2.3.2.02.02.008.4501004.83990.204 - $ 160.248.779</t>
  </si>
  <si>
    <t>Desarrollar 4 jornadas tendientes a garantizar los derechos humanos para la población carcelaria.</t>
  </si>
  <si>
    <t>Número de jornadas desarrolladas tendientes a garantizar los derechos humanos para la población carcelaria.</t>
  </si>
  <si>
    <t>APOYO A LA POBLACIÓN CARCELARIA DEL MUNICIPIO DE BUCARAMANGA</t>
  </si>
  <si>
    <t>Fortalecer los servicios de apoyo psicosocial, jurídico y educativo de la población privada de la libertad en el municipio de Bucaramanga.</t>
  </si>
  <si>
    <t>2.3.2.02.02.008.1206007.82199.201 - $ 54.000.000 - OK
2.3.2.02.02.008.1206007.83990.201 - $ 110.000.000 - OK
2.3.2.02.02.008.1206007.88215.201 - $ 20.000.000 - OK
2.3.2.02.02.008.1206007.64119.201 - $ 10.000.000 - OK
2.3.2.02.01.003.1206007.3899711.201 - $ 5.000.000 - OK
2.3.2.02.01.003.1206007.3899998.201 - $ 1.000.000 - OK
2.3.2.02.02.008.1206007.83990.501 - $ 110.000.000 - OK Pendiente por incluir en proyecto</t>
  </si>
  <si>
    <t>Asuntos Religiosos</t>
  </si>
  <si>
    <t>Diseñar e implementar 1 programa que promuevan las acciones para el reconocimiento y participación de las formas asociativas de la sociedad civil basadas en los principios de libertad religiosa de cultos y conciencia.</t>
  </si>
  <si>
    <t>Número de programas diseñados e implementados que promuevan las acciones para el reconocimiento y participación de las formas asociativas de la sociedad civil basadas en los principios de libertad religiosa de cultos y conciencia.</t>
  </si>
  <si>
    <t>2.3.2.02.01.003.4501004.3899997.201 - $ 16.200.000
2.3.2.02.02.008.4501004.83990.501 - $ 13.140.000</t>
  </si>
  <si>
    <t>BUCARAMANGA TERRITORIO LIBRE DE CORRUPCIÓN: INSTITUCIONES SÓLIDAS Y CONFIABLES</t>
  </si>
  <si>
    <t>Administración Pública Moderna E Innovadora</t>
  </si>
  <si>
    <t>Gobierno Fortalecido Para Ser Y Hacer</t>
  </si>
  <si>
    <t>Mantener el 100% de los programas que desarrolla la Administración Central.</t>
  </si>
  <si>
    <t>Porcentaje de programas que desarrolla la Administración Central mantenidos.</t>
  </si>
  <si>
    <t>FORTALECIMIENTO A LA GESTIÓN OPERATIVA PARA LA EFICIENCIA DE LA PRESTACIÓN DE SERVICIOS DE LA SECRETARÍA DEL INTERIOR DIRIGIDOS A LA CIUDADANÍA DEL MUNICIPIO DE BUCARAMANGA</t>
  </si>
  <si>
    <t>Mejorar la capacidad y eficiencia en la prestación de los servicios ofertados por la Secretaría del Interior para la ciudadanía del municipio de Bucaramanga.</t>
  </si>
  <si>
    <t>2.3.2.02.02.008.4502017.82199.201 - $ 364.200.000 - CPS
2.3.2.02.02.008.4502022.83990.201 - $ 256.200.000 - CPS
2.3.2.02.02.008.4502017.82199.501 - $ 337.820.000
2.3.2.02.02.008.4502022.83990.501 - $ 308.680.000</t>
  </si>
  <si>
    <t>2.3.2.02.02.008.4502001.83990.201 - $ 10.000.000</t>
  </si>
  <si>
    <t>TOTALES</t>
  </si>
  <si>
    <r>
      <t xml:space="preserve">Versión: </t>
    </r>
    <r>
      <rPr>
        <sz val="11"/>
        <rFont val="Arial"/>
        <family val="2"/>
      </rPr>
      <t>0.0</t>
    </r>
  </si>
  <si>
    <r>
      <t>Fecha aprobación:</t>
    </r>
    <r>
      <rPr>
        <sz val="11"/>
        <rFont val="Arial"/>
        <family val="2"/>
      </rPr>
      <t xml:space="preserve"> Abril-22-2021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</si>
</sst>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5" formatCode="&quot;$&quot;\ #,##0;\-&quot;$&quot;\ #,##0"/>
    <numFmt numFmtId="44" formatCode="_-&quot;$&quot;\ * #,##0.00_-;\-&quot;$&quot;\ * #,##0.00_-;_-&quot;$&quot;\ * &quot;-&quot;??_-;_-@_-"/>
    <numFmt numFmtId="164" formatCode="_(* #,##0.00_);_(* \(#,##0.00\);_(* &quot;-&quot;??_);_(@_)"/>
    <numFmt numFmtId="165" formatCode="dd/mm/yyyy;@"/>
    <numFmt numFmtId="166" formatCode="_-&quot;$&quot;\ * #,##0_-;\-&quot;$&quot;\ * #,##0_-;_-&quot;$&quot;\ * &quot;-&quot;??_-;_-@_-"/>
    <numFmt numFmtId="167" formatCode="#,##0.0"/>
    <numFmt numFmtId="168" formatCode="0.0"/>
    <numFmt numFmtId="169" formatCode="&quot;$&quot;\ #,##0"/>
  </numFmts>
  <fonts count="11" x14ac:knownFonts="1">
    <font>
      <sz val="11"/>
      <color theme="1"/>
      <name val="Arial"/>
      <family val="2"/>
    </font>
    <font>
      <u/>
      <sz val="11"/>
      <color theme="10"/>
      <name val="Arial"/>
      <family val="2"/>
    </font>
    <font>
      <u/>
      <sz val="11"/>
      <color theme="1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color rgb="FFFF0000"/>
      <name val="Arial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</borders>
  <cellStyleXfs count="111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5" fillId="0" borderId="0"/>
    <xf numFmtId="164" fontId="3" fillId="0" borderId="0" applyFont="0" applyFill="0" applyBorder="0" applyAlignment="0" applyProtection="0"/>
  </cellStyleXfs>
  <cellXfs count="225">
    <xf numFmtId="0" fontId="0" fillId="0" borderId="0" xfId="0"/>
    <xf numFmtId="0" fontId="6" fillId="2" borderId="4" xfId="0" applyFont="1" applyFill="1" applyBorder="1" applyAlignment="1">
      <alignment horizontal="justify"/>
    </xf>
    <xf numFmtId="0" fontId="6" fillId="2" borderId="3" xfId="0" applyFont="1" applyFill="1" applyBorder="1"/>
    <xf numFmtId="9" fontId="7" fillId="2" borderId="3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vertical="center"/>
    </xf>
    <xf numFmtId="166" fontId="6" fillId="2" borderId="3" xfId="108" applyNumberFormat="1" applyFont="1" applyFill="1" applyBorder="1" applyAlignment="1">
      <alignment vertical="center"/>
    </xf>
    <xf numFmtId="9" fontId="7" fillId="2" borderId="3" xfId="107" applyFont="1" applyFill="1" applyBorder="1" applyAlignment="1">
      <alignment horizontal="center" vertical="center" wrapText="1"/>
    </xf>
    <xf numFmtId="166" fontId="7" fillId="2" borderId="3" xfId="108" applyNumberFormat="1" applyFont="1" applyFill="1" applyBorder="1" applyAlignment="1">
      <alignment vertical="center"/>
    </xf>
    <xf numFmtId="0" fontId="6" fillId="2" borderId="3" xfId="0" applyFont="1" applyFill="1" applyBorder="1" applyAlignment="1">
      <alignment horizontal="justify"/>
    </xf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right"/>
    </xf>
    <xf numFmtId="166" fontId="7" fillId="2" borderId="3" xfId="108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left" vertical="center" wrapText="1"/>
    </xf>
    <xf numFmtId="0" fontId="9" fillId="2" borderId="2" xfId="0" applyFont="1" applyFill="1" applyBorder="1" applyAlignment="1">
      <alignment horizontal="justify" vertical="center" wrapText="1"/>
    </xf>
    <xf numFmtId="9" fontId="6" fillId="0" borderId="2" xfId="107" applyFont="1" applyFill="1" applyBorder="1" applyAlignment="1">
      <alignment horizontal="center" vertical="center" wrapText="1"/>
    </xf>
    <xf numFmtId="5" fontId="6" fillId="0" borderId="2" xfId="108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0" fontId="9" fillId="2" borderId="2" xfId="0" applyFont="1" applyFill="1" applyBorder="1" applyAlignment="1">
      <alignment vertical="center" wrapText="1"/>
    </xf>
    <xf numFmtId="0" fontId="10" fillId="0" borderId="2" xfId="0" applyFont="1" applyBorder="1" applyAlignment="1">
      <alignment vertical="center" wrapText="1"/>
    </xf>
    <xf numFmtId="0" fontId="9" fillId="2" borderId="6" xfId="0" applyFont="1" applyFill="1" applyBorder="1" applyAlignment="1">
      <alignment horizontal="justify" vertical="center" wrapText="1"/>
    </xf>
    <xf numFmtId="0" fontId="7" fillId="2" borderId="2" xfId="0" applyFont="1" applyFill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0" xfId="0" applyFont="1"/>
    <xf numFmtId="14" fontId="3" fillId="3" borderId="0" xfId="0" applyNumberFormat="1" applyFont="1" applyFill="1" applyAlignment="1">
      <alignment vertical="top"/>
    </xf>
    <xf numFmtId="0" fontId="3" fillId="3" borderId="0" xfId="0" applyFont="1" applyFill="1" applyAlignment="1">
      <alignment vertical="top"/>
    </xf>
    <xf numFmtId="0" fontId="3" fillId="3" borderId="0" xfId="0" applyFont="1" applyFill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3" fillId="0" borderId="0" xfId="0" applyFont="1" applyAlignment="1">
      <alignment horizontal="justify"/>
    </xf>
    <xf numFmtId="0" fontId="3" fillId="0" borderId="0" xfId="0" applyFont="1" applyAlignment="1">
      <alignment horizontal="right"/>
    </xf>
    <xf numFmtId="0" fontId="3" fillId="0" borderId="0" xfId="0" applyFont="1" applyAlignment="1">
      <alignment vertical="center"/>
    </xf>
    <xf numFmtId="164" fontId="3" fillId="0" borderId="0" xfId="110" applyFont="1"/>
    <xf numFmtId="0" fontId="3" fillId="0" borderId="0" xfId="0" applyFont="1" applyAlignment="1">
      <alignment horizontal="center" vertical="center"/>
    </xf>
    <xf numFmtId="169" fontId="6" fillId="0" borderId="2" xfId="108" applyNumberFormat="1" applyFont="1" applyFill="1" applyBorder="1" applyAlignment="1">
      <alignment horizontal="right" vertical="center" wrapText="1"/>
    </xf>
    <xf numFmtId="169" fontId="6" fillId="0" borderId="3" xfId="108" applyNumberFormat="1" applyFont="1" applyFill="1" applyBorder="1" applyAlignment="1">
      <alignment horizontal="right" vertical="center" wrapText="1"/>
    </xf>
    <xf numFmtId="169" fontId="3" fillId="0" borderId="2" xfId="108" applyNumberFormat="1" applyFont="1" applyFill="1" applyBorder="1" applyAlignment="1">
      <alignment horizontal="right" vertical="center" wrapText="1"/>
    </xf>
    <xf numFmtId="169" fontId="8" fillId="0" borderId="2" xfId="108" applyNumberFormat="1" applyFont="1" applyFill="1" applyBorder="1" applyAlignment="1">
      <alignment horizontal="right" vertical="center" wrapText="1"/>
    </xf>
    <xf numFmtId="169" fontId="3" fillId="0" borderId="3" xfId="108" applyNumberFormat="1" applyFont="1" applyFill="1" applyBorder="1" applyAlignment="1">
      <alignment horizontal="right" vertical="center" wrapText="1"/>
    </xf>
    <xf numFmtId="169" fontId="7" fillId="2" borderId="2" xfId="108" applyNumberFormat="1" applyFont="1" applyFill="1" applyBorder="1" applyAlignment="1">
      <alignment horizontal="right" vertical="center" wrapText="1"/>
    </xf>
    <xf numFmtId="0" fontId="3" fillId="3" borderId="0" xfId="0" applyFont="1" applyFill="1" applyAlignment="1">
      <alignment horizontal="center" vertical="top"/>
    </xf>
    <xf numFmtId="165" fontId="0" fillId="0" borderId="2" xfId="0" applyNumberFormat="1" applyBorder="1" applyAlignment="1">
      <alignment vertical="center" wrapText="1"/>
    </xf>
    <xf numFmtId="165" fontId="0" fillId="0" borderId="2" xfId="0" applyNumberFormat="1" applyBorder="1" applyAlignment="1">
      <alignment horizontal="justify" vertical="center" wrapText="1"/>
    </xf>
    <xf numFmtId="165" fontId="3" fillId="0" borderId="2" xfId="0" applyNumberFormat="1" applyFont="1" applyBorder="1" applyAlignment="1">
      <alignment horizontal="center" vertical="center" wrapText="1"/>
    </xf>
    <xf numFmtId="1" fontId="10" fillId="0" borderId="2" xfId="0" applyNumberFormat="1" applyFont="1" applyBorder="1" applyAlignment="1">
      <alignment horizontal="center" vertical="center" wrapText="1"/>
    </xf>
    <xf numFmtId="9" fontId="10" fillId="0" borderId="2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5" fontId="6" fillId="0" borderId="1" xfId="108" applyNumberFormat="1" applyFont="1" applyFill="1" applyBorder="1" applyAlignment="1">
      <alignment horizontal="center" vertical="center" wrapText="1"/>
    </xf>
    <xf numFmtId="9" fontId="10" fillId="0" borderId="1" xfId="0" applyNumberFormat="1" applyFont="1" applyBorder="1" applyAlignment="1">
      <alignment horizontal="center" vertical="center" wrapText="1"/>
    </xf>
    <xf numFmtId="9" fontId="3" fillId="0" borderId="1" xfId="0" applyNumberFormat="1" applyFont="1" applyBorder="1" applyAlignment="1">
      <alignment horizontal="center" vertical="center" wrapText="1"/>
    </xf>
    <xf numFmtId="169" fontId="7" fillId="2" borderId="1" xfId="108" applyNumberFormat="1" applyFont="1" applyFill="1" applyBorder="1" applyAlignment="1">
      <alignment horizontal="right" vertical="center" wrapText="1"/>
    </xf>
    <xf numFmtId="9" fontId="6" fillId="0" borderId="1" xfId="107" applyFont="1" applyFill="1" applyBorder="1" applyAlignment="1">
      <alignment horizontal="center" vertical="center" wrapText="1"/>
    </xf>
    <xf numFmtId="5" fontId="6" fillId="0" borderId="3" xfId="108" applyNumberFormat="1" applyFont="1" applyFill="1" applyBorder="1" applyAlignment="1">
      <alignment horizontal="center" vertical="center" wrapText="1"/>
    </xf>
    <xf numFmtId="3" fontId="10" fillId="0" borderId="1" xfId="0" applyNumberFormat="1" applyFont="1" applyBorder="1" applyAlignment="1">
      <alignment horizontal="center" vertical="center" wrapText="1"/>
    </xf>
    <xf numFmtId="3" fontId="10" fillId="0" borderId="3" xfId="0" applyNumberFormat="1" applyFont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/>
    </xf>
    <xf numFmtId="165" fontId="3" fillId="0" borderId="3" xfId="0" applyNumberFormat="1" applyFont="1" applyBorder="1" applyAlignment="1">
      <alignment horizontal="center" vertical="center" wrapText="1"/>
    </xf>
    <xf numFmtId="3" fontId="10" fillId="0" borderId="2" xfId="0" applyNumberFormat="1" applyFont="1" applyBorder="1" applyAlignment="1">
      <alignment horizontal="center" vertical="center" wrapText="1"/>
    </xf>
    <xf numFmtId="9" fontId="3" fillId="0" borderId="2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/>
    </xf>
    <xf numFmtId="0" fontId="3" fillId="4" borderId="0" xfId="0" applyFont="1" applyFill="1"/>
    <xf numFmtId="0" fontId="3" fillId="4" borderId="2" xfId="0" applyFont="1" applyFill="1" applyBorder="1" applyAlignment="1">
      <alignment horizontal="left" vertical="center" wrapText="1"/>
    </xf>
    <xf numFmtId="0" fontId="6" fillId="4" borderId="2" xfId="0" applyFont="1" applyFill="1" applyBorder="1" applyAlignment="1">
      <alignment horizontal="left" vertical="center" wrapText="1"/>
    </xf>
    <xf numFmtId="0" fontId="10" fillId="3" borderId="2" xfId="0" applyFont="1" applyFill="1" applyBorder="1" applyAlignment="1">
      <alignment horizontal="justify" vertical="center" wrapText="1"/>
    </xf>
    <xf numFmtId="0" fontId="6" fillId="3" borderId="2" xfId="0" applyFont="1" applyFill="1" applyBorder="1" applyAlignment="1">
      <alignment horizontal="justify" vertical="center" wrapText="1"/>
    </xf>
    <xf numFmtId="0" fontId="3" fillId="3" borderId="2" xfId="0" applyFont="1" applyFill="1" applyBorder="1" applyAlignment="1">
      <alignment horizontal="justify" wrapText="1"/>
    </xf>
    <xf numFmtId="165" fontId="3" fillId="3" borderId="2" xfId="0" applyNumberFormat="1" applyFont="1" applyFill="1" applyBorder="1" applyAlignment="1">
      <alignment horizontal="center" vertical="center" wrapText="1"/>
    </xf>
    <xf numFmtId="165" fontId="0" fillId="3" borderId="2" xfId="0" applyNumberFormat="1" applyFill="1" applyBorder="1" applyAlignment="1">
      <alignment horizontal="justify" vertical="center" wrapText="1"/>
    </xf>
    <xf numFmtId="165" fontId="0" fillId="3" borderId="2" xfId="0" applyNumberFormat="1" applyFill="1" applyBorder="1" applyAlignment="1">
      <alignment vertical="center" wrapText="1"/>
    </xf>
    <xf numFmtId="165" fontId="0" fillId="3" borderId="3" xfId="0" applyNumberFormat="1" applyFill="1" applyBorder="1" applyAlignment="1">
      <alignment vertical="center" wrapText="1"/>
    </xf>
    <xf numFmtId="165" fontId="0" fillId="3" borderId="1" xfId="0" applyNumberFormat="1" applyFill="1" applyBorder="1" applyAlignment="1">
      <alignment vertical="center" wrapText="1"/>
    </xf>
    <xf numFmtId="165" fontId="6" fillId="3" borderId="3" xfId="0" applyNumberFormat="1" applyFont="1" applyFill="1" applyBorder="1" applyAlignment="1">
      <alignment vertical="center" wrapText="1"/>
    </xf>
    <xf numFmtId="165" fontId="6" fillId="3" borderId="2" xfId="0" applyNumberFormat="1" applyFont="1" applyFill="1" applyBorder="1" applyAlignment="1">
      <alignment vertical="center" wrapText="1"/>
    </xf>
    <xf numFmtId="165" fontId="0" fillId="3" borderId="1" xfId="0" applyNumberFormat="1" applyFill="1" applyBorder="1" applyAlignment="1">
      <alignment horizontal="left" vertical="center" wrapText="1"/>
    </xf>
    <xf numFmtId="165" fontId="0" fillId="3" borderId="5" xfId="0" applyNumberFormat="1" applyFill="1" applyBorder="1" applyAlignment="1">
      <alignment horizontal="justify" vertical="center" wrapText="1"/>
    </xf>
    <xf numFmtId="165" fontId="0" fillId="3" borderId="3" xfId="0" applyNumberFormat="1" applyFill="1" applyBorder="1" applyAlignment="1">
      <alignment horizontal="justify" vertical="center" wrapText="1"/>
    </xf>
    <xf numFmtId="165" fontId="0" fillId="3" borderId="2" xfId="0" applyNumberFormat="1" applyFill="1" applyBorder="1" applyAlignment="1">
      <alignment horizontal="left" vertical="center" wrapText="1"/>
    </xf>
    <xf numFmtId="165" fontId="0" fillId="3" borderId="2" xfId="0" quotePrefix="1" applyNumberFormat="1" applyFill="1" applyBorder="1" applyAlignment="1">
      <alignment vertical="center" wrapText="1"/>
    </xf>
    <xf numFmtId="0" fontId="3" fillId="3" borderId="2" xfId="0" applyFont="1" applyFill="1" applyBorder="1" applyAlignment="1">
      <alignment horizontal="justify" vertical="center" wrapText="1"/>
    </xf>
    <xf numFmtId="0" fontId="10" fillId="3" borderId="2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horizontal="justify" vertical="center" wrapText="1"/>
    </xf>
    <xf numFmtId="0" fontId="10" fillId="3" borderId="1" xfId="0" applyFont="1" applyFill="1" applyBorder="1" applyAlignment="1">
      <alignment horizontal="justify" vertical="center" wrapText="1"/>
    </xf>
    <xf numFmtId="3" fontId="6" fillId="3" borderId="2" xfId="0" applyNumberFormat="1" applyFont="1" applyFill="1" applyBorder="1" applyAlignment="1">
      <alignment horizontal="justify" vertical="center" wrapText="1"/>
    </xf>
    <xf numFmtId="0" fontId="10" fillId="3" borderId="2" xfId="0" applyFont="1" applyFill="1" applyBorder="1" applyAlignment="1">
      <alignment horizontal="justify" vertical="center"/>
    </xf>
    <xf numFmtId="0" fontId="6" fillId="3" borderId="2" xfId="0" applyFont="1" applyFill="1" applyBorder="1" applyAlignment="1">
      <alignment horizontal="justify" vertical="center"/>
    </xf>
    <xf numFmtId="0" fontId="10" fillId="3" borderId="3" xfId="0" applyFont="1" applyFill="1" applyBorder="1" applyAlignment="1">
      <alignment horizontal="justify" vertical="center" wrapText="1"/>
    </xf>
    <xf numFmtId="0" fontId="6" fillId="3" borderId="3" xfId="0" applyFont="1" applyFill="1" applyBorder="1" applyAlignment="1">
      <alignment horizontal="justify" vertical="center" wrapText="1"/>
    </xf>
    <xf numFmtId="165" fontId="0" fillId="0" borderId="1" xfId="0" applyNumberFormat="1" applyBorder="1" applyAlignment="1">
      <alignment horizontal="justify" vertical="center" wrapText="1"/>
    </xf>
    <xf numFmtId="5" fontId="6" fillId="0" borderId="5" xfId="108" applyNumberFormat="1" applyFont="1" applyFill="1" applyBorder="1" applyAlignment="1">
      <alignment horizontal="center" vertical="center" wrapText="1"/>
    </xf>
    <xf numFmtId="166" fontId="3" fillId="0" borderId="0" xfId="0" applyNumberFormat="1" applyFont="1" applyAlignment="1">
      <alignment horizontal="center" vertical="center"/>
    </xf>
    <xf numFmtId="165" fontId="0" fillId="0" borderId="3" xfId="0" applyNumberFormat="1" applyBorder="1" applyAlignment="1">
      <alignment horizontal="justify" vertical="center" wrapText="1"/>
    </xf>
    <xf numFmtId="165" fontId="0" fillId="0" borderId="1" xfId="0" applyNumberFormat="1" applyBorder="1" applyAlignment="1">
      <alignment vertical="center" wrapText="1"/>
    </xf>
    <xf numFmtId="3" fontId="6" fillId="0" borderId="1" xfId="0" applyNumberFormat="1" applyFont="1" applyBorder="1" applyAlignment="1">
      <alignment horizontal="center" vertical="center" wrapText="1"/>
    </xf>
    <xf numFmtId="165" fontId="6" fillId="0" borderId="1" xfId="0" applyNumberFormat="1" applyFont="1" applyBorder="1" applyAlignment="1">
      <alignment vertical="center" wrapText="1"/>
    </xf>
    <xf numFmtId="169" fontId="3" fillId="0" borderId="0" xfId="0" applyNumberFormat="1" applyFont="1"/>
    <xf numFmtId="0" fontId="6" fillId="3" borderId="0" xfId="0" applyFont="1" applyFill="1" applyAlignment="1">
      <alignment vertical="top"/>
    </xf>
    <xf numFmtId="0" fontId="6" fillId="0" borderId="0" xfId="0" applyFont="1"/>
    <xf numFmtId="0" fontId="0" fillId="0" borderId="5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3" borderId="0" xfId="0" applyFill="1"/>
    <xf numFmtId="0" fontId="3" fillId="2" borderId="2" xfId="0" applyFont="1" applyFill="1" applyBorder="1" applyAlignment="1">
      <alignment vertical="center"/>
    </xf>
    <xf numFmtId="2" fontId="6" fillId="2" borderId="2" xfId="0" applyNumberFormat="1" applyFont="1" applyFill="1" applyBorder="1" applyAlignment="1">
      <alignment horizontal="center" vertical="center" wrapText="1"/>
    </xf>
    <xf numFmtId="168" fontId="6" fillId="2" borderId="1" xfId="0" applyNumberFormat="1" applyFont="1" applyFill="1" applyBorder="1" applyAlignment="1">
      <alignment horizontal="center" vertical="center" wrapText="1"/>
    </xf>
    <xf numFmtId="3" fontId="6" fillId="2" borderId="2" xfId="0" applyNumberFormat="1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 wrapText="1"/>
    </xf>
    <xf numFmtId="167" fontId="6" fillId="2" borderId="2" xfId="0" applyNumberFormat="1" applyFont="1" applyFill="1" applyBorder="1" applyAlignment="1">
      <alignment horizontal="center" vertical="center" wrapText="1"/>
    </xf>
    <xf numFmtId="3" fontId="6" fillId="2" borderId="1" xfId="0" applyNumberFormat="1" applyFont="1" applyFill="1" applyBorder="1" applyAlignment="1">
      <alignment horizontal="center" vertical="center" wrapText="1"/>
    </xf>
    <xf numFmtId="4" fontId="6" fillId="2" borderId="2" xfId="0" applyNumberFormat="1" applyFont="1" applyFill="1" applyBorder="1" applyAlignment="1">
      <alignment horizontal="center" vertical="center" wrapText="1"/>
    </xf>
    <xf numFmtId="167" fontId="6" fillId="2" borderId="1" xfId="0" applyNumberFormat="1" applyFont="1" applyFill="1" applyBorder="1" applyAlignment="1">
      <alignment horizontal="center" vertical="center" wrapText="1"/>
    </xf>
    <xf numFmtId="3" fontId="6" fillId="2" borderId="3" xfId="0" applyNumberFormat="1" applyFont="1" applyFill="1" applyBorder="1" applyAlignment="1">
      <alignment horizontal="center" vertical="center" wrapText="1"/>
    </xf>
    <xf numFmtId="9" fontId="6" fillId="2" borderId="1" xfId="0" applyNumberFormat="1" applyFont="1" applyFill="1" applyBorder="1" applyAlignment="1">
      <alignment horizontal="center" vertical="center" wrapText="1"/>
    </xf>
    <xf numFmtId="9" fontId="6" fillId="2" borderId="2" xfId="0" applyNumberFormat="1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justify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6" fillId="0" borderId="2" xfId="0" applyFont="1" applyBorder="1" applyAlignment="1">
      <alignment horizontal="justify" vertical="center" wrapText="1"/>
    </xf>
    <xf numFmtId="1" fontId="3" fillId="0" borderId="2" xfId="0" applyNumberFormat="1" applyFont="1" applyFill="1" applyBorder="1" applyAlignment="1">
      <alignment horizontal="right" vertical="center" wrapText="1"/>
    </xf>
    <xf numFmtId="1" fontId="6" fillId="0" borderId="2" xfId="0" applyNumberFormat="1" applyFont="1" applyFill="1" applyBorder="1" applyAlignment="1">
      <alignment horizontal="right" vertical="center" wrapText="1"/>
    </xf>
    <xf numFmtId="1" fontId="0" fillId="0" borderId="2" xfId="0" applyNumberFormat="1" applyFill="1" applyBorder="1" applyAlignment="1">
      <alignment horizontal="right" vertical="center" wrapText="1"/>
    </xf>
    <xf numFmtId="1" fontId="10" fillId="0" borderId="2" xfId="0" applyNumberFormat="1" applyFont="1" applyFill="1" applyBorder="1" applyAlignment="1">
      <alignment horizontal="right" vertical="center" wrapText="1"/>
    </xf>
    <xf numFmtId="1" fontId="10" fillId="0" borderId="2" xfId="0" applyNumberFormat="1" applyFont="1" applyFill="1" applyBorder="1" applyAlignment="1">
      <alignment vertical="center" wrapText="1"/>
    </xf>
    <xf numFmtId="1" fontId="10" fillId="0" borderId="3" xfId="0" applyNumberFormat="1" applyFont="1" applyFill="1" applyBorder="1" applyAlignment="1">
      <alignment horizontal="right" vertical="center" wrapText="1"/>
    </xf>
    <xf numFmtId="165" fontId="0" fillId="0" borderId="2" xfId="0" applyNumberFormat="1" applyFill="1" applyBorder="1" applyAlignment="1">
      <alignment vertical="center" wrapText="1"/>
    </xf>
    <xf numFmtId="165" fontId="0" fillId="0" borderId="2" xfId="0" applyNumberFormat="1" applyFill="1" applyBorder="1" applyAlignment="1">
      <alignment horizontal="justify" vertical="center" wrapText="1"/>
    </xf>
    <xf numFmtId="165" fontId="3" fillId="0" borderId="2" xfId="0" applyNumberFormat="1" applyFont="1" applyFill="1" applyBorder="1" applyAlignment="1">
      <alignment horizontal="justify" vertical="center" wrapText="1"/>
    </xf>
    <xf numFmtId="165" fontId="6" fillId="0" borderId="2" xfId="0" applyNumberFormat="1" applyFont="1" applyFill="1" applyBorder="1" applyAlignment="1">
      <alignment horizontal="justify" vertical="center" wrapText="1"/>
    </xf>
    <xf numFmtId="165" fontId="0" fillId="0" borderId="3" xfId="0" applyNumberFormat="1" applyFill="1" applyBorder="1" applyAlignment="1">
      <alignment vertical="center" wrapText="1"/>
    </xf>
    <xf numFmtId="169" fontId="0" fillId="0" borderId="2" xfId="108" applyNumberFormat="1" applyFont="1" applyFill="1" applyBorder="1" applyAlignment="1">
      <alignment horizontal="right" vertical="center" wrapText="1"/>
    </xf>
    <xf numFmtId="169" fontId="3" fillId="0" borderId="2" xfId="0" applyNumberFormat="1" applyFont="1" applyFill="1" applyBorder="1" applyAlignment="1">
      <alignment horizontal="right"/>
    </xf>
    <xf numFmtId="169" fontId="6" fillId="0" borderId="2" xfId="0" applyNumberFormat="1" applyFont="1" applyFill="1" applyBorder="1" applyAlignment="1">
      <alignment horizontal="right"/>
    </xf>
    <xf numFmtId="169" fontId="6" fillId="0" borderId="3" xfId="0" applyNumberFormat="1" applyFont="1" applyFill="1" applyBorder="1" applyAlignment="1">
      <alignment horizontal="right"/>
    </xf>
    <xf numFmtId="169" fontId="6" fillId="0" borderId="2" xfId="0" applyNumberFormat="1" applyFont="1" applyFill="1" applyBorder="1" applyAlignment="1">
      <alignment horizontal="right" vertical="center"/>
    </xf>
    <xf numFmtId="169" fontId="8" fillId="0" borderId="2" xfId="0" applyNumberFormat="1" applyFont="1" applyFill="1" applyBorder="1" applyAlignment="1">
      <alignment horizontal="right"/>
    </xf>
    <xf numFmtId="169" fontId="3" fillId="0" borderId="3" xfId="0" applyNumberFormat="1" applyFont="1" applyFill="1" applyBorder="1" applyAlignment="1">
      <alignment horizontal="right"/>
    </xf>
    <xf numFmtId="165" fontId="0" fillId="0" borderId="1" xfId="0" quotePrefix="1" applyNumberFormat="1" applyFill="1" applyBorder="1" applyAlignment="1">
      <alignment vertical="center" wrapText="1"/>
    </xf>
    <xf numFmtId="165" fontId="6" fillId="0" borderId="2" xfId="0" applyNumberFormat="1" applyFont="1" applyFill="1" applyBorder="1" applyAlignment="1">
      <alignment vertical="center" wrapText="1"/>
    </xf>
    <xf numFmtId="5" fontId="6" fillId="0" borderId="1" xfId="108" applyNumberFormat="1" applyFont="1" applyFill="1" applyBorder="1" applyAlignment="1">
      <alignment horizontal="center" vertical="center" wrapText="1"/>
    </xf>
    <xf numFmtId="5" fontId="6" fillId="0" borderId="3" xfId="108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69" fontId="7" fillId="2" borderId="1" xfId="108" applyNumberFormat="1" applyFont="1" applyFill="1" applyBorder="1" applyAlignment="1">
      <alignment horizontal="right" vertical="center" wrapText="1"/>
    </xf>
    <xf numFmtId="169" fontId="7" fillId="2" borderId="5" xfId="108" applyNumberFormat="1" applyFont="1" applyFill="1" applyBorder="1" applyAlignment="1">
      <alignment horizontal="right" vertical="center" wrapText="1"/>
    </xf>
    <xf numFmtId="169" fontId="7" fillId="2" borderId="3" xfId="108" applyNumberFormat="1" applyFont="1" applyFill="1" applyBorder="1" applyAlignment="1">
      <alignment horizontal="right" vertical="center" wrapText="1"/>
    </xf>
    <xf numFmtId="9" fontId="6" fillId="0" borderId="1" xfId="107" applyFont="1" applyFill="1" applyBorder="1" applyAlignment="1">
      <alignment horizontal="center" vertical="center" wrapText="1"/>
    </xf>
    <xf numFmtId="9" fontId="6" fillId="0" borderId="5" xfId="107" applyFont="1" applyFill="1" applyBorder="1" applyAlignment="1">
      <alignment horizontal="center" vertical="center" wrapText="1"/>
    </xf>
    <xf numFmtId="9" fontId="6" fillId="0" borderId="3" xfId="107" applyFont="1" applyFill="1" applyBorder="1" applyAlignment="1">
      <alignment horizontal="center" vertical="center" wrapText="1"/>
    </xf>
    <xf numFmtId="5" fontId="6" fillId="0" borderId="5" xfId="108" applyNumberFormat="1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9" fontId="3" fillId="0" borderId="1" xfId="0" applyNumberFormat="1" applyFont="1" applyBorder="1" applyAlignment="1">
      <alignment horizontal="center" vertical="center" wrapText="1"/>
    </xf>
    <xf numFmtId="9" fontId="3" fillId="0" borderId="3" xfId="0" applyNumberFormat="1" applyFont="1" applyBorder="1" applyAlignment="1">
      <alignment horizontal="center" vertical="center" wrapText="1"/>
    </xf>
    <xf numFmtId="9" fontId="6" fillId="2" borderId="1" xfId="0" applyNumberFormat="1" applyFont="1" applyFill="1" applyBorder="1" applyAlignment="1">
      <alignment horizontal="center" vertical="center" wrapText="1"/>
    </xf>
    <xf numFmtId="9" fontId="6" fillId="2" borderId="3" xfId="0" applyNumberFormat="1" applyFont="1" applyFill="1" applyBorder="1" applyAlignment="1">
      <alignment horizontal="center" vertical="center" wrapText="1"/>
    </xf>
    <xf numFmtId="9" fontId="10" fillId="0" borderId="1" xfId="0" applyNumberFormat="1" applyFont="1" applyBorder="1" applyAlignment="1">
      <alignment horizontal="center" vertical="center" wrapText="1"/>
    </xf>
    <xf numFmtId="9" fontId="10" fillId="0" borderId="3" xfId="0" applyNumberFormat="1" applyFont="1" applyBorder="1" applyAlignment="1">
      <alignment horizontal="center" vertical="center" wrapText="1"/>
    </xf>
    <xf numFmtId="9" fontId="6" fillId="2" borderId="5" xfId="0" applyNumberFormat="1" applyFont="1" applyFill="1" applyBorder="1" applyAlignment="1">
      <alignment horizontal="center" vertical="center" wrapText="1"/>
    </xf>
    <xf numFmtId="9" fontId="3" fillId="0" borderId="5" xfId="0" applyNumberFormat="1" applyFont="1" applyBorder="1" applyAlignment="1">
      <alignment horizontal="center" vertical="center" wrapText="1"/>
    </xf>
    <xf numFmtId="9" fontId="10" fillId="0" borderId="5" xfId="0" applyNumberFormat="1" applyFont="1" applyBorder="1" applyAlignment="1">
      <alignment horizontal="center" vertical="center" wrapText="1"/>
    </xf>
    <xf numFmtId="167" fontId="6" fillId="2" borderId="1" xfId="0" applyNumberFormat="1" applyFont="1" applyFill="1" applyBorder="1" applyAlignment="1">
      <alignment horizontal="center" vertical="center" wrapText="1"/>
    </xf>
    <xf numFmtId="167" fontId="6" fillId="2" borderId="3" xfId="0" applyNumberFormat="1" applyFont="1" applyFill="1" applyBorder="1" applyAlignment="1">
      <alignment horizontal="center" vertical="center" wrapText="1"/>
    </xf>
    <xf numFmtId="3" fontId="10" fillId="0" borderId="1" xfId="0" applyNumberFormat="1" applyFont="1" applyBorder="1" applyAlignment="1">
      <alignment horizontal="center" vertical="center" wrapText="1"/>
    </xf>
    <xf numFmtId="3" fontId="10" fillId="0" borderId="3" xfId="0" applyNumberFormat="1" applyFont="1" applyBorder="1" applyAlignment="1">
      <alignment horizontal="center" vertical="center" wrapText="1"/>
    </xf>
    <xf numFmtId="9" fontId="3" fillId="3" borderId="1" xfId="0" applyNumberFormat="1" applyFont="1" applyFill="1" applyBorder="1" applyAlignment="1">
      <alignment horizontal="center" vertical="center" wrapText="1"/>
    </xf>
    <xf numFmtId="9" fontId="3" fillId="3" borderId="5" xfId="0" applyNumberFormat="1" applyFont="1" applyFill="1" applyBorder="1" applyAlignment="1">
      <alignment horizontal="center" vertical="center" wrapText="1"/>
    </xf>
    <xf numFmtId="9" fontId="3" fillId="3" borderId="3" xfId="0" applyNumberFormat="1" applyFont="1" applyFill="1" applyBorder="1" applyAlignment="1">
      <alignment horizontal="center" vertical="center" wrapText="1"/>
    </xf>
    <xf numFmtId="9" fontId="6" fillId="2" borderId="2" xfId="0" applyNumberFormat="1" applyFont="1" applyFill="1" applyBorder="1" applyAlignment="1">
      <alignment horizontal="center" vertical="center" wrapText="1"/>
    </xf>
    <xf numFmtId="9" fontId="10" fillId="3" borderId="2" xfId="0" applyNumberFormat="1" applyFont="1" applyFill="1" applyBorder="1" applyAlignment="1">
      <alignment horizontal="center" vertical="center" wrapText="1"/>
    </xf>
    <xf numFmtId="9" fontId="10" fillId="3" borderId="5" xfId="0" applyNumberFormat="1" applyFont="1" applyFill="1" applyBorder="1" applyAlignment="1">
      <alignment horizontal="center" vertical="center" wrapText="1"/>
    </xf>
    <xf numFmtId="9" fontId="10" fillId="3" borderId="3" xfId="0" applyNumberFormat="1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 wrapText="1"/>
    </xf>
    <xf numFmtId="4" fontId="6" fillId="2" borderId="5" xfId="0" applyNumberFormat="1" applyFont="1" applyFill="1" applyBorder="1" applyAlignment="1">
      <alignment horizontal="center" vertical="center" wrapText="1"/>
    </xf>
    <xf numFmtId="3" fontId="10" fillId="0" borderId="5" xfId="0" applyNumberFormat="1" applyFont="1" applyBorder="1" applyAlignment="1">
      <alignment horizontal="center" vertical="center" wrapText="1"/>
    </xf>
    <xf numFmtId="3" fontId="10" fillId="0" borderId="2" xfId="0" applyNumberFormat="1" applyFont="1" applyBorder="1" applyAlignment="1">
      <alignment horizontal="center" vertical="center" wrapText="1"/>
    </xf>
    <xf numFmtId="167" fontId="6" fillId="2" borderId="5" xfId="0" applyNumberFormat="1" applyFont="1" applyFill="1" applyBorder="1" applyAlignment="1">
      <alignment horizontal="center" vertical="center" wrapText="1"/>
    </xf>
    <xf numFmtId="167" fontId="6" fillId="2" borderId="2" xfId="0" applyNumberFormat="1" applyFont="1" applyFill="1" applyBorder="1" applyAlignment="1">
      <alignment horizontal="center" vertical="center" wrapText="1"/>
    </xf>
    <xf numFmtId="9" fontId="3" fillId="0" borderId="2" xfId="0" applyNumberFormat="1" applyFont="1" applyBorder="1" applyAlignment="1">
      <alignment horizontal="center" vertical="center" wrapText="1"/>
    </xf>
    <xf numFmtId="3" fontId="6" fillId="2" borderId="1" xfId="0" applyNumberFormat="1" applyFont="1" applyFill="1" applyBorder="1" applyAlignment="1">
      <alignment horizontal="center" vertical="center" wrapText="1"/>
    </xf>
    <xf numFmtId="3" fontId="6" fillId="2" borderId="2" xfId="0" applyNumberFormat="1" applyFont="1" applyFill="1" applyBorder="1" applyAlignment="1">
      <alignment horizontal="center" vertical="center" wrapText="1"/>
    </xf>
    <xf numFmtId="10" fontId="6" fillId="2" borderId="1" xfId="0" applyNumberFormat="1" applyFont="1" applyFill="1" applyBorder="1" applyAlignment="1">
      <alignment horizontal="center" vertical="center" wrapText="1"/>
    </xf>
    <xf numFmtId="10" fontId="6" fillId="2" borderId="5" xfId="0" applyNumberFormat="1" applyFont="1" applyFill="1" applyBorder="1" applyAlignment="1">
      <alignment horizontal="center" vertical="center" wrapText="1"/>
    </xf>
    <xf numFmtId="10" fontId="6" fillId="2" borderId="3" xfId="0" applyNumberFormat="1" applyFont="1" applyFill="1" applyBorder="1" applyAlignment="1">
      <alignment horizontal="center" vertical="center" wrapText="1"/>
    </xf>
    <xf numFmtId="3" fontId="6" fillId="2" borderId="5" xfId="0" applyNumberFormat="1" applyFont="1" applyFill="1" applyBorder="1" applyAlignment="1">
      <alignment horizontal="center" vertical="center" wrapText="1"/>
    </xf>
    <xf numFmtId="3" fontId="6" fillId="2" borderId="3" xfId="0" applyNumberFormat="1" applyFont="1" applyFill="1" applyBorder="1" applyAlignment="1">
      <alignment horizontal="center" vertical="center" wrapText="1"/>
    </xf>
    <xf numFmtId="9" fontId="10" fillId="0" borderId="1" xfId="107" applyFont="1" applyFill="1" applyBorder="1" applyAlignment="1">
      <alignment horizontal="center" vertical="center" wrapText="1"/>
    </xf>
    <xf numFmtId="9" fontId="10" fillId="0" borderId="5" xfId="107" applyFont="1" applyFill="1" applyBorder="1" applyAlignment="1">
      <alignment horizontal="center" vertical="center" wrapText="1"/>
    </xf>
    <xf numFmtId="9" fontId="10" fillId="0" borderId="2" xfId="107" applyFont="1" applyFill="1" applyBorder="1" applyAlignment="1">
      <alignment horizontal="center" vertical="center" wrapText="1"/>
    </xf>
    <xf numFmtId="9" fontId="6" fillId="2" borderId="1" xfId="107" applyFont="1" applyFill="1" applyBorder="1" applyAlignment="1">
      <alignment horizontal="center" vertical="center" wrapText="1"/>
    </xf>
    <xf numFmtId="9" fontId="6" fillId="2" borderId="5" xfId="107" applyFont="1" applyFill="1" applyBorder="1" applyAlignment="1">
      <alignment horizontal="center" vertical="center" wrapText="1"/>
    </xf>
    <xf numFmtId="9" fontId="6" fillId="2" borderId="2" xfId="107" applyFont="1" applyFill="1" applyBorder="1" applyAlignment="1">
      <alignment horizontal="center" vertical="center" wrapText="1"/>
    </xf>
    <xf numFmtId="2" fontId="7" fillId="0" borderId="9" xfId="109" applyNumberFormat="1" applyFont="1" applyBorder="1" applyAlignment="1">
      <alignment horizontal="center" vertical="center" wrapText="1"/>
    </xf>
    <xf numFmtId="2" fontId="7" fillId="0" borderId="10" xfId="109" applyNumberFormat="1" applyFont="1" applyBorder="1" applyAlignment="1">
      <alignment horizontal="center" vertical="center" wrapText="1"/>
    </xf>
    <xf numFmtId="2" fontId="7" fillId="0" borderId="11" xfId="109" applyNumberFormat="1" applyFont="1" applyBorder="1" applyAlignment="1">
      <alignment horizontal="center" vertical="center" wrapText="1"/>
    </xf>
    <xf numFmtId="2" fontId="7" fillId="0" borderId="12" xfId="109" applyNumberFormat="1" applyFont="1" applyBorder="1" applyAlignment="1">
      <alignment horizontal="center" vertical="center" wrapText="1"/>
    </xf>
    <xf numFmtId="2" fontId="7" fillId="0" borderId="0" xfId="109" applyNumberFormat="1" applyFont="1" applyAlignment="1">
      <alignment horizontal="center" vertical="center" wrapText="1"/>
    </xf>
    <xf numFmtId="2" fontId="7" fillId="0" borderId="13" xfId="109" applyNumberFormat="1" applyFont="1" applyBorder="1" applyAlignment="1">
      <alignment horizontal="center" vertical="center" wrapText="1"/>
    </xf>
    <xf numFmtId="2" fontId="7" fillId="0" borderId="4" xfId="109" applyNumberFormat="1" applyFont="1" applyBorder="1" applyAlignment="1">
      <alignment horizontal="center" vertical="center" wrapText="1"/>
    </xf>
    <xf numFmtId="2" fontId="7" fillId="0" borderId="14" xfId="109" applyNumberFormat="1" applyFont="1" applyBorder="1" applyAlignment="1">
      <alignment horizontal="center" vertical="center" wrapText="1"/>
    </xf>
    <xf numFmtId="2" fontId="7" fillId="0" borderId="2" xfId="109" applyNumberFormat="1" applyFont="1" applyBorder="1" applyAlignment="1">
      <alignment horizontal="left" vertical="center" wrapText="1"/>
    </xf>
    <xf numFmtId="2" fontId="7" fillId="0" borderId="6" xfId="109" applyNumberFormat="1" applyFont="1" applyBorder="1" applyAlignment="1">
      <alignment horizontal="left" vertical="center" wrapText="1"/>
    </xf>
    <xf numFmtId="2" fontId="7" fillId="0" borderId="7" xfId="109" applyNumberFormat="1" applyFont="1" applyBorder="1" applyAlignment="1">
      <alignment horizontal="left" vertical="center" wrapText="1"/>
    </xf>
    <xf numFmtId="2" fontId="7" fillId="0" borderId="8" xfId="109" applyNumberFormat="1" applyFont="1" applyBorder="1" applyAlignment="1">
      <alignment horizontal="left" vertical="center" wrapText="1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14" fontId="3" fillId="0" borderId="2" xfId="0" applyNumberFormat="1" applyFont="1" applyBorder="1" applyAlignment="1">
      <alignment horizontal="center" vertical="top"/>
    </xf>
    <xf numFmtId="4" fontId="6" fillId="2" borderId="3" xfId="0" applyNumberFormat="1" applyFont="1" applyFill="1" applyBorder="1" applyAlignment="1">
      <alignment horizontal="center" vertical="center" wrapText="1"/>
    </xf>
    <xf numFmtId="10" fontId="3" fillId="0" borderId="1" xfId="0" applyNumberFormat="1" applyFont="1" applyBorder="1" applyAlignment="1">
      <alignment horizontal="center" vertical="center" wrapText="1"/>
    </xf>
    <xf numFmtId="10" fontId="3" fillId="0" borderId="5" xfId="0" applyNumberFormat="1" applyFont="1" applyBorder="1" applyAlignment="1">
      <alignment horizontal="center" vertical="center" wrapText="1"/>
    </xf>
    <xf numFmtId="10" fontId="3" fillId="0" borderId="3" xfId="0" applyNumberFormat="1" applyFont="1" applyBorder="1" applyAlignment="1">
      <alignment horizontal="center" vertical="center" wrapText="1"/>
    </xf>
    <xf numFmtId="169" fontId="7" fillId="2" borderId="1" xfId="108" applyNumberFormat="1" applyFont="1" applyFill="1" applyBorder="1" applyAlignment="1">
      <alignment horizontal="center" vertical="center" wrapText="1"/>
    </xf>
    <xf numFmtId="169" fontId="7" fillId="2" borderId="5" xfId="108" applyNumberFormat="1" applyFont="1" applyFill="1" applyBorder="1" applyAlignment="1">
      <alignment horizontal="center" vertical="center" wrapText="1"/>
    </xf>
    <xf numFmtId="169" fontId="7" fillId="2" borderId="3" xfId="108" applyNumberFormat="1" applyFont="1" applyFill="1" applyBorder="1" applyAlignment="1">
      <alignment horizontal="center" vertical="center" wrapText="1"/>
    </xf>
  </cellXfs>
  <cellStyles count="111">
    <cellStyle name="Hipervínculo" xfId="67" builtinId="8" hidden="1"/>
    <cellStyle name="Hipervínculo" xfId="71" builtinId="8" hidden="1"/>
    <cellStyle name="Hipervínculo" xfId="75" builtinId="8" hidden="1"/>
    <cellStyle name="Hipervínculo" xfId="79" builtinId="8" hidden="1"/>
    <cellStyle name="Hipervínculo" xfId="83" builtinId="8" hidden="1"/>
    <cellStyle name="Hipervínculo" xfId="87" builtinId="8" hidden="1"/>
    <cellStyle name="Hipervínculo" xfId="91" builtinId="8" hidden="1"/>
    <cellStyle name="Hipervínculo" xfId="95" builtinId="8" hidden="1"/>
    <cellStyle name="Hipervínculo" xfId="99" builtinId="8" hidden="1"/>
    <cellStyle name="Hipervínculo" xfId="103" builtinId="8" hidden="1"/>
    <cellStyle name="Hipervínculo" xfId="105" builtinId="8" hidden="1"/>
    <cellStyle name="Hipervínculo" xfId="101" builtinId="8" hidden="1"/>
    <cellStyle name="Hipervínculo" xfId="97" builtinId="8" hidden="1"/>
    <cellStyle name="Hipervínculo" xfId="93" builtinId="8" hidden="1"/>
    <cellStyle name="Hipervínculo" xfId="89" builtinId="8" hidden="1"/>
    <cellStyle name="Hipervínculo" xfId="85" builtinId="8" hidden="1"/>
    <cellStyle name="Hipervínculo" xfId="81" builtinId="8" hidden="1"/>
    <cellStyle name="Hipervínculo" xfId="77" builtinId="8" hidden="1"/>
    <cellStyle name="Hipervínculo" xfId="73" builtinId="8" hidden="1"/>
    <cellStyle name="Hipervínculo" xfId="69" builtinId="8" hidden="1"/>
    <cellStyle name="Hipervínculo" xfId="65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3" builtinId="8" hidden="1"/>
    <cellStyle name="Hipervínculo" xfId="61" builtinId="8" hidden="1"/>
    <cellStyle name="Hipervínculo" xfId="53" builtinId="8" hidden="1"/>
    <cellStyle name="Hipervínculo" xfId="45" builtinId="8" hidden="1"/>
    <cellStyle name="Hipervínculo" xfId="37" builtinId="8" hidden="1"/>
    <cellStyle name="Hipervínculo" xfId="29" builtinId="8" hidden="1"/>
    <cellStyle name="Hipervínculo" xfId="21" builtinId="8" hidden="1"/>
    <cellStyle name="Hipervínculo" xfId="9" builtinId="8" hidden="1"/>
    <cellStyle name="Hipervínculo" xfId="11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13" builtinId="8" hidden="1"/>
    <cellStyle name="Hipervínculo" xfId="5" builtinId="8" hidden="1"/>
    <cellStyle name="Hipervínculo" xfId="7" builtinId="8" hidden="1"/>
    <cellStyle name="Hipervínculo" xfId="3" builtinId="8" hidden="1"/>
    <cellStyle name="Hipervínculo" xfId="1" builtinId="8" hidden="1"/>
    <cellStyle name="Hipervínculo visitado" xfId="58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8" builtinId="9" hidden="1"/>
    <cellStyle name="Hipervínculo visitado" xfId="80" builtinId="9" hidden="1"/>
    <cellStyle name="Hipervínculo visitado" xfId="82" builtinId="9" hidden="1"/>
    <cellStyle name="Hipervínculo visitado" xfId="86" builtinId="9" hidden="1"/>
    <cellStyle name="Hipervínculo visitado" xfId="88" builtinId="9" hidden="1"/>
    <cellStyle name="Hipervínculo visitado" xfId="90" builtinId="9" hidden="1"/>
    <cellStyle name="Hipervínculo visitado" xfId="94" builtinId="9" hidden="1"/>
    <cellStyle name="Hipervínculo visitado" xfId="96" builtinId="9" hidden="1"/>
    <cellStyle name="Hipervínculo visitado" xfId="98" builtinId="9" hidden="1"/>
    <cellStyle name="Hipervínculo visitado" xfId="102" builtinId="9" hidden="1"/>
    <cellStyle name="Hipervínculo visitado" xfId="104" builtinId="9" hidden="1"/>
    <cellStyle name="Hipervínculo visitado" xfId="106" builtinId="9" hidden="1"/>
    <cellStyle name="Hipervínculo visitado" xfId="100" builtinId="9" hidden="1"/>
    <cellStyle name="Hipervínculo visitado" xfId="92" builtinId="9" hidden="1"/>
    <cellStyle name="Hipervínculo visitado" xfId="84" builtinId="9" hidden="1"/>
    <cellStyle name="Hipervínculo visitado" xfId="76" builtinId="9" hidden="1"/>
    <cellStyle name="Hipervínculo visitado" xfId="68" builtinId="9" hidden="1"/>
    <cellStyle name="Hipervínculo visitado" xfId="60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4" builtinId="9" hidden="1"/>
    <cellStyle name="Hipervínculo visitado" xfId="56" builtinId="9" hidden="1"/>
    <cellStyle name="Hipervínculo visitado" xfId="52" builtinId="9" hidden="1"/>
    <cellStyle name="Hipervínculo visitado" xfId="36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2" builtinId="9" hidden="1"/>
    <cellStyle name="Hipervínculo visitado" xfId="24" builtinId="9" hidden="1"/>
    <cellStyle name="Hipervínculo visitado" xfId="20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4" builtinId="9" hidden="1"/>
    <cellStyle name="Hipervínculo visitado" xfId="2" builtinId="9" hidden="1"/>
    <cellStyle name="Millares" xfId="110" builtinId="3"/>
    <cellStyle name="Moneda" xfId="108" builtinId="4"/>
    <cellStyle name="Normal" xfId="0" builtinId="0"/>
    <cellStyle name="Normal 2" xfId="109" xr:uid="{00000000-0005-0000-0000-00006E000000}"/>
    <cellStyle name="Porcentaje" xfId="107" builtinId="5"/>
  </cellStyles>
  <dxfs count="6">
    <dxf>
      <font>
        <b/>
        <i val="0"/>
        <color theme="0"/>
      </font>
      <fill>
        <patternFill>
          <bgColor rgb="FFFF714F"/>
        </patternFill>
      </fill>
    </dxf>
    <dxf>
      <font>
        <b/>
        <i val="0"/>
        <color theme="1" tint="0.24994659260841701"/>
      </font>
      <fill>
        <patternFill>
          <bgColor rgb="FFFFFF65"/>
        </patternFill>
      </fill>
    </dxf>
    <dxf>
      <font>
        <b/>
        <i val="0"/>
        <color theme="1" tint="0.2499465926084170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714F"/>
        </patternFill>
      </fill>
    </dxf>
    <dxf>
      <font>
        <b/>
        <i val="0"/>
        <color theme="1" tint="0.24994659260841701"/>
      </font>
      <fill>
        <patternFill>
          <bgColor rgb="FFFFFF65"/>
        </patternFill>
      </fill>
    </dxf>
    <dxf>
      <font>
        <b/>
        <i val="0"/>
        <color theme="1" tint="0.24994659260841701"/>
      </font>
      <fill>
        <patternFill>
          <bgColor rgb="FF92D05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714F"/>
      <color rgb="FF00CC99"/>
      <color rgb="FFFFFF6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236350</xdr:colOff>
      <xdr:row>0</xdr:row>
      <xdr:rowOff>28575</xdr:rowOff>
    </xdr:from>
    <xdr:to>
      <xdr:col>1</xdr:col>
      <xdr:colOff>342735</xdr:colOff>
      <xdr:row>3</xdr:row>
      <xdr:rowOff>121638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6350" y="28575"/>
          <a:ext cx="620735" cy="6074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111"/>
  <sheetViews>
    <sheetView tabSelected="1" topLeftCell="T95" zoomScale="70" zoomScaleNormal="70" workbookViewId="0">
      <selection activeCell="AC2" sqref="AC2:AE2"/>
    </sheetView>
  </sheetViews>
  <sheetFormatPr baseColWidth="10" defaultColWidth="11.25" defaultRowHeight="14.25" x14ac:dyDescent="0.2"/>
  <cols>
    <col min="1" max="1" width="6.75" style="66" customWidth="1"/>
    <col min="2" max="4" width="22.75" style="24" customWidth="1"/>
    <col min="5" max="6" width="53.25" style="32" customWidth="1"/>
    <col min="7" max="7" width="16.875" style="33" customWidth="1"/>
    <col min="8" max="8" width="51.75" style="34" customWidth="1"/>
    <col min="9" max="9" width="43.125" style="24" customWidth="1"/>
    <col min="10" max="11" width="13.875" style="24" customWidth="1"/>
    <col min="12" max="12" width="14.875" style="24" customWidth="1"/>
    <col min="13" max="13" width="14.875" style="102" customWidth="1"/>
    <col min="14" max="14" width="11.25" style="28" customWidth="1"/>
    <col min="15" max="15" width="56.125" style="24" customWidth="1"/>
    <col min="16" max="16" width="25.875" style="24" customWidth="1"/>
    <col min="17" max="18" width="16" style="24" customWidth="1"/>
    <col min="19" max="19" width="19.75" style="24" customWidth="1"/>
    <col min="20" max="20" width="19.875" style="24" customWidth="1"/>
    <col min="21" max="21" width="25" style="24" customWidth="1"/>
    <col min="22" max="22" width="18.5" style="24" customWidth="1"/>
    <col min="23" max="26" width="16.75" style="24" customWidth="1"/>
    <col min="27" max="27" width="24.5" style="24" customWidth="1"/>
    <col min="28" max="28" width="16.25" style="36" customWidth="1"/>
    <col min="29" max="29" width="19.25" style="36" customWidth="1"/>
    <col min="30" max="31" width="22" style="36" customWidth="1"/>
    <col min="48" max="16384" width="11.25" style="24"/>
  </cols>
  <sheetData>
    <row r="1" spans="1:47" ht="15" x14ac:dyDescent="0.2">
      <c r="A1" s="105"/>
      <c r="B1" s="197" t="s">
        <v>0</v>
      </c>
      <c r="C1" s="198"/>
      <c r="D1" s="198"/>
      <c r="E1" s="198"/>
      <c r="F1" s="198"/>
      <c r="G1" s="198"/>
      <c r="H1" s="198"/>
      <c r="I1" s="198"/>
      <c r="J1" s="198"/>
      <c r="K1" s="198"/>
      <c r="L1" s="198"/>
      <c r="M1" s="198"/>
      <c r="N1" s="198"/>
      <c r="O1" s="198"/>
      <c r="P1" s="198"/>
      <c r="Q1" s="198"/>
      <c r="R1" s="198"/>
      <c r="S1" s="198"/>
      <c r="T1" s="198"/>
      <c r="U1" s="198"/>
      <c r="V1" s="198"/>
      <c r="W1" s="198"/>
      <c r="X1" s="198"/>
      <c r="Y1" s="198"/>
      <c r="Z1" s="198"/>
      <c r="AA1" s="198"/>
      <c r="AB1" s="199"/>
      <c r="AC1" s="205" t="s">
        <v>1</v>
      </c>
      <c r="AD1" s="205"/>
      <c r="AE1" s="205"/>
    </row>
    <row r="2" spans="1:47" ht="15" x14ac:dyDescent="0.2">
      <c r="A2" s="105"/>
      <c r="B2" s="200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1"/>
      <c r="O2" s="201"/>
      <c r="P2" s="201"/>
      <c r="Q2" s="201"/>
      <c r="R2" s="201"/>
      <c r="S2" s="201"/>
      <c r="T2" s="201"/>
      <c r="U2" s="201"/>
      <c r="V2" s="201"/>
      <c r="W2" s="201"/>
      <c r="X2" s="201"/>
      <c r="Y2" s="201"/>
      <c r="Z2" s="201"/>
      <c r="AA2" s="201"/>
      <c r="AB2" s="202"/>
      <c r="AC2" s="206" t="s">
        <v>320</v>
      </c>
      <c r="AD2" s="207"/>
      <c r="AE2" s="208"/>
    </row>
    <row r="3" spans="1:47" ht="15" customHeight="1" x14ac:dyDescent="0.2">
      <c r="A3" s="105"/>
      <c r="B3" s="200"/>
      <c r="C3" s="201"/>
      <c r="D3" s="201"/>
      <c r="E3" s="201"/>
      <c r="F3" s="201"/>
      <c r="G3" s="201"/>
      <c r="H3" s="201"/>
      <c r="I3" s="201"/>
      <c r="J3" s="201"/>
      <c r="K3" s="201"/>
      <c r="L3" s="201"/>
      <c r="M3" s="201"/>
      <c r="N3" s="201"/>
      <c r="O3" s="201"/>
      <c r="P3" s="201"/>
      <c r="Q3" s="201"/>
      <c r="R3" s="201"/>
      <c r="S3" s="201"/>
      <c r="T3" s="201"/>
      <c r="U3" s="201"/>
      <c r="V3" s="201"/>
      <c r="W3" s="201"/>
      <c r="X3" s="201"/>
      <c r="Y3" s="201"/>
      <c r="Z3" s="201"/>
      <c r="AA3" s="201"/>
      <c r="AB3" s="202"/>
      <c r="AC3" s="206" t="s">
        <v>321</v>
      </c>
      <c r="AD3" s="207"/>
      <c r="AE3" s="208"/>
    </row>
    <row r="4" spans="1:47" ht="15" x14ac:dyDescent="0.2">
      <c r="A4" s="105"/>
      <c r="B4" s="203"/>
      <c r="C4" s="204"/>
      <c r="D4" s="204"/>
      <c r="E4" s="204"/>
      <c r="F4" s="204"/>
      <c r="G4" s="204"/>
      <c r="H4" s="201"/>
      <c r="I4" s="201"/>
      <c r="J4" s="201"/>
      <c r="K4" s="201"/>
      <c r="L4" s="201"/>
      <c r="M4" s="201"/>
      <c r="N4" s="201"/>
      <c r="O4" s="201"/>
      <c r="P4" s="201"/>
      <c r="Q4" s="201"/>
      <c r="R4" s="201"/>
      <c r="S4" s="201"/>
      <c r="T4" s="201"/>
      <c r="U4" s="201"/>
      <c r="V4" s="201"/>
      <c r="W4" s="201"/>
      <c r="X4" s="201"/>
      <c r="Y4" s="201"/>
      <c r="Z4" s="201"/>
      <c r="AA4" s="201"/>
      <c r="AB4" s="202"/>
      <c r="AC4" s="205" t="s">
        <v>2</v>
      </c>
      <c r="AD4" s="205"/>
      <c r="AE4" s="205"/>
    </row>
    <row r="5" spans="1:47" ht="15" x14ac:dyDescent="0.2">
      <c r="A5" s="214" t="s">
        <v>3</v>
      </c>
      <c r="B5" s="215"/>
      <c r="C5" s="216"/>
      <c r="D5" s="217">
        <v>44839</v>
      </c>
      <c r="E5" s="217"/>
      <c r="F5" s="217"/>
      <c r="G5" s="217"/>
      <c r="H5" s="25"/>
      <c r="I5" s="25"/>
      <c r="J5" s="25"/>
      <c r="K5" s="25"/>
      <c r="L5" s="25"/>
      <c r="M5" s="101"/>
      <c r="N5" s="43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7"/>
      <c r="AC5" s="27"/>
      <c r="AD5" s="27"/>
      <c r="AE5" s="27"/>
    </row>
    <row r="6" spans="1:47" ht="15" x14ac:dyDescent="0.2">
      <c r="A6" s="214" t="s">
        <v>4</v>
      </c>
      <c r="B6" s="215"/>
      <c r="C6" s="216"/>
      <c r="D6" s="217">
        <v>44834</v>
      </c>
      <c r="E6" s="217"/>
      <c r="F6" s="217"/>
      <c r="G6" s="217"/>
      <c r="H6" s="25"/>
      <c r="I6" s="25"/>
      <c r="J6" s="25"/>
      <c r="K6" s="25"/>
      <c r="L6" s="25"/>
      <c r="M6" s="101"/>
      <c r="N6" s="43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7"/>
      <c r="AC6" s="27"/>
      <c r="AD6" s="27"/>
      <c r="AE6" s="27"/>
    </row>
    <row r="7" spans="1:47" ht="15" x14ac:dyDescent="0.2">
      <c r="A7" s="106"/>
      <c r="B7" s="209" t="s">
        <v>5</v>
      </c>
      <c r="C7" s="210"/>
      <c r="D7" s="210"/>
      <c r="E7" s="210"/>
      <c r="F7" s="211"/>
      <c r="G7" s="209" t="s">
        <v>6</v>
      </c>
      <c r="H7" s="210"/>
      <c r="I7" s="211"/>
      <c r="J7" s="209" t="s">
        <v>7</v>
      </c>
      <c r="K7" s="210"/>
      <c r="L7" s="210"/>
      <c r="M7" s="210"/>
      <c r="N7" s="211"/>
      <c r="O7" s="209" t="s">
        <v>8</v>
      </c>
      <c r="P7" s="210"/>
      <c r="Q7" s="210"/>
      <c r="R7" s="210"/>
      <c r="S7" s="210"/>
      <c r="T7" s="210"/>
      <c r="U7" s="211"/>
      <c r="V7" s="209" t="s">
        <v>9</v>
      </c>
      <c r="W7" s="210"/>
      <c r="X7" s="210"/>
      <c r="Y7" s="210"/>
      <c r="Z7" s="210"/>
      <c r="AA7" s="211"/>
      <c r="AB7" s="212" t="s">
        <v>10</v>
      </c>
      <c r="AC7" s="212" t="s">
        <v>11</v>
      </c>
      <c r="AD7" s="22" t="s">
        <v>12</v>
      </c>
      <c r="AE7" s="22"/>
    </row>
    <row r="8" spans="1:47" s="28" customFormat="1" ht="45" x14ac:dyDescent="0.2">
      <c r="A8" s="9" t="s">
        <v>13</v>
      </c>
      <c r="B8" s="10" t="s">
        <v>14</v>
      </c>
      <c r="C8" s="9" t="s">
        <v>15</v>
      </c>
      <c r="D8" s="9" t="s">
        <v>16</v>
      </c>
      <c r="E8" s="59" t="s">
        <v>17</v>
      </c>
      <c r="F8" s="10" t="s">
        <v>18</v>
      </c>
      <c r="G8" s="10" t="s">
        <v>19</v>
      </c>
      <c r="H8" s="10" t="s">
        <v>20</v>
      </c>
      <c r="I8" s="10" t="s">
        <v>21</v>
      </c>
      <c r="J8" s="10" t="s">
        <v>22</v>
      </c>
      <c r="K8" s="10" t="s">
        <v>23</v>
      </c>
      <c r="L8" s="10" t="s">
        <v>24</v>
      </c>
      <c r="M8" s="10" t="s">
        <v>25</v>
      </c>
      <c r="N8" s="10" t="s">
        <v>26</v>
      </c>
      <c r="O8" s="9" t="s">
        <v>27</v>
      </c>
      <c r="P8" s="10" t="s">
        <v>28</v>
      </c>
      <c r="Q8" s="10" t="s">
        <v>29</v>
      </c>
      <c r="R8" s="10" t="s">
        <v>30</v>
      </c>
      <c r="S8" s="10" t="s">
        <v>31</v>
      </c>
      <c r="T8" s="10" t="s">
        <v>32</v>
      </c>
      <c r="U8" s="10" t="s">
        <v>33</v>
      </c>
      <c r="V8" s="10" t="s">
        <v>28</v>
      </c>
      <c r="W8" s="10" t="s">
        <v>29</v>
      </c>
      <c r="X8" s="10" t="s">
        <v>30</v>
      </c>
      <c r="Y8" s="10" t="s">
        <v>31</v>
      </c>
      <c r="Z8" s="10" t="s">
        <v>32</v>
      </c>
      <c r="AA8" s="10" t="s">
        <v>34</v>
      </c>
      <c r="AB8" s="213"/>
      <c r="AC8" s="213"/>
      <c r="AD8" s="10" t="s">
        <v>35</v>
      </c>
      <c r="AE8" s="10" t="s">
        <v>36</v>
      </c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</row>
    <row r="9" spans="1:47" ht="57" x14ac:dyDescent="0.2">
      <c r="A9" s="9">
        <v>99</v>
      </c>
      <c r="B9" s="29" t="s">
        <v>37</v>
      </c>
      <c r="C9" s="29" t="s">
        <v>38</v>
      </c>
      <c r="D9" s="14" t="s">
        <v>39</v>
      </c>
      <c r="E9" s="21" t="s">
        <v>40</v>
      </c>
      <c r="F9" s="69" t="s">
        <v>41</v>
      </c>
      <c r="G9" s="121">
        <v>2021680010086</v>
      </c>
      <c r="H9" s="70" t="s">
        <v>42</v>
      </c>
      <c r="I9" s="71"/>
      <c r="J9" s="46">
        <v>44562</v>
      </c>
      <c r="K9" s="46">
        <v>44926</v>
      </c>
      <c r="L9" s="47">
        <v>1</v>
      </c>
      <c r="M9" s="107">
        <v>0.7</v>
      </c>
      <c r="N9" s="62">
        <f>IFERROR(IF(M9/L9&gt;100%,100%,M9/L9),"-")</f>
        <v>0.7</v>
      </c>
      <c r="O9" s="45" t="s">
        <v>43</v>
      </c>
      <c r="P9" s="37"/>
      <c r="Q9" s="39"/>
      <c r="R9" s="39"/>
      <c r="S9" s="39"/>
      <c r="T9" s="39">
        <v>27416675</v>
      </c>
      <c r="U9" s="42">
        <f t="shared" ref="U9:U16" si="0">SUM(P9:T9)</f>
        <v>27416675</v>
      </c>
      <c r="V9" s="39"/>
      <c r="W9" s="39"/>
      <c r="X9" s="39"/>
      <c r="Y9" s="39"/>
      <c r="Z9" s="37">
        <f>15000000+10666666.67</f>
        <v>25666666.670000002</v>
      </c>
      <c r="AA9" s="42">
        <f t="shared" ref="AA9:AA16" si="1">SUM(V9:Z9)</f>
        <v>25666666.670000002</v>
      </c>
      <c r="AB9" s="16">
        <f t="shared" ref="AB9:AB17" si="2">IFERROR(AA9/U9,"-")</f>
        <v>0.93616992833740786</v>
      </c>
      <c r="AC9" s="17"/>
      <c r="AD9" s="23" t="s">
        <v>44</v>
      </c>
      <c r="AE9" s="30" t="s">
        <v>45</v>
      </c>
    </row>
    <row r="10" spans="1:47" ht="85.5" x14ac:dyDescent="0.2">
      <c r="A10" s="9">
        <v>169</v>
      </c>
      <c r="B10" s="31" t="s">
        <v>46</v>
      </c>
      <c r="C10" s="31" t="s">
        <v>47</v>
      </c>
      <c r="D10" s="18" t="s">
        <v>48</v>
      </c>
      <c r="E10" s="21" t="s">
        <v>49</v>
      </c>
      <c r="F10" s="69" t="s">
        <v>50</v>
      </c>
      <c r="G10" s="122">
        <v>2021680010146</v>
      </c>
      <c r="H10" s="70" t="s">
        <v>51</v>
      </c>
      <c r="I10" s="69" t="s">
        <v>52</v>
      </c>
      <c r="J10" s="46">
        <v>44562</v>
      </c>
      <c r="K10" s="46">
        <v>44926</v>
      </c>
      <c r="L10" s="57">
        <v>1</v>
      </c>
      <c r="M10" s="108">
        <v>0.6</v>
      </c>
      <c r="N10" s="53">
        <f>IFERROR(IF(M10/L10&gt;100%,100%,M10/L10),"-")</f>
        <v>0.6</v>
      </c>
      <c r="O10" s="127" t="s">
        <v>53</v>
      </c>
      <c r="P10" s="37">
        <f>195000000+235000000+63000000</f>
        <v>493000000</v>
      </c>
      <c r="Q10" s="39"/>
      <c r="R10" s="39"/>
      <c r="S10" s="39"/>
      <c r="T10" s="37"/>
      <c r="U10" s="54">
        <f t="shared" si="0"/>
        <v>493000000</v>
      </c>
      <c r="V10" s="132">
        <f>75000000+22000000+25233553+55584008+14933333.33+38443333</f>
        <v>231194227.33000001</v>
      </c>
      <c r="W10" s="39"/>
      <c r="X10" s="39"/>
      <c r="Y10" s="39"/>
      <c r="Z10" s="37"/>
      <c r="AA10" s="54">
        <f>SUM(V10:Z10)</f>
        <v>231194227.33000001</v>
      </c>
      <c r="AB10" s="16">
        <f t="shared" si="2"/>
        <v>0.46895380797160247</v>
      </c>
      <c r="AC10" s="17"/>
      <c r="AD10" s="23" t="s">
        <v>44</v>
      </c>
      <c r="AE10" s="30" t="s">
        <v>45</v>
      </c>
    </row>
    <row r="11" spans="1:47" ht="57" x14ac:dyDescent="0.2">
      <c r="A11" s="9">
        <v>170</v>
      </c>
      <c r="B11" s="29" t="s">
        <v>46</v>
      </c>
      <c r="C11" s="29" t="s">
        <v>47</v>
      </c>
      <c r="D11" s="14" t="s">
        <v>48</v>
      </c>
      <c r="E11" s="21" t="s">
        <v>54</v>
      </c>
      <c r="F11" s="69" t="s">
        <v>55</v>
      </c>
      <c r="G11" s="122">
        <v>2021680010146</v>
      </c>
      <c r="H11" s="70" t="s">
        <v>51</v>
      </c>
      <c r="I11" s="71"/>
      <c r="J11" s="46">
        <v>44562</v>
      </c>
      <c r="K11" s="46">
        <v>44926</v>
      </c>
      <c r="L11" s="61">
        <v>3</v>
      </c>
      <c r="M11" s="109">
        <v>3</v>
      </c>
      <c r="N11" s="62">
        <f t="shared" ref="N11:N22" si="3">IFERROR(IF(M11/L11&gt;100%,100%,M11/L11),"-")</f>
        <v>1</v>
      </c>
      <c r="O11" s="128" t="s">
        <v>56</v>
      </c>
      <c r="P11" s="37">
        <f>24000000+19000000</f>
        <v>43000000</v>
      </c>
      <c r="Q11" s="39"/>
      <c r="R11" s="39"/>
      <c r="S11" s="39"/>
      <c r="T11" s="37"/>
      <c r="U11" s="42">
        <f t="shared" si="0"/>
        <v>43000000</v>
      </c>
      <c r="V11" s="39">
        <f>24000000+18266666.67</f>
        <v>42266666.670000002</v>
      </c>
      <c r="W11" s="39"/>
      <c r="X11" s="39"/>
      <c r="Y11" s="39"/>
      <c r="Z11" s="37"/>
      <c r="AA11" s="42">
        <f t="shared" si="1"/>
        <v>42266666.670000002</v>
      </c>
      <c r="AB11" s="16">
        <f t="shared" si="2"/>
        <v>0.98294573651162798</v>
      </c>
      <c r="AC11" s="17"/>
      <c r="AD11" s="23" t="s">
        <v>44</v>
      </c>
      <c r="AE11" s="30" t="s">
        <v>45</v>
      </c>
    </row>
    <row r="12" spans="1:47" ht="71.25" x14ac:dyDescent="0.2">
      <c r="A12" s="9">
        <v>171</v>
      </c>
      <c r="B12" s="29" t="s">
        <v>46</v>
      </c>
      <c r="C12" s="29" t="s">
        <v>47</v>
      </c>
      <c r="D12" s="14" t="s">
        <v>48</v>
      </c>
      <c r="E12" s="15" t="s">
        <v>57</v>
      </c>
      <c r="F12" s="69" t="s">
        <v>58</v>
      </c>
      <c r="G12" s="121">
        <v>2021680010156</v>
      </c>
      <c r="H12" s="70" t="s">
        <v>59</v>
      </c>
      <c r="I12" s="84" t="s">
        <v>60</v>
      </c>
      <c r="J12" s="46">
        <v>44562</v>
      </c>
      <c r="K12" s="46">
        <v>44926</v>
      </c>
      <c r="L12" s="98">
        <v>4</v>
      </c>
      <c r="M12" s="112">
        <v>4</v>
      </c>
      <c r="N12" s="53">
        <f t="shared" si="3"/>
        <v>1</v>
      </c>
      <c r="O12" s="128" t="s">
        <v>61</v>
      </c>
      <c r="P12" s="37">
        <f>874739959+3000000-182851368</f>
        <v>694888591</v>
      </c>
      <c r="Q12" s="39"/>
      <c r="R12" s="39"/>
      <c r="S12" s="39"/>
      <c r="T12" s="37"/>
      <c r="U12" s="42">
        <f t="shared" si="0"/>
        <v>694888591</v>
      </c>
      <c r="V12" s="37">
        <v>480000000</v>
      </c>
      <c r="W12" s="37"/>
      <c r="X12" s="37"/>
      <c r="Y12" s="37"/>
      <c r="Z12" s="37"/>
      <c r="AA12" s="42">
        <f t="shared" si="1"/>
        <v>480000000</v>
      </c>
      <c r="AB12" s="16">
        <f t="shared" si="2"/>
        <v>0.69075821105256852</v>
      </c>
      <c r="AC12" s="17"/>
      <c r="AD12" s="23" t="s">
        <v>44</v>
      </c>
      <c r="AE12" s="30" t="s">
        <v>45</v>
      </c>
    </row>
    <row r="13" spans="1:47" ht="57" x14ac:dyDescent="0.2">
      <c r="A13" s="9">
        <v>172</v>
      </c>
      <c r="B13" s="29" t="s">
        <v>46</v>
      </c>
      <c r="C13" s="29" t="s">
        <v>47</v>
      </c>
      <c r="D13" s="14" t="s">
        <v>62</v>
      </c>
      <c r="E13" s="15" t="s">
        <v>63</v>
      </c>
      <c r="F13" s="69" t="s">
        <v>64</v>
      </c>
      <c r="G13" s="121">
        <v>2021680010159</v>
      </c>
      <c r="H13" s="70" t="s">
        <v>65</v>
      </c>
      <c r="I13" s="71"/>
      <c r="J13" s="46">
        <v>44562</v>
      </c>
      <c r="K13" s="46">
        <v>44926</v>
      </c>
      <c r="L13" s="61">
        <v>1</v>
      </c>
      <c r="M13" s="111">
        <v>0.4</v>
      </c>
      <c r="N13" s="62">
        <f t="shared" si="3"/>
        <v>0.4</v>
      </c>
      <c r="O13" s="128" t="s">
        <v>66</v>
      </c>
      <c r="P13" s="37">
        <f>21000000+17500000</f>
        <v>38500000</v>
      </c>
      <c r="Q13" s="39"/>
      <c r="R13" s="39"/>
      <c r="S13" s="39"/>
      <c r="T13" s="37"/>
      <c r="U13" s="42">
        <f t="shared" si="0"/>
        <v>38500000</v>
      </c>
      <c r="V13" s="39">
        <f>21000000+15750000</f>
        <v>36750000</v>
      </c>
      <c r="W13" s="39"/>
      <c r="X13" s="39"/>
      <c r="Y13" s="39"/>
      <c r="Z13" s="37"/>
      <c r="AA13" s="42">
        <f>SUM(V13:Z13)</f>
        <v>36750000</v>
      </c>
      <c r="AB13" s="16">
        <f t="shared" si="2"/>
        <v>0.95454545454545459</v>
      </c>
      <c r="AC13" s="17"/>
      <c r="AD13" s="23" t="s">
        <v>44</v>
      </c>
      <c r="AE13" s="30" t="s">
        <v>45</v>
      </c>
    </row>
    <row r="14" spans="1:47" ht="57" x14ac:dyDescent="0.2">
      <c r="A14" s="9">
        <v>173</v>
      </c>
      <c r="B14" s="29" t="s">
        <v>46</v>
      </c>
      <c r="C14" s="29" t="s">
        <v>47</v>
      </c>
      <c r="D14" s="14" t="s">
        <v>62</v>
      </c>
      <c r="E14" s="15" t="s">
        <v>67</v>
      </c>
      <c r="F14" s="69" t="s">
        <v>68</v>
      </c>
      <c r="G14" s="121">
        <v>2021680010159</v>
      </c>
      <c r="H14" s="70" t="s">
        <v>65</v>
      </c>
      <c r="I14" s="71"/>
      <c r="J14" s="46">
        <v>44562</v>
      </c>
      <c r="K14" s="46">
        <v>44926</v>
      </c>
      <c r="L14" s="61">
        <v>10</v>
      </c>
      <c r="M14" s="109">
        <v>2</v>
      </c>
      <c r="N14" s="62">
        <f t="shared" si="3"/>
        <v>0.2</v>
      </c>
      <c r="O14" s="128" t="s">
        <v>69</v>
      </c>
      <c r="P14" s="37">
        <f>69000000+37500000</f>
        <v>106500000</v>
      </c>
      <c r="Q14" s="39"/>
      <c r="R14" s="39"/>
      <c r="S14" s="39"/>
      <c r="T14" s="37"/>
      <c r="U14" s="42">
        <f t="shared" si="0"/>
        <v>106500000</v>
      </c>
      <c r="V14" s="39">
        <f>45000000+16933333.33+14000000+24000000</f>
        <v>99933333.329999998</v>
      </c>
      <c r="W14" s="39"/>
      <c r="X14" s="39"/>
      <c r="Y14" s="39"/>
      <c r="Z14" s="37"/>
      <c r="AA14" s="42">
        <f t="shared" si="1"/>
        <v>99933333.329999998</v>
      </c>
      <c r="AB14" s="16">
        <f t="shared" si="2"/>
        <v>0.93834115802816898</v>
      </c>
      <c r="AC14" s="17"/>
      <c r="AD14" s="23" t="s">
        <v>44</v>
      </c>
      <c r="AE14" s="30" t="s">
        <v>45</v>
      </c>
    </row>
    <row r="15" spans="1:47" ht="57" x14ac:dyDescent="0.2">
      <c r="A15" s="9">
        <v>174</v>
      </c>
      <c r="B15" s="29" t="s">
        <v>46</v>
      </c>
      <c r="C15" s="29" t="s">
        <v>47</v>
      </c>
      <c r="D15" s="14" t="s">
        <v>62</v>
      </c>
      <c r="E15" s="15" t="s">
        <v>70</v>
      </c>
      <c r="F15" s="69" t="s">
        <v>71</v>
      </c>
      <c r="G15" s="121">
        <v>2021680010159</v>
      </c>
      <c r="H15" s="70" t="s">
        <v>65</v>
      </c>
      <c r="I15" s="71"/>
      <c r="J15" s="46">
        <v>44562</v>
      </c>
      <c r="K15" s="46">
        <v>44926</v>
      </c>
      <c r="L15" s="61">
        <v>1</v>
      </c>
      <c r="M15" s="111">
        <v>0.7</v>
      </c>
      <c r="N15" s="62">
        <f t="shared" si="3"/>
        <v>0.7</v>
      </c>
      <c r="O15" s="128" t="s">
        <v>72</v>
      </c>
      <c r="P15" s="37">
        <f>20000000</f>
        <v>20000000</v>
      </c>
      <c r="Q15" s="39"/>
      <c r="R15" s="39"/>
      <c r="S15" s="39"/>
      <c r="T15" s="37"/>
      <c r="U15" s="42">
        <f t="shared" si="0"/>
        <v>20000000</v>
      </c>
      <c r="V15" s="39">
        <f>17466666.67</f>
        <v>17466666.670000002</v>
      </c>
      <c r="W15" s="39"/>
      <c r="X15" s="39"/>
      <c r="Y15" s="39"/>
      <c r="Z15" s="37"/>
      <c r="AA15" s="42">
        <f t="shared" si="1"/>
        <v>17466666.670000002</v>
      </c>
      <c r="AB15" s="16">
        <f t="shared" si="2"/>
        <v>0.87333333350000009</v>
      </c>
      <c r="AC15" s="17"/>
      <c r="AD15" s="23" t="s">
        <v>44</v>
      </c>
      <c r="AE15" s="30" t="s">
        <v>45</v>
      </c>
    </row>
    <row r="16" spans="1:47" ht="57" x14ac:dyDescent="0.2">
      <c r="A16" s="9">
        <v>175</v>
      </c>
      <c r="B16" s="29" t="s">
        <v>46</v>
      </c>
      <c r="C16" s="29" t="s">
        <v>47</v>
      </c>
      <c r="D16" s="14" t="s">
        <v>62</v>
      </c>
      <c r="E16" s="15" t="s">
        <v>73</v>
      </c>
      <c r="F16" s="69" t="s">
        <v>74</v>
      </c>
      <c r="G16" s="121">
        <v>2021680010159</v>
      </c>
      <c r="H16" s="70" t="s">
        <v>65</v>
      </c>
      <c r="I16" s="71"/>
      <c r="J16" s="46">
        <v>44562</v>
      </c>
      <c r="K16" s="46">
        <v>44926</v>
      </c>
      <c r="L16" s="61">
        <v>1</v>
      </c>
      <c r="M16" s="111">
        <v>1</v>
      </c>
      <c r="N16" s="62">
        <f t="shared" si="3"/>
        <v>1</v>
      </c>
      <c r="O16" s="129" t="s">
        <v>66</v>
      </c>
      <c r="P16" s="37">
        <f>21000000+17500000</f>
        <v>38500000</v>
      </c>
      <c r="Q16" s="39"/>
      <c r="R16" s="39"/>
      <c r="S16" s="39"/>
      <c r="T16" s="37"/>
      <c r="U16" s="42">
        <f t="shared" si="0"/>
        <v>38500000</v>
      </c>
      <c r="V16" s="39">
        <f>21000000+15400000</f>
        <v>36400000</v>
      </c>
      <c r="W16" s="39"/>
      <c r="X16" s="39"/>
      <c r="Y16" s="39"/>
      <c r="Z16" s="37"/>
      <c r="AA16" s="42">
        <f t="shared" si="1"/>
        <v>36400000</v>
      </c>
      <c r="AB16" s="16">
        <f t="shared" si="2"/>
        <v>0.94545454545454544</v>
      </c>
      <c r="AC16" s="17"/>
      <c r="AD16" s="23" t="s">
        <v>44</v>
      </c>
      <c r="AE16" s="30" t="s">
        <v>45</v>
      </c>
    </row>
    <row r="17" spans="1:31" ht="57" x14ac:dyDescent="0.2">
      <c r="A17" s="9">
        <v>176</v>
      </c>
      <c r="B17" s="29" t="s">
        <v>46</v>
      </c>
      <c r="C17" s="29" t="s">
        <v>47</v>
      </c>
      <c r="D17" s="14" t="s">
        <v>62</v>
      </c>
      <c r="E17" s="15" t="s">
        <v>75</v>
      </c>
      <c r="F17" s="69" t="s">
        <v>76</v>
      </c>
      <c r="G17" s="121">
        <v>2021680010159</v>
      </c>
      <c r="H17" s="120" t="s">
        <v>65</v>
      </c>
      <c r="I17" s="71"/>
      <c r="J17" s="72">
        <v>44562</v>
      </c>
      <c r="K17" s="72">
        <v>44926</v>
      </c>
      <c r="L17" s="174">
        <v>1</v>
      </c>
      <c r="M17" s="173">
        <v>1</v>
      </c>
      <c r="N17" s="170">
        <f>IFERROR(IF(M17/L17&gt;100%,100%,M17/L17),"-")</f>
        <v>1</v>
      </c>
      <c r="O17" s="128" t="s">
        <v>77</v>
      </c>
      <c r="P17" s="37">
        <f>384825000+17500000</f>
        <v>402325000</v>
      </c>
      <c r="Q17" s="39"/>
      <c r="R17" s="39"/>
      <c r="S17" s="39"/>
      <c r="T17" s="37"/>
      <c r="U17" s="147">
        <f>SUM(P17:T21)</f>
        <v>56857029440</v>
      </c>
      <c r="V17" s="39">
        <f>21000000+294000000+15283333.33</f>
        <v>330283333.32999998</v>
      </c>
      <c r="W17" s="39"/>
      <c r="X17" s="39"/>
      <c r="Y17" s="39"/>
      <c r="Z17" s="37"/>
      <c r="AA17" s="147">
        <f>SUM(V17:Z21)</f>
        <v>4842006742.3299999</v>
      </c>
      <c r="AB17" s="150">
        <f t="shared" si="2"/>
        <v>8.516109248091594E-2</v>
      </c>
      <c r="AC17" s="141"/>
      <c r="AD17" s="143" t="s">
        <v>44</v>
      </c>
      <c r="AE17" s="145" t="s">
        <v>45</v>
      </c>
    </row>
    <row r="18" spans="1:31" ht="71.25" x14ac:dyDescent="0.2">
      <c r="A18" s="9">
        <v>176</v>
      </c>
      <c r="B18" s="67" t="s">
        <v>46</v>
      </c>
      <c r="C18" s="67" t="s">
        <v>47</v>
      </c>
      <c r="D18" s="68" t="s">
        <v>62</v>
      </c>
      <c r="E18" s="15" t="s">
        <v>75</v>
      </c>
      <c r="F18" s="118" t="s">
        <v>76</v>
      </c>
      <c r="G18" s="121">
        <v>2022680010003</v>
      </c>
      <c r="H18" s="120" t="s">
        <v>78</v>
      </c>
      <c r="I18" s="71"/>
      <c r="J18" s="72"/>
      <c r="K18" s="72"/>
      <c r="L18" s="175"/>
      <c r="M18" s="163"/>
      <c r="N18" s="171"/>
      <c r="O18" s="128" t="s">
        <v>79</v>
      </c>
      <c r="P18" s="37">
        <f>6567148637-2055425228</f>
        <v>4511723409</v>
      </c>
      <c r="Q18" s="39"/>
      <c r="R18" s="39"/>
      <c r="S18" s="39"/>
      <c r="T18" s="37"/>
      <c r="U18" s="148"/>
      <c r="V18" s="39">
        <v>4511723409</v>
      </c>
      <c r="W18" s="39"/>
      <c r="X18" s="39"/>
      <c r="Y18" s="39"/>
      <c r="Z18" s="37"/>
      <c r="AA18" s="148"/>
      <c r="AB18" s="151"/>
      <c r="AC18" s="153"/>
      <c r="AD18" s="154"/>
      <c r="AE18" s="155"/>
    </row>
    <row r="19" spans="1:31" ht="57" x14ac:dyDescent="0.2">
      <c r="A19" s="9">
        <v>176</v>
      </c>
      <c r="B19" s="67" t="s">
        <v>46</v>
      </c>
      <c r="C19" s="67" t="s">
        <v>47</v>
      </c>
      <c r="D19" s="68" t="s">
        <v>62</v>
      </c>
      <c r="E19" s="15" t="s">
        <v>75</v>
      </c>
      <c r="F19" s="118" t="s">
        <v>76</v>
      </c>
      <c r="G19" s="123">
        <v>2022680010069</v>
      </c>
      <c r="H19" s="120" t="s">
        <v>80</v>
      </c>
      <c r="I19" s="71"/>
      <c r="J19" s="72"/>
      <c r="K19" s="72"/>
      <c r="L19" s="175"/>
      <c r="M19" s="163"/>
      <c r="N19" s="171"/>
      <c r="O19" s="130" t="s">
        <v>81</v>
      </c>
      <c r="P19" s="37">
        <v>1106552323</v>
      </c>
      <c r="Q19" s="39"/>
      <c r="R19" s="39"/>
      <c r="S19" s="39"/>
      <c r="T19" s="37"/>
      <c r="U19" s="148"/>
      <c r="V19" s="39"/>
      <c r="W19" s="39"/>
      <c r="X19" s="39"/>
      <c r="Y19" s="39"/>
      <c r="Z19" s="37"/>
      <c r="AA19" s="148"/>
      <c r="AB19" s="151"/>
      <c r="AC19" s="153"/>
      <c r="AD19" s="154"/>
      <c r="AE19" s="155"/>
    </row>
    <row r="20" spans="1:31" ht="57" x14ac:dyDescent="0.2">
      <c r="A20" s="9">
        <v>176</v>
      </c>
      <c r="B20" s="67" t="s">
        <v>46</v>
      </c>
      <c r="C20" s="67" t="s">
        <v>47</v>
      </c>
      <c r="D20" s="68" t="s">
        <v>62</v>
      </c>
      <c r="E20" s="15" t="s">
        <v>75</v>
      </c>
      <c r="F20" s="118" t="s">
        <v>76</v>
      </c>
      <c r="G20" s="123" t="s">
        <v>82</v>
      </c>
      <c r="H20" s="120" t="s">
        <v>83</v>
      </c>
      <c r="I20" s="71"/>
      <c r="J20" s="72"/>
      <c r="K20" s="72"/>
      <c r="L20" s="175"/>
      <c r="M20" s="163"/>
      <c r="N20" s="171"/>
      <c r="O20" s="130" t="s">
        <v>84</v>
      </c>
      <c r="P20" s="37"/>
      <c r="Q20" s="39"/>
      <c r="R20" s="39"/>
      <c r="S20" s="39"/>
      <c r="T20" s="37">
        <v>46830428703</v>
      </c>
      <c r="U20" s="148"/>
      <c r="V20" s="39"/>
      <c r="W20" s="39"/>
      <c r="X20" s="39"/>
      <c r="Y20" s="39"/>
      <c r="Z20" s="37"/>
      <c r="AA20" s="148"/>
      <c r="AB20" s="151"/>
      <c r="AC20" s="153"/>
      <c r="AD20" s="154"/>
      <c r="AE20" s="155"/>
    </row>
    <row r="21" spans="1:31" ht="57" x14ac:dyDescent="0.2">
      <c r="A21" s="9">
        <v>176</v>
      </c>
      <c r="B21" s="67" t="s">
        <v>46</v>
      </c>
      <c r="C21" s="67" t="s">
        <v>47</v>
      </c>
      <c r="D21" s="68" t="s">
        <v>62</v>
      </c>
      <c r="E21" s="15" t="s">
        <v>75</v>
      </c>
      <c r="F21" s="118" t="s">
        <v>76</v>
      </c>
      <c r="G21" s="123">
        <v>2022680010066</v>
      </c>
      <c r="H21" s="120" t="s">
        <v>85</v>
      </c>
      <c r="I21" s="71"/>
      <c r="J21" s="72"/>
      <c r="K21" s="72"/>
      <c r="L21" s="176"/>
      <c r="M21" s="160"/>
      <c r="N21" s="172"/>
      <c r="O21" s="130" t="s">
        <v>86</v>
      </c>
      <c r="P21" s="37">
        <f>2985000005+1000000000+21000000</f>
        <v>4006000005</v>
      </c>
      <c r="Q21" s="39"/>
      <c r="R21" s="39"/>
      <c r="S21" s="39"/>
      <c r="T21" s="37"/>
      <c r="U21" s="149"/>
      <c r="V21" s="39"/>
      <c r="W21" s="39"/>
      <c r="X21" s="39"/>
      <c r="Y21" s="39"/>
      <c r="Z21" s="37"/>
      <c r="AA21" s="149"/>
      <c r="AB21" s="152"/>
      <c r="AC21" s="142"/>
      <c r="AD21" s="144"/>
      <c r="AE21" s="146"/>
    </row>
    <row r="22" spans="1:31" ht="57" x14ac:dyDescent="0.2">
      <c r="A22" s="9">
        <v>177</v>
      </c>
      <c r="B22" s="31" t="s">
        <v>46</v>
      </c>
      <c r="C22" s="31" t="s">
        <v>47</v>
      </c>
      <c r="D22" s="18" t="s">
        <v>87</v>
      </c>
      <c r="E22" s="19" t="s">
        <v>88</v>
      </c>
      <c r="F22" s="20" t="s">
        <v>89</v>
      </c>
      <c r="G22" s="124">
        <v>2020680010079</v>
      </c>
      <c r="H22" s="70" t="s">
        <v>90</v>
      </c>
      <c r="I22" s="71"/>
      <c r="J22" s="46">
        <v>44562</v>
      </c>
      <c r="K22" s="46">
        <v>44926</v>
      </c>
      <c r="L22" s="191">
        <v>1</v>
      </c>
      <c r="M22" s="194">
        <v>1</v>
      </c>
      <c r="N22" s="157">
        <f t="shared" si="3"/>
        <v>1</v>
      </c>
      <c r="O22" s="127" t="s">
        <v>91</v>
      </c>
      <c r="P22" s="37">
        <v>794935041</v>
      </c>
      <c r="Q22" s="39"/>
      <c r="R22" s="39"/>
      <c r="S22" s="39"/>
      <c r="T22" s="37"/>
      <c r="U22" s="147">
        <f>SUM(P22:T25)</f>
        <v>1379584284</v>
      </c>
      <c r="V22" s="37">
        <f>149023913+202058000+3000+30193172+43850128</f>
        <v>425128213</v>
      </c>
      <c r="W22" s="37"/>
      <c r="X22" s="37"/>
      <c r="Y22" s="37"/>
      <c r="Z22" s="37"/>
      <c r="AA22" s="147">
        <f>SUM(V22:Z25)</f>
        <v>488928213</v>
      </c>
      <c r="AB22" s="150">
        <f>IFERROR(AA22/U22,"-")</f>
        <v>0.3544025679840232</v>
      </c>
      <c r="AC22" s="141"/>
      <c r="AD22" s="143" t="s">
        <v>44</v>
      </c>
      <c r="AE22" s="145" t="s">
        <v>45</v>
      </c>
    </row>
    <row r="23" spans="1:31" ht="57" x14ac:dyDescent="0.2">
      <c r="A23" s="9">
        <v>177</v>
      </c>
      <c r="B23" s="31" t="s">
        <v>46</v>
      </c>
      <c r="C23" s="31" t="s">
        <v>47</v>
      </c>
      <c r="D23" s="18" t="s">
        <v>87</v>
      </c>
      <c r="E23" s="19" t="s">
        <v>88</v>
      </c>
      <c r="F23" s="85" t="s">
        <v>89</v>
      </c>
      <c r="G23" s="124">
        <v>2021680010162</v>
      </c>
      <c r="H23" s="70" t="s">
        <v>92</v>
      </c>
      <c r="I23" s="71"/>
      <c r="J23" s="46">
        <v>44562</v>
      </c>
      <c r="K23" s="46">
        <v>44926</v>
      </c>
      <c r="L23" s="192"/>
      <c r="M23" s="195"/>
      <c r="N23" s="164"/>
      <c r="O23" s="131" t="s">
        <v>93</v>
      </c>
      <c r="P23" s="37">
        <v>115500000</v>
      </c>
      <c r="Q23" s="39"/>
      <c r="R23" s="39"/>
      <c r="S23" s="39"/>
      <c r="T23" s="37"/>
      <c r="U23" s="148"/>
      <c r="V23" s="39">
        <f>6400000+10600000+7800000+7800000+7800000+7800000+7800000+7800000</f>
        <v>63800000</v>
      </c>
      <c r="W23" s="39"/>
      <c r="X23" s="39"/>
      <c r="Y23" s="39"/>
      <c r="Z23" s="37"/>
      <c r="AA23" s="148"/>
      <c r="AB23" s="151"/>
      <c r="AC23" s="153"/>
      <c r="AD23" s="154"/>
      <c r="AE23" s="155"/>
    </row>
    <row r="24" spans="1:31" ht="57" x14ac:dyDescent="0.2">
      <c r="A24" s="9">
        <v>177</v>
      </c>
      <c r="B24" s="31" t="s">
        <v>46</v>
      </c>
      <c r="C24" s="31" t="s">
        <v>47</v>
      </c>
      <c r="D24" s="18" t="s">
        <v>87</v>
      </c>
      <c r="E24" s="19" t="s">
        <v>88</v>
      </c>
      <c r="F24" s="85" t="s">
        <v>89</v>
      </c>
      <c r="G24" s="124">
        <v>2022680010064</v>
      </c>
      <c r="H24" s="70" t="s">
        <v>94</v>
      </c>
      <c r="I24" s="71"/>
      <c r="J24" s="46"/>
      <c r="K24" s="46"/>
      <c r="L24" s="192"/>
      <c r="M24" s="195"/>
      <c r="N24" s="164"/>
      <c r="O24" s="131" t="s">
        <v>95</v>
      </c>
      <c r="P24" s="37">
        <v>150000000</v>
      </c>
      <c r="Q24" s="39"/>
      <c r="R24" s="39"/>
      <c r="S24" s="39"/>
      <c r="T24" s="37"/>
      <c r="U24" s="148"/>
      <c r="V24" s="39"/>
      <c r="W24" s="39"/>
      <c r="X24" s="39"/>
      <c r="Y24" s="39"/>
      <c r="Z24" s="37"/>
      <c r="AA24" s="148"/>
      <c r="AB24" s="151"/>
      <c r="AC24" s="153"/>
      <c r="AD24" s="154"/>
      <c r="AE24" s="155"/>
    </row>
    <row r="25" spans="1:31" ht="57" x14ac:dyDescent="0.2">
      <c r="A25" s="9">
        <v>177</v>
      </c>
      <c r="B25" s="31" t="s">
        <v>46</v>
      </c>
      <c r="C25" s="31" t="s">
        <v>47</v>
      </c>
      <c r="D25" s="18" t="s">
        <v>87</v>
      </c>
      <c r="E25" s="19" t="s">
        <v>88</v>
      </c>
      <c r="F25" s="20" t="s">
        <v>89</v>
      </c>
      <c r="G25" s="124"/>
      <c r="H25" s="70" t="s">
        <v>96</v>
      </c>
      <c r="I25" s="71"/>
      <c r="J25" s="46"/>
      <c r="K25" s="46"/>
      <c r="L25" s="193"/>
      <c r="M25" s="196"/>
      <c r="N25" s="164"/>
      <c r="O25" s="131" t="s">
        <v>97</v>
      </c>
      <c r="P25" s="37">
        <v>319149243</v>
      </c>
      <c r="Q25" s="39"/>
      <c r="R25" s="39"/>
      <c r="S25" s="39"/>
      <c r="T25" s="37"/>
      <c r="U25" s="149"/>
      <c r="V25" s="37"/>
      <c r="W25" s="39"/>
      <c r="X25" s="39"/>
      <c r="Y25" s="39"/>
      <c r="Z25" s="37"/>
      <c r="AA25" s="149"/>
      <c r="AB25" s="152"/>
      <c r="AC25" s="142"/>
      <c r="AD25" s="144"/>
      <c r="AE25" s="146"/>
    </row>
    <row r="26" spans="1:31" ht="128.25" x14ac:dyDescent="0.2">
      <c r="A26" s="9">
        <v>217</v>
      </c>
      <c r="B26" s="31" t="s">
        <v>98</v>
      </c>
      <c r="C26" s="31" t="s">
        <v>99</v>
      </c>
      <c r="D26" s="18" t="s">
        <v>100</v>
      </c>
      <c r="E26" s="19" t="s">
        <v>101</v>
      </c>
      <c r="F26" s="85" t="s">
        <v>102</v>
      </c>
      <c r="G26" s="124">
        <v>2020680010110</v>
      </c>
      <c r="H26" s="70" t="s">
        <v>103</v>
      </c>
      <c r="I26" s="69" t="s">
        <v>104</v>
      </c>
      <c r="J26" s="46">
        <v>44562</v>
      </c>
      <c r="K26" s="46">
        <v>44926</v>
      </c>
      <c r="L26" s="57">
        <v>1</v>
      </c>
      <c r="M26" s="110">
        <v>0.87</v>
      </c>
      <c r="N26" s="53">
        <f>IFERROR(IF(M26/L26&gt;100%,100%,M26/L26),"-")</f>
        <v>0.87</v>
      </c>
      <c r="O26" s="127" t="s">
        <v>105</v>
      </c>
      <c r="P26" s="37">
        <f>627200000+364746543+113000000</f>
        <v>1104946543</v>
      </c>
      <c r="Q26" s="39"/>
      <c r="R26" s="39"/>
      <c r="S26" s="39"/>
      <c r="T26" s="37"/>
      <c r="U26" s="54">
        <f>SUM(P26:T26)</f>
        <v>1104946543</v>
      </c>
      <c r="V26" s="39">
        <f>222884853.58+40642000+364740890+296120362.26+85500000+20400000</f>
        <v>1030288105.84</v>
      </c>
      <c r="W26" s="39"/>
      <c r="X26" s="39"/>
      <c r="Y26" s="39"/>
      <c r="Z26" s="37"/>
      <c r="AA26" s="54">
        <f>SUM(V26:Z26)</f>
        <v>1030288105.84</v>
      </c>
      <c r="AB26" s="55">
        <f>IFERROR(AA26/U26,"-")</f>
        <v>0.93243253473847021</v>
      </c>
      <c r="AC26" s="51"/>
      <c r="AD26" s="49" t="s">
        <v>44</v>
      </c>
      <c r="AE26" s="50" t="s">
        <v>45</v>
      </c>
    </row>
    <row r="27" spans="1:31" ht="71.25" x14ac:dyDescent="0.2">
      <c r="A27" s="9">
        <v>229</v>
      </c>
      <c r="B27" s="20" t="s">
        <v>98</v>
      </c>
      <c r="C27" s="20" t="s">
        <v>106</v>
      </c>
      <c r="D27" s="20" t="s">
        <v>107</v>
      </c>
      <c r="E27" s="19" t="s">
        <v>108</v>
      </c>
      <c r="F27" s="85" t="s">
        <v>109</v>
      </c>
      <c r="G27" s="124">
        <v>2021680010160</v>
      </c>
      <c r="H27" s="70" t="s">
        <v>110</v>
      </c>
      <c r="I27" s="69" t="s">
        <v>111</v>
      </c>
      <c r="J27" s="46">
        <v>44562</v>
      </c>
      <c r="K27" s="46">
        <v>44926</v>
      </c>
      <c r="L27" s="168">
        <v>1</v>
      </c>
      <c r="M27" s="184">
        <v>1</v>
      </c>
      <c r="N27" s="157">
        <f>IFERROR(IF(M27/L27&gt;100%,100%,M27/L27),"-")</f>
        <v>1</v>
      </c>
      <c r="O27" s="127" t="s">
        <v>112</v>
      </c>
      <c r="P27" s="37">
        <f>1248600000+45000000+50000000+41808469+1159840001</f>
        <v>2545248470</v>
      </c>
      <c r="Q27" s="39"/>
      <c r="R27" s="39"/>
      <c r="S27" s="39"/>
      <c r="T27" s="37"/>
      <c r="U27" s="147">
        <f>SUM(P27:T28)</f>
        <v>2687440001</v>
      </c>
      <c r="V27" s="39">
        <f>1327200000+29700000+336973333.27+16887500+37200000+664483333+12000000+29743333+38288525+52146666.68</f>
        <v>2544622690.9499998</v>
      </c>
      <c r="W27" s="39"/>
      <c r="X27" s="39"/>
      <c r="Y27" s="39"/>
      <c r="Z27" s="37"/>
      <c r="AA27" s="147">
        <f>SUM(V27:Z28)</f>
        <v>2686814221.9499998</v>
      </c>
      <c r="AB27" s="150">
        <f>IFERROR(AA27/U27,"-")</f>
        <v>0.99976714678289846</v>
      </c>
      <c r="AC27" s="141"/>
      <c r="AD27" s="143" t="s">
        <v>44</v>
      </c>
      <c r="AE27" s="145" t="s">
        <v>45</v>
      </c>
    </row>
    <row r="28" spans="1:31" ht="42.75" x14ac:dyDescent="0.2">
      <c r="A28" s="9">
        <v>229</v>
      </c>
      <c r="B28" s="20" t="s">
        <v>98</v>
      </c>
      <c r="C28" s="20" t="s">
        <v>106</v>
      </c>
      <c r="D28" s="20" t="s">
        <v>107</v>
      </c>
      <c r="E28" s="19" t="s">
        <v>108</v>
      </c>
      <c r="F28" s="85" t="s">
        <v>109</v>
      </c>
      <c r="G28" s="124">
        <v>2021680010161</v>
      </c>
      <c r="H28" s="70" t="s">
        <v>113</v>
      </c>
      <c r="I28" s="70" t="s">
        <v>114</v>
      </c>
      <c r="J28" s="46">
        <v>44562</v>
      </c>
      <c r="K28" s="46">
        <v>44926</v>
      </c>
      <c r="L28" s="179"/>
      <c r="M28" s="189"/>
      <c r="N28" s="164"/>
      <c r="O28" s="75" t="s">
        <v>115</v>
      </c>
      <c r="P28" s="39">
        <v>142191531</v>
      </c>
      <c r="Q28" s="39"/>
      <c r="R28" s="39"/>
      <c r="S28" s="39"/>
      <c r="T28" s="39"/>
      <c r="U28" s="148"/>
      <c r="V28" s="39">
        <v>142191531</v>
      </c>
      <c r="W28" s="39"/>
      <c r="X28" s="39"/>
      <c r="Y28" s="39"/>
      <c r="Z28" s="37"/>
      <c r="AA28" s="148"/>
      <c r="AB28" s="151"/>
      <c r="AC28" s="153"/>
      <c r="AD28" s="154"/>
      <c r="AE28" s="155"/>
    </row>
    <row r="29" spans="1:31" ht="71.25" x14ac:dyDescent="0.2">
      <c r="A29" s="9">
        <v>230</v>
      </c>
      <c r="B29" s="29" t="s">
        <v>98</v>
      </c>
      <c r="C29" s="29" t="s">
        <v>106</v>
      </c>
      <c r="D29" s="14" t="s">
        <v>107</v>
      </c>
      <c r="E29" s="19" t="s">
        <v>116</v>
      </c>
      <c r="F29" s="69" t="s">
        <v>117</v>
      </c>
      <c r="G29" s="124">
        <v>2021680010166</v>
      </c>
      <c r="H29" s="70" t="s">
        <v>118</v>
      </c>
      <c r="I29" s="71"/>
      <c r="J29" s="46">
        <v>44562</v>
      </c>
      <c r="K29" s="46">
        <v>44926</v>
      </c>
      <c r="L29" s="168">
        <v>1</v>
      </c>
      <c r="M29" s="177">
        <v>0.75</v>
      </c>
      <c r="N29" s="157">
        <f>IFERROR(IF(M29/L29&gt;100%,100%,M29/L29),"-")</f>
        <v>0.75</v>
      </c>
      <c r="O29" s="73" t="s">
        <v>119</v>
      </c>
      <c r="P29" s="37">
        <v>60000000</v>
      </c>
      <c r="Q29" s="39"/>
      <c r="R29" s="39"/>
      <c r="S29" s="133"/>
      <c r="T29" s="39"/>
      <c r="U29" s="147">
        <f>SUM(P29:T31)</f>
        <v>150000000</v>
      </c>
      <c r="V29" s="39">
        <v>60000000</v>
      </c>
      <c r="W29" s="39"/>
      <c r="X29" s="39"/>
      <c r="Y29" s="133"/>
      <c r="Z29" s="39"/>
      <c r="AA29" s="147">
        <f>SUM(V29:Z31)</f>
        <v>148333333.32999998</v>
      </c>
      <c r="AB29" s="150">
        <f>IFERROR(AA29/U29,"-")</f>
        <v>0.98888888886666659</v>
      </c>
      <c r="AC29" s="141"/>
      <c r="AD29" s="143" t="s">
        <v>44</v>
      </c>
      <c r="AE29" s="145" t="s">
        <v>45</v>
      </c>
    </row>
    <row r="30" spans="1:31" ht="71.25" x14ac:dyDescent="0.2">
      <c r="A30" s="9">
        <v>230</v>
      </c>
      <c r="B30" s="29" t="s">
        <v>98</v>
      </c>
      <c r="C30" s="29" t="s">
        <v>106</v>
      </c>
      <c r="D30" s="14" t="s">
        <v>107</v>
      </c>
      <c r="E30" s="19" t="s">
        <v>116</v>
      </c>
      <c r="F30" s="69" t="s">
        <v>117</v>
      </c>
      <c r="G30" s="124">
        <v>2021680010166</v>
      </c>
      <c r="H30" s="70" t="s">
        <v>118</v>
      </c>
      <c r="I30" s="71"/>
      <c r="J30" s="46"/>
      <c r="K30" s="46"/>
      <c r="L30" s="179"/>
      <c r="M30" s="178"/>
      <c r="N30" s="164"/>
      <c r="O30" s="73" t="s">
        <v>120</v>
      </c>
      <c r="P30" s="37">
        <f>50000000</f>
        <v>50000000</v>
      </c>
      <c r="Q30" s="39"/>
      <c r="R30" s="39"/>
      <c r="S30" s="133"/>
      <c r="T30" s="39"/>
      <c r="U30" s="148"/>
      <c r="V30" s="39">
        <f>45076665.67+3256667.66</f>
        <v>48333333.329999998</v>
      </c>
      <c r="W30" s="39"/>
      <c r="X30" s="39"/>
      <c r="Y30" s="133"/>
      <c r="Z30" s="39"/>
      <c r="AA30" s="148"/>
      <c r="AB30" s="151"/>
      <c r="AC30" s="153"/>
      <c r="AD30" s="154"/>
      <c r="AE30" s="155"/>
    </row>
    <row r="31" spans="1:31" ht="60" x14ac:dyDescent="0.2">
      <c r="A31" s="9">
        <v>230</v>
      </c>
      <c r="B31" s="29" t="s">
        <v>98</v>
      </c>
      <c r="C31" s="29" t="s">
        <v>106</v>
      </c>
      <c r="D31" s="14" t="s">
        <v>107</v>
      </c>
      <c r="E31" s="19" t="s">
        <v>116</v>
      </c>
      <c r="F31" s="69" t="s">
        <v>117</v>
      </c>
      <c r="G31" s="124">
        <v>2021680010150</v>
      </c>
      <c r="H31" s="70" t="s">
        <v>121</v>
      </c>
      <c r="I31" s="71" t="s">
        <v>122</v>
      </c>
      <c r="J31" s="46">
        <v>44562</v>
      </c>
      <c r="K31" s="46">
        <v>44926</v>
      </c>
      <c r="L31" s="179"/>
      <c r="M31" s="178"/>
      <c r="N31" s="164"/>
      <c r="O31" s="73" t="s">
        <v>123</v>
      </c>
      <c r="P31" s="37">
        <f>20000000+20000000</f>
        <v>40000000</v>
      </c>
      <c r="Q31" s="39"/>
      <c r="R31" s="39"/>
      <c r="S31" s="133"/>
      <c r="T31" s="39"/>
      <c r="U31" s="148"/>
      <c r="V31" s="37">
        <f>20000000+20000000</f>
        <v>40000000</v>
      </c>
      <c r="W31" s="37"/>
      <c r="X31" s="37"/>
      <c r="Y31" s="134"/>
      <c r="Z31" s="37"/>
      <c r="AA31" s="148"/>
      <c r="AB31" s="151"/>
      <c r="AC31" s="142"/>
      <c r="AD31" s="144"/>
      <c r="AE31" s="146"/>
    </row>
    <row r="32" spans="1:31" ht="85.5" x14ac:dyDescent="0.2">
      <c r="A32" s="9">
        <v>231</v>
      </c>
      <c r="B32" s="31" t="s">
        <v>98</v>
      </c>
      <c r="C32" s="31" t="s">
        <v>106</v>
      </c>
      <c r="D32" s="18" t="s">
        <v>107</v>
      </c>
      <c r="E32" s="19" t="s">
        <v>124</v>
      </c>
      <c r="F32" s="85" t="s">
        <v>125</v>
      </c>
      <c r="G32" s="121">
        <v>2021680010009</v>
      </c>
      <c r="H32" s="70" t="s">
        <v>126</v>
      </c>
      <c r="I32" s="69" t="s">
        <v>127</v>
      </c>
      <c r="J32" s="46">
        <v>44562</v>
      </c>
      <c r="K32" s="46">
        <v>44926</v>
      </c>
      <c r="L32" s="57">
        <v>1</v>
      </c>
      <c r="M32" s="112">
        <v>1</v>
      </c>
      <c r="N32" s="53">
        <f>IFERROR(IF(M32/L32&gt;100%,100%,M32/L32),"-")</f>
        <v>1</v>
      </c>
      <c r="O32" s="76" t="s">
        <v>128</v>
      </c>
      <c r="P32" s="37">
        <v>460000000</v>
      </c>
      <c r="Q32" s="39"/>
      <c r="R32" s="39"/>
      <c r="S32" s="39"/>
      <c r="T32" s="39"/>
      <c r="U32" s="54">
        <f>SUM(P32:T32)</f>
        <v>460000000</v>
      </c>
      <c r="V32" s="39">
        <f>106735701+293221240</f>
        <v>399956941</v>
      </c>
      <c r="W32" s="39"/>
      <c r="X32" s="39"/>
      <c r="Y32" s="39"/>
      <c r="Z32" s="39"/>
      <c r="AA32" s="54">
        <f>SUM(V32:Z32)</f>
        <v>399956941</v>
      </c>
      <c r="AB32" s="55">
        <f>IFERROR(AA32/U32,"-")</f>
        <v>0.86947161086956526</v>
      </c>
      <c r="AC32" s="51"/>
      <c r="AD32" s="49" t="s">
        <v>44</v>
      </c>
      <c r="AE32" s="50" t="s">
        <v>45</v>
      </c>
    </row>
    <row r="33" spans="1:31" ht="71.25" x14ac:dyDescent="0.2">
      <c r="A33" s="9">
        <v>232</v>
      </c>
      <c r="B33" s="31" t="s">
        <v>98</v>
      </c>
      <c r="C33" s="31" t="s">
        <v>106</v>
      </c>
      <c r="D33" s="18" t="s">
        <v>107</v>
      </c>
      <c r="E33" s="19" t="s">
        <v>129</v>
      </c>
      <c r="F33" s="85" t="s">
        <v>130</v>
      </c>
      <c r="G33" s="121">
        <v>2021680010086</v>
      </c>
      <c r="H33" s="86" t="s">
        <v>42</v>
      </c>
      <c r="I33" s="87" t="s">
        <v>131</v>
      </c>
      <c r="J33" s="46">
        <v>44562</v>
      </c>
      <c r="K33" s="46">
        <v>44926</v>
      </c>
      <c r="L33" s="61">
        <v>1</v>
      </c>
      <c r="M33" s="113">
        <v>0.75</v>
      </c>
      <c r="N33" s="62">
        <f>IFERROR(IF(M33/L33&gt;100%,100%,M33/L33),"-")</f>
        <v>0.75</v>
      </c>
      <c r="O33" s="74" t="s">
        <v>132</v>
      </c>
      <c r="P33" s="37"/>
      <c r="Q33" s="39"/>
      <c r="R33" s="39"/>
      <c r="S33" s="133"/>
      <c r="T33" s="39">
        <f>878007551-17400000</f>
        <v>860607551</v>
      </c>
      <c r="U33" s="54">
        <f>SUM(P33:T33)</f>
        <v>860607551</v>
      </c>
      <c r="V33" s="39"/>
      <c r="W33" s="39"/>
      <c r="X33" s="39"/>
      <c r="Y33" s="133"/>
      <c r="Z33" s="39">
        <f>748359079-37022266+9733333.33+59553333+83040000+7733333.33-10666666.67</f>
        <v>860730145.99000013</v>
      </c>
      <c r="AA33" s="54">
        <f>SUM(V33:Z33)</f>
        <v>860730145.99000013</v>
      </c>
      <c r="AB33" s="55">
        <f>IFERROR(AA33/U33,"-")</f>
        <v>1.0001424516783028</v>
      </c>
      <c r="AC33" s="51"/>
      <c r="AD33" s="49" t="s">
        <v>44</v>
      </c>
      <c r="AE33" s="50" t="s">
        <v>45</v>
      </c>
    </row>
    <row r="34" spans="1:31" ht="71.25" x14ac:dyDescent="0.2">
      <c r="A34" s="9">
        <v>233</v>
      </c>
      <c r="B34" s="31" t="s">
        <v>98</v>
      </c>
      <c r="C34" s="31" t="s">
        <v>106</v>
      </c>
      <c r="D34" s="18" t="s">
        <v>107</v>
      </c>
      <c r="E34" s="19" t="s">
        <v>133</v>
      </c>
      <c r="F34" s="85" t="s">
        <v>134</v>
      </c>
      <c r="G34" s="124">
        <v>2021680010160</v>
      </c>
      <c r="H34" s="70" t="s">
        <v>110</v>
      </c>
      <c r="I34" s="70" t="s">
        <v>135</v>
      </c>
      <c r="J34" s="46">
        <v>44562</v>
      </c>
      <c r="K34" s="46">
        <v>44926</v>
      </c>
      <c r="L34" s="168">
        <v>3</v>
      </c>
      <c r="M34" s="184">
        <v>3</v>
      </c>
      <c r="N34" s="157">
        <f>IFERROR(IF(M34/L34&gt;100%,100%,M34/L34),"-")</f>
        <v>1</v>
      </c>
      <c r="O34" s="77" t="s">
        <v>136</v>
      </c>
      <c r="P34" s="37">
        <f>123000000+83610000</f>
        <v>206610000</v>
      </c>
      <c r="Q34" s="39"/>
      <c r="R34" s="39"/>
      <c r="S34" s="133"/>
      <c r="T34" s="39"/>
      <c r="U34" s="147">
        <f>SUM(P34:T36)</f>
        <v>373367348</v>
      </c>
      <c r="V34" s="39">
        <f>99000000+14400000</f>
        <v>113400000</v>
      </c>
      <c r="W34" s="39"/>
      <c r="X34" s="39"/>
      <c r="Y34" s="133"/>
      <c r="Z34" s="39"/>
      <c r="AA34" s="147">
        <f>SUM(V34:Z36)</f>
        <v>199065766</v>
      </c>
      <c r="AB34" s="150">
        <f>IFERROR(AA34/U34,"-")</f>
        <v>0.53316329632552661</v>
      </c>
      <c r="AC34" s="141"/>
      <c r="AD34" s="143" t="s">
        <v>44</v>
      </c>
      <c r="AE34" s="145" t="s">
        <v>45</v>
      </c>
    </row>
    <row r="35" spans="1:31" ht="85.5" x14ac:dyDescent="0.2">
      <c r="A35" s="9">
        <v>233</v>
      </c>
      <c r="B35" s="31" t="s">
        <v>98</v>
      </c>
      <c r="C35" s="31" t="s">
        <v>106</v>
      </c>
      <c r="D35" s="18" t="s">
        <v>107</v>
      </c>
      <c r="E35" s="19" t="s">
        <v>133</v>
      </c>
      <c r="F35" s="85" t="s">
        <v>134</v>
      </c>
      <c r="G35" s="124">
        <v>2021680010126</v>
      </c>
      <c r="H35" s="70" t="s">
        <v>137</v>
      </c>
      <c r="I35" s="70" t="s">
        <v>138</v>
      </c>
      <c r="J35" s="46">
        <v>44562</v>
      </c>
      <c r="K35" s="46">
        <v>44926</v>
      </c>
      <c r="L35" s="179"/>
      <c r="M35" s="189"/>
      <c r="N35" s="164"/>
      <c r="O35" s="78" t="s">
        <v>139</v>
      </c>
      <c r="P35" s="37"/>
      <c r="Q35" s="39"/>
      <c r="R35" s="39"/>
      <c r="S35" s="133"/>
      <c r="T35" s="37">
        <v>86757348</v>
      </c>
      <c r="U35" s="148"/>
      <c r="V35" s="37"/>
      <c r="W35" s="37"/>
      <c r="X35" s="37"/>
      <c r="Y35" s="134"/>
      <c r="Z35" s="37">
        <v>85665766</v>
      </c>
      <c r="AA35" s="148"/>
      <c r="AB35" s="151"/>
      <c r="AC35" s="142"/>
      <c r="AD35" s="144"/>
      <c r="AE35" s="146"/>
    </row>
    <row r="36" spans="1:31" ht="85.5" x14ac:dyDescent="0.2">
      <c r="A36" s="9">
        <v>233</v>
      </c>
      <c r="B36" s="31" t="s">
        <v>98</v>
      </c>
      <c r="C36" s="31" t="s">
        <v>106</v>
      </c>
      <c r="D36" s="18" t="s">
        <v>107</v>
      </c>
      <c r="E36" s="19" t="s">
        <v>133</v>
      </c>
      <c r="F36" s="85" t="s">
        <v>134</v>
      </c>
      <c r="G36" s="124">
        <v>2021680010126</v>
      </c>
      <c r="H36" s="70" t="s">
        <v>137</v>
      </c>
      <c r="I36" s="70" t="s">
        <v>138</v>
      </c>
      <c r="J36" s="46">
        <v>44562</v>
      </c>
      <c r="K36" s="46">
        <v>44926</v>
      </c>
      <c r="L36" s="169"/>
      <c r="M36" s="190"/>
      <c r="N36" s="158"/>
      <c r="O36" s="99" t="s">
        <v>140</v>
      </c>
      <c r="P36" s="37">
        <v>80000000</v>
      </c>
      <c r="Q36" s="39"/>
      <c r="R36" s="39"/>
      <c r="S36" s="133"/>
      <c r="T36" s="37"/>
      <c r="U36" s="149"/>
      <c r="V36" s="37"/>
      <c r="W36" s="37"/>
      <c r="X36" s="37"/>
      <c r="Y36" s="134"/>
      <c r="Z36" s="37"/>
      <c r="AA36" s="149"/>
      <c r="AB36" s="152"/>
      <c r="AC36" s="94"/>
      <c r="AD36" s="63" t="s">
        <v>44</v>
      </c>
      <c r="AE36" s="103" t="s">
        <v>45</v>
      </c>
    </row>
    <row r="37" spans="1:31" ht="71.25" x14ac:dyDescent="0.2">
      <c r="A37" s="9">
        <v>235</v>
      </c>
      <c r="B37" s="20" t="s">
        <v>98</v>
      </c>
      <c r="C37" s="20" t="s">
        <v>106</v>
      </c>
      <c r="D37" s="20" t="s">
        <v>141</v>
      </c>
      <c r="E37" s="19" t="s">
        <v>142</v>
      </c>
      <c r="F37" s="85" t="s">
        <v>143</v>
      </c>
      <c r="G37" s="124">
        <v>2021680010160</v>
      </c>
      <c r="H37" s="70" t="s">
        <v>110</v>
      </c>
      <c r="I37" s="70" t="s">
        <v>135</v>
      </c>
      <c r="J37" s="46">
        <v>44562</v>
      </c>
      <c r="K37" s="46">
        <v>44926</v>
      </c>
      <c r="L37" s="168">
        <v>1</v>
      </c>
      <c r="M37" s="177">
        <v>0.7</v>
      </c>
      <c r="N37" s="157">
        <f>IFERROR(IF(M37/L37&gt;100%,100%,M37/L37),"-")</f>
        <v>0.7</v>
      </c>
      <c r="O37" s="139" t="s">
        <v>144</v>
      </c>
      <c r="P37" s="37">
        <f>107400000+21000000+98906667</f>
        <v>227306667</v>
      </c>
      <c r="Q37" s="39"/>
      <c r="R37" s="39"/>
      <c r="S37" s="133"/>
      <c r="T37" s="39"/>
      <c r="U37" s="222">
        <f>SUM(P37:T56)</f>
        <v>11276385046.279999</v>
      </c>
      <c r="V37" s="39">
        <f>128400000+29916667</f>
        <v>158316667</v>
      </c>
      <c r="W37" s="39"/>
      <c r="X37" s="39"/>
      <c r="Y37" s="133"/>
      <c r="Z37" s="39"/>
      <c r="AA37" s="147">
        <f>SUM(V37:Z56)</f>
        <v>3706197145.1599998</v>
      </c>
      <c r="AB37" s="150">
        <f>IFERROR(AA37/U37,"-")</f>
        <v>0.32866890674176197</v>
      </c>
      <c r="AC37" s="141"/>
      <c r="AD37" s="143" t="s">
        <v>44</v>
      </c>
      <c r="AE37" s="156" t="s">
        <v>45</v>
      </c>
    </row>
    <row r="38" spans="1:31" ht="71.25" x14ac:dyDescent="0.2">
      <c r="A38" s="9">
        <v>235</v>
      </c>
      <c r="B38" s="20" t="s">
        <v>98</v>
      </c>
      <c r="C38" s="20" t="s">
        <v>106</v>
      </c>
      <c r="D38" s="20" t="s">
        <v>141</v>
      </c>
      <c r="E38" s="19" t="s">
        <v>142</v>
      </c>
      <c r="F38" s="85" t="s">
        <v>143</v>
      </c>
      <c r="G38" s="121">
        <v>2021680010086</v>
      </c>
      <c r="H38" s="70" t="s">
        <v>42</v>
      </c>
      <c r="I38" s="69" t="s">
        <v>145</v>
      </c>
      <c r="J38" s="46">
        <v>44562</v>
      </c>
      <c r="K38" s="46">
        <v>44926</v>
      </c>
      <c r="L38" s="179"/>
      <c r="M38" s="178"/>
      <c r="N38" s="164"/>
      <c r="O38" s="127" t="s">
        <v>146</v>
      </c>
      <c r="P38" s="37"/>
      <c r="Q38" s="39"/>
      <c r="R38" s="39"/>
      <c r="S38" s="133"/>
      <c r="T38" s="39">
        <v>50400000</v>
      </c>
      <c r="U38" s="223"/>
      <c r="V38" s="39"/>
      <c r="W38" s="39"/>
      <c r="X38" s="39"/>
      <c r="Y38" s="133"/>
      <c r="Z38" s="39">
        <f>33000000+17400000</f>
        <v>50400000</v>
      </c>
      <c r="AA38" s="148"/>
      <c r="AB38" s="151"/>
      <c r="AC38" s="153"/>
      <c r="AD38" s="154"/>
      <c r="AE38" s="155"/>
    </row>
    <row r="39" spans="1:31" ht="57" x14ac:dyDescent="0.2">
      <c r="A39" s="9">
        <v>235</v>
      </c>
      <c r="B39" s="20" t="s">
        <v>98</v>
      </c>
      <c r="C39" s="20" t="s">
        <v>106</v>
      </c>
      <c r="D39" s="20" t="s">
        <v>141</v>
      </c>
      <c r="E39" s="19" t="s">
        <v>142</v>
      </c>
      <c r="F39" s="85" t="s">
        <v>143</v>
      </c>
      <c r="G39" s="124">
        <v>2020680010136</v>
      </c>
      <c r="H39" s="88" t="s">
        <v>147</v>
      </c>
      <c r="I39" s="69" t="s">
        <v>148</v>
      </c>
      <c r="J39" s="46">
        <v>44562</v>
      </c>
      <c r="K39" s="46">
        <v>44926</v>
      </c>
      <c r="L39" s="179"/>
      <c r="M39" s="178"/>
      <c r="N39" s="164"/>
      <c r="O39" s="131" t="s">
        <v>149</v>
      </c>
      <c r="P39" s="37"/>
      <c r="Q39" s="39"/>
      <c r="R39" s="39"/>
      <c r="S39" s="133"/>
      <c r="T39" s="39">
        <v>274741412</v>
      </c>
      <c r="U39" s="223"/>
      <c r="V39" s="37"/>
      <c r="W39" s="37"/>
      <c r="X39" s="37"/>
      <c r="Y39" s="134"/>
      <c r="Z39" s="37"/>
      <c r="AA39" s="148"/>
      <c r="AB39" s="151"/>
      <c r="AC39" s="153"/>
      <c r="AD39" s="154"/>
      <c r="AE39" s="155"/>
    </row>
    <row r="40" spans="1:31" ht="57" x14ac:dyDescent="0.2">
      <c r="A40" s="9">
        <v>235</v>
      </c>
      <c r="B40" s="20" t="s">
        <v>98</v>
      </c>
      <c r="C40" s="20" t="s">
        <v>106</v>
      </c>
      <c r="D40" s="20" t="s">
        <v>141</v>
      </c>
      <c r="E40" s="19" t="s">
        <v>142</v>
      </c>
      <c r="F40" s="85" t="s">
        <v>143</v>
      </c>
      <c r="G40" s="124">
        <v>2021680010180</v>
      </c>
      <c r="H40" s="88" t="s">
        <v>150</v>
      </c>
      <c r="I40" s="69"/>
      <c r="J40" s="46"/>
      <c r="K40" s="46"/>
      <c r="L40" s="179"/>
      <c r="M40" s="178"/>
      <c r="N40" s="164"/>
      <c r="O40" s="131" t="s">
        <v>151</v>
      </c>
      <c r="P40" s="37"/>
      <c r="Q40" s="39"/>
      <c r="R40" s="39"/>
      <c r="S40" s="133"/>
      <c r="T40" s="39">
        <f>869475096-750501915</f>
        <v>118973181</v>
      </c>
      <c r="U40" s="223"/>
      <c r="V40" s="37"/>
      <c r="W40" s="37"/>
      <c r="X40" s="37"/>
      <c r="Y40" s="134"/>
      <c r="Z40" s="37"/>
      <c r="AA40" s="148"/>
      <c r="AB40" s="151"/>
      <c r="AC40" s="153"/>
      <c r="AD40" s="154"/>
      <c r="AE40" s="155"/>
    </row>
    <row r="41" spans="1:31" ht="99.75" x14ac:dyDescent="0.2">
      <c r="A41" s="9">
        <v>235</v>
      </c>
      <c r="B41" s="20" t="s">
        <v>98</v>
      </c>
      <c r="C41" s="20" t="s">
        <v>106</v>
      </c>
      <c r="D41" s="20" t="s">
        <v>141</v>
      </c>
      <c r="E41" s="19" t="s">
        <v>142</v>
      </c>
      <c r="F41" s="85" t="s">
        <v>143</v>
      </c>
      <c r="G41" s="124">
        <v>2021680010107</v>
      </c>
      <c r="H41" s="88" t="s">
        <v>152</v>
      </c>
      <c r="I41" s="69" t="s">
        <v>153</v>
      </c>
      <c r="J41" s="46">
        <v>44562</v>
      </c>
      <c r="K41" s="46">
        <v>44926</v>
      </c>
      <c r="L41" s="179"/>
      <c r="M41" s="178"/>
      <c r="N41" s="164"/>
      <c r="O41" s="127" t="s">
        <v>154</v>
      </c>
      <c r="P41" s="37"/>
      <c r="Q41" s="39"/>
      <c r="R41" s="39"/>
      <c r="S41" s="133"/>
      <c r="T41" s="39">
        <v>100000000</v>
      </c>
      <c r="U41" s="223"/>
      <c r="V41" s="37"/>
      <c r="W41" s="37"/>
      <c r="X41" s="37"/>
      <c r="Y41" s="134"/>
      <c r="Z41" s="37"/>
      <c r="AA41" s="148"/>
      <c r="AB41" s="151"/>
      <c r="AC41" s="153"/>
      <c r="AD41" s="154"/>
      <c r="AE41" s="155"/>
    </row>
    <row r="42" spans="1:31" ht="57" x14ac:dyDescent="0.2">
      <c r="A42" s="9">
        <v>235</v>
      </c>
      <c r="B42" s="20" t="s">
        <v>98</v>
      </c>
      <c r="C42" s="20" t="s">
        <v>106</v>
      </c>
      <c r="D42" s="20" t="s">
        <v>141</v>
      </c>
      <c r="E42" s="19" t="s">
        <v>142</v>
      </c>
      <c r="F42" s="85" t="s">
        <v>143</v>
      </c>
      <c r="G42" s="124">
        <v>2021680010163</v>
      </c>
      <c r="H42" s="70" t="s">
        <v>155</v>
      </c>
      <c r="I42" s="69" t="s">
        <v>156</v>
      </c>
      <c r="J42" s="46">
        <v>44562</v>
      </c>
      <c r="K42" s="46">
        <v>44926</v>
      </c>
      <c r="L42" s="179"/>
      <c r="M42" s="178"/>
      <c r="N42" s="164"/>
      <c r="O42" s="131" t="s">
        <v>157</v>
      </c>
      <c r="P42" s="37">
        <v>18273527</v>
      </c>
      <c r="Q42" s="39"/>
      <c r="R42" s="39"/>
      <c r="S42" s="133"/>
      <c r="T42" s="39">
        <v>7986197</v>
      </c>
      <c r="U42" s="223"/>
      <c r="V42" s="37">
        <v>18273527</v>
      </c>
      <c r="W42" s="37"/>
      <c r="X42" s="37"/>
      <c r="Y42" s="134"/>
      <c r="Z42" s="37">
        <v>7986197</v>
      </c>
      <c r="AA42" s="148"/>
      <c r="AB42" s="151"/>
      <c r="AC42" s="153"/>
      <c r="AD42" s="154"/>
      <c r="AE42" s="155"/>
    </row>
    <row r="43" spans="1:31" ht="57" x14ac:dyDescent="0.2">
      <c r="A43" s="9">
        <v>235</v>
      </c>
      <c r="B43" s="20" t="s">
        <v>98</v>
      </c>
      <c r="C43" s="20" t="s">
        <v>106</v>
      </c>
      <c r="D43" s="20" t="s">
        <v>141</v>
      </c>
      <c r="E43" s="19" t="s">
        <v>142</v>
      </c>
      <c r="F43" s="85" t="s">
        <v>143</v>
      </c>
      <c r="G43" s="124">
        <v>2021680010155</v>
      </c>
      <c r="H43" s="70" t="s">
        <v>158</v>
      </c>
      <c r="I43" s="69" t="s">
        <v>138</v>
      </c>
      <c r="J43" s="46">
        <v>44562</v>
      </c>
      <c r="K43" s="46">
        <v>44926</v>
      </c>
      <c r="L43" s="179"/>
      <c r="M43" s="178"/>
      <c r="N43" s="164"/>
      <c r="O43" s="140" t="s">
        <v>159</v>
      </c>
      <c r="P43" s="37"/>
      <c r="Q43" s="39"/>
      <c r="R43" s="39"/>
      <c r="S43" s="133"/>
      <c r="T43" s="39">
        <v>209751964</v>
      </c>
      <c r="U43" s="223"/>
      <c r="V43" s="37"/>
      <c r="W43" s="37"/>
      <c r="X43" s="37"/>
      <c r="Y43" s="134"/>
      <c r="Z43" s="37"/>
      <c r="AA43" s="148"/>
      <c r="AB43" s="151"/>
      <c r="AC43" s="153"/>
      <c r="AD43" s="154"/>
      <c r="AE43" s="155"/>
    </row>
    <row r="44" spans="1:31" ht="57" x14ac:dyDescent="0.2">
      <c r="A44" s="9">
        <v>235</v>
      </c>
      <c r="B44" s="20" t="s">
        <v>98</v>
      </c>
      <c r="C44" s="20" t="s">
        <v>106</v>
      </c>
      <c r="D44" s="20" t="s">
        <v>141</v>
      </c>
      <c r="E44" s="19" t="s">
        <v>142</v>
      </c>
      <c r="F44" s="85" t="s">
        <v>143</v>
      </c>
      <c r="G44" s="124">
        <v>2021680010155</v>
      </c>
      <c r="H44" s="70" t="s">
        <v>158</v>
      </c>
      <c r="I44" s="69" t="s">
        <v>138</v>
      </c>
      <c r="J44" s="46">
        <v>44562</v>
      </c>
      <c r="K44" s="46">
        <v>44926</v>
      </c>
      <c r="L44" s="179"/>
      <c r="M44" s="178"/>
      <c r="N44" s="164"/>
      <c r="O44" s="140" t="s">
        <v>160</v>
      </c>
      <c r="P44" s="37">
        <f>575406991-35727178</f>
        <v>539679813</v>
      </c>
      <c r="Q44" s="39"/>
      <c r="R44" s="39"/>
      <c r="S44" s="133"/>
      <c r="T44" s="39"/>
      <c r="U44" s="223"/>
      <c r="V44" s="37"/>
      <c r="W44" s="37"/>
      <c r="X44" s="37"/>
      <c r="Y44" s="134"/>
      <c r="Z44" s="37"/>
      <c r="AA44" s="148"/>
      <c r="AB44" s="151"/>
      <c r="AC44" s="153"/>
      <c r="AD44" s="154"/>
      <c r="AE44" s="155"/>
    </row>
    <row r="45" spans="1:31" ht="71.45" customHeight="1" x14ac:dyDescent="0.2">
      <c r="A45" s="9">
        <v>235</v>
      </c>
      <c r="B45" s="20" t="s">
        <v>98</v>
      </c>
      <c r="C45" s="20" t="s">
        <v>106</v>
      </c>
      <c r="D45" s="20" t="s">
        <v>141</v>
      </c>
      <c r="E45" s="19" t="s">
        <v>142</v>
      </c>
      <c r="F45" s="85" t="s">
        <v>143</v>
      </c>
      <c r="G45" s="124">
        <v>2020680010131</v>
      </c>
      <c r="H45" s="70" t="s">
        <v>161</v>
      </c>
      <c r="I45" s="69"/>
      <c r="J45" s="46"/>
      <c r="K45" s="46"/>
      <c r="L45" s="179"/>
      <c r="M45" s="178"/>
      <c r="N45" s="164"/>
      <c r="O45" s="140" t="s">
        <v>162</v>
      </c>
      <c r="P45" s="37"/>
      <c r="Q45" s="39"/>
      <c r="R45" s="39"/>
      <c r="S45" s="133"/>
      <c r="T45" s="39">
        <f>10143921+121000000+91751221.12</f>
        <v>222895142.12</v>
      </c>
      <c r="U45" s="223"/>
      <c r="V45" s="37"/>
      <c r="W45" s="37"/>
      <c r="X45" s="37"/>
      <c r="Y45" s="134"/>
      <c r="Z45" s="37"/>
      <c r="AA45" s="148"/>
      <c r="AB45" s="151"/>
      <c r="AC45" s="153"/>
      <c r="AD45" s="154"/>
      <c r="AE45" s="155"/>
    </row>
    <row r="46" spans="1:31" ht="57" x14ac:dyDescent="0.2">
      <c r="A46" s="9">
        <v>235</v>
      </c>
      <c r="B46" s="20" t="s">
        <v>98</v>
      </c>
      <c r="C46" s="20" t="s">
        <v>106</v>
      </c>
      <c r="D46" s="20" t="s">
        <v>141</v>
      </c>
      <c r="E46" s="19" t="s">
        <v>142</v>
      </c>
      <c r="F46" s="85" t="s">
        <v>143</v>
      </c>
      <c r="G46" s="124">
        <v>2021680010179</v>
      </c>
      <c r="H46" s="70" t="s">
        <v>163</v>
      </c>
      <c r="I46" s="69"/>
      <c r="J46" s="46"/>
      <c r="K46" s="46"/>
      <c r="L46" s="179"/>
      <c r="M46" s="178"/>
      <c r="N46" s="164"/>
      <c r="O46" s="140" t="s">
        <v>164</v>
      </c>
      <c r="P46" s="37"/>
      <c r="Q46" s="39"/>
      <c r="R46" s="39"/>
      <c r="S46" s="133"/>
      <c r="T46" s="39">
        <v>196811537.16</v>
      </c>
      <c r="U46" s="223"/>
      <c r="V46" s="37"/>
      <c r="W46" s="37"/>
      <c r="X46" s="37"/>
      <c r="Y46" s="134"/>
      <c r="Z46" s="37">
        <v>196811537.16</v>
      </c>
      <c r="AA46" s="148"/>
      <c r="AB46" s="151"/>
      <c r="AC46" s="153"/>
      <c r="AD46" s="154"/>
      <c r="AE46" s="155"/>
    </row>
    <row r="47" spans="1:31" ht="57" x14ac:dyDescent="0.2">
      <c r="A47" s="9">
        <v>235</v>
      </c>
      <c r="B47" s="20" t="s">
        <v>98</v>
      </c>
      <c r="C47" s="20" t="s">
        <v>106</v>
      </c>
      <c r="D47" s="20" t="s">
        <v>141</v>
      </c>
      <c r="E47" s="19" t="s">
        <v>142</v>
      </c>
      <c r="F47" s="85" t="s">
        <v>143</v>
      </c>
      <c r="G47" s="124">
        <v>2021680010095</v>
      </c>
      <c r="H47" s="70" t="s">
        <v>165</v>
      </c>
      <c r="I47" s="69"/>
      <c r="J47" s="46"/>
      <c r="K47" s="46"/>
      <c r="L47" s="179"/>
      <c r="M47" s="178"/>
      <c r="N47" s="164"/>
      <c r="O47" s="140" t="s">
        <v>166</v>
      </c>
      <c r="P47" s="37"/>
      <c r="Q47" s="39"/>
      <c r="R47" s="39"/>
      <c r="S47" s="133"/>
      <c r="T47" s="39">
        <v>163509429</v>
      </c>
      <c r="U47" s="223"/>
      <c r="V47" s="37"/>
      <c r="W47" s="37"/>
      <c r="X47" s="37"/>
      <c r="Y47" s="134"/>
      <c r="Z47" s="37">
        <v>163509428</v>
      </c>
      <c r="AA47" s="148"/>
      <c r="AB47" s="151"/>
      <c r="AC47" s="153"/>
      <c r="AD47" s="154"/>
      <c r="AE47" s="155"/>
    </row>
    <row r="48" spans="1:31" ht="57" x14ac:dyDescent="0.2">
      <c r="A48" s="9">
        <v>235</v>
      </c>
      <c r="B48" s="20" t="s">
        <v>98</v>
      </c>
      <c r="C48" s="20" t="s">
        <v>106</v>
      </c>
      <c r="D48" s="20" t="s">
        <v>141</v>
      </c>
      <c r="E48" s="19" t="s">
        <v>142</v>
      </c>
      <c r="F48" s="85" t="s">
        <v>143</v>
      </c>
      <c r="G48" s="124">
        <v>2021680010172</v>
      </c>
      <c r="H48" s="88" t="s">
        <v>167</v>
      </c>
      <c r="I48" s="69" t="s">
        <v>168</v>
      </c>
      <c r="J48" s="46">
        <v>44562</v>
      </c>
      <c r="K48" s="46">
        <v>44926</v>
      </c>
      <c r="L48" s="179"/>
      <c r="M48" s="178"/>
      <c r="N48" s="164"/>
      <c r="O48" s="127" t="s">
        <v>169</v>
      </c>
      <c r="P48" s="37"/>
      <c r="Q48" s="39"/>
      <c r="R48" s="39"/>
      <c r="S48" s="133"/>
      <c r="T48" s="39">
        <f>267119538+148000000</f>
        <v>415119538</v>
      </c>
      <c r="U48" s="223"/>
      <c r="V48" s="39"/>
      <c r="W48" s="39"/>
      <c r="X48" s="39"/>
      <c r="Y48" s="133"/>
      <c r="Z48" s="39">
        <f>177600000+118016667+11600000</f>
        <v>307216667</v>
      </c>
      <c r="AA48" s="148"/>
      <c r="AB48" s="151"/>
      <c r="AC48" s="153"/>
      <c r="AD48" s="154"/>
      <c r="AE48" s="155"/>
    </row>
    <row r="49" spans="1:31" ht="57" x14ac:dyDescent="0.2">
      <c r="A49" s="9">
        <v>235</v>
      </c>
      <c r="B49" s="20" t="s">
        <v>98</v>
      </c>
      <c r="C49" s="20" t="s">
        <v>106</v>
      </c>
      <c r="D49" s="20" t="s">
        <v>141</v>
      </c>
      <c r="E49" s="19" t="s">
        <v>142</v>
      </c>
      <c r="F49" s="85" t="s">
        <v>143</v>
      </c>
      <c r="G49" s="124">
        <v>2021680010172</v>
      </c>
      <c r="H49" s="88" t="s">
        <v>167</v>
      </c>
      <c r="I49" s="69" t="s">
        <v>170</v>
      </c>
      <c r="J49" s="46"/>
      <c r="K49" s="46"/>
      <c r="L49" s="179"/>
      <c r="M49" s="178"/>
      <c r="N49" s="164"/>
      <c r="O49" s="76" t="s">
        <v>171</v>
      </c>
      <c r="P49" s="37"/>
      <c r="Q49" s="39"/>
      <c r="R49" s="39"/>
      <c r="S49" s="133"/>
      <c r="T49" s="39">
        <v>298000000</v>
      </c>
      <c r="U49" s="223"/>
      <c r="V49" s="39"/>
      <c r="W49" s="39"/>
      <c r="X49" s="39"/>
      <c r="Y49" s="133"/>
      <c r="Z49" s="39"/>
      <c r="AA49" s="148"/>
      <c r="AB49" s="151"/>
      <c r="AC49" s="153"/>
      <c r="AD49" s="154"/>
      <c r="AE49" s="155"/>
    </row>
    <row r="50" spans="1:31" ht="57" x14ac:dyDescent="0.2">
      <c r="A50" s="9">
        <v>235</v>
      </c>
      <c r="B50" s="20" t="s">
        <v>98</v>
      </c>
      <c r="C50" s="20" t="s">
        <v>106</v>
      </c>
      <c r="D50" s="20" t="s">
        <v>141</v>
      </c>
      <c r="E50" s="19" t="s">
        <v>142</v>
      </c>
      <c r="F50" s="85" t="s">
        <v>143</v>
      </c>
      <c r="G50" s="124">
        <v>2021680010170</v>
      </c>
      <c r="H50" s="70" t="s">
        <v>172</v>
      </c>
      <c r="I50" s="69" t="s">
        <v>173</v>
      </c>
      <c r="J50" s="46">
        <v>44562</v>
      </c>
      <c r="K50" s="46">
        <v>44926</v>
      </c>
      <c r="L50" s="179"/>
      <c r="M50" s="178"/>
      <c r="N50" s="164"/>
      <c r="O50" s="76" t="s">
        <v>174</v>
      </c>
      <c r="P50" s="37"/>
      <c r="Q50" s="39"/>
      <c r="R50" s="39"/>
      <c r="S50" s="133"/>
      <c r="T50" s="39">
        <v>267119536</v>
      </c>
      <c r="U50" s="223"/>
      <c r="V50" s="37"/>
      <c r="W50" s="37"/>
      <c r="X50" s="37"/>
      <c r="Y50" s="134"/>
      <c r="Z50" s="37">
        <v>22255000</v>
      </c>
      <c r="AA50" s="148"/>
      <c r="AB50" s="151"/>
      <c r="AC50" s="153"/>
      <c r="AD50" s="154"/>
      <c r="AE50" s="155"/>
    </row>
    <row r="51" spans="1:31" ht="57" x14ac:dyDescent="0.2">
      <c r="A51" s="9">
        <v>235</v>
      </c>
      <c r="B51" s="20" t="s">
        <v>98</v>
      </c>
      <c r="C51" s="20" t="s">
        <v>106</v>
      </c>
      <c r="D51" s="20" t="s">
        <v>141</v>
      </c>
      <c r="E51" s="19" t="s">
        <v>142</v>
      </c>
      <c r="F51" s="85" t="s">
        <v>143</v>
      </c>
      <c r="G51" s="124">
        <v>2021680010169</v>
      </c>
      <c r="H51" s="70" t="s">
        <v>175</v>
      </c>
      <c r="I51" s="69"/>
      <c r="J51" s="46">
        <v>44562</v>
      </c>
      <c r="K51" s="46">
        <v>44926</v>
      </c>
      <c r="L51" s="179"/>
      <c r="M51" s="178"/>
      <c r="N51" s="164"/>
      <c r="O51" s="75" t="s">
        <v>176</v>
      </c>
      <c r="P51" s="37"/>
      <c r="Q51" s="39"/>
      <c r="R51" s="39"/>
      <c r="S51" s="133"/>
      <c r="T51" s="39">
        <v>267119537</v>
      </c>
      <c r="U51" s="223"/>
      <c r="V51" s="37"/>
      <c r="W51" s="37"/>
      <c r="X51" s="37"/>
      <c r="Y51" s="134"/>
      <c r="Z51" s="37"/>
      <c r="AA51" s="148"/>
      <c r="AB51" s="151"/>
      <c r="AC51" s="153"/>
      <c r="AD51" s="154"/>
      <c r="AE51" s="155"/>
    </row>
    <row r="52" spans="1:31" ht="143.44999999999999" customHeight="1" x14ac:dyDescent="0.2">
      <c r="A52" s="9">
        <v>235</v>
      </c>
      <c r="B52" s="20" t="s">
        <v>98</v>
      </c>
      <c r="C52" s="20" t="s">
        <v>106</v>
      </c>
      <c r="D52" s="20" t="s">
        <v>141</v>
      </c>
      <c r="E52" s="19" t="s">
        <v>142</v>
      </c>
      <c r="F52" s="85" t="s">
        <v>143</v>
      </c>
      <c r="G52" s="124">
        <v>2021680010167</v>
      </c>
      <c r="H52" s="88" t="s">
        <v>177</v>
      </c>
      <c r="I52" s="69"/>
      <c r="J52" s="46"/>
      <c r="K52" s="46"/>
      <c r="L52" s="179"/>
      <c r="M52" s="178"/>
      <c r="N52" s="164"/>
      <c r="O52" s="78" t="s">
        <v>178</v>
      </c>
      <c r="P52" s="37">
        <f>1286726473+147937104+395441710</f>
        <v>1830105287</v>
      </c>
      <c r="Q52" s="39"/>
      <c r="R52" s="39"/>
      <c r="S52" s="133"/>
      <c r="T52" s="39"/>
      <c r="U52" s="223"/>
      <c r="V52" s="37">
        <f>296395848+496051514+431640000+215820000+147937104</f>
        <v>1587844466</v>
      </c>
      <c r="W52" s="37"/>
      <c r="X52" s="37"/>
      <c r="Y52" s="134"/>
      <c r="Z52" s="37"/>
      <c r="AA52" s="148"/>
      <c r="AB52" s="151"/>
      <c r="AC52" s="153"/>
      <c r="AD52" s="154"/>
      <c r="AE52" s="155"/>
    </row>
    <row r="53" spans="1:31" ht="57" x14ac:dyDescent="0.2">
      <c r="A53" s="9">
        <v>235</v>
      </c>
      <c r="B53" s="20" t="s">
        <v>98</v>
      </c>
      <c r="C53" s="20" t="s">
        <v>106</v>
      </c>
      <c r="D53" s="20" t="s">
        <v>141</v>
      </c>
      <c r="E53" s="19" t="s">
        <v>142</v>
      </c>
      <c r="F53" s="85" t="s">
        <v>143</v>
      </c>
      <c r="G53" s="124">
        <v>2021680010149</v>
      </c>
      <c r="H53" s="88" t="s">
        <v>179</v>
      </c>
      <c r="I53" s="69"/>
      <c r="J53" s="46">
        <v>44562</v>
      </c>
      <c r="K53" s="46">
        <v>44926</v>
      </c>
      <c r="L53" s="179"/>
      <c r="M53" s="178"/>
      <c r="N53" s="164"/>
      <c r="O53" s="74" t="s">
        <v>180</v>
      </c>
      <c r="P53" s="37"/>
      <c r="Q53" s="39"/>
      <c r="R53" s="39"/>
      <c r="S53" s="133"/>
      <c r="T53" s="39">
        <v>400000000</v>
      </c>
      <c r="U53" s="223"/>
      <c r="V53" s="37"/>
      <c r="W53" s="37"/>
      <c r="X53" s="37"/>
      <c r="Y53" s="134"/>
      <c r="Z53" s="37"/>
      <c r="AA53" s="148"/>
      <c r="AB53" s="151"/>
      <c r="AC53" s="153"/>
      <c r="AD53" s="154"/>
      <c r="AE53" s="155"/>
    </row>
    <row r="54" spans="1:31" ht="57" x14ac:dyDescent="0.2">
      <c r="A54" s="9">
        <v>235</v>
      </c>
      <c r="B54" s="20" t="s">
        <v>98</v>
      </c>
      <c r="C54" s="20" t="s">
        <v>106</v>
      </c>
      <c r="D54" s="20" t="s">
        <v>141</v>
      </c>
      <c r="E54" s="19" t="s">
        <v>142</v>
      </c>
      <c r="F54" s="85" t="s">
        <v>143</v>
      </c>
      <c r="G54" s="124">
        <v>2022680010020</v>
      </c>
      <c r="H54" s="88" t="s">
        <v>181</v>
      </c>
      <c r="I54" s="69" t="s">
        <v>182</v>
      </c>
      <c r="J54" s="46"/>
      <c r="K54" s="46"/>
      <c r="L54" s="179"/>
      <c r="M54" s="178"/>
      <c r="N54" s="164"/>
      <c r="O54" s="76" t="s">
        <v>183</v>
      </c>
      <c r="P54" s="37">
        <v>1213316976</v>
      </c>
      <c r="Q54" s="39"/>
      <c r="R54" s="39"/>
      <c r="S54" s="133"/>
      <c r="T54" s="39"/>
      <c r="U54" s="223"/>
      <c r="V54" s="37">
        <v>1193583656</v>
      </c>
      <c r="W54" s="37"/>
      <c r="X54" s="37"/>
      <c r="Y54" s="134"/>
      <c r="Z54" s="37"/>
      <c r="AA54" s="148"/>
      <c r="AB54" s="151"/>
      <c r="AC54" s="94"/>
      <c r="AD54" s="63" t="s">
        <v>44</v>
      </c>
      <c r="AE54" s="103" t="s">
        <v>45</v>
      </c>
    </row>
    <row r="55" spans="1:31" ht="114" x14ac:dyDescent="0.2">
      <c r="A55" s="9">
        <v>235</v>
      </c>
      <c r="B55" s="20" t="s">
        <v>98</v>
      </c>
      <c r="C55" s="20" t="s">
        <v>106</v>
      </c>
      <c r="D55" s="20" t="s">
        <v>141</v>
      </c>
      <c r="E55" s="19" t="s">
        <v>142</v>
      </c>
      <c r="F55" s="85" t="s">
        <v>143</v>
      </c>
      <c r="G55" s="124">
        <v>2021680010085</v>
      </c>
      <c r="H55" s="88" t="s">
        <v>184</v>
      </c>
      <c r="I55" s="69" t="s">
        <v>185</v>
      </c>
      <c r="J55" s="46"/>
      <c r="K55" s="46"/>
      <c r="L55" s="179"/>
      <c r="M55" s="178"/>
      <c r="N55" s="164"/>
      <c r="O55" s="76" t="s">
        <v>186</v>
      </c>
      <c r="P55" s="37">
        <f>76000000+44000000</f>
        <v>120000000</v>
      </c>
      <c r="Q55" s="39"/>
      <c r="R55" s="39"/>
      <c r="S55" s="133"/>
      <c r="T55" s="39"/>
      <c r="U55" s="223"/>
      <c r="V55" s="37"/>
      <c r="W55" s="37"/>
      <c r="X55" s="37"/>
      <c r="Y55" s="134"/>
      <c r="Z55" s="37"/>
      <c r="AA55" s="148"/>
      <c r="AB55" s="151"/>
      <c r="AC55" s="94"/>
      <c r="AD55" s="63" t="s">
        <v>44</v>
      </c>
      <c r="AE55" s="103" t="s">
        <v>45</v>
      </c>
    </row>
    <row r="56" spans="1:31" ht="270.75" x14ac:dyDescent="0.2">
      <c r="A56" s="9">
        <v>235</v>
      </c>
      <c r="B56" s="20" t="s">
        <v>98</v>
      </c>
      <c r="C56" s="20" t="s">
        <v>106</v>
      </c>
      <c r="D56" s="20" t="s">
        <v>141</v>
      </c>
      <c r="E56" s="19" t="s">
        <v>142</v>
      </c>
      <c r="F56" s="85" t="s">
        <v>143</v>
      </c>
      <c r="G56" s="124" t="s">
        <v>187</v>
      </c>
      <c r="H56" s="88" t="s">
        <v>188</v>
      </c>
      <c r="I56" s="69"/>
      <c r="J56" s="46"/>
      <c r="K56" s="46"/>
      <c r="L56" s="179"/>
      <c r="M56" s="178"/>
      <c r="N56" s="164"/>
      <c r="O56" s="97" t="s">
        <v>189</v>
      </c>
      <c r="P56" s="39">
        <f>139358494+35727178</f>
        <v>175085672</v>
      </c>
      <c r="Q56" s="39"/>
      <c r="R56" s="39"/>
      <c r="S56" s="133"/>
      <c r="T56" s="39">
        <f>1207164610+50000000+ 204024786+2403025020+295975215</f>
        <v>4160189631</v>
      </c>
      <c r="U56" s="224"/>
      <c r="V56" s="37"/>
      <c r="W56" s="37"/>
      <c r="X56" s="37"/>
      <c r="Y56" s="134"/>
      <c r="Z56" s="37"/>
      <c r="AA56" s="149"/>
      <c r="AB56" s="152"/>
      <c r="AC56" s="94"/>
      <c r="AD56" s="49" t="s">
        <v>44</v>
      </c>
      <c r="AE56" s="50" t="s">
        <v>45</v>
      </c>
    </row>
    <row r="57" spans="1:31" ht="85.5" x14ac:dyDescent="0.2">
      <c r="A57" s="9">
        <v>236</v>
      </c>
      <c r="B57" s="31" t="s">
        <v>98</v>
      </c>
      <c r="C57" s="31" t="s">
        <v>106</v>
      </c>
      <c r="D57" s="18" t="s">
        <v>141</v>
      </c>
      <c r="E57" s="19" t="s">
        <v>190</v>
      </c>
      <c r="F57" s="85" t="s">
        <v>191</v>
      </c>
      <c r="G57" s="125">
        <v>2022680010062</v>
      </c>
      <c r="H57" s="88" t="s">
        <v>192</v>
      </c>
      <c r="I57" s="69"/>
      <c r="J57" s="46"/>
      <c r="K57" s="46"/>
      <c r="L57" s="169"/>
      <c r="M57" s="218"/>
      <c r="N57" s="158"/>
      <c r="O57" s="97" t="s">
        <v>193</v>
      </c>
      <c r="P57" s="37"/>
      <c r="Q57" s="39"/>
      <c r="R57" s="39"/>
      <c r="S57" s="133"/>
      <c r="T57" s="39">
        <v>400000000</v>
      </c>
      <c r="U57" s="147">
        <f>SUM(P57:T60)</f>
        <v>3334427102</v>
      </c>
      <c r="V57" s="37"/>
      <c r="W57" s="37"/>
      <c r="X57" s="37"/>
      <c r="Y57" s="134"/>
      <c r="Z57" s="37">
        <v>361352604</v>
      </c>
      <c r="AA57" s="147">
        <f>SUM(V57:Z60)</f>
        <v>361352604</v>
      </c>
      <c r="AB57" s="150">
        <f>IFERROR(AA57/U57,"-")</f>
        <v>0.10837022161415961</v>
      </c>
      <c r="AC57" s="94"/>
      <c r="AD57" s="49" t="s">
        <v>44</v>
      </c>
      <c r="AE57" s="104" t="s">
        <v>45</v>
      </c>
    </row>
    <row r="58" spans="1:31" ht="85.5" x14ac:dyDescent="0.2">
      <c r="A58" s="9">
        <v>236</v>
      </c>
      <c r="B58" s="31" t="s">
        <v>98</v>
      </c>
      <c r="C58" s="31" t="s">
        <v>106</v>
      </c>
      <c r="D58" s="18" t="s">
        <v>141</v>
      </c>
      <c r="E58" s="19" t="s">
        <v>190</v>
      </c>
      <c r="F58" s="85" t="s">
        <v>191</v>
      </c>
      <c r="G58" s="124">
        <v>2021680010149</v>
      </c>
      <c r="H58" s="70" t="s">
        <v>179</v>
      </c>
      <c r="I58" s="69" t="s">
        <v>194</v>
      </c>
      <c r="J58" s="46">
        <v>44562</v>
      </c>
      <c r="K58" s="46">
        <v>44926</v>
      </c>
      <c r="L58" s="161">
        <v>1</v>
      </c>
      <c r="M58" s="186">
        <v>1</v>
      </c>
      <c r="N58" s="219">
        <f>IFERROR(IF(M58/L58&gt;100%,100%,M58/L58),"-")</f>
        <v>1</v>
      </c>
      <c r="O58" s="76" t="s">
        <v>180</v>
      </c>
      <c r="P58" s="134"/>
      <c r="Q58" s="39"/>
      <c r="R58" s="39"/>
      <c r="S58" s="133"/>
      <c r="T58" s="39">
        <v>400000000</v>
      </c>
      <c r="U58" s="148"/>
      <c r="V58" s="37"/>
      <c r="W58" s="37"/>
      <c r="X58" s="37"/>
      <c r="Y58" s="134"/>
      <c r="Z58" s="37"/>
      <c r="AA58" s="148"/>
      <c r="AB58" s="151"/>
      <c r="AC58" s="51"/>
      <c r="AD58" s="49" t="s">
        <v>44</v>
      </c>
      <c r="AE58" s="50" t="s">
        <v>45</v>
      </c>
    </row>
    <row r="59" spans="1:31" ht="71.25" x14ac:dyDescent="0.2">
      <c r="A59" s="9">
        <v>236</v>
      </c>
      <c r="B59" s="31" t="s">
        <v>98</v>
      </c>
      <c r="C59" s="31" t="s">
        <v>106</v>
      </c>
      <c r="D59" s="18" t="s">
        <v>141</v>
      </c>
      <c r="E59" s="19" t="s">
        <v>190</v>
      </c>
      <c r="F59" s="85" t="s">
        <v>191</v>
      </c>
      <c r="G59" s="124">
        <v>2022680010032</v>
      </c>
      <c r="H59" s="70" t="s">
        <v>195</v>
      </c>
      <c r="I59" s="69" t="s">
        <v>196</v>
      </c>
      <c r="J59" s="46">
        <v>44774</v>
      </c>
      <c r="K59" s="46">
        <v>45016</v>
      </c>
      <c r="L59" s="165"/>
      <c r="M59" s="187"/>
      <c r="N59" s="220"/>
      <c r="O59" s="76" t="s">
        <v>197</v>
      </c>
      <c r="P59" s="136">
        <f>269427102+2000000000</f>
        <v>2269427102</v>
      </c>
      <c r="Q59" s="39"/>
      <c r="R59" s="39"/>
      <c r="S59" s="133"/>
      <c r="T59" s="39"/>
      <c r="U59" s="148"/>
      <c r="V59" s="37"/>
      <c r="W59" s="37"/>
      <c r="X59" s="37"/>
      <c r="Y59" s="134"/>
      <c r="Z59" s="37"/>
      <c r="AA59" s="148"/>
      <c r="AB59" s="151"/>
      <c r="AC59" s="51"/>
      <c r="AD59" s="49" t="s">
        <v>44</v>
      </c>
      <c r="AE59" s="104" t="s">
        <v>45</v>
      </c>
    </row>
    <row r="60" spans="1:31" ht="114" x14ac:dyDescent="0.2">
      <c r="A60" s="9">
        <v>236</v>
      </c>
      <c r="B60" s="31" t="s">
        <v>98</v>
      </c>
      <c r="C60" s="31" t="s">
        <v>106</v>
      </c>
      <c r="D60" s="18" t="s">
        <v>141</v>
      </c>
      <c r="E60" s="19" t="s">
        <v>190</v>
      </c>
      <c r="F60" s="85" t="s">
        <v>191</v>
      </c>
      <c r="G60" s="124">
        <v>2021680010085</v>
      </c>
      <c r="H60" s="88" t="s">
        <v>184</v>
      </c>
      <c r="I60" s="69" t="s">
        <v>185</v>
      </c>
      <c r="J60" s="46"/>
      <c r="K60" s="46"/>
      <c r="L60" s="162"/>
      <c r="M60" s="188"/>
      <c r="N60" s="221"/>
      <c r="O60" s="76" t="s">
        <v>198</v>
      </c>
      <c r="P60" s="136">
        <v>265000000</v>
      </c>
      <c r="Q60" s="39"/>
      <c r="R60" s="39"/>
      <c r="S60" s="133"/>
      <c r="T60" s="39"/>
      <c r="U60" s="149"/>
      <c r="V60" s="37"/>
      <c r="W60" s="37"/>
      <c r="X60" s="37"/>
      <c r="Y60" s="134"/>
      <c r="Z60" s="37"/>
      <c r="AA60" s="149"/>
      <c r="AB60" s="152"/>
      <c r="AC60" s="51"/>
      <c r="AD60" s="49" t="s">
        <v>44</v>
      </c>
      <c r="AE60" s="104" t="s">
        <v>45</v>
      </c>
    </row>
    <row r="61" spans="1:31" ht="57" x14ac:dyDescent="0.2">
      <c r="A61" s="9">
        <v>237</v>
      </c>
      <c r="B61" s="29" t="s">
        <v>98</v>
      </c>
      <c r="C61" s="29" t="s">
        <v>106</v>
      </c>
      <c r="D61" s="29" t="s">
        <v>141</v>
      </c>
      <c r="E61" s="15" t="s">
        <v>199</v>
      </c>
      <c r="F61" s="84" t="s">
        <v>200</v>
      </c>
      <c r="G61" s="124">
        <v>2020680010176</v>
      </c>
      <c r="H61" s="70" t="s">
        <v>201</v>
      </c>
      <c r="I61" s="69" t="s">
        <v>202</v>
      </c>
      <c r="J61" s="46">
        <v>44562</v>
      </c>
      <c r="K61" s="46">
        <v>44926</v>
      </c>
      <c r="L61" s="57">
        <v>1</v>
      </c>
      <c r="M61" s="114">
        <v>0.67</v>
      </c>
      <c r="N61" s="53">
        <f>IFERROR(IF(M61/L61&gt;100%,100%,M61/L61),"-")</f>
        <v>0.67</v>
      </c>
      <c r="O61" s="73" t="s">
        <v>203</v>
      </c>
      <c r="P61" s="37">
        <v>200000000</v>
      </c>
      <c r="Q61" s="39"/>
      <c r="R61" s="39"/>
      <c r="S61" s="133"/>
      <c r="T61" s="39">
        <v>400000000</v>
      </c>
      <c r="U61" s="54">
        <f>SUM(P61:T61)</f>
        <v>600000000</v>
      </c>
      <c r="V61" s="37"/>
      <c r="W61" s="37"/>
      <c r="X61" s="37"/>
      <c r="Y61" s="134"/>
      <c r="Z61" s="37">
        <v>400000000</v>
      </c>
      <c r="AA61" s="54">
        <f>SUM(V61:Z61)</f>
        <v>400000000</v>
      </c>
      <c r="AB61" s="55">
        <f>IFERROR(AA61/U61,"-")</f>
        <v>0.66666666666666663</v>
      </c>
      <c r="AC61" s="17"/>
      <c r="AD61" s="23" t="s">
        <v>44</v>
      </c>
      <c r="AE61" s="30" t="s">
        <v>45</v>
      </c>
    </row>
    <row r="62" spans="1:31" ht="71.25" x14ac:dyDescent="0.2">
      <c r="A62" s="9">
        <v>238</v>
      </c>
      <c r="B62" s="29" t="s">
        <v>98</v>
      </c>
      <c r="C62" s="29" t="s">
        <v>106</v>
      </c>
      <c r="D62" s="14" t="s">
        <v>141</v>
      </c>
      <c r="E62" s="15" t="s">
        <v>204</v>
      </c>
      <c r="F62" s="69" t="s">
        <v>205</v>
      </c>
      <c r="G62" s="124">
        <v>2021680010160</v>
      </c>
      <c r="H62" s="70" t="s">
        <v>110</v>
      </c>
      <c r="I62" s="69"/>
      <c r="J62" s="46">
        <v>44562</v>
      </c>
      <c r="K62" s="46">
        <v>44926</v>
      </c>
      <c r="L62" s="98">
        <v>1</v>
      </c>
      <c r="M62" s="114">
        <v>0.5</v>
      </c>
      <c r="N62" s="53">
        <f>IFERROR(IF(M62/L62&gt;100%,100%,M62/L62),"-")</f>
        <v>0.5</v>
      </c>
      <c r="O62" s="73" t="s">
        <v>206</v>
      </c>
      <c r="P62" s="37">
        <f>21000000+15750000</f>
        <v>36750000</v>
      </c>
      <c r="Q62" s="39"/>
      <c r="R62" s="39"/>
      <c r="S62" s="133"/>
      <c r="T62" s="39"/>
      <c r="U62" s="42">
        <f>SUM(P62:T62)</f>
        <v>36750000</v>
      </c>
      <c r="V62" s="39">
        <f>21000000+15516666.67</f>
        <v>36516666.670000002</v>
      </c>
      <c r="W62" s="39"/>
      <c r="X62" s="39"/>
      <c r="Y62" s="133"/>
      <c r="Z62" s="39"/>
      <c r="AA62" s="42">
        <f>SUM(V62:Z62)</f>
        <v>36516666.670000002</v>
      </c>
      <c r="AB62" s="16">
        <f>IFERROR(AA62/U62,"-")</f>
        <v>0.99365079374149667</v>
      </c>
      <c r="AC62" s="51"/>
      <c r="AD62" s="23" t="s">
        <v>44</v>
      </c>
      <c r="AE62" s="30" t="s">
        <v>45</v>
      </c>
    </row>
    <row r="63" spans="1:31" ht="57" x14ac:dyDescent="0.2">
      <c r="A63" s="9">
        <v>240</v>
      </c>
      <c r="B63" s="31" t="s">
        <v>98</v>
      </c>
      <c r="C63" s="31" t="s">
        <v>106</v>
      </c>
      <c r="D63" s="18" t="s">
        <v>207</v>
      </c>
      <c r="E63" s="19" t="s">
        <v>208</v>
      </c>
      <c r="F63" s="85" t="s">
        <v>209</v>
      </c>
      <c r="G63" s="124">
        <v>2021680010081</v>
      </c>
      <c r="H63" s="70" t="s">
        <v>210</v>
      </c>
      <c r="I63" s="71"/>
      <c r="J63" s="46">
        <v>44562</v>
      </c>
      <c r="K63" s="46">
        <v>44926</v>
      </c>
      <c r="L63" s="168">
        <v>1</v>
      </c>
      <c r="M63" s="177">
        <v>0.75</v>
      </c>
      <c r="N63" s="157">
        <f>IFERROR(IF(M63/L63&gt;100%,100%,M63/L63),"-")</f>
        <v>0.75</v>
      </c>
      <c r="O63" s="73" t="s">
        <v>211</v>
      </c>
      <c r="P63" s="37"/>
      <c r="Q63" s="39"/>
      <c r="R63" s="39"/>
      <c r="S63" s="133"/>
      <c r="T63" s="39">
        <v>609326724</v>
      </c>
      <c r="U63" s="222">
        <f>SUM(P63:T65)</f>
        <v>1645858560.45</v>
      </c>
      <c r="V63" s="39"/>
      <c r="W63" s="39"/>
      <c r="X63" s="39"/>
      <c r="Y63" s="133"/>
      <c r="Z63" s="39">
        <f>325800000+6664000+52866666.67+124953333</f>
        <v>510283999.67000002</v>
      </c>
      <c r="AA63" s="147">
        <f>SUM(V63:Z65)</f>
        <v>1535685031.79</v>
      </c>
      <c r="AB63" s="150">
        <f>IFERROR(AA63/U63,"-")</f>
        <v>0.93306014787207647</v>
      </c>
      <c r="AC63" s="141"/>
      <c r="AD63" s="143" t="s">
        <v>44</v>
      </c>
      <c r="AE63" s="145" t="s">
        <v>45</v>
      </c>
    </row>
    <row r="64" spans="1:31" ht="57" x14ac:dyDescent="0.2">
      <c r="A64" s="9">
        <v>240</v>
      </c>
      <c r="B64" s="31" t="s">
        <v>98</v>
      </c>
      <c r="C64" s="31" t="s">
        <v>106</v>
      </c>
      <c r="D64" s="18" t="s">
        <v>207</v>
      </c>
      <c r="E64" s="19" t="s">
        <v>208</v>
      </c>
      <c r="F64" s="85" t="s">
        <v>209</v>
      </c>
      <c r="G64" s="124">
        <v>2021680010147</v>
      </c>
      <c r="H64" s="70" t="s">
        <v>212</v>
      </c>
      <c r="I64" s="71"/>
      <c r="J64" s="46">
        <v>44562</v>
      </c>
      <c r="K64" s="46">
        <v>44926</v>
      </c>
      <c r="L64" s="179"/>
      <c r="M64" s="178"/>
      <c r="N64" s="164"/>
      <c r="O64" s="44" t="s">
        <v>213</v>
      </c>
      <c r="P64" s="37">
        <v>23801169</v>
      </c>
      <c r="Q64" s="39"/>
      <c r="R64" s="39"/>
      <c r="S64" s="133"/>
      <c r="T64" s="39"/>
      <c r="U64" s="223"/>
      <c r="V64" s="37">
        <f>12670365.12</f>
        <v>12670365.119999999</v>
      </c>
      <c r="W64" s="37"/>
      <c r="X64" s="37"/>
      <c r="Y64" s="134"/>
      <c r="Z64" s="37"/>
      <c r="AA64" s="148"/>
      <c r="AB64" s="151"/>
      <c r="AC64" s="153"/>
      <c r="AD64" s="154"/>
      <c r="AE64" s="155"/>
    </row>
    <row r="65" spans="1:31" ht="99.75" x14ac:dyDescent="0.2">
      <c r="A65" s="9">
        <v>240</v>
      </c>
      <c r="B65" s="31" t="s">
        <v>98</v>
      </c>
      <c r="C65" s="31" t="s">
        <v>106</v>
      </c>
      <c r="D65" s="18" t="s">
        <v>207</v>
      </c>
      <c r="E65" s="19" t="s">
        <v>208</v>
      </c>
      <c r="F65" s="85" t="s">
        <v>209</v>
      </c>
      <c r="G65" s="124">
        <v>2020680010034</v>
      </c>
      <c r="H65" s="70" t="s">
        <v>214</v>
      </c>
      <c r="I65" s="69" t="s">
        <v>215</v>
      </c>
      <c r="J65" s="46">
        <v>44562</v>
      </c>
      <c r="K65" s="46">
        <v>44926</v>
      </c>
      <c r="L65" s="179"/>
      <c r="M65" s="178"/>
      <c r="N65" s="164"/>
      <c r="O65" s="75" t="s">
        <v>216</v>
      </c>
      <c r="P65" s="37">
        <f>594592000+58383667.46+8249999.99+ 351505000</f>
        <v>1012730667.45</v>
      </c>
      <c r="Q65" s="40"/>
      <c r="R65" s="40"/>
      <c r="S65" s="137"/>
      <c r="T65" s="40"/>
      <c r="U65" s="223"/>
      <c r="V65" s="39">
        <f>586800000+84020000+341910667</f>
        <v>1012730667</v>
      </c>
      <c r="W65" s="39"/>
      <c r="X65" s="39"/>
      <c r="Y65" s="133"/>
      <c r="Z65" s="39"/>
      <c r="AA65" s="148"/>
      <c r="AB65" s="151"/>
      <c r="AC65" s="153"/>
      <c r="AD65" s="154"/>
      <c r="AE65" s="155"/>
    </row>
    <row r="66" spans="1:31" ht="71.25" x14ac:dyDescent="0.2">
      <c r="A66" s="9">
        <v>241</v>
      </c>
      <c r="B66" s="31" t="s">
        <v>98</v>
      </c>
      <c r="C66" s="31" t="s">
        <v>106</v>
      </c>
      <c r="D66" s="18" t="s">
        <v>207</v>
      </c>
      <c r="E66" s="19" t="s">
        <v>217</v>
      </c>
      <c r="F66" s="85" t="s">
        <v>218</v>
      </c>
      <c r="G66" s="124">
        <v>2021680010056</v>
      </c>
      <c r="H66" s="70" t="s">
        <v>219</v>
      </c>
      <c r="I66" s="89" t="s">
        <v>220</v>
      </c>
      <c r="J66" s="46">
        <v>44562</v>
      </c>
      <c r="K66" s="46">
        <v>44926</v>
      </c>
      <c r="L66" s="57">
        <v>1</v>
      </c>
      <c r="M66" s="112">
        <v>1</v>
      </c>
      <c r="N66" s="53">
        <f>IFERROR(IF(M66/L66&gt;100%,100%,M66/L66),"-")</f>
        <v>1</v>
      </c>
      <c r="O66" s="79" t="s">
        <v>221</v>
      </c>
      <c r="P66" s="136">
        <v>205000000</v>
      </c>
      <c r="Q66" s="39"/>
      <c r="R66" s="39"/>
      <c r="S66" s="133"/>
      <c r="T66" s="37">
        <v>187000000</v>
      </c>
      <c r="U66" s="54">
        <f>SUM(P66:T66)</f>
        <v>392000000</v>
      </c>
      <c r="V66" s="39">
        <v>14816666.67</v>
      </c>
      <c r="W66" s="39"/>
      <c r="X66" s="39"/>
      <c r="Y66" s="133"/>
      <c r="Z66" s="39">
        <f>102000000+78800000</f>
        <v>180800000</v>
      </c>
      <c r="AA66" s="54">
        <f>SUM(V66:Z66)</f>
        <v>195616666.66999999</v>
      </c>
      <c r="AB66" s="55">
        <f>IFERROR(AA66/U66,"-")</f>
        <v>0.49902210885204079</v>
      </c>
      <c r="AC66" s="51"/>
      <c r="AD66" s="49" t="s">
        <v>44</v>
      </c>
      <c r="AE66" s="50" t="s">
        <v>45</v>
      </c>
    </row>
    <row r="67" spans="1:31" ht="71.25" x14ac:dyDescent="0.2">
      <c r="A67" s="9">
        <v>242</v>
      </c>
      <c r="B67" s="31" t="s">
        <v>98</v>
      </c>
      <c r="C67" s="31" t="s">
        <v>106</v>
      </c>
      <c r="D67" s="18" t="s">
        <v>207</v>
      </c>
      <c r="E67" s="19" t="s">
        <v>222</v>
      </c>
      <c r="F67" s="85" t="s">
        <v>223</v>
      </c>
      <c r="G67" s="124">
        <v>2021680010160</v>
      </c>
      <c r="H67" s="70" t="s">
        <v>110</v>
      </c>
      <c r="I67" s="70"/>
      <c r="J67" s="46">
        <v>44562</v>
      </c>
      <c r="K67" s="46">
        <v>44926</v>
      </c>
      <c r="L67" s="57">
        <v>1</v>
      </c>
      <c r="M67" s="112">
        <v>0.7</v>
      </c>
      <c r="N67" s="53">
        <f>IFERROR(IF(M67/L67&gt;100%,100%,M67/L67),"-")</f>
        <v>0.7</v>
      </c>
      <c r="O67" s="78" t="s">
        <v>224</v>
      </c>
      <c r="P67" s="37">
        <f>58800000+21000000+48853332</f>
        <v>128653332</v>
      </c>
      <c r="Q67" s="39"/>
      <c r="R67" s="39"/>
      <c r="S67" s="133"/>
      <c r="T67" s="39"/>
      <c r="U67" s="54">
        <f>SUM(P67:T67)</f>
        <v>128653332</v>
      </c>
      <c r="V67" s="39">
        <f>70200000+20533333.33-4316667</f>
        <v>86416666.329999998</v>
      </c>
      <c r="W67" s="39"/>
      <c r="X67" s="39"/>
      <c r="Y67" s="133"/>
      <c r="Z67" s="39"/>
      <c r="AA67" s="54">
        <f>SUM(V67:Z67)</f>
        <v>86416666.329999998</v>
      </c>
      <c r="AB67" s="55">
        <f>IFERROR(AA67/U67,"-")</f>
        <v>0.67170173509381004</v>
      </c>
      <c r="AC67" s="51"/>
      <c r="AD67" s="49" t="s">
        <v>44</v>
      </c>
      <c r="AE67" s="50" t="s">
        <v>45</v>
      </c>
    </row>
    <row r="68" spans="1:31" ht="71.25" x14ac:dyDescent="0.2">
      <c r="A68" s="9">
        <v>243</v>
      </c>
      <c r="B68" s="31" t="s">
        <v>98</v>
      </c>
      <c r="C68" s="31" t="s">
        <v>106</v>
      </c>
      <c r="D68" s="18" t="s">
        <v>207</v>
      </c>
      <c r="E68" s="19" t="s">
        <v>225</v>
      </c>
      <c r="F68" s="85" t="s">
        <v>226</v>
      </c>
      <c r="G68" s="124">
        <v>2021680010160</v>
      </c>
      <c r="H68" s="70" t="s">
        <v>110</v>
      </c>
      <c r="I68" s="71"/>
      <c r="J68" s="46">
        <v>44562</v>
      </c>
      <c r="K68" s="46">
        <v>44926</v>
      </c>
      <c r="L68" s="57">
        <v>1</v>
      </c>
      <c r="M68" s="112">
        <v>1</v>
      </c>
      <c r="N68" s="53">
        <f>IFERROR(IF(M68/L68&gt;100%,100%,M68/L68),"-")</f>
        <v>1</v>
      </c>
      <c r="O68" s="78" t="s">
        <v>227</v>
      </c>
      <c r="P68" s="37">
        <f>36000000+28800000</f>
        <v>64800000</v>
      </c>
      <c r="Q68" s="39"/>
      <c r="R68" s="39"/>
      <c r="S68" s="133"/>
      <c r="T68" s="39"/>
      <c r="U68" s="54">
        <f>SUM(P68:T68)</f>
        <v>64800000</v>
      </c>
      <c r="V68" s="39">
        <f>36000000+27200000</f>
        <v>63200000</v>
      </c>
      <c r="W68" s="39"/>
      <c r="X68" s="39"/>
      <c r="Y68" s="133"/>
      <c r="Z68" s="39"/>
      <c r="AA68" s="54">
        <f>SUM(V68:Z68)</f>
        <v>63200000</v>
      </c>
      <c r="AB68" s="55">
        <f>IFERROR(AA68/U68,"-")</f>
        <v>0.97530864197530864</v>
      </c>
      <c r="AC68" s="51"/>
      <c r="AD68" s="49" t="s">
        <v>44</v>
      </c>
      <c r="AE68" s="50" t="s">
        <v>45</v>
      </c>
    </row>
    <row r="69" spans="1:31" ht="85.5" x14ac:dyDescent="0.2">
      <c r="A69" s="9">
        <v>244</v>
      </c>
      <c r="B69" s="31" t="s">
        <v>98</v>
      </c>
      <c r="C69" s="31" t="s">
        <v>106</v>
      </c>
      <c r="D69" s="18" t="s">
        <v>228</v>
      </c>
      <c r="E69" s="19" t="s">
        <v>229</v>
      </c>
      <c r="F69" s="85" t="s">
        <v>230</v>
      </c>
      <c r="G69" s="124">
        <v>2021680010157</v>
      </c>
      <c r="H69" s="70" t="s">
        <v>231</v>
      </c>
      <c r="I69" s="69"/>
      <c r="J69" s="46">
        <v>44562</v>
      </c>
      <c r="K69" s="46">
        <v>44926</v>
      </c>
      <c r="L69" s="168">
        <v>1</v>
      </c>
      <c r="M69" s="184">
        <v>1</v>
      </c>
      <c r="N69" s="157">
        <f>IFERROR(IF(M69/L69&gt;100%,100%,M69/L69),"-")</f>
        <v>1</v>
      </c>
      <c r="O69" s="93" t="s">
        <v>232</v>
      </c>
      <c r="P69" s="37">
        <v>150000000</v>
      </c>
      <c r="Q69" s="39"/>
      <c r="R69" s="39"/>
      <c r="S69" s="39"/>
      <c r="T69" s="39"/>
      <c r="U69" s="147">
        <f>SUM(P69:T70)</f>
        <v>168481865</v>
      </c>
      <c r="V69" s="39">
        <f>51000000+17723503+8861692+37466666.67+4876605.31</f>
        <v>119928466.98</v>
      </c>
      <c r="W69" s="39"/>
      <c r="X69" s="39"/>
      <c r="Y69" s="39"/>
      <c r="Z69" s="39"/>
      <c r="AA69" s="147">
        <f>SUM(V69:Z70)</f>
        <v>138410331.98000002</v>
      </c>
      <c r="AB69" s="150">
        <f>IFERROR(AA69/U69,"-")</f>
        <v>0.82151471898770834</v>
      </c>
      <c r="AC69" s="141"/>
      <c r="AD69" s="143" t="s">
        <v>44</v>
      </c>
      <c r="AE69" s="145" t="s">
        <v>45</v>
      </c>
    </row>
    <row r="70" spans="1:31" ht="85.5" x14ac:dyDescent="0.2">
      <c r="A70" s="9">
        <v>244</v>
      </c>
      <c r="B70" s="31" t="s">
        <v>98</v>
      </c>
      <c r="C70" s="31" t="s">
        <v>106</v>
      </c>
      <c r="D70" s="18" t="s">
        <v>228</v>
      </c>
      <c r="E70" s="19" t="s">
        <v>229</v>
      </c>
      <c r="F70" s="85" t="s">
        <v>230</v>
      </c>
      <c r="G70" s="121">
        <v>2021680010086</v>
      </c>
      <c r="H70" s="70" t="s">
        <v>42</v>
      </c>
      <c r="I70" s="69"/>
      <c r="J70" s="46">
        <v>44562</v>
      </c>
      <c r="K70" s="46">
        <v>44926</v>
      </c>
      <c r="L70" s="180"/>
      <c r="M70" s="185"/>
      <c r="N70" s="183"/>
      <c r="O70" s="73" t="s">
        <v>233</v>
      </c>
      <c r="P70" s="37"/>
      <c r="Q70" s="39"/>
      <c r="R70" s="39"/>
      <c r="S70" s="133"/>
      <c r="T70" s="39">
        <v>18481865</v>
      </c>
      <c r="U70" s="148"/>
      <c r="V70" s="39"/>
      <c r="W70" s="39"/>
      <c r="X70" s="39"/>
      <c r="Y70" s="133"/>
      <c r="Z70" s="39">
        <v>18481865</v>
      </c>
      <c r="AA70" s="148"/>
      <c r="AB70" s="151"/>
      <c r="AC70" s="153"/>
      <c r="AD70" s="154"/>
      <c r="AE70" s="155"/>
    </row>
    <row r="71" spans="1:31" ht="57" x14ac:dyDescent="0.2">
      <c r="A71" s="9">
        <v>239</v>
      </c>
      <c r="B71" s="31" t="s">
        <v>98</v>
      </c>
      <c r="C71" s="31" t="s">
        <v>106</v>
      </c>
      <c r="D71" s="31" t="s">
        <v>207</v>
      </c>
      <c r="E71" s="19" t="s">
        <v>234</v>
      </c>
      <c r="F71" s="85" t="s">
        <v>235</v>
      </c>
      <c r="G71" s="124">
        <v>2021680010153</v>
      </c>
      <c r="H71" s="70" t="s">
        <v>236</v>
      </c>
      <c r="I71" s="69" t="s">
        <v>131</v>
      </c>
      <c r="J71" s="46">
        <v>44562</v>
      </c>
      <c r="K71" s="46">
        <v>44926</v>
      </c>
      <c r="L71" s="179">
        <v>1</v>
      </c>
      <c r="M71" s="181">
        <v>0.7</v>
      </c>
      <c r="N71" s="164">
        <f>IFERROR(IF(M71/L71&gt;100%,100%,M71/L71),"-")</f>
        <v>0.7</v>
      </c>
      <c r="O71" s="80" t="s">
        <v>237</v>
      </c>
      <c r="P71" s="37">
        <v>25000000</v>
      </c>
      <c r="Q71" s="39"/>
      <c r="R71" s="39"/>
      <c r="S71" s="133"/>
      <c r="T71" s="39"/>
      <c r="U71" s="147">
        <f>SUM(P71:T72)</f>
        <v>444453997</v>
      </c>
      <c r="V71" s="37">
        <v>25000000</v>
      </c>
      <c r="W71" s="37"/>
      <c r="X71" s="37"/>
      <c r="Y71" s="134"/>
      <c r="Z71" s="37"/>
      <c r="AA71" s="147">
        <f>SUM(V71:Z72)</f>
        <v>234296666.67000002</v>
      </c>
      <c r="AB71" s="150">
        <f>IFERROR(AA71/U71,"-")</f>
        <v>0.52715616970815549</v>
      </c>
      <c r="AC71" s="141"/>
      <c r="AD71" s="143" t="s">
        <v>44</v>
      </c>
      <c r="AE71" s="145" t="s">
        <v>45</v>
      </c>
    </row>
    <row r="72" spans="1:31" ht="57" x14ac:dyDescent="0.2">
      <c r="A72" s="9">
        <v>239</v>
      </c>
      <c r="B72" s="31" t="s">
        <v>98</v>
      </c>
      <c r="C72" s="31" t="s">
        <v>106</v>
      </c>
      <c r="D72" s="31" t="s">
        <v>207</v>
      </c>
      <c r="E72" s="19" t="s">
        <v>234</v>
      </c>
      <c r="F72" s="85" t="s">
        <v>235</v>
      </c>
      <c r="G72" s="121">
        <v>2021680010086</v>
      </c>
      <c r="H72" s="70" t="s">
        <v>42</v>
      </c>
      <c r="I72" s="69"/>
      <c r="J72" s="46">
        <v>44562</v>
      </c>
      <c r="K72" s="46">
        <v>44926</v>
      </c>
      <c r="L72" s="180"/>
      <c r="M72" s="182"/>
      <c r="N72" s="183"/>
      <c r="O72" s="73" t="s">
        <v>238</v>
      </c>
      <c r="P72" s="37"/>
      <c r="Q72" s="39"/>
      <c r="R72" s="39"/>
      <c r="S72" s="133"/>
      <c r="T72" s="39">
        <v>419453997</v>
      </c>
      <c r="U72" s="148"/>
      <c r="V72" s="39"/>
      <c r="W72" s="39"/>
      <c r="X72" s="39"/>
      <c r="Y72" s="133"/>
      <c r="Z72" s="39">
        <f>160843500-48643500+42830000+17400000+27066666.67+9800000</f>
        <v>209296666.67000002</v>
      </c>
      <c r="AA72" s="148"/>
      <c r="AB72" s="151"/>
      <c r="AC72" s="153"/>
      <c r="AD72" s="154"/>
      <c r="AE72" s="155"/>
    </row>
    <row r="73" spans="1:31" ht="85.5" x14ac:dyDescent="0.2">
      <c r="A73" s="9">
        <v>245</v>
      </c>
      <c r="B73" s="31" t="s">
        <v>98</v>
      </c>
      <c r="C73" s="31" t="s">
        <v>106</v>
      </c>
      <c r="D73" s="18" t="s">
        <v>228</v>
      </c>
      <c r="E73" s="19" t="s">
        <v>239</v>
      </c>
      <c r="F73" s="85" t="s">
        <v>240</v>
      </c>
      <c r="G73" s="124">
        <v>2020680010034</v>
      </c>
      <c r="H73" s="70" t="s">
        <v>214</v>
      </c>
      <c r="I73" s="69" t="s">
        <v>215</v>
      </c>
      <c r="J73" s="46">
        <v>44562</v>
      </c>
      <c r="K73" s="46">
        <v>44926</v>
      </c>
      <c r="L73" s="168">
        <v>3</v>
      </c>
      <c r="M73" s="184">
        <v>3</v>
      </c>
      <c r="N73" s="157">
        <f>IFERROR(IF(M73/L73&gt;100%,100%,M73/L73),"-")</f>
        <v>1</v>
      </c>
      <c r="O73" s="81" t="s">
        <v>241</v>
      </c>
      <c r="P73" s="37">
        <f>216000000+329944999</f>
        <v>545944999</v>
      </c>
      <c r="Q73" s="40"/>
      <c r="R73" s="40"/>
      <c r="S73" s="137"/>
      <c r="T73" s="40"/>
      <c r="U73" s="147">
        <f>SUM(P73:T75)</f>
        <v>703215328.20000005</v>
      </c>
      <c r="V73" s="39">
        <f>216000000+39866667+22666+136196667+19040000+28560000</f>
        <v>439686000</v>
      </c>
      <c r="W73" s="39"/>
      <c r="X73" s="39"/>
      <c r="Y73" s="133"/>
      <c r="Z73" s="39"/>
      <c r="AA73" s="147">
        <f>SUM(V73:Z75)</f>
        <v>596646996.84000003</v>
      </c>
      <c r="AB73" s="150">
        <f>IFERROR(AA73/U73,"-")</f>
        <v>0.84845561937226266</v>
      </c>
      <c r="AC73" s="141"/>
      <c r="AD73" s="143" t="s">
        <v>44</v>
      </c>
      <c r="AE73" s="145" t="s">
        <v>45</v>
      </c>
    </row>
    <row r="74" spans="1:31" ht="85.5" x14ac:dyDescent="0.2">
      <c r="A74" s="9">
        <v>245</v>
      </c>
      <c r="B74" s="31" t="s">
        <v>98</v>
      </c>
      <c r="C74" s="31" t="s">
        <v>106</v>
      </c>
      <c r="D74" s="18" t="s">
        <v>228</v>
      </c>
      <c r="E74" s="19" t="s">
        <v>239</v>
      </c>
      <c r="F74" s="85" t="s">
        <v>240</v>
      </c>
      <c r="G74" s="124">
        <v>2021680010147</v>
      </c>
      <c r="H74" s="90" t="s">
        <v>212</v>
      </c>
      <c r="I74" s="91"/>
      <c r="J74" s="60">
        <v>44562</v>
      </c>
      <c r="K74" s="60">
        <v>44926</v>
      </c>
      <c r="L74" s="179"/>
      <c r="M74" s="189"/>
      <c r="N74" s="164"/>
      <c r="O74" s="44" t="s">
        <v>242</v>
      </c>
      <c r="P74" s="37">
        <v>40519431</v>
      </c>
      <c r="Q74" s="39"/>
      <c r="R74" s="39"/>
      <c r="S74" s="133"/>
      <c r="T74" s="39"/>
      <c r="U74" s="148"/>
      <c r="V74" s="37">
        <f>30035600+10174500</f>
        <v>40210100</v>
      </c>
      <c r="W74" s="37"/>
      <c r="X74" s="37"/>
      <c r="Y74" s="134"/>
      <c r="Z74" s="37"/>
      <c r="AA74" s="148"/>
      <c r="AB74" s="151"/>
      <c r="AC74" s="142"/>
      <c r="AD74" s="144"/>
      <c r="AE74" s="146"/>
    </row>
    <row r="75" spans="1:31" ht="85.5" x14ac:dyDescent="0.2">
      <c r="A75" s="9">
        <v>245</v>
      </c>
      <c r="B75" s="31" t="s">
        <v>98</v>
      </c>
      <c r="C75" s="31" t="s">
        <v>106</v>
      </c>
      <c r="D75" s="18" t="s">
        <v>228</v>
      </c>
      <c r="E75" s="19" t="s">
        <v>239</v>
      </c>
      <c r="F75" s="85" t="s">
        <v>240</v>
      </c>
      <c r="G75" s="124">
        <v>2021680010175</v>
      </c>
      <c r="H75" s="70" t="s">
        <v>243</v>
      </c>
      <c r="I75" s="69"/>
      <c r="J75" s="46"/>
      <c r="K75" s="46"/>
      <c r="L75" s="169"/>
      <c r="M75" s="190"/>
      <c r="N75" s="158"/>
      <c r="O75" s="78" t="s">
        <v>244</v>
      </c>
      <c r="P75" s="37"/>
      <c r="Q75" s="39"/>
      <c r="R75" s="39"/>
      <c r="S75" s="133"/>
      <c r="T75" s="39">
        <v>116750898.2</v>
      </c>
      <c r="U75" s="149"/>
      <c r="V75" s="37"/>
      <c r="W75" s="37"/>
      <c r="X75" s="37"/>
      <c r="Y75" s="134"/>
      <c r="Z75" s="37">
        <v>116750896.84</v>
      </c>
      <c r="AA75" s="149"/>
      <c r="AB75" s="152"/>
      <c r="AC75" s="56"/>
      <c r="AD75" s="63" t="s">
        <v>44</v>
      </c>
      <c r="AE75" s="64" t="s">
        <v>45</v>
      </c>
    </row>
    <row r="76" spans="1:31" ht="85.5" x14ac:dyDescent="0.2">
      <c r="A76" s="9">
        <v>246</v>
      </c>
      <c r="B76" s="29" t="s">
        <v>98</v>
      </c>
      <c r="C76" s="29" t="s">
        <v>106</v>
      </c>
      <c r="D76" s="14" t="s">
        <v>228</v>
      </c>
      <c r="E76" s="15" t="s">
        <v>245</v>
      </c>
      <c r="F76" s="69" t="s">
        <v>246</v>
      </c>
      <c r="G76" s="124">
        <v>2021680010160</v>
      </c>
      <c r="H76" s="90" t="s">
        <v>110</v>
      </c>
      <c r="I76" s="71"/>
      <c r="J76" s="46">
        <v>44562</v>
      </c>
      <c r="K76" s="46">
        <v>44926</v>
      </c>
      <c r="L76" s="98">
        <v>1</v>
      </c>
      <c r="M76" s="114">
        <v>0.75</v>
      </c>
      <c r="N76" s="53">
        <f t="shared" ref="N76:N89" si="4">IFERROR(IF(M76/L76&gt;100%,100%,M76/L76),"-")</f>
        <v>0.75</v>
      </c>
      <c r="O76" s="74" t="s">
        <v>247</v>
      </c>
      <c r="P76" s="37">
        <f>54000000+42400000</f>
        <v>96400000</v>
      </c>
      <c r="Q76" s="39"/>
      <c r="R76" s="39"/>
      <c r="S76" s="133"/>
      <c r="T76" s="39"/>
      <c r="U76" s="54">
        <f>SUM(P76:T76)</f>
        <v>96400000</v>
      </c>
      <c r="V76" s="37">
        <f>54000000+12800000+13533333.33+9180000</f>
        <v>89513333.329999998</v>
      </c>
      <c r="W76" s="39"/>
      <c r="X76" s="39"/>
      <c r="Y76" s="133"/>
      <c r="Z76" s="39"/>
      <c r="AA76" s="54">
        <f>SUM(V76:Z76)</f>
        <v>89513333.329999998</v>
      </c>
      <c r="AB76" s="55">
        <f>IFERROR(AA76/U76,"-")</f>
        <v>0.92856154906638999</v>
      </c>
      <c r="AC76" s="56"/>
      <c r="AD76" s="49" t="s">
        <v>44</v>
      </c>
      <c r="AE76" s="50" t="s">
        <v>45</v>
      </c>
    </row>
    <row r="77" spans="1:31" ht="57" x14ac:dyDescent="0.2">
      <c r="A77" s="9">
        <v>262</v>
      </c>
      <c r="B77" s="29" t="s">
        <v>98</v>
      </c>
      <c r="C77" s="29" t="s">
        <v>248</v>
      </c>
      <c r="D77" s="14" t="s">
        <v>249</v>
      </c>
      <c r="E77" s="15" t="s">
        <v>250</v>
      </c>
      <c r="F77" s="69" t="s">
        <v>251</v>
      </c>
      <c r="G77" s="124">
        <v>2021680010154</v>
      </c>
      <c r="H77" s="70" t="s">
        <v>252</v>
      </c>
      <c r="I77" s="71" t="s">
        <v>253</v>
      </c>
      <c r="J77" s="46">
        <v>44562</v>
      </c>
      <c r="K77" s="46">
        <v>44926</v>
      </c>
      <c r="L77" s="57">
        <v>1</v>
      </c>
      <c r="M77" s="114">
        <v>0.7</v>
      </c>
      <c r="N77" s="53">
        <f t="shared" si="4"/>
        <v>0.7</v>
      </c>
      <c r="O77" s="73" t="s">
        <v>254</v>
      </c>
      <c r="P77" s="37">
        <f>10000000+10000000</f>
        <v>20000000</v>
      </c>
      <c r="Q77" s="39"/>
      <c r="R77" s="39"/>
      <c r="S77" s="133"/>
      <c r="T77" s="39"/>
      <c r="U77" s="54">
        <f>SUM(P77:T77)</f>
        <v>20000000</v>
      </c>
      <c r="V77" s="37">
        <v>9999000</v>
      </c>
      <c r="W77" s="37"/>
      <c r="X77" s="37"/>
      <c r="Y77" s="134"/>
      <c r="Z77" s="37"/>
      <c r="AA77" s="54">
        <f>SUM(V77:Z77)</f>
        <v>9999000</v>
      </c>
      <c r="AB77" s="55">
        <f>IFERROR(AA77/U77,"-")</f>
        <v>0.49995000000000001</v>
      </c>
      <c r="AC77" s="17"/>
      <c r="AD77" s="23" t="s">
        <v>44</v>
      </c>
      <c r="AE77" s="30" t="s">
        <v>45</v>
      </c>
    </row>
    <row r="78" spans="1:31" ht="42.75" x14ac:dyDescent="0.2">
      <c r="A78" s="9">
        <v>263</v>
      </c>
      <c r="B78" s="29" t="s">
        <v>98</v>
      </c>
      <c r="C78" s="29" t="s">
        <v>248</v>
      </c>
      <c r="D78" s="14" t="s">
        <v>249</v>
      </c>
      <c r="E78" s="15" t="s">
        <v>255</v>
      </c>
      <c r="F78" s="69" t="s">
        <v>256</v>
      </c>
      <c r="G78" s="122">
        <v>2021680010165</v>
      </c>
      <c r="H78" s="70" t="s">
        <v>257</v>
      </c>
      <c r="I78" s="71"/>
      <c r="J78" s="46">
        <v>44562</v>
      </c>
      <c r="K78" s="46">
        <v>44926</v>
      </c>
      <c r="L78" s="161">
        <v>1</v>
      </c>
      <c r="M78" s="159">
        <v>0.7</v>
      </c>
      <c r="N78" s="157">
        <f t="shared" si="4"/>
        <v>0.7</v>
      </c>
      <c r="O78" s="74" t="s">
        <v>258</v>
      </c>
      <c r="P78" s="37">
        <v>22713843</v>
      </c>
      <c r="Q78" s="39"/>
      <c r="R78" s="39"/>
      <c r="S78" s="133"/>
      <c r="T78" s="39"/>
      <c r="U78" s="147">
        <f>SUM(P78:T80)</f>
        <v>3585381382</v>
      </c>
      <c r="V78" s="37"/>
      <c r="W78" s="37"/>
      <c r="X78" s="37"/>
      <c r="Y78" s="134"/>
      <c r="Z78" s="37"/>
      <c r="AA78" s="147">
        <f>SUM(V78:Z80)</f>
        <v>134000000</v>
      </c>
      <c r="AB78" s="150">
        <f>IFERROR(AA78/U78,"-")</f>
        <v>3.7373987791851596E-2</v>
      </c>
      <c r="AC78" s="17"/>
      <c r="AD78" s="23" t="s">
        <v>44</v>
      </c>
      <c r="AE78" s="30" t="s">
        <v>45</v>
      </c>
    </row>
    <row r="79" spans="1:31" ht="42.75" x14ac:dyDescent="0.2">
      <c r="A79" s="9">
        <v>263</v>
      </c>
      <c r="B79" s="29" t="s">
        <v>98</v>
      </c>
      <c r="C79" s="29" t="s">
        <v>248</v>
      </c>
      <c r="D79" s="14" t="s">
        <v>249</v>
      </c>
      <c r="E79" s="15" t="s">
        <v>255</v>
      </c>
      <c r="F79" s="69" t="s">
        <v>256</v>
      </c>
      <c r="G79" s="122">
        <v>2021680010165</v>
      </c>
      <c r="H79" s="70" t="s">
        <v>257</v>
      </c>
      <c r="I79" s="119" t="s">
        <v>170</v>
      </c>
      <c r="J79" s="46">
        <v>44562</v>
      </c>
      <c r="K79" s="46">
        <v>44926</v>
      </c>
      <c r="L79" s="165"/>
      <c r="M79" s="163"/>
      <c r="N79" s="164"/>
      <c r="O79" s="44" t="s">
        <v>259</v>
      </c>
      <c r="P79" s="37">
        <v>3422667539</v>
      </c>
      <c r="Q79" s="39"/>
      <c r="R79" s="39"/>
      <c r="S79" s="133"/>
      <c r="T79" s="39"/>
      <c r="U79" s="148"/>
      <c r="V79" s="37"/>
      <c r="W79" s="37"/>
      <c r="X79" s="37"/>
      <c r="Y79" s="134"/>
      <c r="Z79" s="37"/>
      <c r="AA79" s="148"/>
      <c r="AB79" s="151"/>
      <c r="AC79" s="17"/>
      <c r="AD79" s="23" t="s">
        <v>44</v>
      </c>
      <c r="AE79" s="30" t="s">
        <v>45</v>
      </c>
    </row>
    <row r="80" spans="1:31" ht="42.75" x14ac:dyDescent="0.2">
      <c r="A80" s="9">
        <v>263</v>
      </c>
      <c r="B80" s="29" t="s">
        <v>98</v>
      </c>
      <c r="C80" s="29" t="s">
        <v>248</v>
      </c>
      <c r="D80" s="14" t="s">
        <v>249</v>
      </c>
      <c r="E80" s="15" t="s">
        <v>255</v>
      </c>
      <c r="F80" s="69" t="s">
        <v>256</v>
      </c>
      <c r="G80" s="124">
        <v>2021680010077</v>
      </c>
      <c r="H80" s="70" t="s">
        <v>257</v>
      </c>
      <c r="I80" s="71"/>
      <c r="J80" s="46">
        <v>44562</v>
      </c>
      <c r="K80" s="46">
        <v>44926</v>
      </c>
      <c r="L80" s="162"/>
      <c r="M80" s="160"/>
      <c r="N80" s="158"/>
      <c r="O80" s="44" t="s">
        <v>260</v>
      </c>
      <c r="P80" s="37">
        <v>140000000</v>
      </c>
      <c r="Q80" s="39"/>
      <c r="R80" s="39"/>
      <c r="S80" s="133"/>
      <c r="T80" s="39"/>
      <c r="U80" s="149"/>
      <c r="V80" s="37">
        <v>134000000</v>
      </c>
      <c r="W80" s="37"/>
      <c r="X80" s="37"/>
      <c r="Y80" s="134"/>
      <c r="Z80" s="37"/>
      <c r="AA80" s="149"/>
      <c r="AB80" s="152"/>
      <c r="AC80" s="17"/>
      <c r="AD80" s="23" t="s">
        <v>44</v>
      </c>
      <c r="AE80" s="30" t="s">
        <v>45</v>
      </c>
    </row>
    <row r="81" spans="1:31" ht="57" x14ac:dyDescent="0.2">
      <c r="A81" s="9">
        <v>264</v>
      </c>
      <c r="B81" s="29" t="s">
        <v>98</v>
      </c>
      <c r="C81" s="29" t="s">
        <v>248</v>
      </c>
      <c r="D81" s="14" t="s">
        <v>249</v>
      </c>
      <c r="E81" s="15" t="s">
        <v>261</v>
      </c>
      <c r="F81" s="69" t="s">
        <v>262</v>
      </c>
      <c r="G81" s="124">
        <v>2021680010127</v>
      </c>
      <c r="H81" s="70" t="s">
        <v>263</v>
      </c>
      <c r="I81" s="71"/>
      <c r="J81" s="46">
        <v>44562</v>
      </c>
      <c r="K81" s="46">
        <v>44926</v>
      </c>
      <c r="L81" s="168">
        <v>1</v>
      </c>
      <c r="M81" s="166">
        <v>0.75</v>
      </c>
      <c r="N81" s="157">
        <f t="shared" si="4"/>
        <v>0.75</v>
      </c>
      <c r="O81" s="73" t="s">
        <v>264</v>
      </c>
      <c r="P81" s="37">
        <v>20000000</v>
      </c>
      <c r="Q81" s="39"/>
      <c r="R81" s="39"/>
      <c r="S81" s="133"/>
      <c r="T81" s="39"/>
      <c r="U81" s="147">
        <f>SUM(P81:T82)</f>
        <v>50000000</v>
      </c>
      <c r="V81" s="37">
        <f>16000000+1199930+1676000+837712</f>
        <v>19713642</v>
      </c>
      <c r="W81" s="37"/>
      <c r="X81" s="37"/>
      <c r="Y81" s="134"/>
      <c r="Z81" s="37"/>
      <c r="AA81" s="147">
        <f>SUM(V81:Z82)</f>
        <v>19713642</v>
      </c>
      <c r="AB81" s="150">
        <f>IFERROR(AA81/U81,"-")</f>
        <v>0.39427284000000001</v>
      </c>
      <c r="AC81" s="17"/>
      <c r="AD81" s="23" t="s">
        <v>44</v>
      </c>
      <c r="AE81" s="30" t="s">
        <v>45</v>
      </c>
    </row>
    <row r="82" spans="1:31" ht="57" x14ac:dyDescent="0.2">
      <c r="A82" s="9">
        <v>264</v>
      </c>
      <c r="B82" s="29" t="s">
        <v>98</v>
      </c>
      <c r="C82" s="29" t="s">
        <v>248</v>
      </c>
      <c r="D82" s="14" t="s">
        <v>249</v>
      </c>
      <c r="E82" s="15" t="s">
        <v>261</v>
      </c>
      <c r="F82" s="69" t="s">
        <v>262</v>
      </c>
      <c r="G82" s="124">
        <v>2021680010127</v>
      </c>
      <c r="H82" s="70" t="s">
        <v>263</v>
      </c>
      <c r="I82" s="84" t="s">
        <v>170</v>
      </c>
      <c r="J82" s="46">
        <v>44562</v>
      </c>
      <c r="K82" s="46">
        <v>44926</v>
      </c>
      <c r="L82" s="169"/>
      <c r="M82" s="167"/>
      <c r="N82" s="158"/>
      <c r="O82" s="96" t="s">
        <v>265</v>
      </c>
      <c r="P82" s="37">
        <v>30000000</v>
      </c>
      <c r="Q82" s="39"/>
      <c r="R82" s="39"/>
      <c r="S82" s="133"/>
      <c r="T82" s="39"/>
      <c r="U82" s="149"/>
      <c r="V82" s="37"/>
      <c r="W82" s="37"/>
      <c r="X82" s="37"/>
      <c r="Y82" s="134"/>
      <c r="Z82" s="37"/>
      <c r="AA82" s="149"/>
      <c r="AB82" s="152"/>
      <c r="AC82" s="17"/>
      <c r="AD82" s="23" t="s">
        <v>44</v>
      </c>
      <c r="AE82" s="30" t="s">
        <v>45</v>
      </c>
    </row>
    <row r="83" spans="1:31" ht="57" x14ac:dyDescent="0.2">
      <c r="A83" s="9">
        <v>265</v>
      </c>
      <c r="B83" s="31" t="s">
        <v>98</v>
      </c>
      <c r="C83" s="31" t="s">
        <v>248</v>
      </c>
      <c r="D83" s="18" t="s">
        <v>266</v>
      </c>
      <c r="E83" s="19" t="s">
        <v>267</v>
      </c>
      <c r="F83" s="85" t="s">
        <v>268</v>
      </c>
      <c r="G83" s="124">
        <v>2020680010052</v>
      </c>
      <c r="H83" s="70" t="s">
        <v>269</v>
      </c>
      <c r="I83" s="69" t="s">
        <v>270</v>
      </c>
      <c r="J83" s="46">
        <v>44562</v>
      </c>
      <c r="K83" s="46">
        <v>44926</v>
      </c>
      <c r="L83" s="58">
        <v>1</v>
      </c>
      <c r="M83" s="115">
        <v>1</v>
      </c>
      <c r="N83" s="62">
        <f t="shared" si="4"/>
        <v>1</v>
      </c>
      <c r="O83" s="75" t="s">
        <v>271</v>
      </c>
      <c r="P83" s="37">
        <v>77000000</v>
      </c>
      <c r="Q83" s="39"/>
      <c r="R83" s="39"/>
      <c r="S83" s="133"/>
      <c r="T83" s="39"/>
      <c r="U83" s="42">
        <f>SUM(P83:T83)</f>
        <v>77000000</v>
      </c>
      <c r="V83" s="39">
        <f>30000000+12800000+18400000</f>
        <v>61200000</v>
      </c>
      <c r="W83" s="39"/>
      <c r="X83" s="39"/>
      <c r="Y83" s="133"/>
      <c r="Z83" s="39"/>
      <c r="AA83" s="42">
        <f>SUM(V83:Z83)</f>
        <v>61200000</v>
      </c>
      <c r="AB83" s="16">
        <f>IFERROR(AA83/U83,"-")</f>
        <v>0.79480519480519485</v>
      </c>
      <c r="AC83" s="17"/>
      <c r="AD83" s="23" t="s">
        <v>44</v>
      </c>
      <c r="AE83" s="30" t="s">
        <v>45</v>
      </c>
    </row>
    <row r="84" spans="1:31" ht="57" x14ac:dyDescent="0.2">
      <c r="A84" s="9">
        <v>266</v>
      </c>
      <c r="B84" s="29" t="s">
        <v>98</v>
      </c>
      <c r="C84" s="29" t="s">
        <v>248</v>
      </c>
      <c r="D84" s="14" t="s">
        <v>266</v>
      </c>
      <c r="E84" s="15" t="s">
        <v>272</v>
      </c>
      <c r="F84" s="69" t="s">
        <v>273</v>
      </c>
      <c r="G84" s="124">
        <v>2020680010052</v>
      </c>
      <c r="H84" s="70" t="s">
        <v>269</v>
      </c>
      <c r="I84" s="69" t="s">
        <v>270</v>
      </c>
      <c r="J84" s="46">
        <v>44562</v>
      </c>
      <c r="K84" s="46">
        <v>44926</v>
      </c>
      <c r="L84" s="61">
        <v>1</v>
      </c>
      <c r="M84" s="111">
        <v>1</v>
      </c>
      <c r="N84" s="62">
        <f t="shared" si="4"/>
        <v>1</v>
      </c>
      <c r="O84" s="82" t="s">
        <v>274</v>
      </c>
      <c r="P84" s="37">
        <v>55000000</v>
      </c>
      <c r="Q84" s="39"/>
      <c r="R84" s="39"/>
      <c r="S84" s="133"/>
      <c r="T84" s="39"/>
      <c r="U84" s="42">
        <f>SUM(P84:T84)</f>
        <v>55000000</v>
      </c>
      <c r="V84" s="39">
        <f>20000000+22833333.33</f>
        <v>42833333.329999998</v>
      </c>
      <c r="W84" s="39"/>
      <c r="X84" s="39"/>
      <c r="Y84" s="133"/>
      <c r="Z84" s="39"/>
      <c r="AA84" s="42">
        <f>SUM(V84:Z84)</f>
        <v>42833333.329999998</v>
      </c>
      <c r="AB84" s="16">
        <f>IFERROR(AA84/U84,"-")</f>
        <v>0.77878787872727273</v>
      </c>
      <c r="AC84" s="17"/>
      <c r="AD84" s="23" t="s">
        <v>44</v>
      </c>
      <c r="AE84" s="30" t="s">
        <v>45</v>
      </c>
    </row>
    <row r="85" spans="1:31" ht="60" x14ac:dyDescent="0.2">
      <c r="A85" s="9">
        <v>267</v>
      </c>
      <c r="B85" s="29" t="s">
        <v>98</v>
      </c>
      <c r="C85" s="29" t="s">
        <v>248</v>
      </c>
      <c r="D85" s="14" t="s">
        <v>266</v>
      </c>
      <c r="E85" s="15" t="s">
        <v>275</v>
      </c>
      <c r="F85" s="69" t="s">
        <v>276</v>
      </c>
      <c r="G85" s="124">
        <v>2020680010052</v>
      </c>
      <c r="H85" s="70" t="s">
        <v>269</v>
      </c>
      <c r="I85" s="69" t="s">
        <v>270</v>
      </c>
      <c r="J85" s="46">
        <v>44562</v>
      </c>
      <c r="K85" s="46">
        <v>44926</v>
      </c>
      <c r="L85" s="161">
        <v>1</v>
      </c>
      <c r="M85" s="159">
        <v>1</v>
      </c>
      <c r="N85" s="157">
        <f t="shared" si="4"/>
        <v>1</v>
      </c>
      <c r="O85" s="73" t="s">
        <v>277</v>
      </c>
      <c r="P85" s="37">
        <f>270000000+284206076</f>
        <v>554206076</v>
      </c>
      <c r="Q85" s="39"/>
      <c r="R85" s="39"/>
      <c r="S85" s="133"/>
      <c r="T85" s="39"/>
      <c r="U85" s="147">
        <f>SUM(P85:T86)</f>
        <v>935206076</v>
      </c>
      <c r="V85" s="39">
        <f>82365610+111149280+51114774+24039120+33654782+56808236+29859110+60350854</f>
        <v>449341766</v>
      </c>
      <c r="W85" s="39"/>
      <c r="X85" s="39"/>
      <c r="Y85" s="133"/>
      <c r="Z85" s="39"/>
      <c r="AA85" s="147">
        <f>SUM(V85:Z86)</f>
        <v>449341766</v>
      </c>
      <c r="AB85" s="150">
        <f>IFERROR(AA85/U85,"-")</f>
        <v>0.48047353148291566</v>
      </c>
      <c r="AC85" s="141"/>
      <c r="AD85" s="143" t="s">
        <v>44</v>
      </c>
      <c r="AE85" s="145" t="s">
        <v>45</v>
      </c>
    </row>
    <row r="86" spans="1:31" ht="60" x14ac:dyDescent="0.2">
      <c r="A86" s="9">
        <v>267</v>
      </c>
      <c r="B86" s="29" t="s">
        <v>98</v>
      </c>
      <c r="C86" s="29" t="s">
        <v>248</v>
      </c>
      <c r="D86" s="14" t="s">
        <v>266</v>
      </c>
      <c r="E86" s="15" t="s">
        <v>275</v>
      </c>
      <c r="F86" s="69" t="s">
        <v>276</v>
      </c>
      <c r="G86" s="124">
        <v>2020680010052</v>
      </c>
      <c r="H86" s="70" t="s">
        <v>269</v>
      </c>
      <c r="I86" s="69" t="s">
        <v>170</v>
      </c>
      <c r="J86" s="46"/>
      <c r="K86" s="46"/>
      <c r="L86" s="162"/>
      <c r="M86" s="160"/>
      <c r="N86" s="158"/>
      <c r="O86" s="73" t="s">
        <v>278</v>
      </c>
      <c r="P86" s="37">
        <v>381000000</v>
      </c>
      <c r="Q86" s="39"/>
      <c r="R86" s="39"/>
      <c r="S86" s="133"/>
      <c r="T86" s="39"/>
      <c r="U86" s="149"/>
      <c r="V86" s="39"/>
      <c r="W86" s="39"/>
      <c r="X86" s="39"/>
      <c r="Y86" s="133"/>
      <c r="Z86" s="39"/>
      <c r="AA86" s="149"/>
      <c r="AB86" s="152"/>
      <c r="AC86" s="142"/>
      <c r="AD86" s="144"/>
      <c r="AE86" s="146"/>
    </row>
    <row r="87" spans="1:31" ht="57" x14ac:dyDescent="0.2">
      <c r="A87" s="9">
        <v>268</v>
      </c>
      <c r="B87" s="29" t="s">
        <v>98</v>
      </c>
      <c r="C87" s="29" t="s">
        <v>248</v>
      </c>
      <c r="D87" s="14" t="s">
        <v>266</v>
      </c>
      <c r="E87" s="15" t="s">
        <v>279</v>
      </c>
      <c r="F87" s="69" t="s">
        <v>280</v>
      </c>
      <c r="G87" s="124">
        <v>2020680010052</v>
      </c>
      <c r="H87" s="70" t="s">
        <v>269</v>
      </c>
      <c r="I87" s="69" t="s">
        <v>270</v>
      </c>
      <c r="J87" s="46">
        <v>44562</v>
      </c>
      <c r="K87" s="46">
        <v>44926</v>
      </c>
      <c r="L87" s="48">
        <v>1</v>
      </c>
      <c r="M87" s="117">
        <v>1</v>
      </c>
      <c r="N87" s="62">
        <f t="shared" si="4"/>
        <v>1</v>
      </c>
      <c r="O87" s="73" t="s">
        <v>281</v>
      </c>
      <c r="P87" s="37">
        <v>80000000</v>
      </c>
      <c r="Q87" s="39"/>
      <c r="R87" s="39"/>
      <c r="S87" s="133"/>
      <c r="T87" s="39"/>
      <c r="U87" s="147">
        <f>SUM(P87:T88)</f>
        <v>100000000</v>
      </c>
      <c r="V87" s="39">
        <f>35000000+45000000</f>
        <v>80000000</v>
      </c>
      <c r="W87" s="39"/>
      <c r="X87" s="39"/>
      <c r="Y87" s="133"/>
      <c r="Z87" s="39"/>
      <c r="AA87" s="147">
        <f>SUM(V87:Z88)</f>
        <v>83929334</v>
      </c>
      <c r="AB87" s="150">
        <f>IFERROR(AA87/U87,"-")</f>
        <v>0.83929334</v>
      </c>
      <c r="AC87" s="141"/>
      <c r="AD87" s="143" t="s">
        <v>44</v>
      </c>
      <c r="AE87" s="145" t="s">
        <v>45</v>
      </c>
    </row>
    <row r="88" spans="1:31" ht="60" x14ac:dyDescent="0.2">
      <c r="A88" s="9">
        <v>269</v>
      </c>
      <c r="B88" s="29" t="s">
        <v>98</v>
      </c>
      <c r="C88" s="29" t="s">
        <v>248</v>
      </c>
      <c r="D88" s="14" t="s">
        <v>266</v>
      </c>
      <c r="E88" s="15" t="s">
        <v>282</v>
      </c>
      <c r="F88" s="69" t="s">
        <v>283</v>
      </c>
      <c r="G88" s="124">
        <v>2020680010052</v>
      </c>
      <c r="H88" s="70" t="s">
        <v>269</v>
      </c>
      <c r="I88" s="69" t="s">
        <v>270</v>
      </c>
      <c r="J88" s="46">
        <v>44562</v>
      </c>
      <c r="K88" s="46">
        <v>44926</v>
      </c>
      <c r="L88" s="48">
        <v>1</v>
      </c>
      <c r="M88" s="117">
        <v>1</v>
      </c>
      <c r="N88" s="62">
        <f t="shared" si="4"/>
        <v>1</v>
      </c>
      <c r="O88" s="73" t="s">
        <v>284</v>
      </c>
      <c r="P88" s="37">
        <v>20000000</v>
      </c>
      <c r="Q88" s="39"/>
      <c r="R88" s="39"/>
      <c r="S88" s="133"/>
      <c r="T88" s="39"/>
      <c r="U88" s="149"/>
      <c r="V88" s="39">
        <f>1075434+1075434+1075434+703032</f>
        <v>3929334</v>
      </c>
      <c r="W88" s="39"/>
      <c r="X88" s="39"/>
      <c r="Y88" s="133"/>
      <c r="Z88" s="39"/>
      <c r="AA88" s="149"/>
      <c r="AB88" s="152"/>
      <c r="AC88" s="142"/>
      <c r="AD88" s="144"/>
      <c r="AE88" s="146"/>
    </row>
    <row r="89" spans="1:31" ht="57" x14ac:dyDescent="0.2">
      <c r="A89" s="9">
        <v>270</v>
      </c>
      <c r="B89" s="31" t="s">
        <v>98</v>
      </c>
      <c r="C89" s="31" t="s">
        <v>248</v>
      </c>
      <c r="D89" s="18" t="s">
        <v>266</v>
      </c>
      <c r="E89" s="19" t="s">
        <v>285</v>
      </c>
      <c r="F89" s="85" t="s">
        <v>286</v>
      </c>
      <c r="G89" s="124">
        <v>2020680010052</v>
      </c>
      <c r="H89" s="70" t="s">
        <v>269</v>
      </c>
      <c r="I89" s="69" t="s">
        <v>270</v>
      </c>
      <c r="J89" s="46">
        <v>44562</v>
      </c>
      <c r="K89" s="46">
        <v>44926</v>
      </c>
      <c r="L89" s="168">
        <v>1</v>
      </c>
      <c r="M89" s="184">
        <v>1</v>
      </c>
      <c r="N89" s="157">
        <f t="shared" si="4"/>
        <v>1</v>
      </c>
      <c r="O89" s="83" t="s">
        <v>287</v>
      </c>
      <c r="P89" s="37">
        <v>198000000</v>
      </c>
      <c r="Q89" s="39"/>
      <c r="R89" s="39"/>
      <c r="S89" s="133"/>
      <c r="T89" s="39"/>
      <c r="U89" s="147">
        <f>SUM(P89:T90)</f>
        <v>648000000</v>
      </c>
      <c r="V89" s="39">
        <f>130000000+67506667</f>
        <v>197506667</v>
      </c>
      <c r="W89" s="39"/>
      <c r="X89" s="39"/>
      <c r="Y89" s="133"/>
      <c r="Z89" s="39"/>
      <c r="AA89" s="147">
        <f>SUM(V89:Z90)</f>
        <v>197506667</v>
      </c>
      <c r="AB89" s="150">
        <f>IFERROR(AA89/U89,"-")</f>
        <v>0.30479423919753085</v>
      </c>
      <c r="AC89" s="141"/>
      <c r="AD89" s="143" t="s">
        <v>44</v>
      </c>
      <c r="AE89" s="145" t="s">
        <v>45</v>
      </c>
    </row>
    <row r="90" spans="1:31" ht="42.75" x14ac:dyDescent="0.2">
      <c r="A90" s="9">
        <v>270</v>
      </c>
      <c r="B90" s="31" t="s">
        <v>98</v>
      </c>
      <c r="C90" s="31" t="s">
        <v>248</v>
      </c>
      <c r="D90" s="18" t="s">
        <v>266</v>
      </c>
      <c r="E90" s="19" t="s">
        <v>285</v>
      </c>
      <c r="F90" s="85" t="s">
        <v>286</v>
      </c>
      <c r="G90" s="124">
        <v>2021680010164</v>
      </c>
      <c r="H90" s="70" t="s">
        <v>288</v>
      </c>
      <c r="I90" s="69"/>
      <c r="J90" s="46">
        <v>44562</v>
      </c>
      <c r="K90" s="46">
        <v>44926</v>
      </c>
      <c r="L90" s="179"/>
      <c r="M90" s="189"/>
      <c r="N90" s="164"/>
      <c r="O90" s="75" t="s">
        <v>289</v>
      </c>
      <c r="P90" s="37">
        <f>300000000+150000000</f>
        <v>450000000</v>
      </c>
      <c r="Q90" s="39"/>
      <c r="R90" s="39"/>
      <c r="S90" s="133"/>
      <c r="T90" s="39"/>
      <c r="U90" s="148"/>
      <c r="V90" s="37"/>
      <c r="W90" s="37"/>
      <c r="X90" s="37"/>
      <c r="Y90" s="134"/>
      <c r="Z90" s="37"/>
      <c r="AA90" s="148"/>
      <c r="AB90" s="151"/>
      <c r="AC90" s="153"/>
      <c r="AD90" s="154"/>
      <c r="AE90" s="155"/>
    </row>
    <row r="91" spans="1:31" ht="57" x14ac:dyDescent="0.2">
      <c r="A91" s="9">
        <v>271</v>
      </c>
      <c r="B91" s="31" t="s">
        <v>98</v>
      </c>
      <c r="C91" s="31" t="s">
        <v>248</v>
      </c>
      <c r="D91" s="18" t="s">
        <v>266</v>
      </c>
      <c r="E91" s="19" t="s">
        <v>290</v>
      </c>
      <c r="F91" s="85" t="s">
        <v>291</v>
      </c>
      <c r="G91" s="124">
        <v>2020680010052</v>
      </c>
      <c r="H91" s="70" t="s">
        <v>269</v>
      </c>
      <c r="I91" s="69" t="s">
        <v>270</v>
      </c>
      <c r="J91" s="46">
        <v>44562</v>
      </c>
      <c r="K91" s="46">
        <v>44926</v>
      </c>
      <c r="L91" s="52">
        <v>1</v>
      </c>
      <c r="M91" s="116">
        <v>1</v>
      </c>
      <c r="N91" s="53">
        <f t="shared" ref="N91:N96" si="5">IFERROR(IF(M91/L91&gt;100%,100%,M91/L91),"-")</f>
        <v>1</v>
      </c>
      <c r="O91" s="74" t="s">
        <v>292</v>
      </c>
      <c r="P91" s="37">
        <v>110000000</v>
      </c>
      <c r="Q91" s="39"/>
      <c r="R91" s="39"/>
      <c r="S91" s="133"/>
      <c r="T91" s="39"/>
      <c r="U91" s="54">
        <f>SUM(P91:T91)</f>
        <v>110000000</v>
      </c>
      <c r="V91" s="39">
        <f>1850000+7550000+6400000+11093333.33+11000000</f>
        <v>37893333.329999998</v>
      </c>
      <c r="W91" s="39"/>
      <c r="X91" s="39"/>
      <c r="Y91" s="133"/>
      <c r="Z91" s="39"/>
      <c r="AA91" s="54">
        <f>SUM(V91:Z91)</f>
        <v>37893333.329999998</v>
      </c>
      <c r="AB91" s="55">
        <f t="shared" ref="AB91:AB96" si="6">IFERROR(AA91/U91,"-")</f>
        <v>0.34448484845454541</v>
      </c>
      <c r="AC91" s="51"/>
      <c r="AD91" s="49" t="s">
        <v>44</v>
      </c>
      <c r="AE91" s="50" t="s">
        <v>45</v>
      </c>
    </row>
    <row r="92" spans="1:31" ht="57" x14ac:dyDescent="0.2">
      <c r="A92" s="9">
        <v>272</v>
      </c>
      <c r="B92" s="31" t="s">
        <v>98</v>
      </c>
      <c r="C92" s="31" t="s">
        <v>248</v>
      </c>
      <c r="D92" s="18" t="s">
        <v>266</v>
      </c>
      <c r="E92" s="19" t="s">
        <v>293</v>
      </c>
      <c r="F92" s="85" t="s">
        <v>294</v>
      </c>
      <c r="G92" s="124">
        <v>2020680010052</v>
      </c>
      <c r="H92" s="70" t="s">
        <v>269</v>
      </c>
      <c r="I92" s="69" t="s">
        <v>270</v>
      </c>
      <c r="J92" s="46">
        <v>44562</v>
      </c>
      <c r="K92" s="46">
        <v>44926</v>
      </c>
      <c r="L92" s="57">
        <v>1</v>
      </c>
      <c r="M92" s="112">
        <v>1</v>
      </c>
      <c r="N92" s="53">
        <f t="shared" si="5"/>
        <v>1</v>
      </c>
      <c r="O92" s="83" t="s">
        <v>295</v>
      </c>
      <c r="P92" s="37">
        <v>90000000</v>
      </c>
      <c r="Q92" s="39"/>
      <c r="R92" s="39"/>
      <c r="S92" s="133"/>
      <c r="T92" s="39"/>
      <c r="U92" s="54">
        <f>SUM(P92:T92)</f>
        <v>90000000</v>
      </c>
      <c r="V92" s="39">
        <v>0</v>
      </c>
      <c r="W92" s="39"/>
      <c r="X92" s="39"/>
      <c r="Y92" s="133"/>
      <c r="Z92" s="39"/>
      <c r="AA92" s="54">
        <f>SUM(V92:Z92)</f>
        <v>0</v>
      </c>
      <c r="AB92" s="55">
        <f t="shared" si="6"/>
        <v>0</v>
      </c>
      <c r="AC92" s="51"/>
      <c r="AD92" s="49" t="s">
        <v>44</v>
      </c>
      <c r="AE92" s="50" t="s">
        <v>45</v>
      </c>
    </row>
    <row r="93" spans="1:31" ht="60" x14ac:dyDescent="0.2">
      <c r="A93" s="9">
        <v>273</v>
      </c>
      <c r="B93" s="29" t="s">
        <v>98</v>
      </c>
      <c r="C93" s="29" t="s">
        <v>248</v>
      </c>
      <c r="D93" s="14" t="s">
        <v>296</v>
      </c>
      <c r="E93" s="15" t="s">
        <v>297</v>
      </c>
      <c r="F93" s="69" t="s">
        <v>298</v>
      </c>
      <c r="G93" s="124">
        <v>2021680010152</v>
      </c>
      <c r="H93" s="70" t="s">
        <v>299</v>
      </c>
      <c r="I93" s="69"/>
      <c r="J93" s="46">
        <v>44562</v>
      </c>
      <c r="K93" s="46">
        <v>44926</v>
      </c>
      <c r="L93" s="61">
        <v>1</v>
      </c>
      <c r="M93" s="111">
        <v>0.6</v>
      </c>
      <c r="N93" s="62">
        <f t="shared" si="5"/>
        <v>0.6</v>
      </c>
      <c r="O93" s="45" t="s">
        <v>300</v>
      </c>
      <c r="P93" s="37"/>
      <c r="Q93" s="39"/>
      <c r="R93" s="39"/>
      <c r="S93" s="133"/>
      <c r="T93" s="39">
        <f>252000000-91751221.12</f>
        <v>160248778.88</v>
      </c>
      <c r="U93" s="42">
        <f>SUM(P93:T93)</f>
        <v>160248778.88</v>
      </c>
      <c r="V93" s="37"/>
      <c r="W93" s="37"/>
      <c r="X93" s="37"/>
      <c r="Y93" s="134"/>
      <c r="Z93" s="37"/>
      <c r="AA93" s="42">
        <f>SUM(V93:Z93)</f>
        <v>0</v>
      </c>
      <c r="AB93" s="16">
        <f t="shared" si="6"/>
        <v>0</v>
      </c>
      <c r="AC93" s="17"/>
      <c r="AD93" s="23" t="s">
        <v>44</v>
      </c>
      <c r="AE93" s="30" t="s">
        <v>45</v>
      </c>
    </row>
    <row r="94" spans="1:31" ht="114" x14ac:dyDescent="0.2">
      <c r="A94" s="9">
        <v>274</v>
      </c>
      <c r="B94" s="29" t="s">
        <v>98</v>
      </c>
      <c r="C94" s="29" t="s">
        <v>248</v>
      </c>
      <c r="D94" s="14" t="s">
        <v>296</v>
      </c>
      <c r="E94" s="15" t="s">
        <v>301</v>
      </c>
      <c r="F94" s="69" t="s">
        <v>302</v>
      </c>
      <c r="G94" s="124">
        <v>2020680010164</v>
      </c>
      <c r="H94" s="70" t="s">
        <v>303</v>
      </c>
      <c r="I94" s="69" t="s">
        <v>304</v>
      </c>
      <c r="J94" s="46">
        <v>44562</v>
      </c>
      <c r="K94" s="46">
        <v>44926</v>
      </c>
      <c r="L94" s="57">
        <v>1</v>
      </c>
      <c r="M94" s="114">
        <v>1</v>
      </c>
      <c r="N94" s="53">
        <f t="shared" si="5"/>
        <v>1</v>
      </c>
      <c r="O94" s="73" t="s">
        <v>305</v>
      </c>
      <c r="P94" s="37">
        <f>200000000+110000000</f>
        <v>310000000</v>
      </c>
      <c r="Q94" s="39"/>
      <c r="R94" s="39"/>
      <c r="S94" s="39"/>
      <c r="T94" s="39"/>
      <c r="U94" s="54">
        <f>SUM(P94:T94)</f>
        <v>310000000</v>
      </c>
      <c r="V94" s="39">
        <f>60000000+14600000+31566666.67</f>
        <v>106166666.67</v>
      </c>
      <c r="W94" s="39"/>
      <c r="X94" s="39"/>
      <c r="Y94" s="39"/>
      <c r="Z94" s="39"/>
      <c r="AA94" s="54">
        <f>SUM(V94:Z94)</f>
        <v>106166666.67</v>
      </c>
      <c r="AB94" s="55">
        <f t="shared" si="6"/>
        <v>0.34247311829032256</v>
      </c>
      <c r="AC94" s="17"/>
      <c r="AD94" s="23" t="s">
        <v>44</v>
      </c>
      <c r="AE94" s="30" t="s">
        <v>45</v>
      </c>
    </row>
    <row r="95" spans="1:31" ht="71.25" x14ac:dyDescent="0.2">
      <c r="A95" s="9">
        <v>275</v>
      </c>
      <c r="B95" s="29" t="s">
        <v>98</v>
      </c>
      <c r="C95" s="29" t="s">
        <v>248</v>
      </c>
      <c r="D95" s="14" t="s">
        <v>306</v>
      </c>
      <c r="E95" s="15" t="s">
        <v>307</v>
      </c>
      <c r="F95" s="69" t="s">
        <v>308</v>
      </c>
      <c r="G95" s="124">
        <v>2021680010160</v>
      </c>
      <c r="H95" s="70" t="s">
        <v>110</v>
      </c>
      <c r="I95" s="69" t="s">
        <v>138</v>
      </c>
      <c r="J95" s="46">
        <v>44562</v>
      </c>
      <c r="K95" s="46">
        <v>44926</v>
      </c>
      <c r="L95" s="57">
        <v>1</v>
      </c>
      <c r="M95" s="114">
        <v>0.5</v>
      </c>
      <c r="N95" s="53">
        <f>IFERROR(IF(M95/L95&gt;100%,100%,M95/L95),"-")</f>
        <v>0.5</v>
      </c>
      <c r="O95" s="73" t="s">
        <v>309</v>
      </c>
      <c r="P95" s="37">
        <f>16200000+13140000</f>
        <v>29340000</v>
      </c>
      <c r="Q95" s="39"/>
      <c r="R95" s="39"/>
      <c r="S95" s="133"/>
      <c r="T95" s="39"/>
      <c r="U95" s="54">
        <f>SUM(P95:T95)</f>
        <v>29340000</v>
      </c>
      <c r="V95" s="39">
        <v>16200000</v>
      </c>
      <c r="W95" s="39"/>
      <c r="X95" s="39"/>
      <c r="Y95" s="133"/>
      <c r="Z95" s="39"/>
      <c r="AA95" s="54">
        <f>SUM(V95:Z95)</f>
        <v>16200000</v>
      </c>
      <c r="AB95" s="55">
        <f t="shared" si="6"/>
        <v>0.55214723926380371</v>
      </c>
      <c r="AC95" s="17"/>
      <c r="AD95" s="23" t="s">
        <v>44</v>
      </c>
      <c r="AE95" s="30" t="s">
        <v>45</v>
      </c>
    </row>
    <row r="96" spans="1:31" ht="71.25" x14ac:dyDescent="0.2">
      <c r="A96" s="9">
        <v>300</v>
      </c>
      <c r="B96" s="29" t="s">
        <v>310</v>
      </c>
      <c r="C96" s="29" t="s">
        <v>311</v>
      </c>
      <c r="D96" s="14" t="s">
        <v>312</v>
      </c>
      <c r="E96" s="15" t="s">
        <v>313</v>
      </c>
      <c r="F96" s="69" t="s">
        <v>314</v>
      </c>
      <c r="G96" s="124">
        <v>2020680010035</v>
      </c>
      <c r="H96" s="70" t="s">
        <v>315</v>
      </c>
      <c r="I96" s="69" t="s">
        <v>316</v>
      </c>
      <c r="J96" s="46">
        <v>44562</v>
      </c>
      <c r="K96" s="46">
        <v>44926</v>
      </c>
      <c r="L96" s="161">
        <v>1</v>
      </c>
      <c r="M96" s="159">
        <v>0.75</v>
      </c>
      <c r="N96" s="157">
        <f t="shared" si="5"/>
        <v>0.75</v>
      </c>
      <c r="O96" s="73" t="s">
        <v>317</v>
      </c>
      <c r="P96" s="37">
        <f>620400000+646500000</f>
        <v>1266900000</v>
      </c>
      <c r="Q96" s="39"/>
      <c r="R96" s="39"/>
      <c r="S96" s="39"/>
      <c r="T96" s="39"/>
      <c r="U96" s="147">
        <f>SUM(P96:T97)</f>
        <v>1276900000</v>
      </c>
      <c r="V96" s="39">
        <f>620400000+623196667+6503333.29+9476666.71</f>
        <v>1259576667</v>
      </c>
      <c r="W96" s="39"/>
      <c r="X96" s="39"/>
      <c r="Y96" s="39"/>
      <c r="Z96" s="39"/>
      <c r="AA96" s="147">
        <f>SUM(V96:Z97)</f>
        <v>1269576067</v>
      </c>
      <c r="AB96" s="150">
        <f t="shared" si="6"/>
        <v>0.99426428616179807</v>
      </c>
      <c r="AC96" s="141"/>
      <c r="AD96" s="143" t="s">
        <v>44</v>
      </c>
      <c r="AE96" s="145" t="s">
        <v>45</v>
      </c>
    </row>
    <row r="97" spans="1:31" ht="71.25" x14ac:dyDescent="0.2">
      <c r="A97" s="9">
        <v>300</v>
      </c>
      <c r="B97" s="29" t="s">
        <v>310</v>
      </c>
      <c r="C97" s="29" t="s">
        <v>311</v>
      </c>
      <c r="D97" s="14" t="s">
        <v>312</v>
      </c>
      <c r="E97" s="15" t="s">
        <v>313</v>
      </c>
      <c r="F97" s="69" t="s">
        <v>314</v>
      </c>
      <c r="G97" s="126">
        <v>2021680010153</v>
      </c>
      <c r="H97" s="92" t="s">
        <v>236</v>
      </c>
      <c r="I97" s="91"/>
      <c r="J97" s="46">
        <v>44562</v>
      </c>
      <c r="K97" s="46">
        <v>44926</v>
      </c>
      <c r="L97" s="162"/>
      <c r="M97" s="160"/>
      <c r="N97" s="158"/>
      <c r="O97" s="81" t="s">
        <v>318</v>
      </c>
      <c r="P97" s="38">
        <v>10000000</v>
      </c>
      <c r="Q97" s="41"/>
      <c r="R97" s="41"/>
      <c r="S97" s="138"/>
      <c r="T97" s="41"/>
      <c r="U97" s="149"/>
      <c r="V97" s="38">
        <v>9999400</v>
      </c>
      <c r="W97" s="38"/>
      <c r="X97" s="38"/>
      <c r="Y97" s="135"/>
      <c r="Z97" s="38"/>
      <c r="AA97" s="149"/>
      <c r="AB97" s="152"/>
      <c r="AC97" s="142"/>
      <c r="AD97" s="144"/>
      <c r="AE97" s="146"/>
    </row>
    <row r="98" spans="1:31" ht="15" x14ac:dyDescent="0.2">
      <c r="A98" s="65">
        <f>SUM(--(FREQUENCY(A9:A97,A9:A97)&gt;0))</f>
        <v>43</v>
      </c>
      <c r="B98" s="1"/>
      <c r="C98" s="2"/>
      <c r="D98" s="2"/>
      <c r="E98" s="8"/>
      <c r="F98" s="8"/>
      <c r="G98" s="11"/>
      <c r="H98" s="4"/>
      <c r="I98" s="2"/>
      <c r="J98" s="2"/>
      <c r="K98" s="3"/>
      <c r="L98" s="3"/>
      <c r="M98" s="4" t="s">
        <v>319</v>
      </c>
      <c r="N98" s="3">
        <f>IFERROR(AVERAGE(N9:N97),"-")</f>
        <v>0.83116279069767429</v>
      </c>
      <c r="O98" s="4"/>
      <c r="P98" s="5">
        <f>SUM(P9:P97)</f>
        <v>34004192256.450001</v>
      </c>
      <c r="Q98" s="5">
        <f>SUM(Q9:Q96)</f>
        <v>0</v>
      </c>
      <c r="R98" s="5">
        <f>SUM(R9:R96)</f>
        <v>0</v>
      </c>
      <c r="S98" s="5">
        <f>SUM(S9:S96)</f>
        <v>0</v>
      </c>
      <c r="T98" s="5">
        <f>SUM(T9:T97)</f>
        <v>57669089644.360001</v>
      </c>
      <c r="U98" s="7">
        <f>SUM(U9:U97)</f>
        <v>91673281900.809998</v>
      </c>
      <c r="V98" s="5">
        <f>SUM(V9:V96)</f>
        <v>17970806108.879997</v>
      </c>
      <c r="W98" s="5">
        <f>SUM(W9:W96)</f>
        <v>0</v>
      </c>
      <c r="X98" s="5">
        <f>SUM(X9:X96)</f>
        <v>0</v>
      </c>
      <c r="Y98" s="5">
        <f>SUM(Y9:Y96)</f>
        <v>0</v>
      </c>
      <c r="Z98" s="5">
        <f>SUM(Z9:Z96)</f>
        <v>3517207440.0000005</v>
      </c>
      <c r="AA98" s="7">
        <f>SUM(AA9:AA97)</f>
        <v>21498012948.880001</v>
      </c>
      <c r="AB98" s="6">
        <f>IFERROR(AA98/U98,"-")</f>
        <v>0.23450685415779851</v>
      </c>
      <c r="AC98" s="12">
        <f>SUM(AC9:AC96)</f>
        <v>0</v>
      </c>
      <c r="AD98" s="13"/>
      <c r="AE98" s="13"/>
    </row>
    <row r="99" spans="1:31" x14ac:dyDescent="0.2">
      <c r="P99" s="35"/>
      <c r="S99"/>
      <c r="T99"/>
      <c r="U99"/>
      <c r="V99"/>
      <c r="W99"/>
      <c r="X99"/>
      <c r="Y99"/>
      <c r="Z99"/>
      <c r="AA99"/>
    </row>
    <row r="100" spans="1:31" x14ac:dyDescent="0.2">
      <c r="Q100"/>
      <c r="S100"/>
      <c r="T100"/>
      <c r="U100"/>
      <c r="V100"/>
      <c r="W100"/>
      <c r="X100"/>
      <c r="Y100"/>
      <c r="Z100"/>
      <c r="AA100"/>
      <c r="AB100" s="24"/>
      <c r="AC100" s="95"/>
    </row>
    <row r="101" spans="1:31" x14ac:dyDescent="0.2">
      <c r="P101"/>
      <c r="Q101"/>
      <c r="S101"/>
      <c r="T101"/>
      <c r="U101"/>
      <c r="V101"/>
      <c r="W101"/>
      <c r="X101"/>
      <c r="Y101"/>
      <c r="Z101"/>
      <c r="AA101"/>
    </row>
    <row r="102" spans="1:31" x14ac:dyDescent="0.2">
      <c r="P102"/>
      <c r="S102"/>
      <c r="T102"/>
      <c r="U102"/>
      <c r="V102"/>
      <c r="W102"/>
      <c r="X102"/>
      <c r="Y102"/>
      <c r="Z102"/>
      <c r="AA102"/>
    </row>
    <row r="103" spans="1:31" x14ac:dyDescent="0.2">
      <c r="P103"/>
      <c r="S103"/>
      <c r="T103"/>
      <c r="U103"/>
      <c r="V103"/>
      <c r="W103"/>
      <c r="X103"/>
      <c r="Y103"/>
      <c r="Z103"/>
      <c r="AA103"/>
    </row>
    <row r="104" spans="1:31" x14ac:dyDescent="0.2">
      <c r="O104" s="100"/>
      <c r="P104"/>
      <c r="S104"/>
      <c r="T104"/>
      <c r="U104"/>
      <c r="V104"/>
      <c r="W104"/>
      <c r="X104"/>
      <c r="Y104"/>
      <c r="Z104"/>
      <c r="AA104"/>
    </row>
    <row r="105" spans="1:31" x14ac:dyDescent="0.2">
      <c r="P105"/>
      <c r="S105"/>
      <c r="T105"/>
      <c r="U105"/>
      <c r="V105"/>
      <c r="W105"/>
      <c r="X105"/>
      <c r="Y105"/>
      <c r="Z105"/>
      <c r="AA105"/>
    </row>
    <row r="106" spans="1:31" x14ac:dyDescent="0.2">
      <c r="P106"/>
      <c r="S106"/>
      <c r="T106"/>
      <c r="U106"/>
      <c r="V106"/>
      <c r="W106"/>
      <c r="X106"/>
      <c r="Y106"/>
      <c r="Z106"/>
      <c r="AA106"/>
    </row>
    <row r="107" spans="1:31" x14ac:dyDescent="0.2">
      <c r="P107"/>
      <c r="S107"/>
      <c r="T107"/>
      <c r="U107"/>
      <c r="V107"/>
      <c r="W107"/>
      <c r="X107"/>
      <c r="Y107"/>
      <c r="Z107"/>
      <c r="AA107"/>
    </row>
    <row r="108" spans="1:31" x14ac:dyDescent="0.2">
      <c r="P108"/>
      <c r="S108"/>
      <c r="T108"/>
      <c r="U108"/>
      <c r="V108"/>
      <c r="W108"/>
      <c r="X108"/>
      <c r="Y108"/>
      <c r="Z108"/>
      <c r="AA108"/>
    </row>
    <row r="109" spans="1:31" x14ac:dyDescent="0.2">
      <c r="P109"/>
      <c r="S109"/>
      <c r="T109"/>
      <c r="U109"/>
      <c r="V109"/>
      <c r="W109"/>
      <c r="X109"/>
      <c r="Y109"/>
      <c r="Z109"/>
      <c r="AA109"/>
    </row>
    <row r="110" spans="1:31" x14ac:dyDescent="0.2">
      <c r="S110"/>
      <c r="T110"/>
      <c r="U110"/>
      <c r="V110"/>
      <c r="W110"/>
      <c r="X110"/>
      <c r="Y110"/>
      <c r="Z110"/>
      <c r="AA110"/>
    </row>
    <row r="111" spans="1:31" x14ac:dyDescent="0.2">
      <c r="S111"/>
      <c r="T111"/>
      <c r="U111"/>
      <c r="V111"/>
      <c r="W111"/>
      <c r="X111"/>
      <c r="Y111"/>
      <c r="Z111"/>
      <c r="AA111"/>
    </row>
  </sheetData>
  <mergeCells count="157">
    <mergeCell ref="AA87:AA88"/>
    <mergeCell ref="AB87:AB88"/>
    <mergeCell ref="U87:U88"/>
    <mergeCell ref="AA89:AA90"/>
    <mergeCell ref="AB89:AB90"/>
    <mergeCell ref="U89:U90"/>
    <mergeCell ref="AA78:AA80"/>
    <mergeCell ref="U78:U80"/>
    <mergeCell ref="AA81:AA82"/>
    <mergeCell ref="U81:U82"/>
    <mergeCell ref="AB78:AB80"/>
    <mergeCell ref="AB81:AB82"/>
    <mergeCell ref="N73:N75"/>
    <mergeCell ref="AA22:AA25"/>
    <mergeCell ref="AA63:AA65"/>
    <mergeCell ref="AB63:AB65"/>
    <mergeCell ref="U73:U75"/>
    <mergeCell ref="U71:U72"/>
    <mergeCell ref="AA71:AA72"/>
    <mergeCell ref="AB71:AB72"/>
    <mergeCell ref="U63:U65"/>
    <mergeCell ref="U37:U56"/>
    <mergeCell ref="AB37:AB56"/>
    <mergeCell ref="U34:U36"/>
    <mergeCell ref="U29:U31"/>
    <mergeCell ref="AD96:AD97"/>
    <mergeCell ref="AE96:AE97"/>
    <mergeCell ref="AC89:AC90"/>
    <mergeCell ref="AD89:AD90"/>
    <mergeCell ref="AE89:AE90"/>
    <mergeCell ref="L96:L97"/>
    <mergeCell ref="M96:M97"/>
    <mergeCell ref="N96:N97"/>
    <mergeCell ref="U96:U97"/>
    <mergeCell ref="AA96:AA97"/>
    <mergeCell ref="AB96:AB97"/>
    <mergeCell ref="AC96:AC97"/>
    <mergeCell ref="M89:M90"/>
    <mergeCell ref="N89:N90"/>
    <mergeCell ref="L89:L90"/>
    <mergeCell ref="AE63:AE65"/>
    <mergeCell ref="U69:U70"/>
    <mergeCell ref="AA69:AA70"/>
    <mergeCell ref="AB69:AB70"/>
    <mergeCell ref="AC69:AC70"/>
    <mergeCell ref="AD69:AD70"/>
    <mergeCell ref="AE69:AE70"/>
    <mergeCell ref="AC73:AC74"/>
    <mergeCell ref="AD73:AD74"/>
    <mergeCell ref="AE73:AE74"/>
    <mergeCell ref="L37:L57"/>
    <mergeCell ref="M37:M57"/>
    <mergeCell ref="N37:N57"/>
    <mergeCell ref="AC29:AC31"/>
    <mergeCell ref="AD29:AD31"/>
    <mergeCell ref="AE29:AE31"/>
    <mergeCell ref="AC34:AC35"/>
    <mergeCell ref="AD34:AD35"/>
    <mergeCell ref="AE34:AE35"/>
    <mergeCell ref="N29:N31"/>
    <mergeCell ref="M29:M31"/>
    <mergeCell ref="L29:L31"/>
    <mergeCell ref="AA29:AA31"/>
    <mergeCell ref="AB29:AB31"/>
    <mergeCell ref="AA34:AA36"/>
    <mergeCell ref="AB34:AB36"/>
    <mergeCell ref="AA37:AA56"/>
    <mergeCell ref="AA57:AA60"/>
    <mergeCell ref="AB57:AB60"/>
    <mergeCell ref="N58:N60"/>
    <mergeCell ref="M34:M36"/>
    <mergeCell ref="L22:L25"/>
    <mergeCell ref="M22:M25"/>
    <mergeCell ref="N22:N25"/>
    <mergeCell ref="AB22:AB25"/>
    <mergeCell ref="B1:AB4"/>
    <mergeCell ref="AC1:AE1"/>
    <mergeCell ref="AC2:AE2"/>
    <mergeCell ref="AC3:AE3"/>
    <mergeCell ref="AC4:AE4"/>
    <mergeCell ref="J7:N7"/>
    <mergeCell ref="O7:U7"/>
    <mergeCell ref="V7:AA7"/>
    <mergeCell ref="AB7:AB8"/>
    <mergeCell ref="AC7:AC8"/>
    <mergeCell ref="A5:C5"/>
    <mergeCell ref="D5:G5"/>
    <mergeCell ref="A6:C6"/>
    <mergeCell ref="D6:G6"/>
    <mergeCell ref="B7:F7"/>
    <mergeCell ref="G7:I7"/>
    <mergeCell ref="L27:L28"/>
    <mergeCell ref="M27:M28"/>
    <mergeCell ref="N27:N28"/>
    <mergeCell ref="U27:U28"/>
    <mergeCell ref="AA27:AA28"/>
    <mergeCell ref="AB27:AB28"/>
    <mergeCell ref="AC27:AC28"/>
    <mergeCell ref="AD27:AD28"/>
    <mergeCell ref="AE27:AE28"/>
    <mergeCell ref="M78:M80"/>
    <mergeCell ref="N78:N80"/>
    <mergeCell ref="L78:L80"/>
    <mergeCell ref="N81:N82"/>
    <mergeCell ref="M81:M82"/>
    <mergeCell ref="L81:L82"/>
    <mergeCell ref="N17:N21"/>
    <mergeCell ref="M17:M21"/>
    <mergeCell ref="L17:L21"/>
    <mergeCell ref="M63:M65"/>
    <mergeCell ref="L63:L65"/>
    <mergeCell ref="N63:N65"/>
    <mergeCell ref="L71:L72"/>
    <mergeCell ref="M71:M72"/>
    <mergeCell ref="N71:N72"/>
    <mergeCell ref="L69:L70"/>
    <mergeCell ref="M69:M70"/>
    <mergeCell ref="N69:N70"/>
    <mergeCell ref="M58:M60"/>
    <mergeCell ref="L58:L60"/>
    <mergeCell ref="L73:L75"/>
    <mergeCell ref="M73:M75"/>
    <mergeCell ref="L34:L36"/>
    <mergeCell ref="N34:N36"/>
    <mergeCell ref="N85:N86"/>
    <mergeCell ref="M85:M86"/>
    <mergeCell ref="L85:L86"/>
    <mergeCell ref="U85:U86"/>
    <mergeCell ref="AA85:AA86"/>
    <mergeCell ref="AB85:AB86"/>
    <mergeCell ref="AC85:AC86"/>
    <mergeCell ref="AD85:AD86"/>
    <mergeCell ref="AE85:AE86"/>
    <mergeCell ref="AC87:AC88"/>
    <mergeCell ref="AD87:AD88"/>
    <mergeCell ref="AE87:AE88"/>
    <mergeCell ref="U17:U21"/>
    <mergeCell ref="AA17:AA21"/>
    <mergeCell ref="AB17:AB21"/>
    <mergeCell ref="AC17:AC21"/>
    <mergeCell ref="AD17:AD21"/>
    <mergeCell ref="AE17:AE21"/>
    <mergeCell ref="U22:U25"/>
    <mergeCell ref="AC22:AC25"/>
    <mergeCell ref="AD22:AD25"/>
    <mergeCell ref="AE22:AE25"/>
    <mergeCell ref="U57:U60"/>
    <mergeCell ref="AC37:AC53"/>
    <mergeCell ref="AD37:AD53"/>
    <mergeCell ref="AE37:AE53"/>
    <mergeCell ref="AC71:AC72"/>
    <mergeCell ref="AD71:AD72"/>
    <mergeCell ref="AE71:AE72"/>
    <mergeCell ref="AA73:AA75"/>
    <mergeCell ref="AB73:AB75"/>
    <mergeCell ref="AC63:AC65"/>
    <mergeCell ref="AD63:AD65"/>
  </mergeCells>
  <conditionalFormatting sqref="N22 N58 N77:N78 N81 N83:N85 N32:N34 N37 N61:N63 N66:N73 N26:N30 N9:N17 N91:N96 N87:N89">
    <cfRule type="cellIs" dxfId="5" priority="13" operator="between">
      <formula>0.67</formula>
      <formula>1</formula>
    </cfRule>
    <cfRule type="cellIs" dxfId="4" priority="14" operator="between">
      <formula>0.34</formula>
      <formula>0.67</formula>
    </cfRule>
    <cfRule type="cellIs" dxfId="3" priority="15" operator="between">
      <formula>0</formula>
      <formula>0.34</formula>
    </cfRule>
  </conditionalFormatting>
  <conditionalFormatting sqref="N76">
    <cfRule type="cellIs" dxfId="2" priority="10" operator="between">
      <formula>0.67</formula>
      <formula>1</formula>
    </cfRule>
    <cfRule type="cellIs" dxfId="1" priority="11" operator="between">
      <formula>0.34</formula>
      <formula>0.67</formula>
    </cfRule>
    <cfRule type="cellIs" dxfId="0" priority="12" operator="between">
      <formula>0</formula>
      <formula>0.34</formula>
    </cfRule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 2022 </vt:lpstr>
    </vt:vector>
  </TitlesOfParts>
  <Manager/>
  <Company>Hewlett-Packard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>PC</cp:lastModifiedBy>
  <cp:revision/>
  <dcterms:created xsi:type="dcterms:W3CDTF">2008-07-08T21:30:46Z</dcterms:created>
  <dcterms:modified xsi:type="dcterms:W3CDTF">2022-11-25T00:56:36Z</dcterms:modified>
  <cp:category/>
  <cp:contentStatus/>
</cp:coreProperties>
</file>