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D:\2022\1 - PDM\1 - Seguimiento Plan\0 - Plan de acción 2022\11 - Noviembre\Revisados\"/>
    </mc:Choice>
  </mc:AlternateContent>
  <xr:revisionPtr revIDLastSave="0" documentId="13_ncr:1_{4EA19AF9-DFF8-4464-8D16-9CFAD75A5063}" xr6:coauthVersionLast="47" xr6:coauthVersionMax="47" xr10:uidLastSave="{00000000-0000-0000-0000-000000000000}"/>
  <bookViews>
    <workbookView xWindow="-120" yWindow="-120" windowWidth="29040" windowHeight="15720" xr2:uid="{00000000-000D-0000-FFFF-FFFF00000000}"/>
  </bookViews>
  <sheets>
    <sheet name="Plan de Acción Nov" sheetId="14" r:id="rId1"/>
  </sheets>
  <definedNames>
    <definedName name="_xlnm._FilterDatabase" localSheetId="0" hidden="1">'Plan de Acción Nov'!$A$8:$AE$107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5" i="14" l="1"/>
  <c r="T34" i="14" l="1"/>
  <c r="R107" i="14"/>
  <c r="S107" i="14"/>
  <c r="V71" i="14"/>
  <c r="P71" i="14"/>
  <c r="V69" i="14"/>
  <c r="T82" i="14"/>
  <c r="T81" i="14"/>
  <c r="Z81" i="14"/>
  <c r="Y107" i="14"/>
  <c r="X107" i="14"/>
  <c r="Q107" i="14"/>
  <c r="T105" i="14"/>
  <c r="A107" i="14" a="1"/>
  <c r="A107" i="14" s="1"/>
  <c r="AA66" i="14"/>
  <c r="AA64" i="14"/>
  <c r="Z37" i="14"/>
  <c r="V37" i="14"/>
  <c r="T37" i="14"/>
  <c r="P37" i="14"/>
  <c r="T96" i="14"/>
  <c r="N101" i="14"/>
  <c r="N100" i="14"/>
  <c r="N99" i="14"/>
  <c r="N98" i="14"/>
  <c r="N97" i="14"/>
  <c r="AC107" i="14" l="1"/>
  <c r="AA100" i="14"/>
  <c r="AA99" i="14"/>
  <c r="AA98" i="14"/>
  <c r="AA97" i="14"/>
  <c r="AA75" i="14"/>
  <c r="AA24" i="14"/>
  <c r="AA22" i="14"/>
  <c r="AA20" i="14"/>
  <c r="AA11" i="14"/>
  <c r="AA10" i="14"/>
  <c r="AA9" i="14"/>
  <c r="U11" i="14"/>
  <c r="N11" i="14"/>
  <c r="AB11" i="14" l="1"/>
  <c r="U100" i="14"/>
  <c r="AB100" i="14" s="1"/>
  <c r="U99" i="14"/>
  <c r="AB99" i="14" s="1"/>
  <c r="U98" i="14"/>
  <c r="AB98" i="14" s="1"/>
  <c r="U97" i="14"/>
  <c r="AB97" i="14" s="1"/>
  <c r="U75" i="14"/>
  <c r="AB75" i="14" s="1"/>
  <c r="U66" i="14"/>
  <c r="AB66" i="14" s="1"/>
  <c r="U64" i="14"/>
  <c r="AB64" i="14" s="1"/>
  <c r="U24" i="14"/>
  <c r="AB24" i="14" s="1"/>
  <c r="U22" i="14"/>
  <c r="AB22" i="14" s="1"/>
  <c r="U20" i="14"/>
  <c r="AB20" i="14" s="1"/>
  <c r="U10" i="14"/>
  <c r="AB10" i="14" s="1"/>
  <c r="U9" i="14"/>
  <c r="N94" i="14"/>
  <c r="N79" i="14"/>
  <c r="N75" i="14"/>
  <c r="M67" i="14"/>
  <c r="N67" i="14" s="1"/>
  <c r="N25" i="14"/>
  <c r="N24" i="14"/>
  <c r="N22" i="14"/>
  <c r="N20" i="14"/>
  <c r="N12" i="14"/>
  <c r="N10" i="14"/>
  <c r="N9" i="14"/>
  <c r="AB9" i="14" l="1"/>
  <c r="Z94" i="14"/>
  <c r="AA94" i="14" s="1"/>
  <c r="AA81" i="14" l="1"/>
  <c r="Z107" i="14"/>
  <c r="M29" i="14"/>
  <c r="N29" i="14" s="1"/>
  <c r="V25" i="14" l="1"/>
  <c r="AA25" i="14" s="1"/>
  <c r="P25" i="14"/>
  <c r="U25" i="14" s="1"/>
  <c r="V74" i="14"/>
  <c r="W105" i="14"/>
  <c r="W107" i="14" s="1"/>
  <c r="V104" i="14"/>
  <c r="AA101" i="14" s="1"/>
  <c r="V30" i="14"/>
  <c r="V79" i="14"/>
  <c r="AA79" i="14" s="1"/>
  <c r="P42" i="14"/>
  <c r="V33" i="14"/>
  <c r="V16" i="14"/>
  <c r="P16" i="14"/>
  <c r="AA67" i="14" l="1"/>
  <c r="AA12" i="14"/>
  <c r="AB25" i="14"/>
  <c r="P74" i="14"/>
  <c r="V61" i="14" l="1"/>
  <c r="P15" i="14" l="1"/>
  <c r="P52" i="14" l="1"/>
  <c r="T94" i="14" l="1"/>
  <c r="U94" i="14" s="1"/>
  <c r="AB94" i="14" s="1"/>
  <c r="V50" i="14" l="1"/>
  <c r="T83" i="14" l="1"/>
  <c r="U81" i="14" s="1"/>
  <c r="AB81" i="14" s="1"/>
  <c r="P43" i="14" l="1"/>
  <c r="P50" i="14" l="1"/>
  <c r="P39" i="14"/>
  <c r="P56" i="14"/>
  <c r="P53" i="14"/>
  <c r="P72" i="14"/>
  <c r="U67" i="14" s="1"/>
  <c r="AB67" i="14" s="1"/>
  <c r="P44" i="14" l="1"/>
  <c r="P104" i="14"/>
  <c r="P101" i="14"/>
  <c r="P103" i="14"/>
  <c r="P102" i="14"/>
  <c r="U101" i="14" l="1"/>
  <c r="P14" i="14"/>
  <c r="V63" i="14" l="1"/>
  <c r="P31" i="14" l="1"/>
  <c r="P13" i="14"/>
  <c r="V49" i="14"/>
  <c r="T107" i="14"/>
  <c r="P63" i="14"/>
  <c r="P34" i="14"/>
  <c r="P79" i="14"/>
  <c r="U79" i="14" s="1"/>
  <c r="AB79" i="14" s="1"/>
  <c r="N81" i="14"/>
  <c r="N66" i="14"/>
  <c r="N64" i="14"/>
  <c r="AA29" i="14" l="1"/>
  <c r="AA107" i="14" s="1"/>
  <c r="V107" i="14"/>
  <c r="U12" i="14"/>
  <c r="AB12" i="14" s="1"/>
  <c r="P107" i="14"/>
  <c r="N107" i="14"/>
  <c r="U29" i="14"/>
  <c r="AB101" i="14"/>
  <c r="AB29" i="14" l="1"/>
  <c r="U107" i="14"/>
  <c r="AB107" i="14"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<sst xmlns="http://schemas.openxmlformats.org/spreadsheetml/2006/main" count="823" uniqueCount="291">
  <si>
    <t xml:space="preserve"> PLAN DE ACCIÓN - PLAN DE DESARROLLO MUNICIPAL
SECRETARÍA DE INFRAESTRUCTURA</t>
  </si>
  <si>
    <t xml:space="preserve">FECHA DE SUSCRIPCIÓN:  </t>
  </si>
  <si>
    <t>FECHA DE CORTE:</t>
  </si>
  <si>
    <t>PDM 2020-2023</t>
  </si>
  <si>
    <t>PROYECTOS DE INVERSIÓN</t>
  </si>
  <si>
    <t>CUMPLIMIENTO DE META</t>
  </si>
  <si>
    <t>RECURSOS PROGRAMADOS</t>
  </si>
  <si>
    <t>RECURSOS EJECUTADOS</t>
  </si>
  <si>
    <t>EJECUCIÓN PPTAL</t>
  </si>
  <si>
    <t>RECURSOS GESTIONADOS</t>
  </si>
  <si>
    <t>RESPONSABLES</t>
  </si>
  <si>
    <t>No.</t>
  </si>
  <si>
    <t>Línea estratégica</t>
  </si>
  <si>
    <t>Componente</t>
  </si>
  <si>
    <t xml:space="preserve">Programa </t>
  </si>
  <si>
    <t>Meta PDM</t>
  </si>
  <si>
    <t>Indicador de producto</t>
  </si>
  <si>
    <t>Código BPIM</t>
  </si>
  <si>
    <t>Nombre del Proyecto</t>
  </si>
  <si>
    <t>Actividades</t>
  </si>
  <si>
    <t>Fecha inicio</t>
  </si>
  <si>
    <t>Fecha de terminación</t>
  </si>
  <si>
    <t>Meta programada</t>
  </si>
  <si>
    <t>Meta ejecutada</t>
  </si>
  <si>
    <t>AVANCE</t>
  </si>
  <si>
    <t>Rubro</t>
  </si>
  <si>
    <t>RECURSOS PROPIOS MUNICIPIO</t>
  </si>
  <si>
    <t>SGP</t>
  </si>
  <si>
    <t>SGR</t>
  </si>
  <si>
    <t>RECURSOS PROPIOS INSTITUTOS</t>
  </si>
  <si>
    <t>OTROS</t>
  </si>
  <si>
    <t>TOTAL PROGRAMADO</t>
  </si>
  <si>
    <t>TOTAL EJECUTADO</t>
  </si>
  <si>
    <t>Dependencia</t>
  </si>
  <si>
    <t>Responsable</t>
  </si>
  <si>
    <t>BUCARAMANGA SOSTENIBLE: UNA REGIÓN CON FUTURO</t>
  </si>
  <si>
    <t>Bucaramanga Una Eco-Ciudad</t>
  </si>
  <si>
    <t>Gobernanza Del Agua, Nuestra Agua, Nuestra Vida</t>
  </si>
  <si>
    <t>Repotenciar 1 sistema de alcantarillado sanitario y pluvial.</t>
  </si>
  <si>
    <t>Porcentaje de avance en la repotenciación del alcantarillado sanitario y pluvial.</t>
  </si>
  <si>
    <t>Sec. Infraestructura</t>
  </si>
  <si>
    <t xml:space="preserve">Iván José Vargas </t>
  </si>
  <si>
    <t>Realizar los estudios y diseños del Sistema de Tratamiento de Aguas Residuales Bucaramanga metropolitana.</t>
  </si>
  <si>
    <t>Porcentaje de avance en la realización de los estudios y diseños del Sistema de Tratamiento de Aguas Residuales Bucaramanga metropolitana.</t>
  </si>
  <si>
    <t>BUCARAMANGA PRODUCTIVA Y COMPETITIVA: EMPRESAS INNOVADORAS, RESPONSABLES Y CONSCIENTES</t>
  </si>
  <si>
    <t>Conectividad Para Competitividad Y La Internacionalización</t>
  </si>
  <si>
    <t>Estudios Y Diseños De La Infraestructura</t>
  </si>
  <si>
    <t>Realizar el 100% de los estudios y/o diseños requeridos para el desarrollo de proyectos de infraestructura.</t>
  </si>
  <si>
    <t>Porcentaje de estudios y/o diseños requeridos realizados para el desarrollo de proyectos de infraestructura.</t>
  </si>
  <si>
    <t>Una Zona Rural Competitiva E Incluyente</t>
  </si>
  <si>
    <t>Desarrollo Del Campo</t>
  </si>
  <si>
    <t>Repotenciar 2 acueductos veredales.</t>
  </si>
  <si>
    <t>Número de acueductos veredales repotenciados.</t>
  </si>
  <si>
    <t>Construir 1 acueducto veredal.</t>
  </si>
  <si>
    <t>Porcentaje de avance en la construcción del acueducto veredal.</t>
  </si>
  <si>
    <t>Construir 50 pozos sépticos para el sector rural.</t>
  </si>
  <si>
    <t>Número de pozos sépticos construidos para el sector rural.</t>
  </si>
  <si>
    <t>BUCARAMANGA CIUDAD VITAL: LA VIDA ES SAGRADA</t>
  </si>
  <si>
    <t>Espacio Público Vital</t>
  </si>
  <si>
    <t>Mejoramiento Y Mantenimiento De Parques Y Zonas Verdes</t>
  </si>
  <si>
    <t>Mantener el 100% de los parques, zonas verdes y su mobiliario.</t>
  </si>
  <si>
    <t>Porcentaje de parques, zonas verdes y su mobiliario mantenido.</t>
  </si>
  <si>
    <t>Equipamiento Comunitario</t>
  </si>
  <si>
    <t>Construir y/o mejorar 100.000 m2 de espacio espacio público y equipamiento urbano de la ciudad.</t>
  </si>
  <si>
    <t>Número de m2 de espacio público y equipamiento urbano de la ciudad consrtuido y/o mejorado.</t>
  </si>
  <si>
    <t>Realizar mejoramiento y/o mantenimiento a la infraestructura de 2 plaza de mercado a cargo del municipio.</t>
  </si>
  <si>
    <t>Número de plaza de mercados a cargo del municipio con acciones de mejoramiento y mantenimiento a la infraestructura.</t>
  </si>
  <si>
    <t>Infraestructura De Transporte</t>
  </si>
  <si>
    <t>Construir 15 kilómetros de cicloruta en el municipio diseñados bajo la implementación de la estrategia de la bicicleta.</t>
  </si>
  <si>
    <t>Número de kilómetros de cicloruta construídos en el municipio diseñados bajo la implementación de la estrategia de la bicicleta.</t>
  </si>
  <si>
    <t>Realizar mantenimiento o mejoramiento a 100.000 m2 de malla vial urbana.</t>
  </si>
  <si>
    <t xml:space="preserve">Número de m2 de malla vial urbana mantenidos o mejorados. </t>
  </si>
  <si>
    <t>Construir 3.000 metros líneales de placa huella en la zona rural.</t>
  </si>
  <si>
    <t>Número de metros lineales de placa huella construídos en la zona rural.</t>
  </si>
  <si>
    <t>Realizar mantenimiento a 2 puente peatonal.</t>
  </si>
  <si>
    <t>Número de puentes peatonales con mantenimiento realizado.</t>
  </si>
  <si>
    <t>Alumbrado Público Urbano Y Rural</t>
  </si>
  <si>
    <t>Formular e implementar 1 programa de expansión y modernización del alumbrado público de la ciudad.</t>
  </si>
  <si>
    <t>Número de programas de expansión y modernización del alumbrado público de la ciudad formulados e implementados.</t>
  </si>
  <si>
    <t xml:space="preserve">Mantener el funcionamiento del 100% de las luminarias operativas. </t>
  </si>
  <si>
    <t xml:space="preserve">Porcentaje de luminarias operativas en funcionamiento. </t>
  </si>
  <si>
    <t>Implementar 1 herramienta que permita integrar la gestión y el control de la infraestructura del alumbrado público mediante las TIC.</t>
  </si>
  <si>
    <t>Porcentaje de avance en la implementación de la herramienta que permita integrar la gestión y el control de la infraestructura del alumbrado público mediante las TIC.</t>
  </si>
  <si>
    <t>Instalar 30.000 puntos de luminarias telegestionadas para construir una red de alumbrado público inteligente basado en sensórica y dispositivos interconectados para la telegestión.</t>
  </si>
  <si>
    <t>Número de puntos de luminarias telegestionadas instaladas para construir una red de alumbrado público inteligente basado en sensórica y dispositivos interconectados para la telegestión.</t>
  </si>
  <si>
    <t>Implementar y mantener 1 sistema para adquisición, análisis, procesamiento y visualización de información de la red de alumbrado público inteligente e interoperable con otros sistemas.</t>
  </si>
  <si>
    <t>Número de sistemas implementados y mantenidos para adquisición, análisis, procesamiento y visualización de información de la red de alumbrado público inteligente e interoperable con otros sistemas.</t>
  </si>
  <si>
    <t>Implementar 1 centro de control y gestión que asegure la interoperabilidad, integración y el análisis de la información proveniente de la red de alumbrado público inteligente y otras.</t>
  </si>
  <si>
    <t>Porcentaje de avance en la implementación del centro de control y gestión que asegure la interoperabilidad, integración y el análisis de la información proveniente de la red de alumbrado público inteligente y otras.</t>
  </si>
  <si>
    <t>BUCARAMANGA TERRITORIO LIBRE DE CORRUPCIÓN: INSTITUCIONES SÓLIDAS Y CONFIABLES</t>
  </si>
  <si>
    <t>Administración Pública Moderna E Innovadora</t>
  </si>
  <si>
    <t>Gobierno Fortalecido Para Ser Y Hacer</t>
  </si>
  <si>
    <t>Mantener el 100% de los programas que desarrolla la Administración Central.</t>
  </si>
  <si>
    <t>Porcentaje de programas que desarrolla la Administración Central mantenidos.</t>
  </si>
  <si>
    <t>TOTALES</t>
  </si>
  <si>
    <t>CAMBIO DE POSTES, REDES ELECTRICAS Y LUMINARIAS  PARA MEJORAR EL ALUMBRADO PUBLICO EN EL SECTOR</t>
  </si>
  <si>
    <t xml:space="preserve">MODERNIZACIÓN DEL ALUMBRADO PÚBLICO DEL BOULEVARES BOLIVAR Y SANTANDER DEL MUNICIPIO DE BUCARAMANGA </t>
  </si>
  <si>
    <t>FORTALECIMIENTO DE LA ADMINISTRACIÓN Y OPERACIÓN  DE ALUMBRADO PÚBLICO DE BUCARAMANGA.</t>
  </si>
  <si>
    <t>REALIZAR MANTENIMIETO DE ALUMBRADO PUBLICO EN LOS DIFERENTES SECTOR DEL MUNICIPIO</t>
  </si>
  <si>
    <t>MANTENIMIENTO DEL SISTEMA DE ALUMBRADO PÚBLICO 2020-2023 DEL MUNICIPIO DE BUCARAMANGA.</t>
  </si>
  <si>
    <t>2.3.2.02.02.009.4501007.226</t>
  </si>
  <si>
    <t xml:space="preserve"> FORTALECIMIENTO EN LA PLANIFICACIÓN DE LAS OBRAS DE INFRAESTRUCTURA DEL MUNICIPIO DE BUCARAMANGA </t>
  </si>
  <si>
    <t>FORTALECIMIENTO INSTITUCIONAL PARA LOS PROCESOS TRANSVERSALES DE LA SECRETARIA DE INFRAESTRUCTURA DEL MUNICIPIO DE   BUCARAMANGA</t>
  </si>
  <si>
    <t>SUBSIDIO DE LOS SERVICIOS PUBLICOS DE ACUEDUCTO, ALCANTARILLADO Y ASEO A LA POBLACIÓN DE ESTRATO 1, 2 Y 3 DEL MUNICIPIO DE BUCARAMANGA</t>
  </si>
  <si>
    <t>SUBSIDIO DE LOS SERVICIOS DE ACUEDUCTO, ALCANTARILLADO Y ASEO A LA POBLACIÓN DE ESTRATO 1, 2 Y 3 DEL MUNICIPIO DE BUCARAMANGA</t>
  </si>
  <si>
    <t xml:space="preserve">ACTUALIZACIÓN DE LOS ESTUDIOS Y DISEÑOS FASE I Y II PARA LA CONSTRUCCION DE LA SOLUCION VIAL DE LA CALLE 53 Y CALLE 54 DE LA CONEXION ORIENTE - OCCIDENTE DEL MUNICIPIO DE BUCARAMANGA </t>
  </si>
  <si>
    <t>ACTUALIZACION DE DISEÑOS FASE I Y II DE LA CALLE 54</t>
  </si>
  <si>
    <t>MANTENIMIENTO Y CONSERVACIÓN  DE ZONAS VERDES Y  PARQUES DEL MUNICIPIO DE BUCARAMANGA, SANTANDER</t>
  </si>
  <si>
    <t>ADECUACION DE ANDENES, ESCALERAS Y PASAMANOS, DEL MUNICIPIO DE BUCARAMANGA SANTANDER</t>
  </si>
  <si>
    <t>ADECUACION DE ANDENES EN DIFERENTES SECTORES DEL MUNICIPIO DE BUCARAMANGA</t>
  </si>
  <si>
    <t>2.3.2.02.02.005.4002022.201</t>
  </si>
  <si>
    <t>VIGENCIA FUTURA DE ALUMBRADO PUBLICO</t>
  </si>
  <si>
    <t>Fortalecimiento institucional de la Sec. Infraestructura.</t>
  </si>
  <si>
    <t>Meta no programa para la vigencia.</t>
  </si>
  <si>
    <t>2.3.2.02.02.009.4003047.201 $ 4.137.320.506 
2.3.2.02.02.009.4003047.215 $ 6.392.312.960 
2.3.2.02.02.009.4003047.268 $ 24.911.725 
2.3.2.02.02.009.4003047.228 $ 270.698.077 
2.3.2.02.02.009.4003047.260 $ 852.861</t>
  </si>
  <si>
    <r>
      <t xml:space="preserve">Página: </t>
    </r>
    <r>
      <rPr>
        <sz val="11"/>
        <rFont val="Arial"/>
        <family val="2"/>
      </rPr>
      <t>1 de 1</t>
    </r>
  </si>
  <si>
    <t>CONSERVACIÓN Y MEJORAMIENTO DE LA COBERTURA VEGETAL DE LAS ZONAS VERDES Y PARQUES DEL MUNICIPIO DE BUCARAMANGA, SANTANDER</t>
  </si>
  <si>
    <t>ADECUACIÓN DEL PARQUE EL CENTENARIO DEL MUNICIPIO DE BUCARAMANGA</t>
  </si>
  <si>
    <t>RECUPERACIÓN DEL EQUIPAMIENTO URBANO EN PARQUES, ESCENARIOS DEPORTIVOS Y ESPACIO PÚBLICO DEL MUNICIPIO DE BUCARAMANGA</t>
  </si>
  <si>
    <t>MODERNIZACIÓN DEL ALUMBRADO PÚBLICO DEL PARQUE LA LOMA, EL PARQUE LOS SARRAPIOS Y LAS VIAS PEATONALES  UBICADAS ENTRE LAS CALLES 42 Y 54 Y CARRERAS 32 A 42 DEL MUNICIPIO DE BUCARAMANGA</t>
  </si>
  <si>
    <t xml:space="preserve">MODERNIZACIÓN DEL ALUMBRADO PÚBLICO DE LAS COMUNAS 6, 7 Y 12 DEL MUNICIPIO DE BUCARAMANGA </t>
  </si>
  <si>
    <r>
      <t xml:space="preserve">Código:  </t>
    </r>
    <r>
      <rPr>
        <sz val="11"/>
        <rFont val="Arial"/>
        <family val="2"/>
      </rPr>
      <t>F-DPM-1210-238,37-030</t>
    </r>
  </si>
  <si>
    <t>ADQUISICIÓN DE MAQUINARIA PARA EL MANTENIMIENTO DE LA MALLA VIAL MUNICIPAL DEL MUNICIPIO DE BUCARAMANGA, SANTANDER.</t>
  </si>
  <si>
    <t>2.3.2.01.01.003.02.08.2402112.44424.273</t>
  </si>
  <si>
    <t>ADECUACIÓN DE SALONES COMUNALES EN EL MUNICIPIO DE BUCARAMANGA, SANTANDER</t>
  </si>
  <si>
    <t xml:space="preserve">VIGENCIA FUTURA   </t>
  </si>
  <si>
    <t>ADECUACIÓN DE LA INFRAESTRUCTURA DE PARQUES Y ESCENARIOS DEPORTIVOS EN EL MUNICIPIO DE BUCARAMANGA, SANTANDER</t>
  </si>
  <si>
    <t>2.3.2.02.02.005.4301011.54270.273</t>
  </si>
  <si>
    <t>ADECUACIÓN DEL EQUIPAMIENTO URBANO DEL MUNICIPIO DE BUCARAMANGA, SANTANDER</t>
  </si>
  <si>
    <t>2.3.2.02.02.008.4002026.85970.201</t>
  </si>
  <si>
    <t xml:space="preserve">2.3.2.02.02.008.4002026.85970.201 </t>
  </si>
  <si>
    <t>2.3.2.02.02.008.4599031.82120.201 $ 81.000.000 2.3.2.02.02.008.4599031.83213.201 $ 382.370.000 2.3.2.02.02.008.4599031.83321.201 $ 528.800.000 2.3.2.02.02.008.4599031.83990.201 $ 260.950.000 2.3.2.02.02.008.4599031.85999.201 $ 173.364.649</t>
  </si>
  <si>
    <t>FORTALECIMIENTO INSTITUCIONAL DE APOYO PROFESIONAL A LA SECRETARIA DE INFRAESTRUCTURA PARA EL DESARROLLO DE LAS OBRAS DE REACTIVACION ECONOMICA EN EL MUNICIPIO DE BUCARAMANGA</t>
  </si>
  <si>
    <t>2.3.2.02.02.008.4599031.83213.201 $ 793.680.000 2.3.2.02.02.008.4599031.83321.201 $ 852,000,000 2.3.2.02.02.008.4599031.83990.201 $ 359.400.000 2.3.2.02.02.008.4599031.85999.201 $ 135.000.000</t>
  </si>
  <si>
    <t>2.3.2.02.02.008.4599031.82120.201 $ 321.800.000 2.3.2.02.02.008.4599031.83213.201 $ 210.000.000 2.3.2.02.02.008.4599031.83321.201 $ 669.200.000 2.3.2.02.02.008.4599031.83990.201 $ 187.800.000 2.3.2.02.02.008.4599031.85999.201 $ 108.000.000</t>
  </si>
  <si>
    <t>2.3.2.02.02.005.2402042.54211.201</t>
  </si>
  <si>
    <t>2.3.2.02.02.005.4003044.54342.201</t>
  </si>
  <si>
    <t xml:space="preserve">2.3.2.02.02.009.2102013.91123.226 </t>
  </si>
  <si>
    <t xml:space="preserve">2.3.2.02.02.009.4501007.91123.226 </t>
  </si>
  <si>
    <t>MEJORAMIENTO DE LAS INSTALACIONES DEL INSTITUTO TECNOLOGICO DAMASO ZAPATA FASE I DEL MUNICIPIO DE BUCARAMANGA</t>
  </si>
  <si>
    <t>Adicional contratos</t>
  </si>
  <si>
    <t>CONSTRUCCIÓN DE PLACAS HUELLAS Y OBRAS COMPLEMENTARIAS DE LA MALLA VIAL VEREDAL DEL MUNICIPIO DE BUCARAMANGA, SANTANDER</t>
  </si>
  <si>
    <t>Adicion contratos</t>
  </si>
  <si>
    <t>MANTENIMIENTO Y MEJORAMIENTO DE L RED VIAL URBANA DEL MUNICIPIO DE BUCARAMANGA,S ANTANDER</t>
  </si>
  <si>
    <t xml:space="preserve">2.3.2.02.02.005.2402127.53211.201 $ 617.022.563 </t>
  </si>
  <si>
    <t>ADECUACION DE ANDENES, ESCALERAS Y PASAMANOS VIABILIZADOS POR EL EJERCICIO DE PRESUPUESTOS PARTICIPATIVOS EN DIFERENTES SECTORES DEL MUNICIPIO DE BUCARAMANGA - SANTANDER</t>
  </si>
  <si>
    <t>Adicion de contratos</t>
  </si>
  <si>
    <t>2.3.2.02.02.005.2409042.54221.201</t>
  </si>
  <si>
    <t>MEJORAMIENTO DEL ESPACIO PUBLICO DEL BARRIO MIRAFLORES PARTE ALTA, BARRIO ALBANIA Y CORDONCILLOS I DEL MUNICIPIO DE BUCARAMANGA</t>
  </si>
  <si>
    <t xml:space="preserve">2.3.2.02.02.005.4002020.53211.201 $ 66.140.838 </t>
  </si>
  <si>
    <t>2.3.2.02.02.008.2402118.83232.230 $ 3.092.386.0652                    2.3.2.02.02.008.2402118.83232.255 $ 72.081.145</t>
  </si>
  <si>
    <t>CONSTRUCCION DE POZOS SÉPTICOS EN EL AREA RURAL DEL MUNICIPIO DE BUCARAMANGA”</t>
  </si>
  <si>
    <t>Adicionales contratos</t>
  </si>
  <si>
    <t>ADECUACION DE INFRAESTRUCTURA PARA EQUIPAMIENTOS COMUNITARIOS Y ESPACIO PUBLICOS ADYACENTES EN EL MUNICIPIO DE BUCARAMANGA, SANTANDER</t>
  </si>
  <si>
    <t>2.3.2.02.02.005.4103027.54270.201 $ 236.770.830</t>
  </si>
  <si>
    <t>2.3.2.02.02.005.4301011.54270.201 $ 1.866.276.000 2.3.2.02.02.008.4301011.83990.201 $ 48.600.000  2.3.2.02.02.008.4301011.85999.201 $ 79.200.000</t>
  </si>
  <si>
    <t>ADECUACION Y MEJORAMIENTO DE PARQUES Y ESPACIO PUBLICO DEL MUNICIPIO DE BUCARAMANGA</t>
  </si>
  <si>
    <t>MEJORAMIENTO DEL PUENTE PEATONAL DE LA INTERSECCION VIAL DE LA CARRERA 22B CON CALLE 7N EN EL BARRIO EL PLAN, QUE COMUNICA LA INTERSECCION VIAL DE LA CALLE 10N CON CARRERA 22A EN EL BARRIO ESPERANZA II  DEL MUNICIPIO DE BUCARAMANGA, SANTANDER</t>
  </si>
  <si>
    <t>Adicional contrato para terminar ejecucion</t>
  </si>
  <si>
    <t xml:space="preserve">2.3.2.02.02.005.2201052.53129.201 $ 407.210.660 2.3.2.02.02.005.2201052.53129.201 $ 3.335.243.684 </t>
  </si>
  <si>
    <t>MEJORAMIENTO DE LA MALLA VIAL Y ESPACIO PÚBLICO ENMARCADO DENTRO DE LA ESTRATEGIA “PLAN REVITALIZACION DEL ESPACIO PUBLICO CENTRO” EN EL MUNICIPIO DE BUCARAMANGA, SANTANDER.</t>
  </si>
  <si>
    <t>2.3.2.02.02.005.2402114.53211.201</t>
  </si>
  <si>
    <t>MEJORAMIENTO DE LA SEÑALIZACION HORIZONTAL Y OBRAS COMPLEMENTARIAS EN TRAMOS VIALES DEL MUNICIPIO DE BUCARAMANGA, SANTANDER”,</t>
  </si>
  <si>
    <t>2.3.2.02.02.005.2409013.53211.201</t>
  </si>
  <si>
    <t>2.3.2.02.02.005.4301011.54270.201 $ 334.963.540,23 2.3.2.02.02.005.4301011.54270.213 $ 8.118.317.887</t>
  </si>
  <si>
    <t xml:space="preserve">2.3.2.02.02.009.2102010.91123.226 </t>
  </si>
  <si>
    <t xml:space="preserve">CONSTRUCCION DEL SISTEMA DE ALUMBRADO PUBLICO EN TECNOLOGIA LED PARA TRAMO 7 DEL CORREDOR VIAL CONCESIONADO DENTRO DEL ÁREA DE INFLUENCIA DEL MUNICIPIO DE BUCARAMANGA. </t>
  </si>
  <si>
    <t>2.3.2.02.02.005.1709078.53122.201</t>
  </si>
  <si>
    <t>CONSTRUCCION Y MEJORAMIENTO DE LA INFRAESTRUCTURA CULTURAL "CASA GALAN" DEL MUNICIPIO DE BUCARAMANGA, SANTANDER</t>
  </si>
  <si>
    <t>Adicional</t>
  </si>
  <si>
    <t>2.3.2.02.02.005.4003048.53231.201</t>
  </si>
  <si>
    <t>2.3.2.02.02.005.4103027.54270.201  $ 127.071.039</t>
  </si>
  <si>
    <t>2.3.2.02.02.008.4599006.83310.201</t>
  </si>
  <si>
    <t>MODERNIZACION DE LA INFRAESTRUCTURA PERTENECIENTE AL ALUMBRADO PUBLICO DEL MUNICIPIO DE BUCARAMANGA.</t>
  </si>
  <si>
    <t xml:space="preserve">Modernización de Tableros, Sustitucion de cables de la  CARRERA 15  y  Mantenimiento a los  TRANSFORMADORES de ALUMBRADO PUBLICO del Municipio de  Bucaramanga. </t>
  </si>
  <si>
    <t>2.3.2.02.02.009.2102011.91123.226</t>
  </si>
  <si>
    <t>ADICIONAL</t>
  </si>
  <si>
    <t>MATENIMIENTO DE LA PLAZA DE MERCADO KENNEDY A CARGO DEL MUNICIPIO DE BUCARAMANGA, SANTANDER</t>
  </si>
  <si>
    <t>2.3.2.02.02.005.2402120.53221.201 $ 435.593.566,48 2.3.2.02.02.005.2402120.53221.289 $ 365.999.563,52</t>
  </si>
  <si>
    <t>2.3.2.02.02.005.4003017.53231.289</t>
  </si>
  <si>
    <t>ESTUDIOS Y DISEÑOS PARA LA REHABILITACION DEL PUENTE NARIÑO SOBRE EL RIO DE ORO EN EL MUNICIPIO DE BUCARAMANGA</t>
  </si>
  <si>
    <t>ESTUDIOS Y DISEÑOS DE CARACTERIZACION GEOTECNICAS REQUERIDOS PARA PROYECTOS DE INFRAESTRUCTURA EN EL MUNICIPIO DE BUCARAMANGA, SANTANDER</t>
  </si>
  <si>
    <t>2.3.2.02.02.005.3301093.53129.201 $ 283.866.197 2.3.2.02.02.005.3301093.53129.221 $ 48.244.044</t>
  </si>
  <si>
    <t>2.3.2.02.02.005.2402042.53211.289</t>
  </si>
  <si>
    <t>Proyecto con recursos para vigencia futura</t>
  </si>
  <si>
    <t>2.3.2.02.02.005.1709078.53122.573</t>
  </si>
  <si>
    <t>recursos para el proyecto por vigencia futura</t>
  </si>
  <si>
    <t>SERVICIO DE INTERVENTORIA TECNICA, ADMINISTRATIVA, FINANCIERA Y AMBIENTAL PARA LA AMPLIACION DEL CORREDOR VIAL PRIMARIO  BUCARAMANGA - FLORIDABLANCA . SECTOR PUERTA DEL SOL - PUENTE PROVENZA DEL MUNICIPIO DE BUCARAMANGA</t>
  </si>
  <si>
    <t>Pasivo exigible</t>
  </si>
  <si>
    <t>Recursos de valorizacion para la construccion de la calle 54</t>
  </si>
  <si>
    <t>2.3.2.02.02.005.2402113.53211.530</t>
  </si>
  <si>
    <t>2.3.2.02.02.005.2402127.54211.282 $ 1.083.712.056  2.3.2.02.02.005.2402127.54211.289 $ 3.787.390.794,48
2.3.2.02.02.005.2402127.54211.232 $ 280.854.381 2.3.2.02.02.005.2402127.54211.582 $ 1.960.833.127,33</t>
  </si>
  <si>
    <t>2.3.2.02.02.005.4002020.53122.533</t>
  </si>
  <si>
    <t>Para adicionar contrato señalizacion</t>
  </si>
  <si>
    <t>2.3.2.02.02.005.2409013.53211.501</t>
  </si>
  <si>
    <t>2.3.2.02.02.005.3205018.53290.289  2.3.2.02.02.005.3205018.53290.501  2.3.2.02.02.005.3205018.53290.588</t>
  </si>
  <si>
    <t>2.3.2.02.02.005.3301038.53129.501</t>
  </si>
  <si>
    <t>2.3.2.02.02.005.4002020.53270.213 2.3.2.02.02.005.4002020.53270.501 2.3.2.02.02.005.4002020.53270.513</t>
  </si>
  <si>
    <t>Recursos presupuestos participativos</t>
  </si>
  <si>
    <t>2.3.2.02.02.005.4002020.54211.588</t>
  </si>
  <si>
    <t>2.3.2.02.02.005.4003015.53231.521</t>
  </si>
  <si>
    <t>2.3.2.02.02.005.4003020.53253.501</t>
  </si>
  <si>
    <t>2.3.2.02.02.005.4104001.53129.501</t>
  </si>
  <si>
    <t>2.3.2.02.02.005.4301004.53270.501</t>
  </si>
  <si>
    <t>VIGENCIA FUTURA</t>
  </si>
  <si>
    <t>2.3.2.02.02.005.4502003.53129.501  2.3.2.02.02.005.4502003.53129.573</t>
  </si>
  <si>
    <t>ESTUDIOS Y DISEÑOS PARA MITIGAR LA EROSION Y/O DESLIZAMIENTO EN TALUDES DE DIFERENTES ZONAS DEL MUNICIPIO DE BUCARAMANGA</t>
  </si>
  <si>
    <t>2.3.2.02.02.008.3202044.83221.201 $ 46.947.229 2.3.2.02.02.008.3202044.83221.201 $ 37852771</t>
  </si>
  <si>
    <t>ESTUDIOS DE ALTERNATIVAS PARA DAR SOLUCION PARA LA RECOLECCION, CONDUCCION, TRATAMIENTO Y DISPOSICION FINAL DE LAS AGUAS RESIDUALES PRODUCIDAS EN EL SECTOR DEL ASENTAMIENTO BUENA VISTA ZONA RURAL DEL MUNICIPIO DE BUCARAMANGA.</t>
  </si>
  <si>
    <t xml:space="preserve">2.3.2.02.02.008.4003042.83327.201 $ 84.250.000 </t>
  </si>
  <si>
    <t>ESTUDIO DE DIAGNOSTICO PRELIMINAR PARA DETERMINAR LAS ALTERNATIVAS DE SOLUCION AL MANTENIMIENTO DEL PUENTE PROVINCIAL LA NOVENA - ALEJANDRO GALVIS RAMIREZ DEL MUNICIPIO DE BUCARAMANGA</t>
  </si>
  <si>
    <t xml:space="preserve">2.3.2.02.02.008.2402118.83323.201 $ 233.416.266 </t>
  </si>
  <si>
    <t>2.3.2.02.02.008.2402118.83323.201 $ 83.900.000</t>
  </si>
  <si>
    <t>INSTALACION DE TANQUES PLASTICOS A LA RED DE ACUEDUCTO EXISTENTE Y OBRAS COMPLEMENTARIAS ASENTAMIENTO HUMANO VILLA CARMELO EN EL MUNICIPIO DE BUCARAMANGA.</t>
  </si>
  <si>
    <t>2.3.2.02.02.008.4002026.85970.201 $ 2.900.484.305 2.3.2.02.02.008.4002026.83990.201 $ 92.000.000 2.3.2.02.02.008.4002026.85999.201 $ 239.486.029,48 2.3.2.02.02.008.4002026.85970.201 $ 325.663.916,52</t>
  </si>
  <si>
    <t>2.3.2.02.02.008.4002026.85970.501</t>
  </si>
  <si>
    <t>2.3.2.02.02.008.4301011.83990.501  2.3.2.02.02.008.4301011.85999.501</t>
  </si>
  <si>
    <t>PASIVOS EXIGIBLES</t>
  </si>
  <si>
    <t xml:space="preserve">2.3.2.02.02.009.2102013.91123.526 </t>
  </si>
  <si>
    <t>2.3.2.02.02.009.2102011.91123.526</t>
  </si>
  <si>
    <t>2.3.7.06.02.4599002.53129.616 2.3.7.06.02.4599002.53129.601 2.3.7.06.02.4599002.53211.630 2.3.7.06.02.4599002.54270.613</t>
  </si>
  <si>
    <t>MANTENIMIENTO DE PUNTES PEATONALES EN EL MUNICIPIO DE BUCARAMANGA</t>
  </si>
  <si>
    <t>OPTIMIZACION DE LOS ACUEDUCTOS LA MALAÑA Y VEREDA ROSA BLANCA EN EL MUNICIPIO DE BUCARAMANGA</t>
  </si>
  <si>
    <t>2.3.2.02.02.008.4003042.83327.201 $ 536.089.602,78 2.3.2.02.02.008.4003042.83327.501</t>
  </si>
  <si>
    <t>ESTUDIOS Y DISEÑOS PARA LA CONTRUCCION DE ACUEDUCTOS VEREDALES EN VARIOS SECTORES DEL MUNICIPIO DE BUCARAMANGA</t>
  </si>
  <si>
    <t>Nuevo proyecto CSP 2022</t>
  </si>
  <si>
    <t>FORTALECIMIENTO INSTITUCIONALPARA LOS PROCESOS DE INFRAESTRUCTURA Y PLANIFICACION DE LA SECRETARIA DE INFRAESTRUCTURA DEL MUNICIPIO DE BUCARAMANGA</t>
  </si>
  <si>
    <t>2.3.2.02.02.008.4599031.82120.501 $ 113.516.667  2.3.2.02.02.008.4599031.82120.501 $ 152.083.333 2.3.2.02.02.008.4599031.83213.501 $ 791.500.000 2.3.2.02.02.008.4599031.83213.501 $ 181.850.000 2.3.2.02.02.008.4599031.83321.501 $  875.583.333,67 2.3.2.02.02.008.4599031.83321.501 $  353.673.334 2.3.2.02.02.008.4599031.83990.501 $ 730.730.000  2.3.2.02.02.008.4599031.83990.501 $ 49.293.333 2.3.2.02.02.008.4599031.85999.501 $ 228.447.017,33 2.3.2.02.02.008.4599031.85999.501 $ 102.564.649</t>
  </si>
  <si>
    <t>ADECUACION Y REFORMAS LOCATIVAS A LAS PLAZAS DE MERCADO DEL MUNICIPIO DE BUCARAMANGA, SANTANDER</t>
  </si>
  <si>
    <t>MEJORAMIENTO DE LA RED VIAL TERCIARIA EN LOS CORREGIMIENTOS 1, 2 Y 3 DEL MUNICIPIO DE BUCARAMANGA, SANTANDER</t>
  </si>
  <si>
    <t>MEJORAMIENTO Y MANTENIMIENTO DE LA  RED VIAL URBANA DEL MUNICIPIO DE BUCARAMANGA, SANTANDER</t>
  </si>
  <si>
    <t>2.3.2.02.02.005.2402114.53211.573  2.3.2.02.02.005.2402114.53211.604 2.3.2.02.02.005.2402114.53211,289 $ 1.479.000.000</t>
  </si>
  <si>
    <t xml:space="preserve">2.3.2.02.02.005.2402114.54211.201 $ 1.070.262.370,42 </t>
  </si>
  <si>
    <t xml:space="preserve">  2.3.2.02.02.005.4002020.53211.573</t>
  </si>
  <si>
    <t>2.3.2.02.02.005.4002020.53211.501</t>
  </si>
  <si>
    <t>CONSTRUCCION ESPACIO PUBLICO COLEGIO TECNOLOGICO DAMASO ZAPATA EN EL MUNICIPIO DE BUCARAMANGA</t>
  </si>
  <si>
    <t>Vigencias futuras</t>
  </si>
  <si>
    <t>MEJORAMIENTO DE LA INFRAESTRUCTURA URBANA Y CALIDAD AMBIENTAL DENTRO DE LA ESTRATEGIA CENTRO CAMINABLE EN EL MUNICIPIO DE BUCARAMANGA, SANTANDER</t>
  </si>
  <si>
    <t>MEJORAMIENTO DEL ESPACIO PUBLICO (PLAZOLETA LUIS CARLOS GALAN Y PARQUE GARCIA ROVIRA) ENMARCADO DENTRO DE LA ESTRATEGIA PLAN CENTRO EN EL MUNICIPIO DE BUCARAMANGA, SANTANDER</t>
  </si>
  <si>
    <t>MEJORAMIENTO DEL PARQUE EL ROMERO DEL MUNICIPIO DE BUCARAMANGA</t>
  </si>
  <si>
    <t>CONSTRUCCION CENTRO VIDA Y ESPACIOS COMPLEMENTARIOS ANTONIA SANTOS EN EL MUNICIPIO DE BUCARAMAGA</t>
  </si>
  <si>
    <t>VIGENCIA FUTURA ALUMBRADO</t>
  </si>
  <si>
    <t>ADECUACION DEL EQUIPAMIENTO Y ESCENARIOS DEPORTIVOS DELMUNICIPIO DE BUCARAMANGA, SANTANDER</t>
  </si>
  <si>
    <t>2.3.2.02.02.005.4301012.54129.201 $ 859.522.131,15 2.3.2.02.02.005.4301012.53270.201 $ 168.687.673 2.3.2.02.02.005.4301012.53270.501 $ 400.000.000</t>
  </si>
  <si>
    <t>ADECUACION DE LOS SALONES COMUNALESDE LOS BARRIOS LA CONCORDIA Y SAN LUIS DEL MUNICIPIO DE BUCARAMANGA</t>
  </si>
  <si>
    <t>INSTALACION DEL ALUMBRADO NAVIDEÑO EN EL MUNICIPIO DE BUCARAMANGA</t>
  </si>
  <si>
    <t>2.3.2.02.02.008.4002020.88756.201 2.3.2.02.02.008.4002020.88756.501</t>
  </si>
  <si>
    <t>MANTENIMIENTO Y ORNATO DE LOS PARQUES Y ZONAS VERDES UBICADAS EN LOS ESPACIOS PUBLICOS DEL MUNICIPIO DE BUCARAMANGA</t>
  </si>
  <si>
    <t>2.3.2.02.02.009.2102013.91123.226 $2.054.986.612,00
2.3.2.02.02.009.2102013.91123.526 $4.133.389.169,00</t>
  </si>
  <si>
    <t>MODERNIZACIÓN DEL ALUMBRADO PUBLICO DE LAS URBANIZACIONES LOS NARANJOS Y CENTAUROS DEL MUNICIPIO DE BUCARAMANGA</t>
  </si>
  <si>
    <t>Mejorar en la iluminación (alumbrado público), de todas las áreas de la Urbanización (zonas peatonales, zonas verdes, parque deportivo y espacios adyacentes)</t>
  </si>
  <si>
    <t>MODERNIZACIÓN DEL ALUMBRADO PUBLICO DE LOS PARQUES GABRIEL TURBAY Y OLAYA HERRERA DEL MUNICIPIO DE BUCARAMANGA</t>
  </si>
  <si>
    <t>Modernizarlos con un diseño especializado de iluminación en tecnología led</t>
  </si>
  <si>
    <t>MODERNIZACIÓN DEL ALUMBRADO PUBLICO DE LA CALLE 56 DESDE LA CARRERA 36 HASTA LA CARRERA 15 Y DESDE LA CARRERA 15 HASTA LA AVENIDA LOS BUCAROS Y AVENIDA CALLE REAL DEL MUNICIPIO DE BUCARAMANGA.</t>
  </si>
  <si>
    <t>Se proyecta dos subestaciones (tableros) que cubre la totalidad del servicio en las zonas y reposición de zonas duras y verdes del espacio público</t>
  </si>
  <si>
    <t>2.3.2.02.02.005.4301011.54270.501 2.3.2.02.02.005.4301011.54270.213</t>
  </si>
  <si>
    <t xml:space="preserve">2.3.2.02.02.005.4502003.54129.273 2.3.2.02.02.005.4502003.53129.501  </t>
  </si>
  <si>
    <t>COMPROMISO PARA EL PAGO DE VIGENCIAS EXPIRADAS DEL MEJORAMIENTO DEL PARQUE RECREAR EN EL BARRIO KENNEDY DEL MUNICIPIO DE BUCARAMANGA</t>
  </si>
  <si>
    <t>2.3.7.06.02.4599002.54270.613 2.3.7.06.02.4599002.54270.601</t>
  </si>
  <si>
    <t>DOTACION PARA LA PUESTA EN MARCHA DEL TEATRINO DE LA ESCUELA DE ARTES MUNICIPAL (EMA) Y TEATRO SANTANDER EN EL MUNICIPIO DE BUCARAMANGA</t>
  </si>
  <si>
    <t>2.3.2.02.02.005.2402042.53211.573 2.3.2.02.02.005.2402042.53211.289</t>
  </si>
  <si>
    <t>2.3.2.02.02.005.3301038.53129.201 2.3.2.02.02.005.3301038.53129.501</t>
  </si>
  <si>
    <t>CONSERVACIÓN PREVENTIVA Y PRIMEROS AUXILIOS AL BIEN DE INTERÉS CULTURAL TEATRO COLISEO PERALTA EN EL MUNICIPIO DE BUCARAMANGA, SANTANDER.</t>
  </si>
  <si>
    <t>Pendiente adicionales salones</t>
  </si>
  <si>
    <t>COMPROMISO PARA EL PAGO DE VIGENCIAS EXPIRADAS CORRESPONDIENTE A LA EJECUCION DEL PROYECTO CONSTRUCCION DEL INTERCAMBIADOR VIAL MESON DE LOS BUCAROS Y OBRAS COMPLEMENTARIAS MUNICIPIO DE BUCARAMANGA.</t>
  </si>
  <si>
    <t>2.3.7.06.02.4599002.91123.626 2.3.7.06.02.4599002.53211.601 2.3.7.06.02.4599002.53211.630</t>
  </si>
  <si>
    <t>05/12//2022</t>
  </si>
  <si>
    <t>ESTUDIOS Y DISEÑOS PARA LA CONSTRUCCION DEL MONUMENTO CONMEMORATIVO A LA CELEBRACION 400 AÑOS DEL MUNICIPIO DE BUCARAMANGA, SANTANDER</t>
  </si>
  <si>
    <t>2.3.2.02.02.008.4599006.83221.501</t>
  </si>
  <si>
    <t>2.3.2.02.02.005.4301011.54270.501</t>
  </si>
  <si>
    <t>2.3.2.02.02.005.4502003.54129.201 2.3.2.02.02.005.4502003.54129.267 2.3.2.02.02.005.4502003.54129.501</t>
  </si>
  <si>
    <t>Adicional contrato</t>
  </si>
  <si>
    <t>2.3.2.02.02.008.4003048.53231.501</t>
  </si>
  <si>
    <t xml:space="preserve">2.3.2.02.01.002.4599016.2824202.226  $ 1.500.000
2.3.2.02.01.002.4599016.28269.226       $ 2.000.000
2.3.2.02.01.003.4599016.3336103.226  $12.000.000
2.3.2.02.01.003.4599016.3699060.226  $11.000.000
2.3.2.02.01.003.4599016.3699060.226  $ 4.000.000
2.3.2.02.01.003.4599016.3212801.226  $ 4.600.000
2.3.2.02.01.004.4599016.4516004.226  $   400.000
2.3.2.02.01.004.4599016.4299942.226  $ 5.000.000
2.3.2.02.01.004.4599016.4299942.226  $ 1.500.000
2.3.2.02.01.004.4599016.4731501.253 $86.447.917
2.3.2.02.02.006.4599016.69112.253     $25.000.000
2.3.2.02.02.006.4599016.69112.226 $9.204.807.830,62
2.3.2.02.02.007.4599016.72212.253   $195.000.000
2.3.2.02.02.008.4599016.84120.253    $ 85.000.000
2.3.2.02.02.008.4599016.8714199.226 $28.000.000
2.3.2.02.02.008.4599016.83132.226 $233.607.460
2.3.2.02.02.008.4599016.87130.226    $ 10.000.000
2.3.2.02.02.008.4599016.8715204.226 $ 5.000.000
2.3.2.02.02.008.4599016.83115,226   $ 40.000.000
2.3.2.02.02.008.4599016.85250.226  $580.000.000
2.3.2.02.02.008.4599016.85330.226 $ 24.600.000
2.3.2.02.02.008.4599031.85999.226 $211.500.000
2.3.2.02.02.008.4599031.82120.226 $304.500.000
2.3.2.02.02.008.4599031.83990.226 $1.084.000.000
2.3.2.02.01.004.4599016.4523001.253 $60.091.668
2.3.2.02.01.004.4599016.4529001.253 $743.750
2.3.2.02.01.004.4599016.4733004.253 $3.241.560
2.3.2.02.01.004.4599016.47829.226 $195.923.456,80
2.3.2.02.01.004.4599016.47829.253 $10.506.093,20
2.3.2.02.02.008.4599016.87130.253 $3.263.264
2.3.2.02.02.009.2102010.91123.226 $42.639.723
2.3.2.02.01.003.4599016.3699060.526 $20.000.000
2.3.2.02.01.004.4599016.4391201.526 $26.000.000,00
2.3.2.02.01.004.4599016.4716002.526 $208.459.069,00
2.3.2.02.02.006.4599016.69112.526 $3.222.338.075,43
2.3.2.02.02.008.4599016.83115.526 $20.000.000
2.3.2.02.02.008.4599016.83132.526 $194.672.883,33
2.3.2.02.02.008.4599016.84120.526 $25.000.000
2.3.2.02.02.008.4599016.85250.526 $420.000.000
2.3.2.02.02.008.4599016.85330.526 $5.000.000
2.3.2.02.02.008.4599016.87130.526 $5.000.000
2.3.2.02.02.008.4599031.82120.526 $20.000.000,00
2.3.2.02.02.008.4599031.83990.526 $70.000.000,00
2.3.2.02.02.008.4599031.85999.526 $10.000.000,00
2.3.2.02.01.004.4599016.4391201.226 $4.000.000,00
2.3.2.02.01.004.4599016.47829.526 $84.540.931,00
</t>
  </si>
  <si>
    <t>2.3.2.02.02.008.4599016.8715205.226 $3.816.189.065,92
2.3.2.02.02.008.4599016.85970.226   $1.494.748.480,91
2.3.2.02.01.004.4599016.4693999.526 $2.661.125.772,58</t>
  </si>
  <si>
    <t>Bucaramanga Gestiona El Riesgo De Desastre Y Se Adapta Al Proceso De Cambio Climático</t>
  </si>
  <si>
    <t>Reducción, Mitigación Del Riesgo Y Adaptación Al Cambio Climático</t>
  </si>
  <si>
    <t>Intervenir estratégicamente 6 zonas de riesgo de desastre.</t>
  </si>
  <si>
    <t>Número de zonas de riesgo de desastre intervenidas estratégicamente.</t>
  </si>
  <si>
    <t>CONSTRUCCIÓN DE OBRAS DE MITIGACION Y ESTABILIZACION EN LOS SECTORES DE CAMPOHERMOSO, DON BOSCO, GAITAN Y SAN GERARDO DEL MUNICIPIO DE BUCARAMANGA - DEPARTAMENTO   SANTANDER </t>
  </si>
  <si>
    <t>2.3.2.02.02.005.4301004.54270.273
2.3.2.02.02.005.4301004.54270.273
2.3.2.02.02.005.4301004.54270.213
2.3.2.02.02.005.4301004.54270.501</t>
  </si>
  <si>
    <t>Pendiente por incluir en proyecto</t>
  </si>
  <si>
    <t>2.3.2.02.02.009.2102013.91123.226 
2.3.2.02.02.009.2102013.91123.226 
2.3.2.02.02.009.2102013.91123.226 $3.688.331.886,00
2.3.2.02.02.009.2102013.91123.526 $946.535.787,08</t>
  </si>
  <si>
    <t>2.3.2.02.02.005.2402107.54211.201 $ 376.248.010 
2.3.7.06.02.4599002.54211.601</t>
  </si>
  <si>
    <t>Adicion para proyectos
Pasivo exigible</t>
  </si>
  <si>
    <t>MEJORAMIENTO DE ESPACIOS PÚBLICOS VIABILIZADOS POR EL EJERCICIO DE PRESUPUESTOS PARTICIPATIVOS EN EL MUNICIPIO DE BUCARAMANGA, SANTANDER</t>
  </si>
  <si>
    <t>ADECUACIÓN DE ANDENES, ESCALERAS Y PASAMANOS DEL MUNICIPIO DE BUCARAMANGA, SANTANDER</t>
  </si>
  <si>
    <t>SUMINISTRO DE LUMINARIAS DE TECNOLOGÍA LED PARA EL MUNICIPIO DE BUCARAMANGA</t>
  </si>
  <si>
    <t>Recursos liberados</t>
  </si>
  <si>
    <r>
      <t xml:space="preserve">Versión: </t>
    </r>
    <r>
      <rPr>
        <sz val="11"/>
        <rFont val="Arial"/>
        <family val="2"/>
      </rPr>
      <t>0.0</t>
    </r>
  </si>
  <si>
    <r>
      <t>Fecha aprobación:</t>
    </r>
    <r>
      <rPr>
        <sz val="11"/>
        <rFont val="Arial"/>
        <family val="2"/>
      </rPr>
      <t xml:space="preserve"> Abril-22-2021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</si>
</sst>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s>
  <fonts count="12" x14ac:knownFonts="1">
    <font>
      <sz val="11"/>
      <color theme="1"/>
      <name val="Arial"/>
      <family val="2"/>
    </font>
    <font>
      <u/>
      <sz val="11"/>
      <color theme="10"/>
      <name val="Arial"/>
      <family val="2"/>
    </font>
    <font>
      <u/>
      <sz val="11"/>
      <color theme="11"/>
      <name val="Arial"/>
      <family val="2"/>
    </font>
    <font>
      <sz val="11"/>
      <color theme="1"/>
      <name val="Arial"/>
      <family val="2"/>
    </font>
    <font>
      <sz val="10"/>
      <name val="Arial"/>
      <family val="2"/>
    </font>
    <font>
      <sz val="8"/>
      <name val="Arial"/>
      <family val="2"/>
    </font>
    <font>
      <b/>
      <sz val="11"/>
      <color theme="0"/>
      <name val="Arial"/>
      <family val="2"/>
    </font>
    <font>
      <sz val="11"/>
      <name val="Arial"/>
      <family val="2"/>
    </font>
    <font>
      <b/>
      <sz val="11"/>
      <name val="Arial"/>
      <family val="2"/>
    </font>
    <font>
      <b/>
      <sz val="11"/>
      <color indexed="8"/>
      <name val="Arial"/>
      <family val="2"/>
    </font>
    <font>
      <sz val="11"/>
      <color indexed="8"/>
      <name val="Arial"/>
      <family val="2"/>
    </font>
    <font>
      <sz val="11"/>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s>
  <cellStyleXfs count="1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0" fontId="4" fillId="0" borderId="0"/>
  </cellStyleXfs>
  <cellXfs count="179">
    <xf numFmtId="0" fontId="0" fillId="0" borderId="0" xfId="0"/>
    <xf numFmtId="0" fontId="7" fillId="0" borderId="0" xfId="0" applyFont="1" applyAlignment="1">
      <alignment vertical="center"/>
    </xf>
    <xf numFmtId="0" fontId="7" fillId="3" borderId="0" xfId="0" applyFont="1" applyFill="1" applyBorder="1" applyAlignment="1">
      <alignment vertical="center"/>
    </xf>
    <xf numFmtId="0" fontId="7" fillId="3" borderId="3" xfId="0" applyFont="1" applyFill="1" applyBorder="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0" borderId="2" xfId="0" applyFont="1" applyBorder="1" applyAlignment="1">
      <alignment vertical="center" wrapText="1"/>
    </xf>
    <xf numFmtId="0" fontId="8" fillId="2" borderId="2" xfId="0" applyFont="1" applyFill="1" applyBorder="1" applyAlignment="1">
      <alignment horizontal="justify" vertical="center" wrapText="1"/>
    </xf>
    <xf numFmtId="0" fontId="7" fillId="0" borderId="2" xfId="0" applyFont="1" applyBorder="1" applyAlignment="1">
      <alignment horizontal="justify" vertical="center" wrapText="1"/>
    </xf>
    <xf numFmtId="1" fontId="9" fillId="0" borderId="2" xfId="0" applyNumberFormat="1" applyFont="1" applyFill="1" applyBorder="1" applyAlignment="1">
      <alignment horizontal="right" vertical="center" wrapText="1"/>
    </xf>
    <xf numFmtId="9" fontId="10" fillId="0" borderId="2" xfId="0" applyNumberFormat="1" applyFont="1" applyFill="1" applyBorder="1" applyAlignment="1">
      <alignment horizontal="center" vertical="center" wrapText="1"/>
    </xf>
    <xf numFmtId="0" fontId="10" fillId="0" borderId="2" xfId="0" applyFont="1" applyBorder="1" applyAlignment="1">
      <alignment horizontal="justify" vertical="center" wrapText="1"/>
    </xf>
    <xf numFmtId="0" fontId="7" fillId="0" borderId="1" xfId="0" applyFont="1" applyBorder="1" applyAlignment="1">
      <alignment vertical="center" wrapText="1"/>
    </xf>
    <xf numFmtId="3" fontId="10" fillId="0" borderId="1" xfId="0" applyNumberFormat="1" applyFont="1" applyFill="1" applyBorder="1" applyAlignment="1">
      <alignment horizontal="center" vertical="center" wrapText="1"/>
    </xf>
    <xf numFmtId="3" fontId="10" fillId="0" borderId="2" xfId="0" applyNumberFormat="1" applyFont="1" applyBorder="1" applyAlignment="1">
      <alignment vertical="center" wrapText="1"/>
    </xf>
    <xf numFmtId="3" fontId="7" fillId="0" borderId="2" xfId="0" applyNumberFormat="1" applyFont="1" applyFill="1" applyBorder="1" applyAlignment="1">
      <alignment horizontal="center" vertical="center" wrapText="1"/>
    </xf>
    <xf numFmtId="0" fontId="7" fillId="3" borderId="2" xfId="0" applyFont="1" applyFill="1" applyBorder="1" applyAlignment="1">
      <alignment vertical="center" wrapText="1"/>
    </xf>
    <xf numFmtId="0" fontId="7" fillId="3" borderId="2" xfId="0" applyFont="1" applyFill="1" applyBorder="1" applyAlignment="1">
      <alignment horizontal="justify" vertical="center" wrapText="1"/>
    </xf>
    <xf numFmtId="164" fontId="7" fillId="0" borderId="2" xfId="0" applyNumberFormat="1" applyFont="1" applyBorder="1" applyAlignment="1">
      <alignment horizontal="center" vertical="center" wrapText="1"/>
    </xf>
    <xf numFmtId="0" fontId="7" fillId="3" borderId="1" xfId="0" applyFont="1" applyFill="1" applyBorder="1" applyAlignment="1">
      <alignment horizontal="justify" vertical="center" wrapText="1"/>
    </xf>
    <xf numFmtId="164" fontId="7" fillId="0" borderId="1" xfId="0" applyNumberFormat="1" applyFont="1" applyBorder="1" applyAlignment="1">
      <alignment horizontal="center" vertical="center" wrapText="1"/>
    </xf>
    <xf numFmtId="164" fontId="7"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justify" vertical="center" wrapText="1"/>
    </xf>
    <xf numFmtId="0" fontId="10" fillId="0" borderId="1" xfId="0" applyFont="1" applyBorder="1" applyAlignment="1">
      <alignment vertical="center" wrapText="1"/>
    </xf>
    <xf numFmtId="0" fontId="7" fillId="2" borderId="2" xfId="0" applyFont="1" applyFill="1" applyBorder="1" applyAlignment="1">
      <alignment horizontal="justify" vertical="center"/>
    </xf>
    <xf numFmtId="0" fontId="7" fillId="2" borderId="2" xfId="0" applyFont="1" applyFill="1" applyBorder="1" applyAlignment="1">
      <alignment vertical="center"/>
    </xf>
    <xf numFmtId="0" fontId="7" fillId="2" borderId="2" xfId="0" applyFont="1" applyFill="1" applyBorder="1" applyAlignment="1">
      <alignment vertical="center" wrapText="1"/>
    </xf>
    <xf numFmtId="0" fontId="7" fillId="2" borderId="4" xfId="0" applyFont="1" applyFill="1" applyBorder="1" applyAlignment="1">
      <alignment vertical="center"/>
    </xf>
    <xf numFmtId="9" fontId="8" fillId="2" borderId="4" xfId="0" applyNumberFormat="1" applyFont="1" applyFill="1" applyBorder="1" applyAlignment="1">
      <alignment horizontal="center" vertical="center"/>
    </xf>
    <xf numFmtId="0" fontId="8" fillId="2" borderId="4" xfId="0" applyFont="1" applyFill="1" applyBorder="1" applyAlignment="1">
      <alignment vertical="center"/>
    </xf>
    <xf numFmtId="165" fontId="7" fillId="2" borderId="4" xfId="108" applyNumberFormat="1" applyFont="1" applyFill="1" applyBorder="1" applyAlignment="1">
      <alignment vertical="center"/>
    </xf>
    <xf numFmtId="165" fontId="8" fillId="2" borderId="4" xfId="108" applyNumberFormat="1" applyFont="1" applyFill="1" applyBorder="1" applyAlignment="1">
      <alignment vertical="center"/>
    </xf>
    <xf numFmtId="165" fontId="8" fillId="2" borderId="2" xfId="108" applyNumberFormat="1" applyFont="1" applyFill="1" applyBorder="1" applyAlignment="1">
      <alignment vertical="center"/>
    </xf>
    <xf numFmtId="9" fontId="8" fillId="2" borderId="2" xfId="107"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wrapText="1"/>
    </xf>
    <xf numFmtId="166" fontId="7" fillId="3" borderId="2" xfId="108" applyNumberFormat="1" applyFont="1" applyFill="1" applyBorder="1" applyAlignment="1">
      <alignment horizontal="right" vertical="center" wrapText="1"/>
    </xf>
    <xf numFmtId="166" fontId="6" fillId="3" borderId="2" xfId="0" applyNumberFormat="1" applyFont="1" applyFill="1" applyBorder="1" applyAlignment="1">
      <alignment horizontal="right" vertical="center" wrapText="1"/>
    </xf>
    <xf numFmtId="14" fontId="7" fillId="3" borderId="0" xfId="0" applyNumberFormat="1" applyFont="1" applyFill="1" applyBorder="1" applyAlignment="1">
      <alignment vertical="center"/>
    </xf>
    <xf numFmtId="14" fontId="8" fillId="3" borderId="0" xfId="0" applyNumberFormat="1" applyFont="1" applyFill="1" applyBorder="1" applyAlignment="1">
      <alignment vertical="center"/>
    </xf>
    <xf numFmtId="0" fontId="7" fillId="2" borderId="2" xfId="0" applyFont="1" applyFill="1" applyBorder="1" applyAlignment="1">
      <alignment horizontal="center" vertical="center"/>
    </xf>
    <xf numFmtId="0" fontId="7" fillId="3" borderId="0" xfId="0" applyFont="1" applyFill="1" applyBorder="1" applyAlignment="1">
      <alignment horizontal="left" vertical="center"/>
    </xf>
    <xf numFmtId="164" fontId="7" fillId="3" borderId="2" xfId="0" applyNumberFormat="1" applyFont="1" applyFill="1" applyBorder="1" applyAlignment="1">
      <alignment horizontal="left" vertical="center" wrapText="1"/>
    </xf>
    <xf numFmtId="0" fontId="7" fillId="2" borderId="4" xfId="0" applyFont="1" applyFill="1" applyBorder="1" applyAlignment="1">
      <alignment horizontal="left" vertical="center"/>
    </xf>
    <xf numFmtId="0" fontId="7" fillId="0" borderId="0" xfId="0" applyFont="1" applyAlignment="1">
      <alignment horizontal="left" vertical="center"/>
    </xf>
    <xf numFmtId="1" fontId="10" fillId="2" borderId="1" xfId="0" applyNumberFormat="1" applyFont="1" applyFill="1" applyBorder="1" applyAlignment="1">
      <alignment horizontal="center" vertical="center" wrapText="1"/>
    </xf>
    <xf numFmtId="3" fontId="10" fillId="0" borderId="2" xfId="0" applyNumberFormat="1" applyFont="1" applyBorder="1" applyAlignment="1">
      <alignment horizontal="center" vertical="center" wrapText="1"/>
    </xf>
    <xf numFmtId="3" fontId="10" fillId="2" borderId="2" xfId="0" applyNumberFormat="1" applyFont="1" applyFill="1" applyBorder="1" applyAlignment="1">
      <alignment horizontal="center" vertical="center" wrapText="1"/>
    </xf>
    <xf numFmtId="166" fontId="7" fillId="3" borderId="2" xfId="0" applyNumberFormat="1" applyFont="1" applyFill="1" applyBorder="1" applyAlignment="1">
      <alignment horizontal="right" vertical="center" wrapText="1"/>
    </xf>
    <xf numFmtId="44" fontId="7" fillId="3" borderId="2" xfId="108" applyFont="1" applyFill="1" applyBorder="1" applyAlignment="1">
      <alignment horizontal="right" vertical="center" wrapText="1"/>
    </xf>
    <xf numFmtId="1" fontId="7" fillId="0" borderId="2" xfId="0" applyNumberFormat="1" applyFont="1" applyFill="1" applyBorder="1" applyAlignment="1">
      <alignment horizontal="right" vertical="center" wrapText="1"/>
    </xf>
    <xf numFmtId="1" fontId="7" fillId="0" borderId="2" xfId="0" applyNumberFormat="1" applyFont="1" applyFill="1" applyBorder="1" applyAlignment="1">
      <alignment horizontal="right" vertical="center"/>
    </xf>
    <xf numFmtId="0" fontId="7" fillId="0" borderId="2" xfId="0" applyFont="1" applyFill="1" applyBorder="1" applyAlignment="1">
      <alignment horizontal="right" vertical="center"/>
    </xf>
    <xf numFmtId="166" fontId="7" fillId="3" borderId="2" xfId="0" applyNumberFormat="1" applyFont="1" applyFill="1" applyBorder="1" applyAlignment="1">
      <alignment horizontal="left" vertical="center" wrapText="1"/>
    </xf>
    <xf numFmtId="166" fontId="7" fillId="3" borderId="2" xfId="0" applyNumberFormat="1" applyFont="1" applyFill="1" applyBorder="1" applyAlignment="1">
      <alignment horizontal="right" vertical="center"/>
    </xf>
    <xf numFmtId="166" fontId="7" fillId="3" borderId="0" xfId="0" applyNumberFormat="1" applyFont="1" applyFill="1" applyAlignment="1">
      <alignment vertical="center"/>
    </xf>
    <xf numFmtId="1" fontId="7" fillId="3" borderId="2" xfId="0" applyNumberFormat="1" applyFont="1" applyFill="1" applyBorder="1" applyAlignment="1">
      <alignment horizontal="left" vertical="center"/>
    </xf>
    <xf numFmtId="0" fontId="7" fillId="3" borderId="2" xfId="0" applyFont="1" applyFill="1" applyBorder="1" applyAlignment="1">
      <alignment horizontal="center" vertical="center" wrapText="1"/>
    </xf>
    <xf numFmtId="166" fontId="11" fillId="3" borderId="2" xfId="108" applyNumberFormat="1" applyFont="1" applyFill="1" applyBorder="1" applyAlignment="1">
      <alignment horizontal="right" vertical="center" wrapText="1"/>
    </xf>
    <xf numFmtId="9" fontId="10" fillId="0" borderId="2" xfId="0" applyNumberFormat="1" applyFont="1" applyBorder="1" applyAlignment="1">
      <alignment horizontal="center" vertical="center" wrapText="1"/>
    </xf>
    <xf numFmtId="166" fontId="8" fillId="2" borderId="1" xfId="108" applyNumberFormat="1" applyFont="1" applyFill="1" applyBorder="1" applyAlignment="1">
      <alignment horizontal="right" vertical="center" wrapText="1"/>
    </xf>
    <xf numFmtId="9" fontId="7" fillId="0" borderId="2" xfId="107" applyFont="1" applyFill="1" applyBorder="1" applyAlignment="1">
      <alignment horizontal="center" vertical="center" wrapText="1"/>
    </xf>
    <xf numFmtId="5" fontId="7" fillId="0" borderId="2" xfId="108" applyNumberFormat="1" applyFont="1" applyFill="1" applyBorder="1" applyAlignment="1">
      <alignment horizontal="center" vertical="center" wrapText="1"/>
    </xf>
    <xf numFmtId="5" fontId="7" fillId="0" borderId="1" xfId="108" applyNumberFormat="1" applyFont="1" applyFill="1" applyBorder="1" applyAlignment="1">
      <alignment horizontal="center" vertical="center" wrapText="1"/>
    </xf>
    <xf numFmtId="166" fontId="8" fillId="2" borderId="2" xfId="108" applyNumberFormat="1" applyFont="1" applyFill="1" applyBorder="1" applyAlignment="1">
      <alignment horizontal="right" vertical="center" wrapText="1"/>
    </xf>
    <xf numFmtId="9" fontId="10" fillId="2" borderId="2"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166" fontId="8" fillId="2" borderId="4" xfId="108"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5" fontId="7" fillId="3" borderId="2" xfId="0" applyNumberFormat="1" applyFont="1" applyFill="1" applyBorder="1" applyAlignment="1">
      <alignment vertical="center"/>
    </xf>
    <xf numFmtId="0" fontId="7" fillId="0" borderId="2" xfId="0" applyFont="1" applyBorder="1" applyAlignment="1">
      <alignment horizontal="left" vertical="center" wrapText="1"/>
    </xf>
    <xf numFmtId="166" fontId="7" fillId="0" borderId="2" xfId="0" applyNumberFormat="1" applyFont="1" applyBorder="1" applyAlignment="1">
      <alignment vertical="center"/>
    </xf>
    <xf numFmtId="0" fontId="3" fillId="0" borderId="2" xfId="0" applyFont="1" applyBorder="1" applyAlignment="1">
      <alignment horizontal="left" vertical="center" wrapText="1"/>
    </xf>
    <xf numFmtId="0" fontId="9" fillId="2" borderId="2" xfId="0" applyFont="1" applyFill="1" applyBorder="1" applyAlignment="1">
      <alignment horizontal="justify" vertical="center" wrapText="1"/>
    </xf>
    <xf numFmtId="0" fontId="10" fillId="3" borderId="2" xfId="0" applyFont="1" applyFill="1" applyBorder="1" applyAlignment="1">
      <alignment horizontal="justify" vertical="center" wrapText="1"/>
    </xf>
    <xf numFmtId="164" fontId="3" fillId="0" borderId="2"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9" fontId="3" fillId="0" borderId="2" xfId="0" applyNumberFormat="1" applyFont="1" applyBorder="1" applyAlignment="1">
      <alignment horizontal="center" vertical="center"/>
    </xf>
    <xf numFmtId="0" fontId="3" fillId="0" borderId="0" xfId="0" applyFont="1" applyAlignment="1">
      <alignment vertical="center"/>
    </xf>
    <xf numFmtId="166" fontId="3" fillId="0" borderId="2" xfId="0" applyNumberFormat="1" applyFont="1" applyBorder="1" applyAlignment="1">
      <alignment vertical="center"/>
    </xf>
    <xf numFmtId="0" fontId="3" fillId="0" borderId="2" xfId="0" applyFont="1" applyBorder="1" applyAlignment="1">
      <alignment horizontal="center" vertical="center" wrapText="1"/>
    </xf>
    <xf numFmtId="0" fontId="3" fillId="3" borderId="0" xfId="0" applyFont="1" applyFill="1" applyBorder="1" applyAlignment="1">
      <alignment vertical="center"/>
    </xf>
    <xf numFmtId="0" fontId="3" fillId="0" borderId="2" xfId="0" applyFont="1" applyBorder="1" applyAlignment="1">
      <alignment horizontal="justify" vertical="center" wrapText="1"/>
    </xf>
    <xf numFmtId="0" fontId="3" fillId="0" borderId="2" xfId="0" applyFont="1" applyBorder="1" applyAlignment="1">
      <alignment vertical="center" wrapText="1"/>
    </xf>
    <xf numFmtId="164" fontId="3" fillId="3" borderId="2" xfId="0" applyNumberFormat="1" applyFont="1" applyFill="1" applyBorder="1" applyAlignment="1">
      <alignment horizontal="left" vertical="center" wrapText="1"/>
    </xf>
    <xf numFmtId="166" fontId="3" fillId="3" borderId="2" xfId="0" applyNumberFormat="1" applyFont="1" applyFill="1" applyBorder="1" applyAlignment="1">
      <alignment horizontal="right" vertical="center"/>
    </xf>
    <xf numFmtId="165" fontId="3" fillId="0" borderId="2" xfId="0" applyNumberFormat="1" applyFont="1" applyBorder="1" applyAlignment="1">
      <alignment horizontal="center" vertical="center"/>
    </xf>
    <xf numFmtId="0" fontId="3" fillId="0" borderId="2" xfId="0" applyFont="1" applyFill="1" applyBorder="1" applyAlignment="1">
      <alignment horizontal="justify"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2" xfId="0" applyFont="1" applyFill="1" applyBorder="1" applyAlignment="1">
      <alignment horizontal="justify" vertical="center" wrapText="1"/>
    </xf>
    <xf numFmtId="166" fontId="3" fillId="3" borderId="2" xfId="0" applyNumberFormat="1" applyFont="1" applyFill="1" applyBorder="1" applyAlignment="1">
      <alignment horizontal="righ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5" fontId="7" fillId="3" borderId="2" xfId="108" applyNumberFormat="1" applyFont="1" applyFill="1" applyBorder="1" applyAlignment="1">
      <alignment horizontal="right" vertical="center" wrapText="1"/>
    </xf>
    <xf numFmtId="166" fontId="7" fillId="3" borderId="2" xfId="110" applyNumberFormat="1" applyFont="1" applyFill="1" applyBorder="1" applyAlignment="1">
      <alignment horizontal="right" vertical="center" wrapText="1"/>
    </xf>
    <xf numFmtId="0" fontId="10" fillId="0" borderId="2" xfId="0" applyFont="1" applyBorder="1" applyAlignment="1">
      <alignment vertical="center" wrapText="1"/>
    </xf>
    <xf numFmtId="164" fontId="3" fillId="0" borderId="4" xfId="0" applyNumberFormat="1" applyFont="1" applyBorder="1" applyAlignment="1">
      <alignment horizontal="center" vertical="center" wrapText="1"/>
    </xf>
    <xf numFmtId="164" fontId="3" fillId="3" borderId="4" xfId="0" applyNumberFormat="1" applyFont="1" applyFill="1" applyBorder="1" applyAlignment="1">
      <alignment horizontal="left" vertical="center" wrapText="1"/>
    </xf>
    <xf numFmtId="5" fontId="7" fillId="3" borderId="4" xfId="108" applyNumberFormat="1" applyFont="1" applyFill="1" applyBorder="1" applyAlignment="1">
      <alignment horizontal="right" vertical="center" wrapText="1"/>
    </xf>
    <xf numFmtId="166" fontId="7" fillId="3" borderId="4" xfId="108" applyNumberFormat="1" applyFont="1" applyFill="1" applyBorder="1" applyAlignment="1">
      <alignment horizontal="right" vertical="center" wrapText="1"/>
    </xf>
    <xf numFmtId="166" fontId="3" fillId="3" borderId="4" xfId="0" applyNumberFormat="1" applyFont="1" applyFill="1" applyBorder="1" applyAlignment="1">
      <alignment horizontal="right" vertical="center"/>
    </xf>
    <xf numFmtId="166" fontId="7" fillId="3" borderId="4" xfId="110" applyNumberFormat="1" applyFont="1" applyFill="1" applyBorder="1" applyAlignment="1">
      <alignment horizontal="right" vertical="center" wrapText="1"/>
    </xf>
    <xf numFmtId="166" fontId="8" fillId="2" borderId="2" xfId="108" applyNumberFormat="1" applyFont="1" applyFill="1" applyBorder="1" applyAlignment="1">
      <alignment vertical="center"/>
    </xf>
    <xf numFmtId="166" fontId="8" fillId="3" borderId="2" xfId="0" applyNumberFormat="1" applyFont="1" applyFill="1" applyBorder="1" applyAlignment="1">
      <alignment horizontal="right" vertical="center" wrapText="1"/>
    </xf>
    <xf numFmtId="166" fontId="7" fillId="0" borderId="2" xfId="108" applyNumberFormat="1" applyFont="1" applyFill="1" applyBorder="1" applyAlignment="1">
      <alignment horizontal="right" vertical="center" wrapText="1"/>
    </xf>
    <xf numFmtId="1" fontId="3" fillId="0" borderId="2" xfId="0" applyNumberFormat="1" applyFont="1" applyFill="1" applyBorder="1" applyAlignment="1">
      <alignment horizontal="right" vertical="center"/>
    </xf>
    <xf numFmtId="2" fontId="8" fillId="0" borderId="2" xfId="109" applyNumberFormat="1" applyFont="1" applyBorder="1" applyAlignment="1">
      <alignment horizontal="left" vertical="center" wrapText="1"/>
    </xf>
    <xf numFmtId="3" fontId="10" fillId="0" borderId="5" xfId="0" applyNumberFormat="1" applyFont="1" applyBorder="1" applyAlignment="1">
      <alignment horizontal="center" vertical="center" wrapText="1"/>
    </xf>
    <xf numFmtId="166" fontId="8" fillId="2" borderId="1" xfId="108" applyNumberFormat="1" applyFont="1" applyFill="1" applyBorder="1" applyAlignment="1">
      <alignment horizontal="right" vertical="center" wrapText="1"/>
    </xf>
    <xf numFmtId="166" fontId="8" fillId="2" borderId="5" xfId="108" applyNumberFormat="1" applyFont="1" applyFill="1" applyBorder="1" applyAlignment="1">
      <alignment horizontal="right" vertical="center" wrapText="1"/>
    </xf>
    <xf numFmtId="166" fontId="8" fillId="2" borderId="4" xfId="108" applyNumberFormat="1" applyFont="1" applyFill="1" applyBorder="1" applyAlignment="1">
      <alignment horizontal="right" vertical="center" wrapText="1"/>
    </xf>
    <xf numFmtId="9" fontId="10" fillId="3" borderId="1" xfId="0" applyNumberFormat="1" applyFont="1" applyFill="1" applyBorder="1" applyAlignment="1">
      <alignment horizontal="center" vertical="center" wrapText="1"/>
    </xf>
    <xf numFmtId="9" fontId="10" fillId="3" borderId="5" xfId="0" applyNumberFormat="1" applyFont="1" applyFill="1" applyBorder="1" applyAlignment="1">
      <alignment horizontal="center" vertical="center" wrapText="1"/>
    </xf>
    <xf numFmtId="9" fontId="10" fillId="3" borderId="4"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166" fontId="8" fillId="2" borderId="5" xfId="0" applyNumberFormat="1" applyFont="1" applyFill="1" applyBorder="1" applyAlignment="1">
      <alignment horizontal="right" vertical="center" wrapText="1"/>
    </xf>
    <xf numFmtId="166" fontId="8" fillId="2" borderId="4" xfId="0" applyNumberFormat="1" applyFont="1" applyFill="1" applyBorder="1" applyAlignment="1">
      <alignment horizontal="right" vertical="center" wrapText="1"/>
    </xf>
    <xf numFmtId="5" fontId="7" fillId="0" borderId="1" xfId="108" applyNumberFormat="1" applyFont="1" applyFill="1" applyBorder="1" applyAlignment="1">
      <alignment horizontal="center" vertical="center" wrapText="1"/>
    </xf>
    <xf numFmtId="5" fontId="7" fillId="0" borderId="5" xfId="108" applyNumberFormat="1" applyFont="1" applyFill="1" applyBorder="1" applyAlignment="1">
      <alignment horizontal="center" vertical="center" wrapText="1"/>
    </xf>
    <xf numFmtId="5" fontId="7" fillId="0" borderId="4" xfId="108"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9" fontId="10" fillId="2" borderId="1" xfId="0" applyNumberFormat="1" applyFont="1" applyFill="1" applyBorder="1" applyAlignment="1">
      <alignment horizontal="center" vertical="center" wrapText="1"/>
    </xf>
    <xf numFmtId="9" fontId="10" fillId="2" borderId="5" xfId="0" applyNumberFormat="1" applyFont="1" applyFill="1" applyBorder="1" applyAlignment="1">
      <alignment horizontal="center" vertical="center" wrapText="1"/>
    </xf>
    <xf numFmtId="9" fontId="10" fillId="2" borderId="4" xfId="0" applyNumberFormat="1" applyFont="1" applyFill="1" applyBorder="1" applyAlignment="1">
      <alignment horizontal="center" vertical="center" wrapText="1"/>
    </xf>
    <xf numFmtId="9" fontId="3" fillId="0" borderId="1" xfId="0" applyNumberFormat="1" applyFont="1" applyBorder="1" applyAlignment="1">
      <alignment horizontal="center" vertical="center"/>
    </xf>
    <xf numFmtId="9" fontId="3" fillId="0" borderId="5" xfId="0" applyNumberFormat="1" applyFont="1" applyBorder="1" applyAlignment="1">
      <alignment horizontal="center" vertical="center"/>
    </xf>
    <xf numFmtId="9" fontId="3" fillId="0" borderId="4" xfId="0" applyNumberFormat="1" applyFont="1" applyBorder="1" applyAlignment="1">
      <alignment horizontal="center" vertical="center"/>
    </xf>
    <xf numFmtId="9" fontId="7" fillId="0" borderId="1" xfId="107" applyFont="1" applyFill="1" applyBorder="1" applyAlignment="1">
      <alignment horizontal="center" vertical="center" wrapText="1"/>
    </xf>
    <xf numFmtId="9" fontId="7" fillId="0" borderId="5" xfId="107" applyFont="1" applyFill="1" applyBorder="1" applyAlignment="1">
      <alignment horizontal="center" vertical="center" wrapText="1"/>
    </xf>
    <xf numFmtId="9" fontId="7" fillId="0" borderId="4" xfId="107" applyFont="1" applyFill="1" applyBorder="1" applyAlignment="1">
      <alignment horizontal="center" vertical="center" wrapText="1"/>
    </xf>
    <xf numFmtId="3" fontId="10" fillId="2" borderId="5"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2" fontId="7" fillId="0" borderId="1" xfId="109" applyNumberFormat="1" applyFont="1" applyBorder="1" applyAlignment="1">
      <alignment horizontal="center" vertical="center" wrapText="1"/>
    </xf>
    <xf numFmtId="2" fontId="7" fillId="0" borderId="5" xfId="109" applyNumberFormat="1" applyFont="1" applyBorder="1" applyAlignment="1">
      <alignment horizontal="center" vertical="center" wrapText="1"/>
    </xf>
    <xf numFmtId="2" fontId="7" fillId="0" borderId="4" xfId="109" applyNumberFormat="1" applyFont="1" applyBorder="1" applyAlignment="1">
      <alignment horizontal="center" vertical="center" wrapText="1"/>
    </xf>
    <xf numFmtId="0" fontId="8" fillId="0" borderId="9" xfId="0" applyFont="1" applyFill="1" applyBorder="1" applyAlignment="1">
      <alignment horizontal="left" vertical="center"/>
    </xf>
    <xf numFmtId="0" fontId="8" fillId="0" borderId="11" xfId="0" applyFont="1" applyFill="1" applyBorder="1" applyAlignment="1">
      <alignment horizontal="left" vertical="center"/>
    </xf>
    <xf numFmtId="0" fontId="8" fillId="0" borderId="7" xfId="0" applyFont="1" applyFill="1" applyBorder="1" applyAlignment="1">
      <alignment horizontal="left"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xf>
    <xf numFmtId="14" fontId="7" fillId="0" borderId="2" xfId="0" applyNumberFormat="1" applyFont="1" applyFill="1" applyBorder="1" applyAlignment="1">
      <alignment horizontal="center" vertical="center"/>
    </xf>
    <xf numFmtId="2" fontId="8" fillId="0" borderId="10" xfId="109" applyNumberFormat="1" applyFont="1" applyBorder="1" applyAlignment="1">
      <alignment horizontal="center" vertical="center" wrapText="1"/>
    </xf>
    <xf numFmtId="2" fontId="8" fillId="0" borderId="12" xfId="109" applyNumberFormat="1" applyFont="1" applyBorder="1" applyAlignment="1">
      <alignment horizontal="center" vertical="center" wrapText="1"/>
    </xf>
    <xf numFmtId="2" fontId="8" fillId="0" borderId="8" xfId="109" applyNumberFormat="1" applyFont="1" applyBorder="1" applyAlignment="1">
      <alignment horizontal="center" vertical="center" wrapText="1"/>
    </xf>
    <xf numFmtId="2" fontId="8" fillId="0" borderId="6" xfId="109" applyNumberFormat="1" applyFont="1" applyBorder="1" applyAlignment="1">
      <alignment horizontal="center" vertical="center" wrapText="1"/>
    </xf>
    <xf numFmtId="2" fontId="8" fillId="0" borderId="0" xfId="109" applyNumberFormat="1" applyFont="1" applyBorder="1" applyAlignment="1">
      <alignment horizontal="center" vertical="center" wrapText="1"/>
    </xf>
    <xf numFmtId="2" fontId="8" fillId="0" borderId="3" xfId="109" applyNumberFormat="1" applyFont="1" applyBorder="1" applyAlignment="1">
      <alignment horizontal="center" vertical="center" wrapText="1"/>
    </xf>
    <xf numFmtId="9" fontId="10" fillId="0" borderId="1"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3" fontId="10" fillId="2" borderId="4"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2" borderId="2" xfId="0" applyNumberFormat="1" applyFont="1" applyFill="1" applyBorder="1" applyAlignment="1">
      <alignment horizontal="center" vertical="center" wrapText="1"/>
    </xf>
    <xf numFmtId="9" fontId="3" fillId="0" borderId="2" xfId="0" applyNumberFormat="1" applyFont="1" applyBorder="1" applyAlignment="1">
      <alignment horizontal="center" vertical="center"/>
    </xf>
    <xf numFmtId="3" fontId="7" fillId="0" borderId="1"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166" fontId="8" fillId="2" borderId="1" xfId="0" applyNumberFormat="1" applyFont="1" applyFill="1" applyBorder="1" applyAlignment="1">
      <alignment horizontal="right" vertical="center" wrapText="1"/>
    </xf>
    <xf numFmtId="166" fontId="3" fillId="0" borderId="5" xfId="0" applyNumberFormat="1" applyFont="1" applyBorder="1" applyAlignment="1">
      <alignment horizontal="center" vertical="center" wrapText="1"/>
    </xf>
    <xf numFmtId="2" fontId="8" fillId="0" borderId="9" xfId="112" applyNumberFormat="1" applyFont="1" applyBorder="1" applyAlignment="1">
      <alignment horizontal="left" vertical="center" wrapText="1"/>
    </xf>
    <xf numFmtId="2" fontId="8" fillId="0" borderId="11" xfId="112" applyNumberFormat="1" applyFont="1" applyBorder="1" applyAlignment="1">
      <alignment horizontal="left" vertical="center" wrapText="1"/>
    </xf>
    <xf numFmtId="2" fontId="8" fillId="0" borderId="7" xfId="112" applyNumberFormat="1" applyFont="1" applyBorder="1" applyAlignment="1">
      <alignment horizontal="left" vertical="center" wrapText="1"/>
    </xf>
    <xf numFmtId="2" fontId="8" fillId="0" borderId="2" xfId="112" applyNumberFormat="1" applyFont="1" applyBorder="1" applyAlignment="1">
      <alignment horizontal="left" vertical="center" wrapText="1"/>
    </xf>
  </cellXfs>
  <cellStyles count="113">
    <cellStyle name="Hipervínculo" xfId="55" builtinId="8" hidden="1"/>
    <cellStyle name="Hipervínculo" xfId="59" builtinId="8" hidden="1"/>
    <cellStyle name="Hipervínculo" xfId="61" builtinId="8" hidden="1"/>
    <cellStyle name="Hipervínculo" xfId="45" builtinId="8" hidden="1"/>
    <cellStyle name="Hipervínculo" xfId="29" builtinId="8" hidden="1"/>
    <cellStyle name="Hipervínculo" xfId="9" builtinId="8" hidden="1"/>
    <cellStyle name="Hipervínculo" xfId="15" builtinId="8" hidden="1"/>
    <cellStyle name="Hipervínculo" xfId="19" builtinId="8" hidden="1"/>
    <cellStyle name="Hipervínculo" xfId="5" builtinId="8" hidden="1"/>
    <cellStyle name="Hipervínculo" xfId="3" builtinId="8" hidden="1"/>
    <cellStyle name="Hipervínculo" xfId="1" builtinId="8" hidden="1"/>
    <cellStyle name="Hipervínculo" xfId="7" builtinId="8" hidden="1"/>
    <cellStyle name="Hipervínculo" xfId="13" builtinId="8" hidden="1"/>
    <cellStyle name="Hipervínculo" xfId="17" builtinId="8" hidden="1"/>
    <cellStyle name="Hipervínculo" xfId="11" builtinId="8" hidden="1"/>
    <cellStyle name="Hipervínculo" xfId="21" builtinId="8" hidden="1"/>
    <cellStyle name="Hipervínculo" xfId="37" builtinId="8" hidden="1"/>
    <cellStyle name="Hipervínculo" xfId="53" builtinId="8" hidden="1"/>
    <cellStyle name="Hipervínculo" xfId="63" builtinId="8" hidden="1"/>
    <cellStyle name="Hipervínculo" xfId="57" builtinId="8" hidden="1"/>
    <cellStyle name="Hipervínculo" xfId="51" builtinId="8" hidden="1"/>
    <cellStyle name="Hipervínculo" xfId="101" builtinId="8" hidden="1"/>
    <cellStyle name="Hipervínculo" xfId="97" builtinId="8" hidden="1"/>
    <cellStyle name="Hipervínculo" xfId="93" builtinId="8" hidden="1"/>
    <cellStyle name="Hipervínculo" xfId="85" builtinId="8" hidden="1"/>
    <cellStyle name="Hipervínculo" xfId="81" builtinId="8" hidden="1"/>
    <cellStyle name="Hipervínculo" xfId="77" builtinId="8" hidden="1"/>
    <cellStyle name="Hipervínculo" xfId="69" builtinId="8" hidden="1"/>
    <cellStyle name="Hipervínculo" xfId="65" builtinId="8" hidden="1"/>
    <cellStyle name="Hipervínculo" xfId="23" builtinId="8" hidden="1"/>
    <cellStyle name="Hipervínculo" xfId="27" builtinId="8" hidden="1"/>
    <cellStyle name="Hipervínculo" xfId="31" builtinId="8" hidden="1"/>
    <cellStyle name="Hipervínculo" xfId="33" builtinId="8" hidden="1"/>
    <cellStyle name="Hipervínculo" xfId="39" builtinId="8" hidden="1"/>
    <cellStyle name="Hipervínculo" xfId="41" builtinId="8" hidden="1"/>
    <cellStyle name="Hipervínculo" xfId="43" builtinId="8" hidden="1"/>
    <cellStyle name="Hipervínculo" xfId="49" builtinId="8" hidden="1"/>
    <cellStyle name="Hipervínculo" xfId="47" builtinId="8" hidden="1"/>
    <cellStyle name="Hipervínculo" xfId="35" builtinId="8" hidden="1"/>
    <cellStyle name="Hipervínculo" xfId="25" builtinId="8" hidden="1"/>
    <cellStyle name="Hipervínculo" xfId="73" builtinId="8" hidden="1"/>
    <cellStyle name="Hipervínculo" xfId="89" builtinId="8" hidden="1"/>
    <cellStyle name="Hipervínculo" xfId="105" builtinId="8" hidden="1"/>
    <cellStyle name="Hipervínculo" xfId="83" builtinId="8" hidden="1"/>
    <cellStyle name="Hipervínculo" xfId="87" builtinId="8" hidden="1"/>
    <cellStyle name="Hipervínculo" xfId="95" builtinId="8" hidden="1"/>
    <cellStyle name="Hipervínculo" xfId="99" builtinId="8" hidden="1"/>
    <cellStyle name="Hipervínculo" xfId="103" builtinId="8" hidden="1"/>
    <cellStyle name="Hipervínculo" xfId="91" builtinId="8" hidden="1"/>
    <cellStyle name="Hipervínculo" xfId="75" builtinId="8" hidden="1"/>
    <cellStyle name="Hipervínculo" xfId="79" builtinId="8" hidden="1"/>
    <cellStyle name="Hipervínculo" xfId="71" builtinId="8" hidden="1"/>
    <cellStyle name="Hipervínculo" xfId="67" builtinId="8" hidden="1"/>
    <cellStyle name="Hipervínculo visitado" xfId="32" builtinId="9" hidden="1"/>
    <cellStyle name="Hipervínculo visitado" xfId="38" builtinId="9" hidden="1"/>
    <cellStyle name="Hipervínculo visitado" xfId="40" builtinId="9" hidden="1"/>
    <cellStyle name="Hipervínculo visitado" xfId="42" builtinId="9" hidden="1"/>
    <cellStyle name="Hipervínculo visitado" xfId="46" builtinId="9" hidden="1"/>
    <cellStyle name="Hipervínculo visitado" xfId="48" builtinId="9" hidden="1"/>
    <cellStyle name="Hipervínculo visitado" xfId="50" builtinId="9" hidden="1"/>
    <cellStyle name="Hipervínculo visitado" xfId="56" builtinId="9" hidden="1"/>
    <cellStyle name="Hipervínculo visitado" xfId="52" builtinId="9" hidden="1"/>
    <cellStyle name="Hipervínculo visitado" xfId="36" builtinId="9" hidden="1"/>
    <cellStyle name="Hipervínculo visitado" xfId="14" builtinId="9" hidden="1"/>
    <cellStyle name="Hipervínculo visitado" xfId="16" builtinId="9" hidden="1"/>
    <cellStyle name="Hipervínculo visitado" xfId="18" builtinId="9" hidden="1"/>
    <cellStyle name="Hipervínculo visitado" xfId="24" builtinId="9" hidden="1"/>
    <cellStyle name="Hipervínculo visitado" xfId="20" builtinId="9" hidden="1"/>
    <cellStyle name="Hipervínculo visitado" xfId="6" builtinId="9" hidden="1"/>
    <cellStyle name="Hipervínculo visitado" xfId="10" builtinId="9" hidden="1"/>
    <cellStyle name="Hipervínculo visitado" xfId="4" builtinId="9" hidden="1"/>
    <cellStyle name="Hipervínculo visitado" xfId="2" builtinId="9" hidden="1"/>
    <cellStyle name="Hipervínculo visitado" xfId="8" builtinId="9" hidden="1"/>
    <cellStyle name="Hipervínculo visitado" xfId="22" builtinId="9" hidden="1"/>
    <cellStyle name="Hipervínculo visitado" xfId="12" builtinId="9" hidden="1"/>
    <cellStyle name="Hipervínculo visitado" xfId="54" builtinId="9" hidden="1"/>
    <cellStyle name="Hipervínculo visitado" xfId="44" builtinId="9" hidden="1"/>
    <cellStyle name="Hipervínculo visitado" xfId="34" builtinId="9" hidden="1"/>
    <cellStyle name="Hipervínculo visitado" xfId="90" builtinId="9" hidden="1"/>
    <cellStyle name="Hipervínculo visitado" xfId="94" builtinId="9" hidden="1"/>
    <cellStyle name="Hipervínculo visitado" xfId="96" builtinId="9" hidden="1"/>
    <cellStyle name="Hipervínculo visitado" xfId="98" builtinId="9" hidden="1"/>
    <cellStyle name="Hipervínculo visitado" xfId="102" builtinId="9" hidden="1"/>
    <cellStyle name="Hipervínculo visitado" xfId="106" builtinId="9" hidden="1"/>
    <cellStyle name="Hipervínculo visitado" xfId="100" builtinId="9" hidden="1"/>
    <cellStyle name="Hipervínculo visitado" xfId="92" builtinId="9" hidden="1"/>
    <cellStyle name="Hipervínculo visitado" xfId="84" builtinId="9" hidden="1"/>
    <cellStyle name="Hipervínculo visitado" xfId="76" builtinId="9" hidden="1"/>
    <cellStyle name="Hipervínculo visitado" xfId="68" builtinId="9" hidden="1"/>
    <cellStyle name="Hipervínculo visitado" xfId="60" builtinId="9" hidden="1"/>
    <cellStyle name="Hipervínculo visitado" xfId="28" builtinId="9" hidden="1"/>
    <cellStyle name="Hipervínculo visitado" xfId="30" builtinId="9" hidden="1"/>
    <cellStyle name="Hipervínculo visitado" xfId="26" builtinId="9" hidden="1"/>
    <cellStyle name="Hipervínculo visitado" xfId="104" builtinId="9" hidden="1"/>
    <cellStyle name="Hipervínculo visitado" xfId="72" builtinId="9" hidden="1"/>
    <cellStyle name="Hipervínculo visitado" xfId="74" builtinId="9" hidden="1"/>
    <cellStyle name="Hipervínculo visitado" xfId="78" builtinId="9" hidden="1"/>
    <cellStyle name="Hipervínculo visitado" xfId="80" builtinId="9" hidden="1"/>
    <cellStyle name="Hipervínculo visitado" xfId="86" builtinId="9" hidden="1"/>
    <cellStyle name="Hipervínculo visitado" xfId="88" builtinId="9" hidden="1"/>
    <cellStyle name="Hipervínculo visitado" xfId="82" builtinId="9" hidden="1"/>
    <cellStyle name="Hipervínculo visitado" xfId="64" builtinId="9" hidden="1"/>
    <cellStyle name="Hipervínculo visitado" xfId="66" builtinId="9" hidden="1"/>
    <cellStyle name="Hipervínculo visitado" xfId="70" builtinId="9" hidden="1"/>
    <cellStyle name="Hipervínculo visitado" xfId="62" builtinId="9" hidden="1"/>
    <cellStyle name="Hipervínculo visitado" xfId="58" builtinId="9" hidden="1"/>
    <cellStyle name="Millares" xfId="110" builtinId="3"/>
    <cellStyle name="Moneda" xfId="108" builtinId="4"/>
    <cellStyle name="Normal" xfId="0" builtinId="0"/>
    <cellStyle name="Normal 2" xfId="109" xr:uid="{00000000-0005-0000-0000-00006E000000}"/>
    <cellStyle name="Normal 2 2" xfId="112" xr:uid="{EB27FFBD-302B-4C65-8D7B-E2E52835F295}"/>
    <cellStyle name="Normal 2 3" xfId="111" xr:uid="{00000000-0005-0000-0000-00006F000000}"/>
    <cellStyle name="Porcentaje" xfId="107" builtinId="5"/>
  </cellStyles>
  <dxfs count="9">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425285</xdr:colOff>
      <xdr:row>4</xdr:row>
      <xdr:rowOff>39723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4"/>
  <sheetViews>
    <sheetView tabSelected="1" topLeftCell="L1" zoomScale="50" zoomScaleNormal="50" workbookViewId="0">
      <selection activeCell="AC2" sqref="AC2:AE4"/>
    </sheetView>
  </sheetViews>
  <sheetFormatPr baseColWidth="10" defaultColWidth="11.25" defaultRowHeight="14.25" x14ac:dyDescent="0.2"/>
  <cols>
    <col min="1" max="1" width="8.375" style="35" customWidth="1"/>
    <col min="2" max="2" width="26.75" style="1" customWidth="1"/>
    <col min="3" max="4" width="21.125" style="1" customWidth="1"/>
    <col min="5" max="5" width="53.625" style="1" customWidth="1"/>
    <col min="6" max="6" width="45.125" style="1" customWidth="1"/>
    <col min="7" max="7" width="16.625" style="1" customWidth="1"/>
    <col min="8" max="8" width="52.25" style="1" customWidth="1"/>
    <col min="9" max="9" width="40.75" style="36" customWidth="1"/>
    <col min="10" max="10" width="13.5" style="1" customWidth="1"/>
    <col min="11" max="11" width="16" style="1" customWidth="1"/>
    <col min="12" max="12" width="17.125" style="1" customWidth="1"/>
    <col min="13" max="13" width="14.875" style="1" customWidth="1"/>
    <col min="14" max="14" width="14.25" style="1" customWidth="1"/>
    <col min="15" max="15" width="47.5" style="45" customWidth="1"/>
    <col min="16" max="20" width="23.5" style="1" customWidth="1"/>
    <col min="21" max="21" width="26.125" style="1" customWidth="1"/>
    <col min="22" max="26" width="23.5" style="84" customWidth="1"/>
    <col min="27" max="27" width="27.125" style="84" customWidth="1"/>
    <col min="28" max="28" width="16.25" style="84" customWidth="1"/>
    <col min="29" max="29" width="19.625" style="1" customWidth="1"/>
    <col min="30" max="31" width="22" style="1" customWidth="1"/>
    <col min="32" max="16384" width="11.25" style="1"/>
  </cols>
  <sheetData>
    <row r="1" spans="1:31" ht="15" x14ac:dyDescent="0.2">
      <c r="A1" s="142"/>
      <c r="B1" s="153" t="s">
        <v>0</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5"/>
      <c r="AC1" s="114" t="s">
        <v>121</v>
      </c>
      <c r="AD1" s="114"/>
      <c r="AE1" s="114"/>
    </row>
    <row r="2" spans="1:31" ht="15" x14ac:dyDescent="0.2">
      <c r="A2" s="143"/>
      <c r="B2" s="156"/>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8"/>
      <c r="AC2" s="175" t="s">
        <v>289</v>
      </c>
      <c r="AD2" s="176"/>
      <c r="AE2" s="177"/>
    </row>
    <row r="3" spans="1:31" ht="15" customHeight="1" x14ac:dyDescent="0.2">
      <c r="A3" s="143"/>
      <c r="B3" s="156"/>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8"/>
      <c r="AC3" s="175" t="s">
        <v>290</v>
      </c>
      <c r="AD3" s="176"/>
      <c r="AE3" s="177"/>
    </row>
    <row r="4" spans="1:31" ht="15" x14ac:dyDescent="0.2">
      <c r="A4" s="144"/>
      <c r="B4" s="156"/>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8"/>
      <c r="AC4" s="178" t="s">
        <v>115</v>
      </c>
      <c r="AD4" s="178"/>
      <c r="AE4" s="178"/>
    </row>
    <row r="5" spans="1:31" ht="15" x14ac:dyDescent="0.2">
      <c r="A5" s="145" t="s">
        <v>1</v>
      </c>
      <c r="B5" s="146"/>
      <c r="C5" s="147"/>
      <c r="D5" s="152" t="s">
        <v>266</v>
      </c>
      <c r="E5" s="152"/>
      <c r="F5" s="152"/>
      <c r="G5" s="152"/>
      <c r="H5" s="39"/>
      <c r="I5" s="39"/>
      <c r="J5" s="39"/>
      <c r="K5" s="39"/>
      <c r="L5" s="39"/>
      <c r="M5" s="2"/>
      <c r="N5" s="2"/>
      <c r="O5" s="42"/>
      <c r="P5" s="2"/>
      <c r="Q5" s="2"/>
      <c r="R5" s="2"/>
      <c r="S5" s="2"/>
      <c r="T5" s="2"/>
      <c r="U5" s="2"/>
      <c r="V5" s="87"/>
      <c r="W5" s="87"/>
      <c r="X5" s="87"/>
      <c r="Y5" s="87"/>
      <c r="Z5" s="87"/>
      <c r="AA5" s="87"/>
      <c r="AB5" s="87"/>
      <c r="AC5" s="2"/>
      <c r="AD5" s="2"/>
      <c r="AE5" s="3"/>
    </row>
    <row r="6" spans="1:31" ht="15" x14ac:dyDescent="0.2">
      <c r="A6" s="145" t="s">
        <v>2</v>
      </c>
      <c r="B6" s="146"/>
      <c r="C6" s="147"/>
      <c r="D6" s="152">
        <v>44895</v>
      </c>
      <c r="E6" s="152"/>
      <c r="F6" s="152"/>
      <c r="G6" s="152"/>
      <c r="H6" s="40"/>
      <c r="I6" s="40"/>
      <c r="J6" s="40"/>
      <c r="K6" s="40"/>
      <c r="L6" s="40"/>
      <c r="M6" s="2"/>
      <c r="N6" s="2"/>
      <c r="O6" s="42"/>
      <c r="P6" s="2"/>
      <c r="Q6" s="2"/>
      <c r="R6" s="2"/>
      <c r="S6" s="2"/>
      <c r="T6" s="2"/>
      <c r="U6" s="2"/>
      <c r="V6" s="87"/>
      <c r="W6" s="87"/>
      <c r="X6" s="87"/>
      <c r="Y6" s="87"/>
      <c r="Z6" s="87"/>
      <c r="AA6" s="87"/>
      <c r="AB6" s="87"/>
      <c r="AC6" s="2"/>
      <c r="AD6" s="2"/>
      <c r="AE6" s="3"/>
    </row>
    <row r="7" spans="1:31" ht="15" x14ac:dyDescent="0.2">
      <c r="A7" s="41"/>
      <c r="B7" s="148" t="s">
        <v>3</v>
      </c>
      <c r="C7" s="149"/>
      <c r="D7" s="149"/>
      <c r="E7" s="149"/>
      <c r="F7" s="150"/>
      <c r="G7" s="151" t="s">
        <v>4</v>
      </c>
      <c r="H7" s="151"/>
      <c r="I7" s="151"/>
      <c r="J7" s="151"/>
      <c r="K7" s="151"/>
      <c r="L7" s="151" t="s">
        <v>5</v>
      </c>
      <c r="M7" s="151"/>
      <c r="N7" s="151"/>
      <c r="O7" s="148" t="s">
        <v>6</v>
      </c>
      <c r="P7" s="149"/>
      <c r="Q7" s="149"/>
      <c r="R7" s="149"/>
      <c r="S7" s="149"/>
      <c r="T7" s="149"/>
      <c r="U7" s="150"/>
      <c r="V7" s="148" t="s">
        <v>7</v>
      </c>
      <c r="W7" s="149"/>
      <c r="X7" s="149"/>
      <c r="Y7" s="149"/>
      <c r="Z7" s="149"/>
      <c r="AA7" s="150"/>
      <c r="AB7" s="122" t="s">
        <v>8</v>
      </c>
      <c r="AC7" s="122" t="s">
        <v>9</v>
      </c>
      <c r="AD7" s="122" t="s">
        <v>10</v>
      </c>
      <c r="AE7" s="122"/>
    </row>
    <row r="8" spans="1:31" ht="30" x14ac:dyDescent="0.2">
      <c r="A8" s="4" t="s">
        <v>11</v>
      </c>
      <c r="B8" s="5" t="s">
        <v>12</v>
      </c>
      <c r="C8" s="4" t="s">
        <v>13</v>
      </c>
      <c r="D8" s="4" t="s">
        <v>14</v>
      </c>
      <c r="E8" s="4" t="s">
        <v>15</v>
      </c>
      <c r="F8" s="5" t="s">
        <v>16</v>
      </c>
      <c r="G8" s="71" t="s">
        <v>17</v>
      </c>
      <c r="H8" s="71" t="s">
        <v>18</v>
      </c>
      <c r="I8" s="71" t="s">
        <v>19</v>
      </c>
      <c r="J8" s="71" t="s">
        <v>20</v>
      </c>
      <c r="K8" s="71" t="s">
        <v>21</v>
      </c>
      <c r="L8" s="71" t="s">
        <v>22</v>
      </c>
      <c r="M8" s="71" t="s">
        <v>23</v>
      </c>
      <c r="N8" s="71" t="s">
        <v>24</v>
      </c>
      <c r="O8" s="4" t="s">
        <v>25</v>
      </c>
      <c r="P8" s="5" t="s">
        <v>26</v>
      </c>
      <c r="Q8" s="5" t="s">
        <v>27</v>
      </c>
      <c r="R8" s="5" t="s">
        <v>28</v>
      </c>
      <c r="S8" s="5" t="s">
        <v>29</v>
      </c>
      <c r="T8" s="5" t="s">
        <v>30</v>
      </c>
      <c r="U8" s="71" t="s">
        <v>31</v>
      </c>
      <c r="V8" s="5" t="s">
        <v>26</v>
      </c>
      <c r="W8" s="5" t="s">
        <v>27</v>
      </c>
      <c r="X8" s="5" t="s">
        <v>28</v>
      </c>
      <c r="Y8" s="5" t="s">
        <v>29</v>
      </c>
      <c r="Z8" s="5" t="s">
        <v>30</v>
      </c>
      <c r="AA8" s="5" t="s">
        <v>32</v>
      </c>
      <c r="AB8" s="122"/>
      <c r="AC8" s="122"/>
      <c r="AD8" s="71" t="s">
        <v>33</v>
      </c>
      <c r="AE8" s="71" t="s">
        <v>34</v>
      </c>
    </row>
    <row r="9" spans="1:31" s="84" customFormat="1" ht="42.75" x14ac:dyDescent="0.2">
      <c r="A9" s="69">
        <v>160</v>
      </c>
      <c r="B9" s="6" t="s">
        <v>35</v>
      </c>
      <c r="C9" s="6" t="s">
        <v>36</v>
      </c>
      <c r="D9" s="6" t="s">
        <v>37</v>
      </c>
      <c r="E9" s="7" t="s">
        <v>38</v>
      </c>
      <c r="F9" s="8" t="s">
        <v>39</v>
      </c>
      <c r="G9" s="9"/>
      <c r="H9" s="88" t="s">
        <v>113</v>
      </c>
      <c r="I9" s="89"/>
      <c r="J9" s="81"/>
      <c r="K9" s="81"/>
      <c r="L9" s="10">
        <v>0</v>
      </c>
      <c r="M9" s="66"/>
      <c r="N9" s="83" t="str">
        <f>IFERROR(IF(M9/L9&gt;100%,100%,M9/L9),"-")</f>
        <v>-</v>
      </c>
      <c r="O9" s="90" t="s">
        <v>201</v>
      </c>
      <c r="P9" s="37">
        <v>250000000</v>
      </c>
      <c r="Q9" s="38"/>
      <c r="R9" s="38"/>
      <c r="S9" s="38"/>
      <c r="T9" s="91"/>
      <c r="U9" s="65">
        <f>SUM(P9:T9)</f>
        <v>250000000</v>
      </c>
      <c r="V9" s="37"/>
      <c r="W9" s="38"/>
      <c r="X9" s="38"/>
      <c r="Y9" s="38"/>
      <c r="Z9" s="91"/>
      <c r="AA9" s="65">
        <f>SUM(V9:Z9)</f>
        <v>0</v>
      </c>
      <c r="AB9" s="62">
        <f>IFERROR(AA9/U9,"-")</f>
        <v>0</v>
      </c>
      <c r="AC9" s="92"/>
      <c r="AD9" s="86" t="s">
        <v>40</v>
      </c>
      <c r="AE9" s="86" t="s">
        <v>41</v>
      </c>
    </row>
    <row r="10" spans="1:31" s="84" customFormat="1" ht="45" x14ac:dyDescent="0.2">
      <c r="A10" s="69">
        <v>161</v>
      </c>
      <c r="B10" s="6" t="s">
        <v>35</v>
      </c>
      <c r="C10" s="6" t="s">
        <v>36</v>
      </c>
      <c r="D10" s="6" t="s">
        <v>37</v>
      </c>
      <c r="E10" s="7" t="s">
        <v>42</v>
      </c>
      <c r="F10" s="8" t="s">
        <v>43</v>
      </c>
      <c r="G10" s="51"/>
      <c r="H10" s="88" t="s">
        <v>113</v>
      </c>
      <c r="I10" s="11"/>
      <c r="J10" s="81"/>
      <c r="K10" s="81"/>
      <c r="L10" s="10">
        <v>0</v>
      </c>
      <c r="M10" s="66"/>
      <c r="N10" s="83" t="str">
        <f>IFERROR(IF(M10/L10&gt;100%,100%,M10/L10),"-")</f>
        <v>-</v>
      </c>
      <c r="O10" s="43"/>
      <c r="P10" s="37"/>
      <c r="Q10" s="38"/>
      <c r="R10" s="38"/>
      <c r="S10" s="38"/>
      <c r="T10" s="91"/>
      <c r="U10" s="65">
        <f>SUM(P10:T10)</f>
        <v>0</v>
      </c>
      <c r="V10" s="37"/>
      <c r="W10" s="38"/>
      <c r="X10" s="38"/>
      <c r="Y10" s="38"/>
      <c r="Z10" s="91"/>
      <c r="AA10" s="65">
        <f>SUM(V10:Z10)</f>
        <v>0</v>
      </c>
      <c r="AB10" s="62" t="str">
        <f>IFERROR(AA10/U10,"-")</f>
        <v>-</v>
      </c>
      <c r="AC10" s="63"/>
      <c r="AD10" s="86" t="s">
        <v>40</v>
      </c>
      <c r="AE10" s="86" t="s">
        <v>41</v>
      </c>
    </row>
    <row r="11" spans="1:31" s="84" customFormat="1" ht="71.25" x14ac:dyDescent="0.2">
      <c r="A11" s="70">
        <v>174</v>
      </c>
      <c r="B11" s="78" t="s">
        <v>35</v>
      </c>
      <c r="C11" s="78" t="s">
        <v>275</v>
      </c>
      <c r="D11" s="76" t="s">
        <v>276</v>
      </c>
      <c r="E11" s="79" t="s">
        <v>277</v>
      </c>
      <c r="F11" s="80" t="s">
        <v>278</v>
      </c>
      <c r="G11" s="51">
        <v>2020680010178</v>
      </c>
      <c r="H11" s="88" t="s">
        <v>279</v>
      </c>
      <c r="I11" s="11"/>
      <c r="J11" s="81"/>
      <c r="K11" s="81"/>
      <c r="L11" s="82">
        <v>0</v>
      </c>
      <c r="M11" s="46">
        <v>0</v>
      </c>
      <c r="N11" s="83" t="str">
        <f>IFERROR(IF(M11/L11&gt;100%,100%,M11/L11),"-")</f>
        <v>-</v>
      </c>
      <c r="O11" s="76" t="s">
        <v>195</v>
      </c>
      <c r="P11" s="101"/>
      <c r="Q11" s="77"/>
      <c r="R11" s="77"/>
      <c r="S11" s="77"/>
      <c r="T11" s="37">
        <v>24855768042</v>
      </c>
      <c r="U11" s="72">
        <f>SUM(Q11:T11)</f>
        <v>24855768042</v>
      </c>
      <c r="W11" s="85"/>
      <c r="X11" s="85"/>
      <c r="Y11" s="85"/>
      <c r="Z11" s="75">
        <v>24855768042</v>
      </c>
      <c r="AA11" s="72">
        <f>SUM(W11:Z11)</f>
        <v>24855768042</v>
      </c>
      <c r="AB11" s="62">
        <f>IFERROR(AA11/U11,"-")</f>
        <v>1</v>
      </c>
      <c r="AC11" s="64"/>
      <c r="AD11" s="86" t="s">
        <v>40</v>
      </c>
      <c r="AE11" s="86" t="s">
        <v>41</v>
      </c>
    </row>
    <row r="12" spans="1:31" s="84" customFormat="1" ht="85.5" x14ac:dyDescent="0.2">
      <c r="A12" s="5">
        <v>191</v>
      </c>
      <c r="B12" s="6" t="s">
        <v>44</v>
      </c>
      <c r="C12" s="12" t="s">
        <v>45</v>
      </c>
      <c r="D12" s="12" t="s">
        <v>46</v>
      </c>
      <c r="E12" s="73" t="s">
        <v>47</v>
      </c>
      <c r="F12" s="12" t="s">
        <v>48</v>
      </c>
      <c r="G12" s="51">
        <v>2021680010143</v>
      </c>
      <c r="H12" s="11" t="s">
        <v>181</v>
      </c>
      <c r="I12" s="11"/>
      <c r="J12" s="81"/>
      <c r="K12" s="81"/>
      <c r="L12" s="159">
        <v>1</v>
      </c>
      <c r="M12" s="131">
        <v>1</v>
      </c>
      <c r="N12" s="134">
        <f>IFERROR(IF(M12/L12&gt;100%,100%,M12/L12),"-")</f>
        <v>1</v>
      </c>
      <c r="O12" s="43" t="s">
        <v>172</v>
      </c>
      <c r="P12" s="37">
        <v>100000000</v>
      </c>
      <c r="Q12" s="38"/>
      <c r="R12" s="38"/>
      <c r="S12" s="38"/>
      <c r="T12" s="91"/>
      <c r="U12" s="116">
        <f>SUM(P12:T19)</f>
        <v>4729996281.6400003</v>
      </c>
      <c r="V12" s="37">
        <v>99762624</v>
      </c>
      <c r="W12" s="38"/>
      <c r="X12" s="38"/>
      <c r="Y12" s="38"/>
      <c r="Z12" s="91"/>
      <c r="AA12" s="116">
        <f>SUM(V12:Z19)</f>
        <v>3487042592.71</v>
      </c>
      <c r="AB12" s="137">
        <f>IFERROR(AA12/U12,"-")</f>
        <v>0.73721888667129376</v>
      </c>
      <c r="AC12" s="125"/>
      <c r="AD12" s="128" t="s">
        <v>40</v>
      </c>
      <c r="AE12" s="128" t="s">
        <v>41</v>
      </c>
    </row>
    <row r="13" spans="1:31" s="84" customFormat="1" ht="85.5" x14ac:dyDescent="0.2">
      <c r="A13" s="5">
        <v>191</v>
      </c>
      <c r="B13" s="6" t="s">
        <v>44</v>
      </c>
      <c r="C13" s="12" t="s">
        <v>45</v>
      </c>
      <c r="D13" s="12" t="s">
        <v>46</v>
      </c>
      <c r="E13" s="73" t="s">
        <v>47</v>
      </c>
      <c r="F13" s="12" t="s">
        <v>48</v>
      </c>
      <c r="G13" s="51">
        <v>2022680010016</v>
      </c>
      <c r="H13" s="11" t="s">
        <v>208</v>
      </c>
      <c r="I13" s="11"/>
      <c r="J13" s="81"/>
      <c r="K13" s="81"/>
      <c r="L13" s="160"/>
      <c r="M13" s="132"/>
      <c r="N13" s="135"/>
      <c r="O13" s="43" t="s">
        <v>209</v>
      </c>
      <c r="P13" s="37">
        <f>84250000</f>
        <v>84250000</v>
      </c>
      <c r="Q13" s="38"/>
      <c r="R13" s="38"/>
      <c r="S13" s="38"/>
      <c r="T13" s="91"/>
      <c r="U13" s="117"/>
      <c r="V13" s="37">
        <v>83837903</v>
      </c>
      <c r="W13" s="38"/>
      <c r="X13" s="38"/>
      <c r="Y13" s="38"/>
      <c r="Z13" s="91"/>
      <c r="AA13" s="117"/>
      <c r="AB13" s="138"/>
      <c r="AC13" s="126"/>
      <c r="AD13" s="129"/>
      <c r="AE13" s="129"/>
    </row>
    <row r="14" spans="1:31" s="84" customFormat="1" ht="85.5" x14ac:dyDescent="0.2">
      <c r="A14" s="5">
        <v>191</v>
      </c>
      <c r="B14" s="6" t="s">
        <v>44</v>
      </c>
      <c r="C14" s="12" t="s">
        <v>45</v>
      </c>
      <c r="D14" s="12" t="s">
        <v>46</v>
      </c>
      <c r="E14" s="73" t="s">
        <v>47</v>
      </c>
      <c r="F14" s="12" t="s">
        <v>48</v>
      </c>
      <c r="G14" s="51">
        <v>2022680010030</v>
      </c>
      <c r="H14" s="11" t="s">
        <v>224</v>
      </c>
      <c r="I14" s="11"/>
      <c r="J14" s="81"/>
      <c r="K14" s="81"/>
      <c r="L14" s="160"/>
      <c r="M14" s="132"/>
      <c r="N14" s="135"/>
      <c r="O14" s="43" t="s">
        <v>223</v>
      </c>
      <c r="P14" s="37">
        <f>536089602.78+331796814.8</f>
        <v>867886417.57999992</v>
      </c>
      <c r="Q14" s="38"/>
      <c r="R14" s="38"/>
      <c r="S14" s="38"/>
      <c r="T14" s="91"/>
      <c r="U14" s="117"/>
      <c r="V14" s="37">
        <v>867886417.58000004</v>
      </c>
      <c r="W14" s="38"/>
      <c r="X14" s="38"/>
      <c r="Y14" s="38"/>
      <c r="Z14" s="91"/>
      <c r="AA14" s="117"/>
      <c r="AB14" s="138"/>
      <c r="AC14" s="126"/>
      <c r="AD14" s="129"/>
      <c r="AE14" s="129"/>
    </row>
    <row r="15" spans="1:31" s="84" customFormat="1" ht="85.5" x14ac:dyDescent="0.2">
      <c r="A15" s="5">
        <v>191</v>
      </c>
      <c r="B15" s="6" t="s">
        <v>44</v>
      </c>
      <c r="C15" s="12" t="s">
        <v>45</v>
      </c>
      <c r="D15" s="12" t="s">
        <v>46</v>
      </c>
      <c r="E15" s="73" t="s">
        <v>47</v>
      </c>
      <c r="F15" s="12" t="s">
        <v>48</v>
      </c>
      <c r="G15" s="51">
        <v>2022680010014</v>
      </c>
      <c r="H15" s="11" t="s">
        <v>206</v>
      </c>
      <c r="I15" s="11"/>
      <c r="J15" s="81"/>
      <c r="K15" s="81"/>
      <c r="L15" s="160"/>
      <c r="M15" s="132"/>
      <c r="N15" s="135"/>
      <c r="O15" s="43" t="s">
        <v>207</v>
      </c>
      <c r="P15" s="112">
        <f>16906045.88+37852771</f>
        <v>54758816.879999995</v>
      </c>
      <c r="Q15" s="38"/>
      <c r="R15" s="38"/>
      <c r="S15" s="38"/>
      <c r="T15" s="91"/>
      <c r="U15" s="117"/>
      <c r="V15" s="37">
        <v>54758816.880000003</v>
      </c>
      <c r="W15" s="38"/>
      <c r="X15" s="38"/>
      <c r="Y15" s="38"/>
      <c r="Z15" s="91"/>
      <c r="AA15" s="117"/>
      <c r="AB15" s="138"/>
      <c r="AC15" s="126"/>
      <c r="AD15" s="129"/>
      <c r="AE15" s="129"/>
    </row>
    <row r="16" spans="1:31" s="84" customFormat="1" ht="85.5" x14ac:dyDescent="0.2">
      <c r="A16" s="5">
        <v>191</v>
      </c>
      <c r="B16" s="6" t="s">
        <v>44</v>
      </c>
      <c r="C16" s="12" t="s">
        <v>45</v>
      </c>
      <c r="D16" s="12" t="s">
        <v>46</v>
      </c>
      <c r="E16" s="73" t="s">
        <v>47</v>
      </c>
      <c r="F16" s="12" t="s">
        <v>48</v>
      </c>
      <c r="G16" s="51">
        <v>2022680010010</v>
      </c>
      <c r="H16" s="11" t="s">
        <v>180</v>
      </c>
      <c r="I16" s="11"/>
      <c r="J16" s="81"/>
      <c r="K16" s="81"/>
      <c r="L16" s="160"/>
      <c r="M16" s="132"/>
      <c r="N16" s="135"/>
      <c r="O16" s="43" t="s">
        <v>211</v>
      </c>
      <c r="P16" s="37">
        <f>233416266+23539642</f>
        <v>256955908</v>
      </c>
      <c r="Q16" s="38"/>
      <c r="R16" s="38"/>
      <c r="S16" s="38"/>
      <c r="T16" s="91"/>
      <c r="U16" s="117"/>
      <c r="V16" s="37">
        <f>233416259+18690288.75</f>
        <v>252106547.75</v>
      </c>
      <c r="W16" s="38"/>
      <c r="X16" s="38"/>
      <c r="Y16" s="38"/>
      <c r="Z16" s="91"/>
      <c r="AA16" s="117"/>
      <c r="AB16" s="138"/>
      <c r="AC16" s="126"/>
      <c r="AD16" s="129"/>
      <c r="AE16" s="129"/>
    </row>
    <row r="17" spans="1:31" s="84" customFormat="1" ht="85.5" x14ac:dyDescent="0.2">
      <c r="A17" s="5">
        <v>191</v>
      </c>
      <c r="B17" s="6" t="s">
        <v>44</v>
      </c>
      <c r="C17" s="12" t="s">
        <v>45</v>
      </c>
      <c r="D17" s="12" t="s">
        <v>46</v>
      </c>
      <c r="E17" s="73" t="s">
        <v>47</v>
      </c>
      <c r="F17" s="12" t="s">
        <v>48</v>
      </c>
      <c r="G17" s="51">
        <v>2022680010017</v>
      </c>
      <c r="H17" s="11" t="s">
        <v>210</v>
      </c>
      <c r="I17" s="11"/>
      <c r="J17" s="81"/>
      <c r="K17" s="81"/>
      <c r="L17" s="160"/>
      <c r="M17" s="132"/>
      <c r="N17" s="135"/>
      <c r="O17" s="43" t="s">
        <v>212</v>
      </c>
      <c r="P17" s="37">
        <v>60360365</v>
      </c>
      <c r="Q17" s="38"/>
      <c r="R17" s="38"/>
      <c r="S17" s="38"/>
      <c r="T17" s="91"/>
      <c r="U17" s="117"/>
      <c r="V17" s="37">
        <v>60360365</v>
      </c>
      <c r="W17" s="38"/>
      <c r="X17" s="38"/>
      <c r="Y17" s="38"/>
      <c r="Z17" s="91"/>
      <c r="AA17" s="117"/>
      <c r="AB17" s="138"/>
      <c r="AC17" s="126"/>
      <c r="AD17" s="129"/>
      <c r="AE17" s="129"/>
    </row>
    <row r="18" spans="1:31" s="84" customFormat="1" ht="85.5" x14ac:dyDescent="0.2">
      <c r="A18" s="5">
        <v>191</v>
      </c>
      <c r="B18" s="12" t="s">
        <v>44</v>
      </c>
      <c r="C18" s="12" t="s">
        <v>45</v>
      </c>
      <c r="D18" s="12" t="s">
        <v>46</v>
      </c>
      <c r="E18" s="73" t="s">
        <v>47</v>
      </c>
      <c r="F18" s="12" t="s">
        <v>48</v>
      </c>
      <c r="G18" s="51">
        <v>2021680010125</v>
      </c>
      <c r="H18" s="93" t="s">
        <v>105</v>
      </c>
      <c r="I18" s="11" t="s">
        <v>106</v>
      </c>
      <c r="J18" s="81"/>
      <c r="K18" s="81"/>
      <c r="L18" s="160"/>
      <c r="M18" s="132"/>
      <c r="N18" s="135"/>
      <c r="O18" s="43" t="s">
        <v>150</v>
      </c>
      <c r="P18" s="37"/>
      <c r="Q18" s="38"/>
      <c r="R18" s="38"/>
      <c r="S18" s="38"/>
      <c r="T18" s="37">
        <v>3164467210</v>
      </c>
      <c r="U18" s="117"/>
      <c r="V18" s="37"/>
      <c r="W18" s="38"/>
      <c r="X18" s="38"/>
      <c r="Y18" s="38"/>
      <c r="Z18" s="91">
        <v>2068329918.5</v>
      </c>
      <c r="AA18" s="117"/>
      <c r="AB18" s="138"/>
      <c r="AC18" s="126"/>
      <c r="AD18" s="129"/>
      <c r="AE18" s="129"/>
    </row>
    <row r="19" spans="1:31" s="84" customFormat="1" ht="85.5" x14ac:dyDescent="0.2">
      <c r="A19" s="5">
        <v>191</v>
      </c>
      <c r="B19" s="12" t="s">
        <v>44</v>
      </c>
      <c r="C19" s="12" t="s">
        <v>45</v>
      </c>
      <c r="D19" s="12" t="s">
        <v>46</v>
      </c>
      <c r="E19" s="73" t="s">
        <v>47</v>
      </c>
      <c r="F19" s="12" t="s">
        <v>48</v>
      </c>
      <c r="G19" s="51">
        <v>2022680010123</v>
      </c>
      <c r="H19" s="93" t="s">
        <v>267</v>
      </c>
      <c r="I19" s="11"/>
      <c r="J19" s="81"/>
      <c r="K19" s="81"/>
      <c r="L19" s="161"/>
      <c r="M19" s="133"/>
      <c r="N19" s="136"/>
      <c r="O19" s="43" t="s">
        <v>268</v>
      </c>
      <c r="P19" s="37">
        <v>141317564.18000001</v>
      </c>
      <c r="Q19" s="38"/>
      <c r="R19" s="38"/>
      <c r="S19" s="38"/>
      <c r="T19" s="37"/>
      <c r="U19" s="118"/>
      <c r="V19" s="37"/>
      <c r="W19" s="38"/>
      <c r="X19" s="38"/>
      <c r="Y19" s="38"/>
      <c r="Z19" s="91"/>
      <c r="AA19" s="118"/>
      <c r="AB19" s="139"/>
      <c r="AC19" s="127"/>
      <c r="AD19" s="130"/>
      <c r="AE19" s="130"/>
    </row>
    <row r="20" spans="1:31" s="84" customFormat="1" ht="85.5" x14ac:dyDescent="0.2">
      <c r="A20" s="69">
        <v>208</v>
      </c>
      <c r="B20" s="6" t="s">
        <v>44</v>
      </c>
      <c r="C20" s="6" t="s">
        <v>49</v>
      </c>
      <c r="D20" s="6" t="s">
        <v>50</v>
      </c>
      <c r="E20" s="73" t="s">
        <v>51</v>
      </c>
      <c r="F20" s="8" t="s">
        <v>52</v>
      </c>
      <c r="G20" s="51">
        <v>2022680010024</v>
      </c>
      <c r="H20" s="88" t="s">
        <v>222</v>
      </c>
      <c r="I20" s="89"/>
      <c r="J20" s="81"/>
      <c r="K20" s="81"/>
      <c r="L20" s="163">
        <v>1</v>
      </c>
      <c r="M20" s="141">
        <v>2</v>
      </c>
      <c r="N20" s="134">
        <f>IFERROR(IF(M20/L20&gt;100%,100%,M20/L20),"-")</f>
        <v>1</v>
      </c>
      <c r="O20" s="43" t="s">
        <v>179</v>
      </c>
      <c r="P20" s="37">
        <v>181856975</v>
      </c>
      <c r="Q20" s="38"/>
      <c r="R20" s="38"/>
      <c r="S20" s="38"/>
      <c r="T20" s="91"/>
      <c r="U20" s="116">
        <f>SUM(P20:T21)</f>
        <v>188131647.30000001</v>
      </c>
      <c r="V20" s="37">
        <v>173346072</v>
      </c>
      <c r="W20" s="38"/>
      <c r="X20" s="38"/>
      <c r="Y20" s="38"/>
      <c r="Z20" s="91"/>
      <c r="AA20" s="116">
        <f>SUM(V20:Z21)</f>
        <v>173346072</v>
      </c>
      <c r="AB20" s="137">
        <f>IFERROR(AA20/U20,"-")</f>
        <v>0.92140835679590627</v>
      </c>
      <c r="AC20" s="125"/>
      <c r="AD20" s="128" t="s">
        <v>40</v>
      </c>
      <c r="AE20" s="128" t="s">
        <v>41</v>
      </c>
    </row>
    <row r="21" spans="1:31" s="84" customFormat="1" ht="85.5" x14ac:dyDescent="0.2">
      <c r="A21" s="69">
        <v>208</v>
      </c>
      <c r="B21" s="6" t="s">
        <v>44</v>
      </c>
      <c r="C21" s="6" t="s">
        <v>49</v>
      </c>
      <c r="D21" s="6" t="s">
        <v>50</v>
      </c>
      <c r="E21" s="73" t="s">
        <v>51</v>
      </c>
      <c r="F21" s="8" t="s">
        <v>52</v>
      </c>
      <c r="G21" s="53"/>
      <c r="H21" s="57" t="s">
        <v>288</v>
      </c>
      <c r="I21" s="89"/>
      <c r="J21" s="81"/>
      <c r="K21" s="81"/>
      <c r="L21" s="164"/>
      <c r="M21" s="162"/>
      <c r="N21" s="136"/>
      <c r="O21" s="43" t="s">
        <v>200</v>
      </c>
      <c r="P21" s="37">
        <v>6274672.2999999998</v>
      </c>
      <c r="Q21" s="38"/>
      <c r="R21" s="38"/>
      <c r="S21" s="38"/>
      <c r="T21" s="91"/>
      <c r="U21" s="118"/>
      <c r="V21" s="37"/>
      <c r="W21" s="38"/>
      <c r="X21" s="38"/>
      <c r="Y21" s="38"/>
      <c r="Z21" s="91"/>
      <c r="AA21" s="118"/>
      <c r="AB21" s="139"/>
      <c r="AC21" s="127"/>
      <c r="AD21" s="130"/>
      <c r="AE21" s="130"/>
    </row>
    <row r="22" spans="1:31" s="84" customFormat="1" ht="85.5" x14ac:dyDescent="0.2">
      <c r="A22" s="69">
        <v>209</v>
      </c>
      <c r="B22" s="6" t="s">
        <v>44</v>
      </c>
      <c r="C22" s="6" t="s">
        <v>49</v>
      </c>
      <c r="D22" s="6" t="s">
        <v>50</v>
      </c>
      <c r="E22" s="7" t="s">
        <v>53</v>
      </c>
      <c r="F22" s="8" t="s">
        <v>54</v>
      </c>
      <c r="G22" s="51">
        <v>2022680010015</v>
      </c>
      <c r="H22" s="88" t="s">
        <v>213</v>
      </c>
      <c r="I22" s="89"/>
      <c r="J22" s="81"/>
      <c r="K22" s="81"/>
      <c r="L22" s="163">
        <v>0</v>
      </c>
      <c r="M22" s="141"/>
      <c r="N22" s="134" t="str">
        <f>IFERROR(IF(M22/L22&gt;100%,100%,M22/L22),"-")</f>
        <v>-</v>
      </c>
      <c r="O22" s="43" t="s">
        <v>170</v>
      </c>
      <c r="P22" s="37">
        <v>12000000</v>
      </c>
      <c r="Q22" s="38"/>
      <c r="R22" s="38"/>
      <c r="S22" s="38"/>
      <c r="T22" s="91"/>
      <c r="U22" s="116">
        <f>SUM(P22:T23)</f>
        <v>51723720</v>
      </c>
      <c r="V22" s="37">
        <v>11851324</v>
      </c>
      <c r="W22" s="38"/>
      <c r="X22" s="38"/>
      <c r="Y22" s="38"/>
      <c r="Z22" s="91"/>
      <c r="AA22" s="116">
        <f>SUM(V22:Z23)</f>
        <v>11851324</v>
      </c>
      <c r="AB22" s="137">
        <f>IFERROR(AA22/U22,"-")</f>
        <v>0.22912744868311868</v>
      </c>
      <c r="AC22" s="125"/>
      <c r="AD22" s="128" t="s">
        <v>40</v>
      </c>
      <c r="AE22" s="128" t="s">
        <v>41</v>
      </c>
    </row>
    <row r="23" spans="1:31" s="84" customFormat="1" ht="85.5" x14ac:dyDescent="0.2">
      <c r="A23" s="69">
        <v>209</v>
      </c>
      <c r="B23" s="6" t="s">
        <v>44</v>
      </c>
      <c r="C23" s="6" t="s">
        <v>49</v>
      </c>
      <c r="D23" s="6" t="s">
        <v>50</v>
      </c>
      <c r="E23" s="7" t="s">
        <v>53</v>
      </c>
      <c r="F23" s="8" t="s">
        <v>54</v>
      </c>
      <c r="G23" s="51"/>
      <c r="H23" s="57"/>
      <c r="I23" s="89" t="s">
        <v>271</v>
      </c>
      <c r="J23" s="81"/>
      <c r="K23" s="81"/>
      <c r="L23" s="115"/>
      <c r="M23" s="140"/>
      <c r="N23" s="135"/>
      <c r="O23" s="43" t="s">
        <v>272</v>
      </c>
      <c r="P23" s="37">
        <v>39723720</v>
      </c>
      <c r="Q23" s="38"/>
      <c r="R23" s="38"/>
      <c r="S23" s="38"/>
      <c r="T23" s="91"/>
      <c r="U23" s="117"/>
      <c r="V23" s="37"/>
      <c r="W23" s="38"/>
      <c r="X23" s="38"/>
      <c r="Y23" s="38"/>
      <c r="Z23" s="91"/>
      <c r="AA23" s="117"/>
      <c r="AB23" s="138"/>
      <c r="AC23" s="126"/>
      <c r="AD23" s="129"/>
      <c r="AE23" s="129"/>
    </row>
    <row r="24" spans="1:31" s="84" customFormat="1" ht="85.5" x14ac:dyDescent="0.2">
      <c r="A24" s="69">
        <v>210</v>
      </c>
      <c r="B24" s="6" t="s">
        <v>44</v>
      </c>
      <c r="C24" s="6" t="s">
        <v>49</v>
      </c>
      <c r="D24" s="6" t="s">
        <v>50</v>
      </c>
      <c r="E24" s="73" t="s">
        <v>55</v>
      </c>
      <c r="F24" s="6" t="s">
        <v>56</v>
      </c>
      <c r="G24" s="52">
        <v>2021680010092</v>
      </c>
      <c r="H24" s="88" t="s">
        <v>151</v>
      </c>
      <c r="I24" s="89" t="s">
        <v>152</v>
      </c>
      <c r="J24" s="81"/>
      <c r="K24" s="81"/>
      <c r="L24" s="13">
        <v>0</v>
      </c>
      <c r="M24" s="46">
        <v>19</v>
      </c>
      <c r="N24" s="94" t="str">
        <f>IFERROR(IF(M24/L24&gt;100%,100%,M24/L24),"-")</f>
        <v>-</v>
      </c>
      <c r="O24" s="43" t="s">
        <v>136</v>
      </c>
      <c r="P24" s="37">
        <v>361802568</v>
      </c>
      <c r="Q24" s="37"/>
      <c r="R24" s="38"/>
      <c r="S24" s="38"/>
      <c r="T24" s="37"/>
      <c r="U24" s="61">
        <f>SUM(P24:T24)</f>
        <v>361802568</v>
      </c>
      <c r="V24" s="37">
        <v>361802568</v>
      </c>
      <c r="W24" s="37"/>
      <c r="X24" s="38"/>
      <c r="Y24" s="38"/>
      <c r="Z24" s="91"/>
      <c r="AA24" s="61">
        <f>SUM(V24:Z24)</f>
        <v>361802568</v>
      </c>
      <c r="AB24" s="62">
        <f>IFERROR(AA24/U24,"-")</f>
        <v>1</v>
      </c>
      <c r="AC24" s="64"/>
      <c r="AD24" s="95" t="s">
        <v>40</v>
      </c>
      <c r="AE24" s="95" t="s">
        <v>41</v>
      </c>
    </row>
    <row r="25" spans="1:31" s="84" customFormat="1" ht="57" x14ac:dyDescent="0.2">
      <c r="A25" s="69">
        <v>214</v>
      </c>
      <c r="B25" s="6" t="s">
        <v>57</v>
      </c>
      <c r="C25" s="6" t="s">
        <v>58</v>
      </c>
      <c r="D25" s="6" t="s">
        <v>59</v>
      </c>
      <c r="E25" s="73" t="s">
        <v>60</v>
      </c>
      <c r="F25" s="6" t="s">
        <v>61</v>
      </c>
      <c r="G25" s="52">
        <v>2021680010129</v>
      </c>
      <c r="H25" s="93" t="s">
        <v>107</v>
      </c>
      <c r="I25" s="96"/>
      <c r="J25" s="81"/>
      <c r="K25" s="81"/>
      <c r="L25" s="119">
        <v>1</v>
      </c>
      <c r="M25" s="131">
        <v>1</v>
      </c>
      <c r="N25" s="134">
        <f>IFERROR(IF(M25/L25&gt;100%,100%,M25/L25),"-")</f>
        <v>1</v>
      </c>
      <c r="O25" s="43" t="s">
        <v>214</v>
      </c>
      <c r="P25" s="37">
        <f>2900484305+92000000+239486029.48+325663916.52+132894420+144231958+615388116</f>
        <v>4450148745</v>
      </c>
      <c r="Q25" s="37"/>
      <c r="R25" s="37"/>
      <c r="S25" s="37"/>
      <c r="T25" s="91"/>
      <c r="U25" s="116">
        <f>SUM(P25:T28)</f>
        <v>5554917054.1199999</v>
      </c>
      <c r="V25" s="37">
        <f>3033378725+763113460+92000000+234100000+163223112.7</f>
        <v>4285815297.6999998</v>
      </c>
      <c r="W25" s="50"/>
      <c r="X25" s="37"/>
      <c r="Y25" s="37"/>
      <c r="Z25" s="91"/>
      <c r="AA25" s="116">
        <f>SUM(V25:Z28)</f>
        <v>5330016016.7699995</v>
      </c>
      <c r="AB25" s="137">
        <f>IFERROR(AA25/U25,"-")</f>
        <v>0.95951316011402998</v>
      </c>
      <c r="AC25" s="125"/>
      <c r="AD25" s="128" t="s">
        <v>40</v>
      </c>
      <c r="AE25" s="128" t="s">
        <v>41</v>
      </c>
    </row>
    <row r="26" spans="1:31" s="84" customFormat="1" ht="57" x14ac:dyDescent="0.2">
      <c r="A26" s="69">
        <v>214</v>
      </c>
      <c r="B26" s="6" t="s">
        <v>57</v>
      </c>
      <c r="C26" s="6" t="s">
        <v>58</v>
      </c>
      <c r="D26" s="6" t="s">
        <v>59</v>
      </c>
      <c r="E26" s="73" t="s">
        <v>60</v>
      </c>
      <c r="F26" s="6" t="s">
        <v>61</v>
      </c>
      <c r="G26" s="52">
        <v>2020680010114</v>
      </c>
      <c r="H26" s="93" t="s">
        <v>99</v>
      </c>
      <c r="I26" s="96"/>
      <c r="J26" s="81"/>
      <c r="K26" s="81"/>
      <c r="L26" s="120"/>
      <c r="M26" s="132"/>
      <c r="N26" s="135"/>
      <c r="O26" s="43" t="s">
        <v>130</v>
      </c>
      <c r="P26" s="37">
        <v>174837630.11000001</v>
      </c>
      <c r="Q26" s="37"/>
      <c r="R26" s="37"/>
      <c r="S26" s="37"/>
      <c r="T26" s="91"/>
      <c r="U26" s="117"/>
      <c r="V26" s="37">
        <v>174837630.11000001</v>
      </c>
      <c r="W26" s="50"/>
      <c r="X26" s="37"/>
      <c r="Y26" s="37"/>
      <c r="Z26" s="91"/>
      <c r="AA26" s="117"/>
      <c r="AB26" s="138"/>
      <c r="AC26" s="126"/>
      <c r="AD26" s="129"/>
      <c r="AE26" s="129"/>
    </row>
    <row r="27" spans="1:31" s="84" customFormat="1" ht="57" x14ac:dyDescent="0.2">
      <c r="A27" s="69">
        <v>214</v>
      </c>
      <c r="B27" s="6" t="s">
        <v>57</v>
      </c>
      <c r="C27" s="6" t="s">
        <v>58</v>
      </c>
      <c r="D27" s="6" t="s">
        <v>59</v>
      </c>
      <c r="E27" s="73" t="s">
        <v>60</v>
      </c>
      <c r="F27" s="6" t="s">
        <v>61</v>
      </c>
      <c r="G27" s="52">
        <v>2022680010043</v>
      </c>
      <c r="H27" s="93" t="s">
        <v>247</v>
      </c>
      <c r="I27" s="96" t="s">
        <v>204</v>
      </c>
      <c r="J27" s="81"/>
      <c r="K27" s="81"/>
      <c r="L27" s="120"/>
      <c r="M27" s="132"/>
      <c r="N27" s="135"/>
      <c r="O27" s="43" t="s">
        <v>215</v>
      </c>
      <c r="P27" s="37">
        <v>651278551</v>
      </c>
      <c r="Q27" s="37"/>
      <c r="R27" s="37"/>
      <c r="S27" s="37"/>
      <c r="T27" s="91"/>
      <c r="U27" s="117"/>
      <c r="V27" s="37">
        <v>592208617</v>
      </c>
      <c r="W27" s="50"/>
      <c r="X27" s="37"/>
      <c r="Y27" s="37"/>
      <c r="Z27" s="91"/>
      <c r="AA27" s="117"/>
      <c r="AB27" s="138"/>
      <c r="AC27" s="126"/>
      <c r="AD27" s="129"/>
      <c r="AE27" s="129"/>
    </row>
    <row r="28" spans="1:31" s="84" customFormat="1" ht="57" x14ac:dyDescent="0.2">
      <c r="A28" s="69">
        <v>214</v>
      </c>
      <c r="B28" s="6" t="s">
        <v>57</v>
      </c>
      <c r="C28" s="6" t="s">
        <v>58</v>
      </c>
      <c r="D28" s="6" t="s">
        <v>59</v>
      </c>
      <c r="E28" s="73" t="s">
        <v>60</v>
      </c>
      <c r="F28" s="6" t="s">
        <v>61</v>
      </c>
      <c r="G28" s="52">
        <v>2021680010069</v>
      </c>
      <c r="H28" s="93" t="s">
        <v>116</v>
      </c>
      <c r="I28" s="96"/>
      <c r="J28" s="81"/>
      <c r="K28" s="81"/>
      <c r="L28" s="121"/>
      <c r="M28" s="133"/>
      <c r="N28" s="136"/>
      <c r="O28" s="43" t="s">
        <v>129</v>
      </c>
      <c r="P28" s="37">
        <v>278652128.00999999</v>
      </c>
      <c r="Q28" s="37"/>
      <c r="R28" s="37"/>
      <c r="S28" s="37"/>
      <c r="T28" s="91"/>
      <c r="U28" s="118"/>
      <c r="V28" s="37">
        <v>277154471.95999998</v>
      </c>
      <c r="W28" s="50"/>
      <c r="X28" s="37"/>
      <c r="Y28" s="37"/>
      <c r="Z28" s="91"/>
      <c r="AA28" s="118"/>
      <c r="AB28" s="139"/>
      <c r="AC28" s="127"/>
      <c r="AD28" s="130"/>
      <c r="AE28" s="130"/>
    </row>
    <row r="29" spans="1:31" s="84" customFormat="1" ht="37.5" customHeight="1" x14ac:dyDescent="0.2">
      <c r="A29" s="4">
        <v>215</v>
      </c>
      <c r="B29" s="12" t="s">
        <v>57</v>
      </c>
      <c r="C29" s="12" t="s">
        <v>58</v>
      </c>
      <c r="D29" s="12" t="s">
        <v>62</v>
      </c>
      <c r="E29" s="73" t="s">
        <v>63</v>
      </c>
      <c r="F29" s="12" t="s">
        <v>64</v>
      </c>
      <c r="G29" s="52">
        <v>2021680010211</v>
      </c>
      <c r="H29" s="93" t="s">
        <v>117</v>
      </c>
      <c r="I29" s="96"/>
      <c r="J29" s="81">
        <v>44562</v>
      </c>
      <c r="K29" s="14"/>
      <c r="L29" s="115">
        <v>53600</v>
      </c>
      <c r="M29" s="140">
        <f>1522+82593.92+535.29+35358.11+672.97+107+1123.6</f>
        <v>121912.89</v>
      </c>
      <c r="N29" s="134">
        <f>IFERROR(IF(M29/L29&gt;100%,100%,M29/L29),"-")</f>
        <v>1</v>
      </c>
      <c r="O29" s="54" t="s">
        <v>164</v>
      </c>
      <c r="P29" s="97">
        <v>334963540.23000002</v>
      </c>
      <c r="Q29" s="97">
        <v>8118317887</v>
      </c>
      <c r="R29" s="97"/>
      <c r="S29" s="97"/>
      <c r="T29" s="102"/>
      <c r="U29" s="123">
        <f>SUM(P29:T63)</f>
        <v>135386767000.16</v>
      </c>
      <c r="V29" s="97">
        <v>334962858.13</v>
      </c>
      <c r="W29" s="97">
        <v>7751493125.7700005</v>
      </c>
      <c r="X29" s="97"/>
      <c r="Y29" s="97"/>
      <c r="Z29" s="91"/>
      <c r="AA29" s="123">
        <f>SUM(V29:Z63)</f>
        <v>80698630560.630005</v>
      </c>
      <c r="AB29" s="137">
        <f>IFERROR(AA29/U29,"-")</f>
        <v>0.59605995732607042</v>
      </c>
      <c r="AC29" s="171"/>
      <c r="AD29" s="128" t="s">
        <v>40</v>
      </c>
      <c r="AE29" s="128" t="s">
        <v>41</v>
      </c>
    </row>
    <row r="30" spans="1:31" s="84" customFormat="1" ht="50.25" customHeight="1" x14ac:dyDescent="0.2">
      <c r="A30" s="4">
        <v>215</v>
      </c>
      <c r="B30" s="12" t="s">
        <v>57</v>
      </c>
      <c r="C30" s="12" t="s">
        <v>58</v>
      </c>
      <c r="D30" s="12" t="s">
        <v>62</v>
      </c>
      <c r="E30" s="73" t="s">
        <v>63</v>
      </c>
      <c r="F30" s="12" t="s">
        <v>64</v>
      </c>
      <c r="G30" s="52">
        <v>2021680010208</v>
      </c>
      <c r="H30" s="93" t="s">
        <v>118</v>
      </c>
      <c r="I30" s="96"/>
      <c r="J30" s="81"/>
      <c r="K30" s="14"/>
      <c r="L30" s="115"/>
      <c r="M30" s="140"/>
      <c r="N30" s="135"/>
      <c r="O30" s="54" t="s">
        <v>155</v>
      </c>
      <c r="P30" s="97">
        <v>1994076000</v>
      </c>
      <c r="Q30" s="97"/>
      <c r="R30" s="97"/>
      <c r="S30" s="97"/>
      <c r="T30" s="102"/>
      <c r="U30" s="123"/>
      <c r="V30" s="97">
        <f>48600000+75410000+1733775026+132484916+2836666.66</f>
        <v>1993106608.6600001</v>
      </c>
      <c r="W30" s="97"/>
      <c r="X30" s="97"/>
      <c r="Y30" s="97"/>
      <c r="Z30" s="91"/>
      <c r="AA30" s="123"/>
      <c r="AB30" s="138"/>
      <c r="AC30" s="174"/>
      <c r="AD30" s="129"/>
      <c r="AE30" s="129"/>
    </row>
    <row r="31" spans="1:31" s="84" customFormat="1" ht="47.25" customHeight="1" x14ac:dyDescent="0.2">
      <c r="A31" s="4">
        <v>215</v>
      </c>
      <c r="B31" s="12" t="s">
        <v>57</v>
      </c>
      <c r="C31" s="12" t="s">
        <v>58</v>
      </c>
      <c r="D31" s="12" t="s">
        <v>62</v>
      </c>
      <c r="E31" s="73" t="s">
        <v>63</v>
      </c>
      <c r="F31" s="12" t="s">
        <v>64</v>
      </c>
      <c r="G31" s="52">
        <v>2021680010208</v>
      </c>
      <c r="H31" s="93" t="s">
        <v>118</v>
      </c>
      <c r="I31" s="96"/>
      <c r="J31" s="81"/>
      <c r="K31" s="14"/>
      <c r="L31" s="115"/>
      <c r="M31" s="140"/>
      <c r="N31" s="135"/>
      <c r="O31" s="54" t="s">
        <v>216</v>
      </c>
      <c r="P31" s="97">
        <f>36450000+56365000</f>
        <v>92815000</v>
      </c>
      <c r="Q31" s="97"/>
      <c r="R31" s="97"/>
      <c r="S31" s="97"/>
      <c r="T31" s="102"/>
      <c r="U31" s="123"/>
      <c r="V31" s="97">
        <v>87965000</v>
      </c>
      <c r="W31" s="97"/>
      <c r="X31" s="97"/>
      <c r="Y31" s="97"/>
      <c r="Z31" s="91"/>
      <c r="AA31" s="123"/>
      <c r="AB31" s="138"/>
      <c r="AC31" s="174"/>
      <c r="AD31" s="129"/>
      <c r="AE31" s="129"/>
    </row>
    <row r="32" spans="1:31" s="84" customFormat="1" ht="48.75" customHeight="1" x14ac:dyDescent="0.2">
      <c r="A32" s="4">
        <v>215</v>
      </c>
      <c r="B32" s="12" t="s">
        <v>57</v>
      </c>
      <c r="C32" s="12" t="s">
        <v>58</v>
      </c>
      <c r="D32" s="12" t="s">
        <v>62</v>
      </c>
      <c r="E32" s="73" t="s">
        <v>63</v>
      </c>
      <c r="F32" s="12" t="s">
        <v>64</v>
      </c>
      <c r="G32" s="52">
        <v>2022680010040</v>
      </c>
      <c r="H32" s="93" t="s">
        <v>118</v>
      </c>
      <c r="I32" s="96" t="s">
        <v>204</v>
      </c>
      <c r="J32" s="81"/>
      <c r="K32" s="14"/>
      <c r="L32" s="115"/>
      <c r="M32" s="140"/>
      <c r="N32" s="135"/>
      <c r="O32" s="54" t="s">
        <v>269</v>
      </c>
      <c r="P32" s="97">
        <v>292500974</v>
      </c>
      <c r="Q32" s="97"/>
      <c r="R32" s="97"/>
      <c r="S32" s="97"/>
      <c r="T32" s="102"/>
      <c r="U32" s="123"/>
      <c r="V32" s="97"/>
      <c r="W32" s="97"/>
      <c r="X32" s="97"/>
      <c r="Y32" s="97"/>
      <c r="Z32" s="91"/>
      <c r="AA32" s="123"/>
      <c r="AB32" s="138"/>
      <c r="AC32" s="174"/>
      <c r="AD32" s="129"/>
      <c r="AE32" s="129"/>
    </row>
    <row r="33" spans="1:31" s="84" customFormat="1" ht="53.25" customHeight="1" x14ac:dyDescent="0.2">
      <c r="A33" s="4">
        <v>215</v>
      </c>
      <c r="B33" s="12" t="s">
        <v>57</v>
      </c>
      <c r="C33" s="12" t="s">
        <v>58</v>
      </c>
      <c r="D33" s="12" t="s">
        <v>62</v>
      </c>
      <c r="E33" s="73" t="s">
        <v>63</v>
      </c>
      <c r="F33" s="12" t="s">
        <v>64</v>
      </c>
      <c r="G33" s="52">
        <v>2021680010208</v>
      </c>
      <c r="H33" s="93" t="s">
        <v>118</v>
      </c>
      <c r="I33" s="96" t="s">
        <v>152</v>
      </c>
      <c r="J33" s="81"/>
      <c r="K33" s="14"/>
      <c r="L33" s="115"/>
      <c r="M33" s="140"/>
      <c r="N33" s="135"/>
      <c r="O33" s="54" t="s">
        <v>255</v>
      </c>
      <c r="P33" s="97">
        <v>540847830.65999997</v>
      </c>
      <c r="Q33" s="97"/>
      <c r="R33" s="97"/>
      <c r="S33" s="97"/>
      <c r="T33" s="102"/>
      <c r="U33" s="123"/>
      <c r="V33" s="97">
        <f>215766208.17+325081622.49</f>
        <v>540847830.65999997</v>
      </c>
      <c r="W33" s="97"/>
      <c r="X33" s="97"/>
      <c r="Y33" s="97"/>
      <c r="Z33" s="91"/>
      <c r="AA33" s="123"/>
      <c r="AB33" s="138"/>
      <c r="AC33" s="174"/>
      <c r="AD33" s="129"/>
      <c r="AE33" s="129"/>
    </row>
    <row r="34" spans="1:31" s="84" customFormat="1" ht="69" customHeight="1" x14ac:dyDescent="0.2">
      <c r="A34" s="4">
        <v>215</v>
      </c>
      <c r="B34" s="12" t="s">
        <v>57</v>
      </c>
      <c r="C34" s="12" t="s">
        <v>58</v>
      </c>
      <c r="D34" s="12" t="s">
        <v>62</v>
      </c>
      <c r="E34" s="73" t="s">
        <v>63</v>
      </c>
      <c r="F34" s="12" t="s">
        <v>64</v>
      </c>
      <c r="G34" s="52">
        <v>2022680010041</v>
      </c>
      <c r="H34" s="93" t="s">
        <v>108</v>
      </c>
      <c r="I34" s="96" t="s">
        <v>109</v>
      </c>
      <c r="J34" s="81">
        <v>44562</v>
      </c>
      <c r="K34" s="14"/>
      <c r="L34" s="115"/>
      <c r="M34" s="140"/>
      <c r="N34" s="135"/>
      <c r="O34" s="54" t="s">
        <v>191</v>
      </c>
      <c r="P34" s="97">
        <f>3787390794.48</f>
        <v>3787390794.48</v>
      </c>
      <c r="Q34" s="97"/>
      <c r="R34" s="97"/>
      <c r="S34" s="97"/>
      <c r="T34" s="97">
        <f>1364566437+1679978746.33</f>
        <v>3044545183.3299999</v>
      </c>
      <c r="U34" s="123"/>
      <c r="V34" s="97"/>
      <c r="W34" s="97"/>
      <c r="X34" s="97"/>
      <c r="Y34" s="97"/>
      <c r="Z34" s="91"/>
      <c r="AA34" s="123"/>
      <c r="AB34" s="138"/>
      <c r="AC34" s="174"/>
      <c r="AD34" s="129"/>
      <c r="AE34" s="129"/>
    </row>
    <row r="35" spans="1:31" s="84" customFormat="1" ht="69" customHeight="1" x14ac:dyDescent="0.2">
      <c r="A35" s="4">
        <v>215</v>
      </c>
      <c r="B35" s="12" t="s">
        <v>57</v>
      </c>
      <c r="C35" s="12" t="s">
        <v>58</v>
      </c>
      <c r="D35" s="12" t="s">
        <v>62</v>
      </c>
      <c r="E35" s="73" t="s">
        <v>63</v>
      </c>
      <c r="F35" s="12" t="s">
        <v>64</v>
      </c>
      <c r="G35" s="52">
        <v>2021680010141</v>
      </c>
      <c r="H35" s="93" t="s">
        <v>286</v>
      </c>
      <c r="I35" s="96"/>
      <c r="J35" s="81"/>
      <c r="K35" s="14"/>
      <c r="L35" s="115"/>
      <c r="M35" s="140"/>
      <c r="N35" s="135"/>
      <c r="O35" s="54"/>
      <c r="P35" s="97"/>
      <c r="Q35" s="97"/>
      <c r="R35" s="97"/>
      <c r="S35" s="97"/>
      <c r="T35" s="97">
        <v>280854380.99999952</v>
      </c>
      <c r="U35" s="123"/>
      <c r="V35" s="97"/>
      <c r="W35" s="97"/>
      <c r="X35" s="97"/>
      <c r="Y35" s="97"/>
      <c r="Z35" s="91"/>
      <c r="AA35" s="123"/>
      <c r="AB35" s="138"/>
      <c r="AC35" s="174"/>
      <c r="AD35" s="129"/>
      <c r="AE35" s="129"/>
    </row>
    <row r="36" spans="1:31" s="84" customFormat="1" ht="71.25" x14ac:dyDescent="0.2">
      <c r="A36" s="4">
        <v>215</v>
      </c>
      <c r="B36" s="12" t="s">
        <v>57</v>
      </c>
      <c r="C36" s="12" t="s">
        <v>58</v>
      </c>
      <c r="D36" s="12" t="s">
        <v>62</v>
      </c>
      <c r="E36" s="73" t="s">
        <v>63</v>
      </c>
      <c r="F36" s="12" t="s">
        <v>64</v>
      </c>
      <c r="G36" s="52">
        <v>2021680010173</v>
      </c>
      <c r="H36" s="93" t="s">
        <v>119</v>
      </c>
      <c r="I36" s="96" t="s">
        <v>111</v>
      </c>
      <c r="J36" s="81">
        <v>44562</v>
      </c>
      <c r="K36" s="14"/>
      <c r="L36" s="115"/>
      <c r="M36" s="140"/>
      <c r="N36" s="135"/>
      <c r="O36" s="54" t="s">
        <v>110</v>
      </c>
      <c r="P36" s="97">
        <v>195030130</v>
      </c>
      <c r="Q36" s="97"/>
      <c r="R36" s="97"/>
      <c r="S36" s="97"/>
      <c r="T36" s="102"/>
      <c r="U36" s="123"/>
      <c r="V36" s="97">
        <v>194266364</v>
      </c>
      <c r="W36" s="97"/>
      <c r="X36" s="97"/>
      <c r="Y36" s="97"/>
      <c r="Z36" s="91"/>
      <c r="AA36" s="123"/>
      <c r="AB36" s="138"/>
      <c r="AC36" s="174"/>
      <c r="AD36" s="129"/>
      <c r="AE36" s="129"/>
    </row>
    <row r="37" spans="1:31" s="84" customFormat="1" ht="60.75" customHeight="1" x14ac:dyDescent="0.2">
      <c r="A37" s="4">
        <v>215</v>
      </c>
      <c r="B37" s="12" t="s">
        <v>57</v>
      </c>
      <c r="C37" s="12" t="s">
        <v>58</v>
      </c>
      <c r="D37" s="12" t="s">
        <v>62</v>
      </c>
      <c r="E37" s="73" t="s">
        <v>63</v>
      </c>
      <c r="F37" s="12" t="s">
        <v>64</v>
      </c>
      <c r="G37" s="52">
        <v>2021680010140</v>
      </c>
      <c r="H37" s="93" t="s">
        <v>128</v>
      </c>
      <c r="I37" s="96" t="s">
        <v>125</v>
      </c>
      <c r="J37" s="81"/>
      <c r="K37" s="14"/>
      <c r="L37" s="115"/>
      <c r="M37" s="140"/>
      <c r="N37" s="135"/>
      <c r="O37" s="54" t="s">
        <v>280</v>
      </c>
      <c r="P37" s="97">
        <f>183529000.83+228977420</f>
        <v>412506420.83000004</v>
      </c>
      <c r="Q37" s="97"/>
      <c r="R37" s="97"/>
      <c r="S37" s="97"/>
      <c r="T37" s="91">
        <f>20142555459.17+1810001940</f>
        <v>21952557399.169998</v>
      </c>
      <c r="U37" s="123"/>
      <c r="V37" s="97">
        <f>183529000.83+228977420</f>
        <v>412506420.83000004</v>
      </c>
      <c r="W37" s="97"/>
      <c r="X37" s="97"/>
      <c r="Y37" s="97"/>
      <c r="Z37" s="91">
        <f>20142555459.17+1809971940</f>
        <v>21952527399.169998</v>
      </c>
      <c r="AA37" s="123"/>
      <c r="AB37" s="138"/>
      <c r="AC37" s="174"/>
      <c r="AD37" s="129"/>
      <c r="AE37" s="129"/>
    </row>
    <row r="38" spans="1:31" s="84" customFormat="1" ht="47.25" customHeight="1" x14ac:dyDescent="0.2">
      <c r="A38" s="4">
        <v>215</v>
      </c>
      <c r="B38" s="12" t="s">
        <v>57</v>
      </c>
      <c r="C38" s="12" t="s">
        <v>58</v>
      </c>
      <c r="D38" s="12" t="s">
        <v>62</v>
      </c>
      <c r="E38" s="73" t="s">
        <v>63</v>
      </c>
      <c r="F38" s="12" t="s">
        <v>64</v>
      </c>
      <c r="G38" s="52">
        <v>2022680010048</v>
      </c>
      <c r="H38" s="93" t="s">
        <v>242</v>
      </c>
      <c r="I38" s="96" t="s">
        <v>125</v>
      </c>
      <c r="J38" s="81"/>
      <c r="K38" s="14"/>
      <c r="L38" s="115"/>
      <c r="M38" s="140"/>
      <c r="N38" s="135"/>
      <c r="O38" s="54" t="s">
        <v>203</v>
      </c>
      <c r="P38" s="97">
        <v>11847444021</v>
      </c>
      <c r="Q38" s="97"/>
      <c r="R38" s="97"/>
      <c r="S38" s="97"/>
      <c r="T38" s="91"/>
      <c r="U38" s="123"/>
      <c r="V38" s="97"/>
      <c r="W38" s="97"/>
      <c r="X38" s="97"/>
      <c r="Y38" s="97"/>
      <c r="Z38" s="91"/>
      <c r="AA38" s="123"/>
      <c r="AB38" s="138"/>
      <c r="AC38" s="174"/>
      <c r="AD38" s="129"/>
      <c r="AE38" s="129"/>
    </row>
    <row r="39" spans="1:31" s="84" customFormat="1" ht="48.75" customHeight="1" x14ac:dyDescent="0.2">
      <c r="A39" s="4">
        <v>215</v>
      </c>
      <c r="B39" s="12" t="s">
        <v>57</v>
      </c>
      <c r="C39" s="12" t="s">
        <v>58</v>
      </c>
      <c r="D39" s="12" t="s">
        <v>62</v>
      </c>
      <c r="E39" s="73" t="s">
        <v>63</v>
      </c>
      <c r="F39" s="12" t="s">
        <v>64</v>
      </c>
      <c r="G39" s="52">
        <v>2022680010038</v>
      </c>
      <c r="H39" s="8" t="s">
        <v>249</v>
      </c>
      <c r="I39" s="96" t="s">
        <v>241</v>
      </c>
      <c r="J39" s="81"/>
      <c r="K39" s="14"/>
      <c r="L39" s="115"/>
      <c r="M39" s="140"/>
      <c r="N39" s="135"/>
      <c r="O39" s="54" t="s">
        <v>203</v>
      </c>
      <c r="P39" s="97">
        <f>13853202280-11847444021</f>
        <v>2005758259</v>
      </c>
      <c r="Q39" s="97"/>
      <c r="R39" s="97"/>
      <c r="S39" s="97"/>
      <c r="T39" s="91"/>
      <c r="U39" s="123"/>
      <c r="V39" s="97"/>
      <c r="W39" s="97"/>
      <c r="X39" s="97"/>
      <c r="Y39" s="97"/>
      <c r="Z39" s="91"/>
      <c r="AA39" s="123"/>
      <c r="AB39" s="138"/>
      <c r="AC39" s="174"/>
      <c r="AD39" s="129"/>
      <c r="AE39" s="129"/>
    </row>
    <row r="40" spans="1:31" s="84" customFormat="1" ht="47.25" customHeight="1" x14ac:dyDescent="0.2">
      <c r="A40" s="4">
        <v>215</v>
      </c>
      <c r="B40" s="12" t="s">
        <v>57</v>
      </c>
      <c r="C40" s="12" t="s">
        <v>58</v>
      </c>
      <c r="D40" s="12" t="s">
        <v>62</v>
      </c>
      <c r="E40" s="73" t="s">
        <v>63</v>
      </c>
      <c r="F40" s="12" t="s">
        <v>64</v>
      </c>
      <c r="G40" s="52">
        <v>2021680010130</v>
      </c>
      <c r="H40" s="93" t="s">
        <v>126</v>
      </c>
      <c r="I40" s="96" t="s">
        <v>125</v>
      </c>
      <c r="J40" s="81"/>
      <c r="K40" s="14"/>
      <c r="L40" s="115"/>
      <c r="M40" s="140"/>
      <c r="N40" s="135"/>
      <c r="O40" s="54" t="s">
        <v>127</v>
      </c>
      <c r="P40" s="97"/>
      <c r="Q40" s="97"/>
      <c r="R40" s="97"/>
      <c r="S40" s="97"/>
      <c r="T40" s="91">
        <v>34063277209.330002</v>
      </c>
      <c r="U40" s="123"/>
      <c r="V40" s="97"/>
      <c r="W40" s="97"/>
      <c r="X40" s="97"/>
      <c r="Y40" s="97"/>
      <c r="Z40" s="91">
        <v>33864079802</v>
      </c>
      <c r="AA40" s="123"/>
      <c r="AB40" s="138"/>
      <c r="AC40" s="174"/>
      <c r="AD40" s="129"/>
      <c r="AE40" s="129"/>
    </row>
    <row r="41" spans="1:31" s="84" customFormat="1" ht="34.5" customHeight="1" x14ac:dyDescent="0.2">
      <c r="A41" s="4">
        <v>215</v>
      </c>
      <c r="B41" s="12" t="s">
        <v>57</v>
      </c>
      <c r="C41" s="12" t="s">
        <v>58</v>
      </c>
      <c r="D41" s="12" t="s">
        <v>62</v>
      </c>
      <c r="E41" s="73" t="s">
        <v>63</v>
      </c>
      <c r="F41" s="12" t="s">
        <v>64</v>
      </c>
      <c r="G41" s="52">
        <v>2021680010115</v>
      </c>
      <c r="H41" s="93" t="s">
        <v>124</v>
      </c>
      <c r="I41" s="96" t="s">
        <v>125</v>
      </c>
      <c r="J41" s="81"/>
      <c r="K41" s="14"/>
      <c r="L41" s="115"/>
      <c r="M41" s="140"/>
      <c r="N41" s="135"/>
      <c r="O41" s="54" t="s">
        <v>256</v>
      </c>
      <c r="P41" s="97">
        <v>503004741.81999999</v>
      </c>
      <c r="Q41" s="97"/>
      <c r="R41" s="97"/>
      <c r="S41" s="97"/>
      <c r="T41" s="91">
        <v>1482279233</v>
      </c>
      <c r="U41" s="123"/>
      <c r="V41" s="97">
        <v>503004741</v>
      </c>
      <c r="W41" s="97"/>
      <c r="X41" s="97"/>
      <c r="Y41" s="97"/>
      <c r="Z41" s="91">
        <v>1482279233</v>
      </c>
      <c r="AA41" s="123"/>
      <c r="AB41" s="138"/>
      <c r="AC41" s="174"/>
      <c r="AD41" s="129"/>
      <c r="AE41" s="129"/>
    </row>
    <row r="42" spans="1:31" s="84" customFormat="1" ht="42.75" x14ac:dyDescent="0.2">
      <c r="A42" s="4">
        <v>215</v>
      </c>
      <c r="B42" s="12" t="s">
        <v>57</v>
      </c>
      <c r="C42" s="12" t="s">
        <v>58</v>
      </c>
      <c r="D42" s="12" t="s">
        <v>62</v>
      </c>
      <c r="E42" s="73" t="s">
        <v>63</v>
      </c>
      <c r="F42" s="12" t="s">
        <v>64</v>
      </c>
      <c r="G42" s="52"/>
      <c r="H42" s="57"/>
      <c r="I42" s="96" t="s">
        <v>263</v>
      </c>
      <c r="J42" s="81"/>
      <c r="K42" s="14"/>
      <c r="L42" s="115"/>
      <c r="M42" s="140"/>
      <c r="N42" s="135"/>
      <c r="O42" s="54" t="s">
        <v>270</v>
      </c>
      <c r="P42" s="97">
        <f>30041183.12+83550000+58326245</f>
        <v>171917428.12</v>
      </c>
      <c r="Q42" s="97"/>
      <c r="R42" s="97"/>
      <c r="S42" s="97"/>
      <c r="T42" s="91"/>
      <c r="U42" s="123"/>
      <c r="V42" s="97"/>
      <c r="W42" s="97"/>
      <c r="X42" s="97"/>
      <c r="Y42" s="97"/>
      <c r="Z42" s="91"/>
      <c r="AA42" s="123"/>
      <c r="AB42" s="138"/>
      <c r="AC42" s="174"/>
      <c r="AD42" s="129"/>
      <c r="AE42" s="129"/>
    </row>
    <row r="43" spans="1:31" s="84" customFormat="1" ht="50.25" customHeight="1" x14ac:dyDescent="0.2">
      <c r="A43" s="4">
        <v>215</v>
      </c>
      <c r="B43" s="12" t="s">
        <v>57</v>
      </c>
      <c r="C43" s="12" t="s">
        <v>58</v>
      </c>
      <c r="D43" s="12" t="s">
        <v>62</v>
      </c>
      <c r="E43" s="73" t="s">
        <v>63</v>
      </c>
      <c r="F43" s="12" t="s">
        <v>64</v>
      </c>
      <c r="G43" s="52">
        <v>2022680010050</v>
      </c>
      <c r="H43" s="93" t="s">
        <v>244</v>
      </c>
      <c r="I43" s="96" t="s">
        <v>204</v>
      </c>
      <c r="J43" s="81"/>
      <c r="K43" s="14"/>
      <c r="L43" s="115"/>
      <c r="M43" s="140"/>
      <c r="N43" s="135"/>
      <c r="O43" s="54" t="s">
        <v>205</v>
      </c>
      <c r="P43" s="97">
        <f>674849291.12+119727968.57+271606039.13</f>
        <v>1066183298.8200001</v>
      </c>
      <c r="Q43" s="97"/>
      <c r="R43" s="97"/>
      <c r="S43" s="97"/>
      <c r="T43" s="91"/>
      <c r="U43" s="123"/>
      <c r="V43" s="97"/>
      <c r="W43" s="97"/>
      <c r="X43" s="97"/>
      <c r="Y43" s="97"/>
      <c r="Z43" s="91"/>
      <c r="AA43" s="123"/>
      <c r="AB43" s="138"/>
      <c r="AC43" s="174"/>
      <c r="AD43" s="129"/>
      <c r="AE43" s="129"/>
    </row>
    <row r="44" spans="1:31" s="84" customFormat="1" ht="50.25" customHeight="1" x14ac:dyDescent="0.2">
      <c r="A44" s="4">
        <v>215</v>
      </c>
      <c r="B44" s="12" t="s">
        <v>57</v>
      </c>
      <c r="C44" s="12" t="s">
        <v>58</v>
      </c>
      <c r="D44" s="12" t="s">
        <v>62</v>
      </c>
      <c r="E44" s="73" t="s">
        <v>63</v>
      </c>
      <c r="F44" s="12" t="s">
        <v>64</v>
      </c>
      <c r="G44" s="52">
        <v>2021680010021</v>
      </c>
      <c r="H44" s="93" t="s">
        <v>139</v>
      </c>
      <c r="I44" s="96" t="s">
        <v>140</v>
      </c>
      <c r="J44" s="81"/>
      <c r="K44" s="14"/>
      <c r="L44" s="115"/>
      <c r="M44" s="140"/>
      <c r="N44" s="135"/>
      <c r="O44" s="54" t="s">
        <v>159</v>
      </c>
      <c r="P44" s="97">
        <f>407210660+3335243684+145363296.38</f>
        <v>3887817640.3800001</v>
      </c>
      <c r="Q44" s="97"/>
      <c r="R44" s="97"/>
      <c r="S44" s="97"/>
      <c r="T44" s="91"/>
      <c r="U44" s="123"/>
      <c r="V44" s="97">
        <v>3887817640.3800001</v>
      </c>
      <c r="W44" s="97"/>
      <c r="X44" s="97"/>
      <c r="Y44" s="97"/>
      <c r="Z44" s="91"/>
      <c r="AA44" s="123"/>
      <c r="AB44" s="138"/>
      <c r="AC44" s="174"/>
      <c r="AD44" s="129"/>
      <c r="AE44" s="129"/>
    </row>
    <row r="45" spans="1:31" s="84" customFormat="1" ht="64.5" customHeight="1" x14ac:dyDescent="0.2">
      <c r="A45" s="4">
        <v>215</v>
      </c>
      <c r="B45" s="12" t="s">
        <v>57</v>
      </c>
      <c r="C45" s="12" t="s">
        <v>58</v>
      </c>
      <c r="D45" s="12" t="s">
        <v>62</v>
      </c>
      <c r="E45" s="73" t="s">
        <v>63</v>
      </c>
      <c r="F45" s="12" t="s">
        <v>64</v>
      </c>
      <c r="G45" s="52">
        <v>2021680010094</v>
      </c>
      <c r="H45" s="93" t="s">
        <v>145</v>
      </c>
      <c r="I45" s="96" t="s">
        <v>146</v>
      </c>
      <c r="J45" s="81"/>
      <c r="K45" s="14"/>
      <c r="L45" s="115"/>
      <c r="M45" s="140"/>
      <c r="N45" s="135"/>
      <c r="O45" s="54" t="s">
        <v>144</v>
      </c>
      <c r="P45" s="97">
        <v>617022563</v>
      </c>
      <c r="Q45" s="97"/>
      <c r="R45" s="97"/>
      <c r="S45" s="97"/>
      <c r="T45" s="91"/>
      <c r="U45" s="123"/>
      <c r="V45" s="97">
        <v>617022562</v>
      </c>
      <c r="W45" s="97"/>
      <c r="X45" s="97"/>
      <c r="Y45" s="97"/>
      <c r="Z45" s="91"/>
      <c r="AA45" s="123"/>
      <c r="AB45" s="138"/>
      <c r="AC45" s="174"/>
      <c r="AD45" s="129"/>
      <c r="AE45" s="129"/>
    </row>
    <row r="46" spans="1:31" s="84" customFormat="1" ht="51.75" customHeight="1" x14ac:dyDescent="0.2">
      <c r="A46" s="4">
        <v>215</v>
      </c>
      <c r="B46" s="12" t="s">
        <v>57</v>
      </c>
      <c r="C46" s="12" t="s">
        <v>58</v>
      </c>
      <c r="D46" s="12" t="s">
        <v>62</v>
      </c>
      <c r="E46" s="73" t="s">
        <v>63</v>
      </c>
      <c r="F46" s="12" t="s">
        <v>64</v>
      </c>
      <c r="G46" s="52">
        <v>2021680010182</v>
      </c>
      <c r="H46" s="93" t="s">
        <v>148</v>
      </c>
      <c r="I46" s="96" t="s">
        <v>140</v>
      </c>
      <c r="J46" s="81"/>
      <c r="K46" s="14"/>
      <c r="L46" s="115"/>
      <c r="M46" s="140"/>
      <c r="N46" s="135"/>
      <c r="O46" s="54" t="s">
        <v>149</v>
      </c>
      <c r="P46" s="97">
        <v>66140838</v>
      </c>
      <c r="Q46" s="97"/>
      <c r="R46" s="97"/>
      <c r="S46" s="97"/>
      <c r="T46" s="91"/>
      <c r="U46" s="123"/>
      <c r="V46" s="97">
        <v>66140838</v>
      </c>
      <c r="W46" s="97"/>
      <c r="X46" s="97"/>
      <c r="Y46" s="97"/>
      <c r="Z46" s="91"/>
      <c r="AA46" s="123"/>
      <c r="AB46" s="138"/>
      <c r="AC46" s="174"/>
      <c r="AD46" s="129"/>
      <c r="AE46" s="129"/>
    </row>
    <row r="47" spans="1:31" s="84" customFormat="1" ht="37.5" customHeight="1" x14ac:dyDescent="0.2">
      <c r="A47" s="4">
        <v>215</v>
      </c>
      <c r="B47" s="12" t="s">
        <v>57</v>
      </c>
      <c r="C47" s="12" t="s">
        <v>58</v>
      </c>
      <c r="D47" s="12" t="s">
        <v>62</v>
      </c>
      <c r="E47" s="73" t="s">
        <v>63</v>
      </c>
      <c r="F47" s="12" t="s">
        <v>64</v>
      </c>
      <c r="G47" s="52"/>
      <c r="H47" s="57" t="s">
        <v>288</v>
      </c>
      <c r="I47" s="96"/>
      <c r="J47" s="81"/>
      <c r="K47" s="14"/>
      <c r="L47" s="115"/>
      <c r="M47" s="140"/>
      <c r="N47" s="135"/>
      <c r="O47" s="54" t="s">
        <v>192</v>
      </c>
      <c r="P47" s="97">
        <v>3368183568</v>
      </c>
      <c r="Q47" s="97"/>
      <c r="R47" s="97"/>
      <c r="S47" s="97"/>
      <c r="T47" s="91"/>
      <c r="U47" s="123"/>
      <c r="V47" s="97"/>
      <c r="W47" s="97"/>
      <c r="X47" s="97"/>
      <c r="Y47" s="97"/>
      <c r="Z47" s="91"/>
      <c r="AA47" s="123"/>
      <c r="AB47" s="138"/>
      <c r="AC47" s="174"/>
      <c r="AD47" s="129"/>
      <c r="AE47" s="129"/>
    </row>
    <row r="48" spans="1:31" s="84" customFormat="1" ht="57" x14ac:dyDescent="0.2">
      <c r="A48" s="4">
        <v>215</v>
      </c>
      <c r="B48" s="12" t="s">
        <v>57</v>
      </c>
      <c r="C48" s="12" t="s">
        <v>58</v>
      </c>
      <c r="D48" s="12" t="s">
        <v>62</v>
      </c>
      <c r="E48" s="73" t="s">
        <v>63</v>
      </c>
      <c r="F48" s="12" t="s">
        <v>64</v>
      </c>
      <c r="G48" s="52">
        <v>2021680010011</v>
      </c>
      <c r="H48" s="93" t="s">
        <v>153</v>
      </c>
      <c r="I48" s="96" t="s">
        <v>140</v>
      </c>
      <c r="J48" s="81"/>
      <c r="K48" s="14"/>
      <c r="L48" s="115"/>
      <c r="M48" s="140"/>
      <c r="N48" s="135"/>
      <c r="O48" s="54" t="s">
        <v>154</v>
      </c>
      <c r="P48" s="97">
        <v>236770830.5</v>
      </c>
      <c r="Q48" s="97"/>
      <c r="R48" s="97"/>
      <c r="S48" s="97"/>
      <c r="T48" s="91"/>
      <c r="U48" s="123"/>
      <c r="V48" s="97">
        <v>236770830</v>
      </c>
      <c r="W48" s="97"/>
      <c r="X48" s="97"/>
      <c r="Y48" s="97"/>
      <c r="Z48" s="91"/>
      <c r="AA48" s="123"/>
      <c r="AB48" s="138"/>
      <c r="AC48" s="174"/>
      <c r="AD48" s="129"/>
      <c r="AE48" s="129"/>
    </row>
    <row r="49" spans="1:31" s="84" customFormat="1" ht="57" x14ac:dyDescent="0.2">
      <c r="A49" s="4">
        <v>215</v>
      </c>
      <c r="B49" s="12" t="s">
        <v>57</v>
      </c>
      <c r="C49" s="12" t="s">
        <v>58</v>
      </c>
      <c r="D49" s="12" t="s">
        <v>62</v>
      </c>
      <c r="E49" s="73" t="s">
        <v>63</v>
      </c>
      <c r="F49" s="12" t="s">
        <v>64</v>
      </c>
      <c r="G49" s="52">
        <v>2021680010011</v>
      </c>
      <c r="H49" s="93" t="s">
        <v>153</v>
      </c>
      <c r="I49" s="96" t="s">
        <v>169</v>
      </c>
      <c r="J49" s="81"/>
      <c r="K49" s="14"/>
      <c r="L49" s="115"/>
      <c r="M49" s="140"/>
      <c r="N49" s="135"/>
      <c r="O49" s="54" t="s">
        <v>171</v>
      </c>
      <c r="P49" s="97">
        <v>127071038.5</v>
      </c>
      <c r="Q49" s="97"/>
      <c r="R49" s="97"/>
      <c r="S49" s="97"/>
      <c r="T49" s="91"/>
      <c r="U49" s="123"/>
      <c r="V49" s="97">
        <f>111638048+15432990</f>
        <v>127071038</v>
      </c>
      <c r="W49" s="97"/>
      <c r="X49" s="97"/>
      <c r="Y49" s="97"/>
      <c r="Z49" s="91"/>
      <c r="AA49" s="123"/>
      <c r="AB49" s="138"/>
      <c r="AC49" s="174"/>
      <c r="AD49" s="129"/>
      <c r="AE49" s="129"/>
    </row>
    <row r="50" spans="1:31" s="84" customFormat="1" ht="42.75" x14ac:dyDescent="0.2">
      <c r="A50" s="4">
        <v>215</v>
      </c>
      <c r="B50" s="12" t="s">
        <v>57</v>
      </c>
      <c r="C50" s="12" t="s">
        <v>58</v>
      </c>
      <c r="D50" s="12" t="s">
        <v>62</v>
      </c>
      <c r="E50" s="73" t="s">
        <v>63</v>
      </c>
      <c r="F50" s="12" t="s">
        <v>64</v>
      </c>
      <c r="G50" s="52">
        <v>2021680010024</v>
      </c>
      <c r="H50" s="93" t="s">
        <v>156</v>
      </c>
      <c r="I50" s="96" t="s">
        <v>140</v>
      </c>
      <c r="J50" s="81"/>
      <c r="K50" s="14"/>
      <c r="L50" s="115"/>
      <c r="M50" s="140"/>
      <c r="N50" s="135"/>
      <c r="O50" s="54" t="s">
        <v>243</v>
      </c>
      <c r="P50" s="97">
        <f>859522131.15+168687673+400000000</f>
        <v>1428209804.1500001</v>
      </c>
      <c r="Q50" s="97"/>
      <c r="R50" s="97"/>
      <c r="S50" s="97"/>
      <c r="T50" s="91"/>
      <c r="U50" s="123"/>
      <c r="V50" s="97">
        <f>859498974.15+168687673+400000000</f>
        <v>1428186647.1500001</v>
      </c>
      <c r="W50" s="97"/>
      <c r="X50" s="97"/>
      <c r="Y50" s="97"/>
      <c r="Z50" s="91"/>
      <c r="AA50" s="123"/>
      <c r="AB50" s="138"/>
      <c r="AC50" s="174"/>
      <c r="AD50" s="129"/>
      <c r="AE50" s="129"/>
    </row>
    <row r="51" spans="1:31" s="84" customFormat="1" ht="51.75" customHeight="1" x14ac:dyDescent="0.2">
      <c r="A51" s="4">
        <v>215</v>
      </c>
      <c r="B51" s="12" t="s">
        <v>57</v>
      </c>
      <c r="C51" s="12" t="s">
        <v>58</v>
      </c>
      <c r="D51" s="12" t="s">
        <v>62</v>
      </c>
      <c r="E51" s="73" t="s">
        <v>63</v>
      </c>
      <c r="F51" s="12" t="s">
        <v>64</v>
      </c>
      <c r="G51" s="52">
        <v>2021680010195</v>
      </c>
      <c r="H51" s="93" t="s">
        <v>259</v>
      </c>
      <c r="I51" s="96"/>
      <c r="J51" s="81"/>
      <c r="K51" s="14"/>
      <c r="L51" s="115"/>
      <c r="M51" s="140"/>
      <c r="N51" s="135"/>
      <c r="O51" s="54" t="s">
        <v>196</v>
      </c>
      <c r="P51" s="97">
        <v>1300000000</v>
      </c>
      <c r="Q51" s="97"/>
      <c r="R51" s="97"/>
      <c r="S51" s="97"/>
      <c r="T51" s="91"/>
      <c r="U51" s="123"/>
      <c r="V51" s="97">
        <v>1300000000</v>
      </c>
      <c r="W51" s="97"/>
      <c r="X51" s="97"/>
      <c r="Y51" s="97"/>
      <c r="Z51" s="91"/>
      <c r="AA51" s="123"/>
      <c r="AB51" s="138"/>
      <c r="AC51" s="174"/>
      <c r="AD51" s="129"/>
      <c r="AE51" s="129"/>
    </row>
    <row r="52" spans="1:31" s="84" customFormat="1" ht="57" x14ac:dyDescent="0.2">
      <c r="A52" s="4">
        <v>215</v>
      </c>
      <c r="B52" s="12" t="s">
        <v>57</v>
      </c>
      <c r="C52" s="12" t="s">
        <v>58</v>
      </c>
      <c r="D52" s="12" t="s">
        <v>62</v>
      </c>
      <c r="E52" s="73" t="s">
        <v>63</v>
      </c>
      <c r="F52" s="12" t="s">
        <v>64</v>
      </c>
      <c r="G52" s="52">
        <v>2022680010115</v>
      </c>
      <c r="H52" s="93" t="s">
        <v>262</v>
      </c>
      <c r="I52" s="96"/>
      <c r="J52" s="81"/>
      <c r="K52" s="14"/>
      <c r="L52" s="115"/>
      <c r="M52" s="140"/>
      <c r="N52" s="135"/>
      <c r="O52" s="54" t="s">
        <v>261</v>
      </c>
      <c r="P52" s="97">
        <f>65000000+149965235</f>
        <v>214965235</v>
      </c>
      <c r="Q52" s="97"/>
      <c r="R52" s="97"/>
      <c r="S52" s="97"/>
      <c r="T52" s="91"/>
      <c r="U52" s="123"/>
      <c r="V52" s="97"/>
      <c r="W52" s="97"/>
      <c r="X52" s="97"/>
      <c r="Y52" s="97"/>
      <c r="Z52" s="91"/>
      <c r="AA52" s="123"/>
      <c r="AB52" s="138"/>
      <c r="AC52" s="174"/>
      <c r="AD52" s="129"/>
      <c r="AE52" s="129"/>
    </row>
    <row r="53" spans="1:31" s="84" customFormat="1" ht="57" x14ac:dyDescent="0.2">
      <c r="A53" s="4">
        <v>215</v>
      </c>
      <c r="B53" s="12" t="s">
        <v>57</v>
      </c>
      <c r="C53" s="12" t="s">
        <v>58</v>
      </c>
      <c r="D53" s="12" t="s">
        <v>62</v>
      </c>
      <c r="E53" s="73" t="s">
        <v>63</v>
      </c>
      <c r="F53" s="12" t="s">
        <v>64</v>
      </c>
      <c r="G53" s="52">
        <v>2022680010054</v>
      </c>
      <c r="H53" s="93" t="s">
        <v>237</v>
      </c>
      <c r="I53" s="96" t="s">
        <v>236</v>
      </c>
      <c r="J53" s="81"/>
      <c r="K53" s="14"/>
      <c r="L53" s="115"/>
      <c r="M53" s="140"/>
      <c r="N53" s="135"/>
      <c r="O53" s="54" t="s">
        <v>233</v>
      </c>
      <c r="P53" s="97">
        <f>2848512647</f>
        <v>2848512647</v>
      </c>
      <c r="Q53" s="97"/>
      <c r="R53" s="97"/>
      <c r="S53" s="97"/>
      <c r="T53" s="91"/>
      <c r="U53" s="123"/>
      <c r="V53" s="97"/>
      <c r="W53" s="97"/>
      <c r="X53" s="97"/>
      <c r="Y53" s="97"/>
      <c r="Z53" s="91"/>
      <c r="AA53" s="123"/>
      <c r="AB53" s="138"/>
      <c r="AC53" s="174"/>
      <c r="AD53" s="129"/>
      <c r="AE53" s="129"/>
    </row>
    <row r="54" spans="1:31" s="84" customFormat="1" ht="42.75" x14ac:dyDescent="0.2">
      <c r="A54" s="4">
        <v>215</v>
      </c>
      <c r="B54" s="12" t="s">
        <v>57</v>
      </c>
      <c r="C54" s="12" t="s">
        <v>58</v>
      </c>
      <c r="D54" s="12" t="s">
        <v>62</v>
      </c>
      <c r="E54" s="73" t="s">
        <v>63</v>
      </c>
      <c r="F54" s="12" t="s">
        <v>64</v>
      </c>
      <c r="G54" s="52">
        <v>2022680010046</v>
      </c>
      <c r="H54" s="93" t="s">
        <v>235</v>
      </c>
      <c r="I54" s="96" t="s">
        <v>236</v>
      </c>
      <c r="J54" s="81"/>
      <c r="K54" s="14"/>
      <c r="L54" s="115"/>
      <c r="M54" s="140"/>
      <c r="N54" s="135"/>
      <c r="O54" s="54" t="s">
        <v>234</v>
      </c>
      <c r="P54" s="97">
        <v>3001784566.75</v>
      </c>
      <c r="Q54" s="97"/>
      <c r="R54" s="97"/>
      <c r="S54" s="97"/>
      <c r="T54" s="91"/>
      <c r="U54" s="123"/>
      <c r="V54" s="97"/>
      <c r="W54" s="97"/>
      <c r="X54" s="97"/>
      <c r="Y54" s="97"/>
      <c r="Z54" s="91"/>
      <c r="AA54" s="123"/>
      <c r="AB54" s="138"/>
      <c r="AC54" s="174"/>
      <c r="AD54" s="129"/>
      <c r="AE54" s="129"/>
    </row>
    <row r="55" spans="1:31" s="84" customFormat="1" ht="48.75" customHeight="1" x14ac:dyDescent="0.2">
      <c r="A55" s="4">
        <v>215</v>
      </c>
      <c r="B55" s="12" t="s">
        <v>57</v>
      </c>
      <c r="C55" s="12" t="s">
        <v>58</v>
      </c>
      <c r="D55" s="12" t="s">
        <v>62</v>
      </c>
      <c r="E55" s="73" t="s">
        <v>63</v>
      </c>
      <c r="F55" s="12" t="s">
        <v>64</v>
      </c>
      <c r="G55" s="52">
        <v>2022680010045</v>
      </c>
      <c r="H55" s="93" t="s">
        <v>239</v>
      </c>
      <c r="I55" s="96" t="s">
        <v>236</v>
      </c>
      <c r="J55" s="81"/>
      <c r="K55" s="14"/>
      <c r="L55" s="115"/>
      <c r="M55" s="140"/>
      <c r="N55" s="135"/>
      <c r="O55" s="54" t="s">
        <v>197</v>
      </c>
      <c r="P55" s="97">
        <f>9265879548-141317564.18-98049965+299.99</f>
        <v>9026512318.8099995</v>
      </c>
      <c r="Q55" s="97"/>
      <c r="R55" s="97"/>
      <c r="S55" s="97"/>
      <c r="T55" s="91"/>
      <c r="U55" s="123"/>
      <c r="V55" s="97"/>
      <c r="W55" s="97"/>
      <c r="X55" s="97"/>
      <c r="Y55" s="97"/>
      <c r="Z55" s="91"/>
      <c r="AA55" s="123"/>
      <c r="AB55" s="138"/>
      <c r="AC55" s="174"/>
      <c r="AD55" s="129"/>
      <c r="AE55" s="129"/>
    </row>
    <row r="56" spans="1:31" s="84" customFormat="1" ht="71.25" x14ac:dyDescent="0.2">
      <c r="A56" s="4">
        <v>215</v>
      </c>
      <c r="B56" s="12" t="s">
        <v>57</v>
      </c>
      <c r="C56" s="12" t="s">
        <v>58</v>
      </c>
      <c r="D56" s="12" t="s">
        <v>62</v>
      </c>
      <c r="E56" s="73" t="s">
        <v>63</v>
      </c>
      <c r="F56" s="12" t="s">
        <v>64</v>
      </c>
      <c r="G56" s="52">
        <v>2022680010049</v>
      </c>
      <c r="H56" s="93" t="s">
        <v>238</v>
      </c>
      <c r="I56" s="96" t="s">
        <v>236</v>
      </c>
      <c r="J56" s="81"/>
      <c r="K56" s="14"/>
      <c r="L56" s="115"/>
      <c r="M56" s="140"/>
      <c r="N56" s="135"/>
      <c r="O56" s="54" t="s">
        <v>197</v>
      </c>
      <c r="P56" s="49">
        <f>306547623+2663524914.46+1005669631.84</f>
        <v>3975742169.3000002</v>
      </c>
      <c r="Q56" s="97"/>
      <c r="R56" s="97"/>
      <c r="S56" s="97"/>
      <c r="T56" s="91"/>
      <c r="U56" s="123"/>
      <c r="V56" s="97"/>
      <c r="W56" s="97"/>
      <c r="X56" s="97"/>
      <c r="Y56" s="97"/>
      <c r="Z56" s="91"/>
      <c r="AA56" s="123"/>
      <c r="AB56" s="138"/>
      <c r="AC56" s="174"/>
      <c r="AD56" s="129"/>
      <c r="AE56" s="129"/>
    </row>
    <row r="57" spans="1:31" s="84" customFormat="1" ht="59.25" customHeight="1" x14ac:dyDescent="0.2">
      <c r="A57" s="4">
        <v>215</v>
      </c>
      <c r="B57" s="12" t="s">
        <v>57</v>
      </c>
      <c r="C57" s="12" t="s">
        <v>58</v>
      </c>
      <c r="D57" s="12" t="s">
        <v>62</v>
      </c>
      <c r="E57" s="73" t="s">
        <v>63</v>
      </c>
      <c r="F57" s="12" t="s">
        <v>64</v>
      </c>
      <c r="G57" s="52">
        <v>2022680010047</v>
      </c>
      <c r="H57" s="93" t="s">
        <v>240</v>
      </c>
      <c r="I57" s="96" t="s">
        <v>236</v>
      </c>
      <c r="J57" s="81"/>
      <c r="K57" s="14"/>
      <c r="L57" s="115"/>
      <c r="M57" s="140"/>
      <c r="N57" s="135"/>
      <c r="O57" s="54" t="s">
        <v>202</v>
      </c>
      <c r="P57" s="97">
        <v>2989447501</v>
      </c>
      <c r="Q57" s="97"/>
      <c r="R57" s="97"/>
      <c r="S57" s="97"/>
      <c r="T57" s="91"/>
      <c r="U57" s="123"/>
      <c r="V57" s="97"/>
      <c r="W57" s="97"/>
      <c r="X57" s="97"/>
      <c r="Y57" s="97"/>
      <c r="Z57" s="91"/>
      <c r="AA57" s="123"/>
      <c r="AB57" s="138"/>
      <c r="AC57" s="174"/>
      <c r="AD57" s="129"/>
      <c r="AE57" s="129"/>
    </row>
    <row r="58" spans="1:31" s="84" customFormat="1" ht="30" x14ac:dyDescent="0.2">
      <c r="A58" s="4">
        <v>215</v>
      </c>
      <c r="B58" s="12" t="s">
        <v>57</v>
      </c>
      <c r="C58" s="12" t="s">
        <v>58</v>
      </c>
      <c r="D58" s="12" t="s">
        <v>62</v>
      </c>
      <c r="E58" s="73" t="s">
        <v>63</v>
      </c>
      <c r="F58" s="12" t="s">
        <v>64</v>
      </c>
      <c r="G58" s="52"/>
      <c r="H58" s="93" t="s">
        <v>198</v>
      </c>
      <c r="I58" s="96"/>
      <c r="J58" s="81"/>
      <c r="K58" s="14"/>
      <c r="L58" s="115"/>
      <c r="M58" s="140"/>
      <c r="N58" s="135"/>
      <c r="O58" s="54" t="s">
        <v>199</v>
      </c>
      <c r="P58" s="97">
        <v>850126554.48000002</v>
      </c>
      <c r="Q58" s="97"/>
      <c r="R58" s="97"/>
      <c r="S58" s="97"/>
      <c r="T58" s="91"/>
      <c r="U58" s="123"/>
      <c r="V58" s="97"/>
      <c r="W58" s="97"/>
      <c r="X58" s="97"/>
      <c r="Y58" s="97"/>
      <c r="Z58" s="91"/>
      <c r="AA58" s="123"/>
      <c r="AB58" s="138"/>
      <c r="AC58" s="174"/>
      <c r="AD58" s="129"/>
      <c r="AE58" s="129"/>
    </row>
    <row r="59" spans="1:31" s="84" customFormat="1" ht="57" x14ac:dyDescent="0.2">
      <c r="A59" s="4">
        <v>215</v>
      </c>
      <c r="B59" s="12" t="s">
        <v>57</v>
      </c>
      <c r="C59" s="12" t="s">
        <v>58</v>
      </c>
      <c r="D59" s="12" t="s">
        <v>62</v>
      </c>
      <c r="E59" s="73" t="s">
        <v>63</v>
      </c>
      <c r="F59" s="12" t="s">
        <v>64</v>
      </c>
      <c r="G59" s="52">
        <v>2021680010168</v>
      </c>
      <c r="H59" s="93" t="s">
        <v>285</v>
      </c>
      <c r="I59" s="96"/>
      <c r="J59" s="81"/>
      <c r="K59" s="14"/>
      <c r="L59" s="115"/>
      <c r="M59" s="140"/>
      <c r="N59" s="135"/>
      <c r="O59" s="54" t="s">
        <v>199</v>
      </c>
      <c r="P59" s="97">
        <v>239000000</v>
      </c>
      <c r="Q59" s="97"/>
      <c r="R59" s="97"/>
      <c r="S59" s="97"/>
      <c r="T59" s="91"/>
      <c r="U59" s="123"/>
      <c r="V59" s="97"/>
      <c r="W59" s="97"/>
      <c r="X59" s="97"/>
      <c r="Y59" s="97"/>
      <c r="Z59" s="91"/>
      <c r="AA59" s="123"/>
      <c r="AB59" s="138"/>
      <c r="AC59" s="174"/>
      <c r="AD59" s="129"/>
      <c r="AE59" s="129"/>
    </row>
    <row r="60" spans="1:31" s="84" customFormat="1" ht="66" customHeight="1" x14ac:dyDescent="0.2">
      <c r="A60" s="4">
        <v>215</v>
      </c>
      <c r="B60" s="12" t="s">
        <v>57</v>
      </c>
      <c r="C60" s="12" t="s">
        <v>58</v>
      </c>
      <c r="D60" s="12" t="s">
        <v>62</v>
      </c>
      <c r="E60" s="73" t="s">
        <v>63</v>
      </c>
      <c r="F60" s="12" t="s">
        <v>64</v>
      </c>
      <c r="G60" s="52"/>
      <c r="H60" s="93" t="s">
        <v>217</v>
      </c>
      <c r="I60" s="96"/>
      <c r="J60" s="81"/>
      <c r="K60" s="14"/>
      <c r="L60" s="115"/>
      <c r="M60" s="140"/>
      <c r="N60" s="135"/>
      <c r="O60" s="54" t="s">
        <v>220</v>
      </c>
      <c r="P60" s="97">
        <v>5102382986.9099998</v>
      </c>
      <c r="Q60" s="97"/>
      <c r="R60" s="97"/>
      <c r="S60" s="97"/>
      <c r="T60" s="91"/>
      <c r="U60" s="123"/>
      <c r="V60" s="97"/>
      <c r="W60" s="97"/>
      <c r="X60" s="97"/>
      <c r="Y60" s="97"/>
      <c r="Z60" s="91"/>
      <c r="AA60" s="123"/>
      <c r="AB60" s="138"/>
      <c r="AC60" s="174"/>
      <c r="AD60" s="129"/>
      <c r="AE60" s="129"/>
    </row>
    <row r="61" spans="1:31" s="84" customFormat="1" ht="37.5" customHeight="1" x14ac:dyDescent="0.2">
      <c r="A61" s="4">
        <v>215</v>
      </c>
      <c r="B61" s="12" t="s">
        <v>57</v>
      </c>
      <c r="C61" s="12" t="s">
        <v>58</v>
      </c>
      <c r="D61" s="12" t="s">
        <v>62</v>
      </c>
      <c r="E61" s="73" t="s">
        <v>63</v>
      </c>
      <c r="F61" s="12" t="s">
        <v>64</v>
      </c>
      <c r="G61" s="52">
        <v>2022680010059</v>
      </c>
      <c r="H61" s="93" t="s">
        <v>245</v>
      </c>
      <c r="I61" s="96"/>
      <c r="J61" s="81"/>
      <c r="K61" s="14"/>
      <c r="L61" s="115"/>
      <c r="M61" s="140"/>
      <c r="N61" s="135"/>
      <c r="O61" s="54" t="s">
        <v>246</v>
      </c>
      <c r="P61" s="97">
        <v>3000000000</v>
      </c>
      <c r="Q61" s="97"/>
      <c r="R61" s="97"/>
      <c r="S61" s="97"/>
      <c r="T61" s="91"/>
      <c r="U61" s="123"/>
      <c r="V61" s="97">
        <f>1502141468.11+1497858531.89</f>
        <v>3000000000</v>
      </c>
      <c r="W61" s="97"/>
      <c r="X61" s="97"/>
      <c r="Y61" s="97"/>
      <c r="Z61" s="91"/>
      <c r="AA61" s="123"/>
      <c r="AB61" s="138"/>
      <c r="AC61" s="174"/>
      <c r="AD61" s="129"/>
      <c r="AE61" s="129"/>
    </row>
    <row r="62" spans="1:31" s="84" customFormat="1" ht="57" x14ac:dyDescent="0.2">
      <c r="A62" s="4">
        <v>215</v>
      </c>
      <c r="B62" s="12" t="s">
        <v>57</v>
      </c>
      <c r="C62" s="12" t="s">
        <v>58</v>
      </c>
      <c r="D62" s="12" t="s">
        <v>62</v>
      </c>
      <c r="E62" s="73" t="s">
        <v>63</v>
      </c>
      <c r="F62" s="12" t="s">
        <v>64</v>
      </c>
      <c r="G62" s="52">
        <v>2022680010067</v>
      </c>
      <c r="H62" s="93" t="s">
        <v>257</v>
      </c>
      <c r="I62" s="96" t="s">
        <v>188</v>
      </c>
      <c r="J62" s="81"/>
      <c r="K62" s="14"/>
      <c r="L62" s="115"/>
      <c r="M62" s="140"/>
      <c r="N62" s="135"/>
      <c r="O62" s="54" t="s">
        <v>258</v>
      </c>
      <c r="P62" s="97">
        <v>588696765.59000003</v>
      </c>
      <c r="Q62" s="97"/>
      <c r="R62" s="97"/>
      <c r="S62" s="97"/>
      <c r="T62" s="91"/>
      <c r="U62" s="123"/>
      <c r="V62" s="97">
        <v>586471380.88</v>
      </c>
      <c r="W62" s="97"/>
      <c r="X62" s="97"/>
      <c r="Y62" s="97"/>
      <c r="Z62" s="91"/>
      <c r="AA62" s="123"/>
      <c r="AB62" s="138"/>
      <c r="AC62" s="174"/>
      <c r="AD62" s="129"/>
      <c r="AE62" s="129"/>
    </row>
    <row r="63" spans="1:31" s="84" customFormat="1" ht="48.75" customHeight="1" x14ac:dyDescent="0.2">
      <c r="A63" s="4">
        <v>215</v>
      </c>
      <c r="B63" s="12" t="s">
        <v>57</v>
      </c>
      <c r="C63" s="12" t="s">
        <v>58</v>
      </c>
      <c r="D63" s="12" t="s">
        <v>62</v>
      </c>
      <c r="E63" s="73" t="s">
        <v>63</v>
      </c>
      <c r="F63" s="12" t="s">
        <v>64</v>
      </c>
      <c r="G63" s="52">
        <v>2021680010028</v>
      </c>
      <c r="H63" s="93" t="s">
        <v>168</v>
      </c>
      <c r="I63" s="96" t="s">
        <v>169</v>
      </c>
      <c r="J63" s="81"/>
      <c r="K63" s="14"/>
      <c r="L63" s="115"/>
      <c r="M63" s="140"/>
      <c r="N63" s="135"/>
      <c r="O63" s="54" t="s">
        <v>182</v>
      </c>
      <c r="P63" s="97">
        <f>283866197+48244044</f>
        <v>332110241</v>
      </c>
      <c r="Q63" s="97"/>
      <c r="R63" s="97"/>
      <c r="S63" s="97"/>
      <c r="T63" s="91"/>
      <c r="U63" s="124"/>
      <c r="V63" s="97">
        <f>142000000+158262852+31847389</f>
        <v>332110241</v>
      </c>
      <c r="W63" s="97"/>
      <c r="X63" s="97"/>
      <c r="Y63" s="97"/>
      <c r="Z63" s="91"/>
      <c r="AA63" s="124"/>
      <c r="AB63" s="139"/>
      <c r="AC63" s="172"/>
      <c r="AD63" s="130"/>
      <c r="AE63" s="130"/>
    </row>
    <row r="64" spans="1:31" s="84" customFormat="1" ht="45" x14ac:dyDescent="0.2">
      <c r="A64" s="69">
        <v>216</v>
      </c>
      <c r="B64" s="6" t="s">
        <v>57</v>
      </c>
      <c r="C64" s="6" t="s">
        <v>58</v>
      </c>
      <c r="D64" s="6" t="s">
        <v>62</v>
      </c>
      <c r="E64" s="7" t="s">
        <v>65</v>
      </c>
      <c r="F64" s="8" t="s">
        <v>66</v>
      </c>
      <c r="G64" s="52">
        <v>2022680010044</v>
      </c>
      <c r="H64" s="93" t="s">
        <v>228</v>
      </c>
      <c r="I64" s="96" t="s">
        <v>184</v>
      </c>
      <c r="J64" s="81"/>
      <c r="K64" s="14"/>
      <c r="L64" s="165">
        <v>0</v>
      </c>
      <c r="M64" s="166"/>
      <c r="N64" s="167" t="str">
        <f>IFERROR(IF(M65/L64&gt;100%,100%,M65/L64),"-")</f>
        <v>-</v>
      </c>
      <c r="O64" s="54" t="s">
        <v>185</v>
      </c>
      <c r="P64" s="97">
        <v>11559999899.67</v>
      </c>
      <c r="Q64" s="97"/>
      <c r="R64" s="97"/>
      <c r="S64" s="97"/>
      <c r="T64" s="91"/>
      <c r="U64" s="173">
        <f>SUM(P64:T65)</f>
        <v>11601799899.67</v>
      </c>
      <c r="V64" s="97"/>
      <c r="W64" s="97"/>
      <c r="X64" s="97"/>
      <c r="Y64" s="97"/>
      <c r="Z64" s="91"/>
      <c r="AA64" s="173">
        <f>SUM(V64:Z65)</f>
        <v>41800000</v>
      </c>
      <c r="AB64" s="137">
        <f>IFERROR(AA64/U64,"-")</f>
        <v>3.6028892380042645E-3</v>
      </c>
      <c r="AC64" s="171"/>
      <c r="AD64" s="128" t="s">
        <v>40</v>
      </c>
      <c r="AE64" s="128" t="s">
        <v>41</v>
      </c>
    </row>
    <row r="65" spans="1:31" s="84" customFormat="1" ht="45" x14ac:dyDescent="0.2">
      <c r="A65" s="69">
        <v>216</v>
      </c>
      <c r="B65" s="6" t="s">
        <v>57</v>
      </c>
      <c r="C65" s="6" t="s">
        <v>58</v>
      </c>
      <c r="D65" s="6" t="s">
        <v>62</v>
      </c>
      <c r="E65" s="7" t="s">
        <v>65</v>
      </c>
      <c r="F65" s="8" t="s">
        <v>66</v>
      </c>
      <c r="G65" s="52">
        <v>2021680010091</v>
      </c>
      <c r="H65" s="88" t="s">
        <v>177</v>
      </c>
      <c r="I65" s="89" t="s">
        <v>176</v>
      </c>
      <c r="J65" s="81"/>
      <c r="K65" s="81"/>
      <c r="L65" s="165"/>
      <c r="M65" s="166"/>
      <c r="N65" s="167"/>
      <c r="O65" s="43" t="s">
        <v>167</v>
      </c>
      <c r="P65" s="37">
        <v>41800000</v>
      </c>
      <c r="Q65" s="38"/>
      <c r="R65" s="38"/>
      <c r="S65" s="91"/>
      <c r="T65" s="97"/>
      <c r="U65" s="124"/>
      <c r="V65" s="37">
        <v>41800000</v>
      </c>
      <c r="W65" s="38"/>
      <c r="X65" s="38"/>
      <c r="Y65" s="38"/>
      <c r="Z65" s="91"/>
      <c r="AA65" s="124"/>
      <c r="AB65" s="139"/>
      <c r="AC65" s="172"/>
      <c r="AD65" s="130"/>
      <c r="AE65" s="130"/>
    </row>
    <row r="66" spans="1:31" s="84" customFormat="1" ht="45" x14ac:dyDescent="0.2">
      <c r="A66" s="69">
        <v>219</v>
      </c>
      <c r="B66" s="6" t="s">
        <v>57</v>
      </c>
      <c r="C66" s="6" t="s">
        <v>58</v>
      </c>
      <c r="D66" s="6" t="s">
        <v>67</v>
      </c>
      <c r="E66" s="7" t="s">
        <v>68</v>
      </c>
      <c r="F66" s="8" t="s">
        <v>69</v>
      </c>
      <c r="G66" s="53"/>
      <c r="H66" s="88" t="s">
        <v>113</v>
      </c>
      <c r="I66" s="89"/>
      <c r="J66" s="81"/>
      <c r="K66" s="81"/>
      <c r="L66" s="15">
        <v>0</v>
      </c>
      <c r="M66" s="48"/>
      <c r="N66" s="83" t="str">
        <f t="shared" ref="N66:N81" si="0">IFERROR(IF(M66/L66&gt;100%,100%,M66/L66),"-")</f>
        <v>-</v>
      </c>
      <c r="O66" s="43"/>
      <c r="P66" s="37"/>
      <c r="Q66" s="38"/>
      <c r="R66" s="38"/>
      <c r="S66" s="91"/>
      <c r="T66" s="38"/>
      <c r="U66" s="65">
        <f>SUM(P66:T66)</f>
        <v>0</v>
      </c>
      <c r="V66" s="37"/>
      <c r="W66" s="38"/>
      <c r="X66" s="38"/>
      <c r="Y66" s="38"/>
      <c r="Z66" s="91"/>
      <c r="AA66" s="65">
        <f>SUM(V66:Z66)</f>
        <v>0</v>
      </c>
      <c r="AB66" s="62" t="str">
        <f>IFERROR(AA66/U66,"-")</f>
        <v>-</v>
      </c>
      <c r="AC66" s="63"/>
      <c r="AD66" s="86" t="s">
        <v>40</v>
      </c>
      <c r="AE66" s="86" t="s">
        <v>41</v>
      </c>
    </row>
    <row r="67" spans="1:31" s="84" customFormat="1" ht="42.75" x14ac:dyDescent="0.2">
      <c r="A67" s="69">
        <v>220</v>
      </c>
      <c r="B67" s="6" t="s">
        <v>57</v>
      </c>
      <c r="C67" s="6" t="s">
        <v>58</v>
      </c>
      <c r="D67" s="6" t="s">
        <v>67</v>
      </c>
      <c r="E67" s="7" t="s">
        <v>70</v>
      </c>
      <c r="F67" s="6" t="s">
        <v>71</v>
      </c>
      <c r="G67" s="52">
        <v>2021680010004</v>
      </c>
      <c r="H67" s="88" t="s">
        <v>143</v>
      </c>
      <c r="I67" s="89" t="s">
        <v>142</v>
      </c>
      <c r="J67" s="81"/>
      <c r="K67" s="81"/>
      <c r="L67" s="168">
        <v>5000</v>
      </c>
      <c r="M67" s="141">
        <f>3824.84+11080.91</f>
        <v>14905.75</v>
      </c>
      <c r="N67" s="134">
        <f>IFERROR(IF(M67/L67&gt;100%,100%,M67/L67),"-")</f>
        <v>1</v>
      </c>
      <c r="O67" s="43" t="s">
        <v>232</v>
      </c>
      <c r="P67" s="37">
        <v>856943752.03999996</v>
      </c>
      <c r="Q67" s="38"/>
      <c r="R67" s="38"/>
      <c r="S67" s="91"/>
      <c r="T67" s="38"/>
      <c r="U67" s="116">
        <f>SUM(P67:T74)</f>
        <v>52163919791.739998</v>
      </c>
      <c r="V67" s="37">
        <v>856943752</v>
      </c>
      <c r="W67" s="38"/>
      <c r="X67" s="38"/>
      <c r="Y67" s="38"/>
      <c r="Z67" s="91"/>
      <c r="AA67" s="116">
        <f>SUM(V67:Z74)</f>
        <v>36902339973.860001</v>
      </c>
      <c r="AB67" s="137">
        <f>IFERROR(AA67/U67,"-")</f>
        <v>0.70743034881560751</v>
      </c>
      <c r="AC67" s="125"/>
      <c r="AD67" s="128" t="s">
        <v>40</v>
      </c>
      <c r="AE67" s="128" t="s">
        <v>41</v>
      </c>
    </row>
    <row r="68" spans="1:31" s="84" customFormat="1" ht="57" x14ac:dyDescent="0.2">
      <c r="A68" s="69">
        <v>220</v>
      </c>
      <c r="B68" s="6" t="s">
        <v>57</v>
      </c>
      <c r="C68" s="6" t="s">
        <v>58</v>
      </c>
      <c r="D68" s="6" t="s">
        <v>67</v>
      </c>
      <c r="E68" s="7" t="s">
        <v>70</v>
      </c>
      <c r="F68" s="6" t="s">
        <v>71</v>
      </c>
      <c r="G68" s="52">
        <v>2022680010006</v>
      </c>
      <c r="H68" s="88" t="s">
        <v>160</v>
      </c>
      <c r="I68" s="89"/>
      <c r="J68" s="81"/>
      <c r="K68" s="81"/>
      <c r="L68" s="169"/>
      <c r="M68" s="140"/>
      <c r="N68" s="135"/>
      <c r="O68" s="43" t="s">
        <v>161</v>
      </c>
      <c r="P68" s="37">
        <v>32003358738</v>
      </c>
      <c r="Q68" s="38"/>
      <c r="R68" s="38"/>
      <c r="S68" s="91"/>
      <c r="T68" s="38"/>
      <c r="U68" s="117"/>
      <c r="V68" s="37">
        <v>32003358738</v>
      </c>
      <c r="W68" s="38"/>
      <c r="X68" s="38"/>
      <c r="Y68" s="38"/>
      <c r="Z68" s="91"/>
      <c r="AA68" s="117"/>
      <c r="AB68" s="138"/>
      <c r="AC68" s="126"/>
      <c r="AD68" s="129"/>
      <c r="AE68" s="129"/>
    </row>
    <row r="69" spans="1:31" s="84" customFormat="1" ht="42.75" x14ac:dyDescent="0.2">
      <c r="A69" s="69">
        <v>220</v>
      </c>
      <c r="B69" s="6" t="s">
        <v>57</v>
      </c>
      <c r="C69" s="6" t="s">
        <v>58</v>
      </c>
      <c r="D69" s="6" t="s">
        <v>67</v>
      </c>
      <c r="E69" s="7" t="s">
        <v>70</v>
      </c>
      <c r="F69" s="6" t="s">
        <v>71</v>
      </c>
      <c r="G69" s="52">
        <v>2022680010004</v>
      </c>
      <c r="H69" s="88" t="s">
        <v>162</v>
      </c>
      <c r="I69" s="89"/>
      <c r="J69" s="81"/>
      <c r="K69" s="81"/>
      <c r="L69" s="169"/>
      <c r="M69" s="140"/>
      <c r="N69" s="135"/>
      <c r="O69" s="43" t="s">
        <v>163</v>
      </c>
      <c r="P69" s="37">
        <v>3703824145.4000001</v>
      </c>
      <c r="Q69" s="38"/>
      <c r="R69" s="38"/>
      <c r="S69" s="91"/>
      <c r="T69" s="38"/>
      <c r="U69" s="117"/>
      <c r="V69" s="37">
        <f>2527917270+175906895.4+1000000000</f>
        <v>3703824165.4000001</v>
      </c>
      <c r="W69" s="38"/>
      <c r="X69" s="38"/>
      <c r="Y69" s="38"/>
      <c r="Z69" s="91"/>
      <c r="AA69" s="117"/>
      <c r="AB69" s="138"/>
      <c r="AC69" s="126"/>
      <c r="AD69" s="129"/>
      <c r="AE69" s="129"/>
    </row>
    <row r="70" spans="1:31" s="84" customFormat="1" ht="42.75" x14ac:dyDescent="0.2">
      <c r="A70" s="69">
        <v>220</v>
      </c>
      <c r="B70" s="6" t="s">
        <v>57</v>
      </c>
      <c r="C70" s="6" t="s">
        <v>58</v>
      </c>
      <c r="D70" s="6" t="s">
        <v>67</v>
      </c>
      <c r="E70" s="7" t="s">
        <v>70</v>
      </c>
      <c r="F70" s="6" t="s">
        <v>71</v>
      </c>
      <c r="G70" s="52">
        <v>2022680010004</v>
      </c>
      <c r="H70" s="88" t="s">
        <v>162</v>
      </c>
      <c r="I70" s="89" t="s">
        <v>193</v>
      </c>
      <c r="J70" s="81"/>
      <c r="K70" s="81"/>
      <c r="L70" s="169"/>
      <c r="M70" s="140"/>
      <c r="N70" s="135"/>
      <c r="O70" s="43" t="s">
        <v>194</v>
      </c>
      <c r="P70" s="37">
        <v>7225617.5799999237</v>
      </c>
      <c r="Q70" s="38"/>
      <c r="R70" s="38"/>
      <c r="S70" s="91"/>
      <c r="T70" s="38"/>
      <c r="U70" s="117"/>
      <c r="V70" s="37"/>
      <c r="W70" s="38"/>
      <c r="X70" s="38"/>
      <c r="Y70" s="38"/>
      <c r="Z70" s="91"/>
      <c r="AA70" s="117"/>
      <c r="AB70" s="138"/>
      <c r="AC70" s="126"/>
      <c r="AD70" s="129"/>
      <c r="AE70" s="129"/>
    </row>
    <row r="71" spans="1:31" s="84" customFormat="1" ht="85.5" x14ac:dyDescent="0.2">
      <c r="A71" s="69">
        <v>220</v>
      </c>
      <c r="B71" s="6" t="s">
        <v>57</v>
      </c>
      <c r="C71" s="6" t="s">
        <v>58</v>
      </c>
      <c r="D71" s="6" t="s">
        <v>67</v>
      </c>
      <c r="E71" s="7" t="s">
        <v>70</v>
      </c>
      <c r="F71" s="6" t="s">
        <v>71</v>
      </c>
      <c r="G71" s="52">
        <v>2022680010021</v>
      </c>
      <c r="H71" s="88" t="s">
        <v>187</v>
      </c>
      <c r="I71" s="89" t="s">
        <v>284</v>
      </c>
      <c r="J71" s="81"/>
      <c r="K71" s="81"/>
      <c r="L71" s="169"/>
      <c r="M71" s="140"/>
      <c r="N71" s="135"/>
      <c r="O71" s="43" t="s">
        <v>283</v>
      </c>
      <c r="P71" s="37">
        <f>142621239+20599615.77</f>
        <v>163220854.77000001</v>
      </c>
      <c r="Q71" s="38"/>
      <c r="R71" s="38"/>
      <c r="S71" s="91"/>
      <c r="T71" s="38"/>
      <c r="U71" s="117"/>
      <c r="V71" s="37">
        <f>142621239+20599615.77</f>
        <v>163220854.77000001</v>
      </c>
      <c r="W71" s="38"/>
      <c r="X71" s="38"/>
      <c r="Y71" s="38"/>
      <c r="Z71" s="91"/>
      <c r="AA71" s="117"/>
      <c r="AB71" s="138"/>
      <c r="AC71" s="126"/>
      <c r="AD71" s="129"/>
      <c r="AE71" s="129"/>
    </row>
    <row r="72" spans="1:31" s="84" customFormat="1" ht="48.75" customHeight="1" x14ac:dyDescent="0.2">
      <c r="A72" s="69">
        <v>220</v>
      </c>
      <c r="B72" s="6" t="s">
        <v>57</v>
      </c>
      <c r="C72" s="6" t="s">
        <v>58</v>
      </c>
      <c r="D72" s="6" t="s">
        <v>67</v>
      </c>
      <c r="E72" s="7" t="s">
        <v>70</v>
      </c>
      <c r="F72" s="6" t="s">
        <v>71</v>
      </c>
      <c r="G72" s="52">
        <v>2022680010042</v>
      </c>
      <c r="H72" s="88" t="s">
        <v>230</v>
      </c>
      <c r="I72" s="89" t="s">
        <v>186</v>
      </c>
      <c r="J72" s="81"/>
      <c r="K72" s="81"/>
      <c r="L72" s="169"/>
      <c r="M72" s="140"/>
      <c r="N72" s="135"/>
      <c r="O72" s="43" t="s">
        <v>231</v>
      </c>
      <c r="P72" s="37">
        <f>8545803608.78+248171667+1479000000</f>
        <v>10272975275.779999</v>
      </c>
      <c r="Q72" s="38"/>
      <c r="R72" s="38"/>
      <c r="S72" s="91"/>
      <c r="T72" s="38"/>
      <c r="U72" s="117"/>
      <c r="V72" s="37"/>
      <c r="W72" s="38"/>
      <c r="X72" s="38"/>
      <c r="Y72" s="38"/>
      <c r="Z72" s="91"/>
      <c r="AA72" s="117"/>
      <c r="AB72" s="138"/>
      <c r="AC72" s="126"/>
      <c r="AD72" s="129"/>
      <c r="AE72" s="129"/>
    </row>
    <row r="73" spans="1:31" s="84" customFormat="1" ht="39" customHeight="1" x14ac:dyDescent="0.2">
      <c r="A73" s="69">
        <v>220</v>
      </c>
      <c r="B73" s="6" t="s">
        <v>57</v>
      </c>
      <c r="C73" s="6" t="s">
        <v>58</v>
      </c>
      <c r="D73" s="6" t="s">
        <v>67</v>
      </c>
      <c r="E73" s="7" t="s">
        <v>70</v>
      </c>
      <c r="F73" s="6" t="s">
        <v>71</v>
      </c>
      <c r="G73" s="52"/>
      <c r="H73" s="57" t="s">
        <v>288</v>
      </c>
      <c r="I73" s="89" t="s">
        <v>189</v>
      </c>
      <c r="J73" s="81"/>
      <c r="K73" s="81"/>
      <c r="L73" s="169"/>
      <c r="M73" s="140"/>
      <c r="N73" s="135"/>
      <c r="O73" s="43" t="s">
        <v>190</v>
      </c>
      <c r="P73" s="37">
        <v>4981378944.4099998</v>
      </c>
      <c r="Q73" s="38"/>
      <c r="R73" s="38"/>
      <c r="S73" s="91"/>
      <c r="T73" s="38"/>
      <c r="U73" s="117"/>
      <c r="V73" s="37"/>
      <c r="W73" s="38"/>
      <c r="X73" s="38"/>
      <c r="Y73" s="38"/>
      <c r="Z73" s="91"/>
      <c r="AA73" s="117"/>
      <c r="AB73" s="138"/>
      <c r="AC73" s="126"/>
      <c r="AD73" s="129"/>
      <c r="AE73" s="129"/>
    </row>
    <row r="74" spans="1:31" s="84" customFormat="1" ht="77.25" customHeight="1" x14ac:dyDescent="0.2">
      <c r="A74" s="69">
        <v>220</v>
      </c>
      <c r="B74" s="6" t="s">
        <v>57</v>
      </c>
      <c r="C74" s="6" t="s">
        <v>58</v>
      </c>
      <c r="D74" s="6" t="s">
        <v>67</v>
      </c>
      <c r="E74" s="7" t="s">
        <v>70</v>
      </c>
      <c r="F74" s="6" t="s">
        <v>71</v>
      </c>
      <c r="G74" s="52">
        <v>2022680010108</v>
      </c>
      <c r="H74" s="88" t="s">
        <v>264</v>
      </c>
      <c r="I74" s="89" t="s">
        <v>188</v>
      </c>
      <c r="J74" s="81"/>
      <c r="K74" s="81"/>
      <c r="L74" s="170"/>
      <c r="M74" s="162"/>
      <c r="N74" s="136"/>
      <c r="O74" s="43" t="s">
        <v>265</v>
      </c>
      <c r="P74" s="37">
        <f>31470987+85345313+33288163.93+24887999.83</f>
        <v>174992463.75999999</v>
      </c>
      <c r="Q74" s="38"/>
      <c r="R74" s="38"/>
      <c r="S74" s="91"/>
      <c r="T74" s="38"/>
      <c r="U74" s="118"/>
      <c r="V74" s="37">
        <f>24887999.83+33288163.86+116816300</f>
        <v>174992463.69</v>
      </c>
      <c r="W74" s="38"/>
      <c r="X74" s="38"/>
      <c r="Y74" s="38"/>
      <c r="Z74" s="91"/>
      <c r="AA74" s="118"/>
      <c r="AB74" s="139"/>
      <c r="AC74" s="127"/>
      <c r="AD74" s="130"/>
      <c r="AE74" s="130"/>
    </row>
    <row r="75" spans="1:31" s="84" customFormat="1" ht="45.75" customHeight="1" x14ac:dyDescent="0.2">
      <c r="A75" s="69">
        <v>221</v>
      </c>
      <c r="B75" s="6" t="s">
        <v>57</v>
      </c>
      <c r="C75" s="6" t="s">
        <v>58</v>
      </c>
      <c r="D75" s="6" t="s">
        <v>67</v>
      </c>
      <c r="E75" s="73" t="s">
        <v>72</v>
      </c>
      <c r="F75" s="6" t="s">
        <v>73</v>
      </c>
      <c r="G75" s="52">
        <v>2021680010068</v>
      </c>
      <c r="H75" s="88" t="s">
        <v>141</v>
      </c>
      <c r="I75" s="89" t="s">
        <v>142</v>
      </c>
      <c r="J75" s="81"/>
      <c r="K75" s="81"/>
      <c r="L75" s="163">
        <v>150</v>
      </c>
      <c r="M75" s="141">
        <v>150</v>
      </c>
      <c r="N75" s="134">
        <f>IFERROR(IF(M75/L75&gt;100%,100%,M75/L75),"-")</f>
        <v>1</v>
      </c>
      <c r="O75" s="43" t="s">
        <v>135</v>
      </c>
      <c r="P75" s="37">
        <v>825420368</v>
      </c>
      <c r="Q75" s="38"/>
      <c r="R75" s="38"/>
      <c r="S75" s="91"/>
      <c r="T75" s="38"/>
      <c r="U75" s="116">
        <f>SUM(P75:T78)</f>
        <v>9955135368</v>
      </c>
      <c r="V75" s="37">
        <v>825420368</v>
      </c>
      <c r="W75" s="38"/>
      <c r="X75" s="38"/>
      <c r="Y75" s="38"/>
      <c r="Z75" s="91"/>
      <c r="AA75" s="116">
        <f>SUM(V75:Z78)</f>
        <v>3055135368</v>
      </c>
      <c r="AB75" s="137">
        <f>IFERROR(AA75/U75,"-")</f>
        <v>0.30689038923774886</v>
      </c>
      <c r="AC75" s="125"/>
      <c r="AD75" s="128" t="s">
        <v>40</v>
      </c>
      <c r="AE75" s="128" t="s">
        <v>41</v>
      </c>
    </row>
    <row r="76" spans="1:31" s="84" customFormat="1" ht="30" x14ac:dyDescent="0.2">
      <c r="A76" s="69">
        <v>221</v>
      </c>
      <c r="B76" s="6" t="s">
        <v>57</v>
      </c>
      <c r="C76" s="6" t="s">
        <v>58</v>
      </c>
      <c r="D76" s="6" t="s">
        <v>67</v>
      </c>
      <c r="E76" s="73" t="s">
        <v>72</v>
      </c>
      <c r="F76" s="6" t="s">
        <v>73</v>
      </c>
      <c r="G76" s="52"/>
      <c r="H76" s="88"/>
      <c r="I76" s="89" t="s">
        <v>198</v>
      </c>
      <c r="J76" s="81"/>
      <c r="K76" s="81"/>
      <c r="L76" s="115"/>
      <c r="M76" s="140"/>
      <c r="N76" s="135"/>
      <c r="O76" s="43" t="s">
        <v>183</v>
      </c>
      <c r="P76" s="37">
        <v>239000000</v>
      </c>
      <c r="Q76" s="38"/>
      <c r="R76" s="38"/>
      <c r="S76" s="91"/>
      <c r="T76" s="38"/>
      <c r="U76" s="117"/>
      <c r="V76" s="37"/>
      <c r="W76" s="38"/>
      <c r="X76" s="38"/>
      <c r="Y76" s="38"/>
      <c r="Z76" s="91"/>
      <c r="AA76" s="117"/>
      <c r="AB76" s="138"/>
      <c r="AC76" s="126"/>
      <c r="AD76" s="129"/>
      <c r="AE76" s="129"/>
    </row>
    <row r="77" spans="1:31" s="84" customFormat="1" ht="42.75" x14ac:dyDescent="0.2">
      <c r="A77" s="69">
        <v>221</v>
      </c>
      <c r="B77" s="6" t="s">
        <v>57</v>
      </c>
      <c r="C77" s="6" t="s">
        <v>58</v>
      </c>
      <c r="D77" s="6" t="s">
        <v>67</v>
      </c>
      <c r="E77" s="73" t="s">
        <v>72</v>
      </c>
      <c r="F77" s="6" t="s">
        <v>73</v>
      </c>
      <c r="G77" s="52">
        <v>2021680010038</v>
      </c>
      <c r="H77" s="88" t="s">
        <v>229</v>
      </c>
      <c r="I77" s="89" t="s">
        <v>186</v>
      </c>
      <c r="J77" s="81"/>
      <c r="K77" s="81"/>
      <c r="L77" s="115"/>
      <c r="M77" s="140"/>
      <c r="N77" s="135"/>
      <c r="O77" s="43" t="s">
        <v>260</v>
      </c>
      <c r="P77" s="37">
        <v>1561000000</v>
      </c>
      <c r="Q77" s="38"/>
      <c r="R77" s="38"/>
      <c r="S77" s="91"/>
      <c r="T77" s="37">
        <v>5100000000</v>
      </c>
      <c r="U77" s="117"/>
      <c r="V77" s="37"/>
      <c r="W77" s="38"/>
      <c r="X77" s="38"/>
      <c r="Y77" s="38"/>
      <c r="Z77" s="91"/>
      <c r="AA77" s="117"/>
      <c r="AB77" s="138"/>
      <c r="AC77" s="126"/>
      <c r="AD77" s="129"/>
      <c r="AE77" s="129"/>
    </row>
    <row r="78" spans="1:31" s="84" customFormat="1" ht="45.75" customHeight="1" x14ac:dyDescent="0.2">
      <c r="A78" s="69">
        <v>221</v>
      </c>
      <c r="B78" s="6" t="s">
        <v>57</v>
      </c>
      <c r="C78" s="6" t="s">
        <v>58</v>
      </c>
      <c r="D78" s="6" t="s">
        <v>67</v>
      </c>
      <c r="E78" s="73" t="s">
        <v>72</v>
      </c>
      <c r="F78" s="6" t="s">
        <v>73</v>
      </c>
      <c r="G78" s="51">
        <v>2021680010114</v>
      </c>
      <c r="H78" s="11" t="s">
        <v>122</v>
      </c>
      <c r="I78" s="88"/>
      <c r="J78" s="81"/>
      <c r="K78" s="81"/>
      <c r="L78" s="164"/>
      <c r="M78" s="162"/>
      <c r="N78" s="136"/>
      <c r="O78" s="43" t="s">
        <v>123</v>
      </c>
      <c r="P78" s="37"/>
      <c r="Q78" s="38"/>
      <c r="R78" s="38"/>
      <c r="S78" s="91"/>
      <c r="T78" s="49">
        <v>2229715000</v>
      </c>
      <c r="U78" s="118"/>
      <c r="V78" s="37"/>
      <c r="W78" s="38"/>
      <c r="X78" s="38"/>
      <c r="Y78" s="91"/>
      <c r="Z78" s="49">
        <v>2229715000</v>
      </c>
      <c r="AA78" s="118"/>
      <c r="AB78" s="139"/>
      <c r="AC78" s="127"/>
      <c r="AD78" s="130"/>
      <c r="AE78" s="130"/>
    </row>
    <row r="79" spans="1:31" s="84" customFormat="1" ht="42" customHeight="1" x14ac:dyDescent="0.2">
      <c r="A79" s="69">
        <v>222</v>
      </c>
      <c r="B79" s="6" t="s">
        <v>57</v>
      </c>
      <c r="C79" s="6" t="s">
        <v>58</v>
      </c>
      <c r="D79" s="6" t="s">
        <v>67</v>
      </c>
      <c r="E79" s="7" t="s">
        <v>74</v>
      </c>
      <c r="F79" s="8" t="s">
        <v>75</v>
      </c>
      <c r="G79" s="51">
        <v>2022680010025</v>
      </c>
      <c r="H79" s="11" t="s">
        <v>221</v>
      </c>
      <c r="I79" s="88"/>
      <c r="J79" s="81"/>
      <c r="K79" s="81"/>
      <c r="L79" s="168">
        <v>0</v>
      </c>
      <c r="M79" s="141">
        <v>6</v>
      </c>
      <c r="N79" s="134" t="str">
        <f>IFERROR(IF(M79/L79&gt;100%,100%,M79/L79),"-")</f>
        <v>-</v>
      </c>
      <c r="O79" s="43" t="s">
        <v>178</v>
      </c>
      <c r="P79" s="37">
        <f>435593566.48+365999563.52</f>
        <v>801593130</v>
      </c>
      <c r="Q79" s="38"/>
      <c r="R79" s="38"/>
      <c r="S79" s="91"/>
      <c r="T79" s="49"/>
      <c r="U79" s="173">
        <f>SUM(P79:T80)</f>
        <v>816582891.60000002</v>
      </c>
      <c r="V79" s="37">
        <f>397631623.48+365999563.52</f>
        <v>763631187</v>
      </c>
      <c r="W79" s="38"/>
      <c r="X79" s="38"/>
      <c r="Y79" s="91"/>
      <c r="Z79" s="49"/>
      <c r="AA79" s="173">
        <f>SUM(V79:Z80)</f>
        <v>778620948.60000002</v>
      </c>
      <c r="AB79" s="137">
        <f>IFERROR(AA79/U79,"-")</f>
        <v>0.95351121926444238</v>
      </c>
      <c r="AC79" s="171"/>
      <c r="AD79" s="128" t="s">
        <v>40</v>
      </c>
      <c r="AE79" s="128" t="s">
        <v>41</v>
      </c>
    </row>
    <row r="80" spans="1:31" s="84" customFormat="1" ht="85.5" x14ac:dyDescent="0.2">
      <c r="A80" s="69">
        <v>222</v>
      </c>
      <c r="B80" s="6" t="s">
        <v>57</v>
      </c>
      <c r="C80" s="6" t="s">
        <v>58</v>
      </c>
      <c r="D80" s="6" t="s">
        <v>67</v>
      </c>
      <c r="E80" s="7" t="s">
        <v>74</v>
      </c>
      <c r="F80" s="8" t="s">
        <v>75</v>
      </c>
      <c r="G80" s="51">
        <v>2021680010206</v>
      </c>
      <c r="H80" s="88" t="s">
        <v>157</v>
      </c>
      <c r="I80" s="11" t="s">
        <v>158</v>
      </c>
      <c r="J80" s="81"/>
      <c r="K80" s="81"/>
      <c r="L80" s="170"/>
      <c r="M80" s="162"/>
      <c r="N80" s="136"/>
      <c r="O80" s="43" t="s">
        <v>147</v>
      </c>
      <c r="P80" s="37">
        <v>14989761.6</v>
      </c>
      <c r="Q80" s="37"/>
      <c r="R80" s="38"/>
      <c r="S80" s="91"/>
      <c r="T80" s="111"/>
      <c r="U80" s="124"/>
      <c r="V80" s="37">
        <v>14989761.6</v>
      </c>
      <c r="W80" s="38"/>
      <c r="X80" s="38"/>
      <c r="Y80" s="91"/>
      <c r="Z80" s="38"/>
      <c r="AA80" s="124"/>
      <c r="AB80" s="139"/>
      <c r="AC80" s="172"/>
      <c r="AD80" s="130"/>
      <c r="AE80" s="130"/>
    </row>
    <row r="81" spans="1:31" s="84" customFormat="1" ht="73.5" customHeight="1" x14ac:dyDescent="0.2">
      <c r="A81" s="69">
        <v>223</v>
      </c>
      <c r="B81" s="6" t="s">
        <v>57</v>
      </c>
      <c r="C81" s="6" t="s">
        <v>58</v>
      </c>
      <c r="D81" s="16" t="s">
        <v>76</v>
      </c>
      <c r="E81" s="73" t="s">
        <v>77</v>
      </c>
      <c r="F81" s="6" t="s">
        <v>78</v>
      </c>
      <c r="G81" s="52">
        <v>2021680010134</v>
      </c>
      <c r="H81" s="88" t="s">
        <v>120</v>
      </c>
      <c r="I81" s="17" t="s">
        <v>95</v>
      </c>
      <c r="J81" s="18">
        <v>44621</v>
      </c>
      <c r="K81" s="18">
        <v>44803</v>
      </c>
      <c r="L81" s="163">
        <v>1</v>
      </c>
      <c r="M81" s="141">
        <v>1</v>
      </c>
      <c r="N81" s="134">
        <f t="shared" si="0"/>
        <v>1</v>
      </c>
      <c r="O81" s="43" t="s">
        <v>282</v>
      </c>
      <c r="P81" s="37"/>
      <c r="Q81" s="37"/>
      <c r="R81" s="37"/>
      <c r="S81" s="91"/>
      <c r="T81" s="37">
        <f>2893252591+1988316277.78+4634867673.08</f>
        <v>9516436541.8600006</v>
      </c>
      <c r="U81" s="116">
        <f>SUM(T81:T93)</f>
        <v>42008440116.659996</v>
      </c>
      <c r="V81" s="37"/>
      <c r="W81" s="37"/>
      <c r="X81" s="37"/>
      <c r="Y81" s="91"/>
      <c r="Z81" s="37">
        <f>2893252591+1988316277.78+4595993445.66+38874227.42</f>
        <v>9516436541.8599987</v>
      </c>
      <c r="AA81" s="116">
        <f>SUM(Z81:Z93)</f>
        <v>10564553848.189999</v>
      </c>
      <c r="AB81" s="137">
        <f>IFERROR(AA81/U81,"-")</f>
        <v>0.25148645888425253</v>
      </c>
      <c r="AC81" s="125"/>
      <c r="AD81" s="125" t="s">
        <v>40</v>
      </c>
      <c r="AE81" s="125" t="s">
        <v>41</v>
      </c>
    </row>
    <row r="82" spans="1:31" s="84" customFormat="1" ht="42.75" x14ac:dyDescent="0.2">
      <c r="A82" s="69">
        <v>223</v>
      </c>
      <c r="B82" s="6" t="s">
        <v>57</v>
      </c>
      <c r="C82" s="6" t="s">
        <v>58</v>
      </c>
      <c r="D82" s="16" t="s">
        <v>76</v>
      </c>
      <c r="E82" s="73" t="s">
        <v>77</v>
      </c>
      <c r="F82" s="6" t="s">
        <v>78</v>
      </c>
      <c r="G82" s="52"/>
      <c r="H82" s="57" t="s">
        <v>288</v>
      </c>
      <c r="I82" s="17"/>
      <c r="J82" s="18"/>
      <c r="K82" s="18"/>
      <c r="L82" s="115"/>
      <c r="M82" s="140"/>
      <c r="N82" s="135"/>
      <c r="O82" s="43"/>
      <c r="P82" s="37"/>
      <c r="Q82" s="37"/>
      <c r="R82" s="37"/>
      <c r="S82" s="91"/>
      <c r="T82" s="37">
        <f>144662438+93746807.22+8978317.94</f>
        <v>247387563.16</v>
      </c>
      <c r="U82" s="117"/>
      <c r="V82" s="37"/>
      <c r="W82" s="37"/>
      <c r="X82" s="37"/>
      <c r="Y82" s="91"/>
      <c r="Z82" s="37"/>
      <c r="AA82" s="117"/>
      <c r="AB82" s="138"/>
      <c r="AC82" s="126"/>
      <c r="AD82" s="126"/>
      <c r="AE82" s="126"/>
    </row>
    <row r="83" spans="1:31" s="84" customFormat="1" ht="51.75" customHeight="1" x14ac:dyDescent="0.2">
      <c r="A83" s="69">
        <v>223</v>
      </c>
      <c r="B83" s="6" t="s">
        <v>57</v>
      </c>
      <c r="C83" s="6" t="s">
        <v>58</v>
      </c>
      <c r="D83" s="16" t="s">
        <v>76</v>
      </c>
      <c r="E83" s="73" t="s">
        <v>77</v>
      </c>
      <c r="F83" s="6" t="s">
        <v>78</v>
      </c>
      <c r="G83" s="52">
        <v>2022680010039</v>
      </c>
      <c r="H83" s="8" t="s">
        <v>96</v>
      </c>
      <c r="I83" s="17" t="s">
        <v>95</v>
      </c>
      <c r="J83" s="18">
        <v>44621</v>
      </c>
      <c r="K83" s="18">
        <v>44803</v>
      </c>
      <c r="L83" s="115"/>
      <c r="M83" s="140"/>
      <c r="N83" s="135"/>
      <c r="O83" s="43" t="s">
        <v>248</v>
      </c>
      <c r="P83" s="37"/>
      <c r="Q83" s="37"/>
      <c r="R83" s="37"/>
      <c r="S83" s="91"/>
      <c r="T83" s="37">
        <f>2054986612+4133389169</f>
        <v>6188375781</v>
      </c>
      <c r="U83" s="117"/>
      <c r="V83" s="37"/>
      <c r="W83" s="37"/>
      <c r="X83" s="37"/>
      <c r="Y83" s="91"/>
      <c r="Z83" s="37"/>
      <c r="AA83" s="117"/>
      <c r="AB83" s="138"/>
      <c r="AC83" s="126"/>
      <c r="AD83" s="126"/>
      <c r="AE83" s="126"/>
    </row>
    <row r="84" spans="1:31" s="84" customFormat="1" ht="48.75" customHeight="1" x14ac:dyDescent="0.2">
      <c r="A84" s="69">
        <v>223</v>
      </c>
      <c r="B84" s="6" t="s">
        <v>57</v>
      </c>
      <c r="C84" s="6" t="s">
        <v>58</v>
      </c>
      <c r="D84" s="16" t="s">
        <v>76</v>
      </c>
      <c r="E84" s="73" t="s">
        <v>77</v>
      </c>
      <c r="F84" s="6" t="s">
        <v>78</v>
      </c>
      <c r="G84" s="52">
        <v>2021680010051</v>
      </c>
      <c r="H84" s="8" t="s">
        <v>120</v>
      </c>
      <c r="I84" s="17" t="s">
        <v>95</v>
      </c>
      <c r="J84" s="18">
        <v>44621</v>
      </c>
      <c r="K84" s="18">
        <v>44742</v>
      </c>
      <c r="L84" s="115"/>
      <c r="M84" s="140"/>
      <c r="N84" s="135"/>
      <c r="O84" s="43" t="s">
        <v>137</v>
      </c>
      <c r="P84" s="37"/>
      <c r="Q84" s="37"/>
      <c r="R84" s="37"/>
      <c r="S84" s="91"/>
      <c r="T84" s="37">
        <v>127393665</v>
      </c>
      <c r="U84" s="117"/>
      <c r="V84" s="37"/>
      <c r="W84" s="37"/>
      <c r="X84" s="37"/>
      <c r="Y84" s="91"/>
      <c r="Z84" s="37">
        <v>127393665</v>
      </c>
      <c r="AA84" s="117"/>
      <c r="AB84" s="138"/>
      <c r="AC84" s="126"/>
      <c r="AD84" s="126"/>
      <c r="AE84" s="126"/>
    </row>
    <row r="85" spans="1:31" s="84" customFormat="1" ht="63" customHeight="1" x14ac:dyDescent="0.2">
      <c r="A85" s="69">
        <v>223</v>
      </c>
      <c r="B85" s="6" t="s">
        <v>57</v>
      </c>
      <c r="C85" s="6" t="s">
        <v>58</v>
      </c>
      <c r="D85" s="16" t="s">
        <v>76</v>
      </c>
      <c r="E85" s="73" t="s">
        <v>77</v>
      </c>
      <c r="F85" s="6" t="s">
        <v>78</v>
      </c>
      <c r="G85" s="52">
        <v>2022680010038</v>
      </c>
      <c r="H85" s="8" t="s">
        <v>249</v>
      </c>
      <c r="I85" s="17" t="s">
        <v>250</v>
      </c>
      <c r="J85" s="18">
        <v>44896</v>
      </c>
      <c r="K85" s="18">
        <v>45076</v>
      </c>
      <c r="L85" s="115"/>
      <c r="M85" s="140"/>
      <c r="N85" s="135"/>
      <c r="O85" s="43" t="s">
        <v>218</v>
      </c>
      <c r="P85" s="37"/>
      <c r="Q85" s="37"/>
      <c r="R85" s="37"/>
      <c r="S85" s="91"/>
      <c r="T85" s="37">
        <v>4000000000</v>
      </c>
      <c r="U85" s="117"/>
      <c r="V85" s="37"/>
      <c r="W85" s="37"/>
      <c r="X85" s="37"/>
      <c r="Y85" s="91"/>
      <c r="Z85" s="37"/>
      <c r="AA85" s="117"/>
      <c r="AB85" s="138"/>
      <c r="AC85" s="126"/>
      <c r="AD85" s="126"/>
      <c r="AE85" s="126"/>
    </row>
    <row r="86" spans="1:31" s="84" customFormat="1" ht="50.25" customHeight="1" x14ac:dyDescent="0.2">
      <c r="A86" s="69">
        <v>223</v>
      </c>
      <c r="B86" s="6" t="s">
        <v>57</v>
      </c>
      <c r="C86" s="6" t="s">
        <v>58</v>
      </c>
      <c r="D86" s="16" t="s">
        <v>76</v>
      </c>
      <c r="E86" s="73" t="s">
        <v>77</v>
      </c>
      <c r="F86" s="6" t="s">
        <v>78</v>
      </c>
      <c r="G86" s="52">
        <v>2022680010051</v>
      </c>
      <c r="H86" s="8" t="s">
        <v>251</v>
      </c>
      <c r="I86" s="17" t="s">
        <v>252</v>
      </c>
      <c r="J86" s="18">
        <v>44896</v>
      </c>
      <c r="K86" s="18">
        <v>45046</v>
      </c>
      <c r="L86" s="115"/>
      <c r="M86" s="140"/>
      <c r="N86" s="135"/>
      <c r="O86" s="43" t="s">
        <v>218</v>
      </c>
      <c r="P86" s="37"/>
      <c r="Q86" s="37"/>
      <c r="R86" s="37"/>
      <c r="S86" s="91"/>
      <c r="T86" s="37">
        <v>889006621.13999999</v>
      </c>
      <c r="U86" s="117"/>
      <c r="V86" s="37"/>
      <c r="W86" s="37"/>
      <c r="X86" s="37"/>
      <c r="Y86" s="91"/>
      <c r="Z86" s="37"/>
      <c r="AA86" s="117"/>
      <c r="AB86" s="138"/>
      <c r="AC86" s="126"/>
      <c r="AD86" s="126"/>
      <c r="AE86" s="126"/>
    </row>
    <row r="87" spans="1:31" s="84" customFormat="1" ht="42.75" x14ac:dyDescent="0.2">
      <c r="A87" s="69">
        <v>223</v>
      </c>
      <c r="B87" s="6" t="s">
        <v>57</v>
      </c>
      <c r="C87" s="6" t="s">
        <v>58</v>
      </c>
      <c r="D87" s="16" t="s">
        <v>76</v>
      </c>
      <c r="E87" s="73" t="s">
        <v>77</v>
      </c>
      <c r="F87" s="6" t="s">
        <v>78</v>
      </c>
      <c r="G87" s="52"/>
      <c r="H87" s="57" t="s">
        <v>288</v>
      </c>
      <c r="I87" s="17"/>
      <c r="J87" s="18"/>
      <c r="K87" s="18"/>
      <c r="L87" s="115"/>
      <c r="M87" s="140"/>
      <c r="N87" s="135"/>
      <c r="O87" s="43"/>
      <c r="P87" s="37"/>
      <c r="Q87" s="37"/>
      <c r="R87" s="37"/>
      <c r="S87" s="91"/>
      <c r="T87" s="37">
        <v>22617597.860000014</v>
      </c>
      <c r="U87" s="117"/>
      <c r="V87" s="37"/>
      <c r="W87" s="37"/>
      <c r="X87" s="37"/>
      <c r="Y87" s="91"/>
      <c r="Z87" s="37"/>
      <c r="AA87" s="117"/>
      <c r="AB87" s="138"/>
      <c r="AC87" s="126"/>
      <c r="AD87" s="126"/>
      <c r="AE87" s="126"/>
    </row>
    <row r="88" spans="1:31" s="84" customFormat="1" ht="71.25" x14ac:dyDescent="0.2">
      <c r="A88" s="69">
        <v>223</v>
      </c>
      <c r="B88" s="6" t="s">
        <v>57</v>
      </c>
      <c r="C88" s="6" t="s">
        <v>58</v>
      </c>
      <c r="D88" s="16" t="s">
        <v>76</v>
      </c>
      <c r="E88" s="73" t="s">
        <v>77</v>
      </c>
      <c r="F88" s="6" t="s">
        <v>78</v>
      </c>
      <c r="G88" s="52">
        <v>2022680010052</v>
      </c>
      <c r="H88" s="8" t="s">
        <v>253</v>
      </c>
      <c r="I88" s="17" t="s">
        <v>254</v>
      </c>
      <c r="J88" s="18">
        <v>44896</v>
      </c>
      <c r="K88" s="18">
        <v>45107</v>
      </c>
      <c r="L88" s="115"/>
      <c r="M88" s="140"/>
      <c r="N88" s="135"/>
      <c r="O88" s="43" t="s">
        <v>218</v>
      </c>
      <c r="P88" s="37"/>
      <c r="Q88" s="37"/>
      <c r="R88" s="37"/>
      <c r="S88" s="91"/>
      <c r="T88" s="37">
        <v>4844199266.3400002</v>
      </c>
      <c r="U88" s="117"/>
      <c r="V88" s="37"/>
      <c r="W88" s="37"/>
      <c r="X88" s="37"/>
      <c r="Y88" s="91"/>
      <c r="Z88" s="37"/>
      <c r="AA88" s="117"/>
      <c r="AB88" s="138"/>
      <c r="AC88" s="126"/>
      <c r="AD88" s="126"/>
      <c r="AE88" s="126"/>
    </row>
    <row r="89" spans="1:31" s="84" customFormat="1" ht="67.5" customHeight="1" x14ac:dyDescent="0.2">
      <c r="A89" s="69">
        <v>223</v>
      </c>
      <c r="B89" s="6" t="s">
        <v>57</v>
      </c>
      <c r="C89" s="6" t="s">
        <v>58</v>
      </c>
      <c r="D89" s="16" t="s">
        <v>76</v>
      </c>
      <c r="E89" s="73" t="s">
        <v>77</v>
      </c>
      <c r="F89" s="6" t="s">
        <v>78</v>
      </c>
      <c r="G89" s="52">
        <v>2020680010113</v>
      </c>
      <c r="H89" s="88" t="s">
        <v>166</v>
      </c>
      <c r="I89" s="17" t="s">
        <v>95</v>
      </c>
      <c r="J89" s="18">
        <v>44621</v>
      </c>
      <c r="K89" s="18">
        <v>44681</v>
      </c>
      <c r="L89" s="115"/>
      <c r="M89" s="140"/>
      <c r="N89" s="135"/>
      <c r="O89" s="43" t="s">
        <v>165</v>
      </c>
      <c r="P89" s="37"/>
      <c r="Q89" s="37"/>
      <c r="R89" s="37"/>
      <c r="S89" s="91"/>
      <c r="T89" s="37">
        <v>42639723</v>
      </c>
      <c r="U89" s="117"/>
      <c r="V89" s="37"/>
      <c r="W89" s="37"/>
      <c r="X89" s="37"/>
      <c r="Y89" s="91"/>
      <c r="Z89" s="37">
        <v>42639723</v>
      </c>
      <c r="AA89" s="117"/>
      <c r="AB89" s="138"/>
      <c r="AC89" s="126"/>
      <c r="AD89" s="126"/>
      <c r="AE89" s="126"/>
    </row>
    <row r="90" spans="1:31" s="84" customFormat="1" ht="42.75" x14ac:dyDescent="0.2">
      <c r="A90" s="69">
        <v>223</v>
      </c>
      <c r="B90" s="6" t="s">
        <v>57</v>
      </c>
      <c r="C90" s="6" t="s">
        <v>58</v>
      </c>
      <c r="D90" s="16" t="s">
        <v>76</v>
      </c>
      <c r="E90" s="73" t="s">
        <v>77</v>
      </c>
      <c r="F90" s="6" t="s">
        <v>78</v>
      </c>
      <c r="G90" s="52"/>
      <c r="H90" s="57" t="s">
        <v>288</v>
      </c>
      <c r="I90" s="17"/>
      <c r="J90" s="20"/>
      <c r="K90" s="20"/>
      <c r="L90" s="115"/>
      <c r="M90" s="140"/>
      <c r="N90" s="135"/>
      <c r="O90" s="43" t="s">
        <v>219</v>
      </c>
      <c r="P90" s="37"/>
      <c r="Q90" s="37"/>
      <c r="R90" s="37"/>
      <c r="S90" s="91"/>
      <c r="T90" s="37">
        <v>4023428955.1199999</v>
      </c>
      <c r="U90" s="117"/>
      <c r="V90" s="37"/>
      <c r="W90" s="37"/>
      <c r="X90" s="37"/>
      <c r="Y90" s="91"/>
      <c r="Z90" s="37"/>
      <c r="AA90" s="117"/>
      <c r="AB90" s="138"/>
      <c r="AC90" s="126"/>
      <c r="AD90" s="126" t="s">
        <v>40</v>
      </c>
      <c r="AE90" s="126" t="s">
        <v>41</v>
      </c>
    </row>
    <row r="91" spans="1:31" s="84" customFormat="1" ht="63" customHeight="1" x14ac:dyDescent="0.2">
      <c r="A91" s="69">
        <v>223</v>
      </c>
      <c r="B91" s="6" t="s">
        <v>57</v>
      </c>
      <c r="C91" s="6" t="s">
        <v>58</v>
      </c>
      <c r="D91" s="16" t="s">
        <v>76</v>
      </c>
      <c r="E91" s="73" t="s">
        <v>77</v>
      </c>
      <c r="F91" s="6" t="s">
        <v>78</v>
      </c>
      <c r="G91" s="52">
        <v>2020680010126</v>
      </c>
      <c r="H91" s="88" t="s">
        <v>173</v>
      </c>
      <c r="I91" s="17" t="s">
        <v>174</v>
      </c>
      <c r="J91" s="20">
        <v>44656</v>
      </c>
      <c r="K91" s="20">
        <v>44718</v>
      </c>
      <c r="L91" s="115"/>
      <c r="M91" s="140"/>
      <c r="N91" s="135"/>
      <c r="O91" s="43" t="s">
        <v>175</v>
      </c>
      <c r="P91" s="37"/>
      <c r="Q91" s="37"/>
      <c r="R91" s="37"/>
      <c r="S91" s="91"/>
      <c r="T91" s="37">
        <v>878083918.33000004</v>
      </c>
      <c r="U91" s="117"/>
      <c r="V91" s="37"/>
      <c r="W91" s="37"/>
      <c r="X91" s="37"/>
      <c r="Y91" s="91"/>
      <c r="Z91" s="37">
        <v>878083918.33000004</v>
      </c>
      <c r="AA91" s="117"/>
      <c r="AB91" s="138"/>
      <c r="AC91" s="126"/>
      <c r="AD91" s="126" t="s">
        <v>40</v>
      </c>
      <c r="AE91" s="126" t="s">
        <v>41</v>
      </c>
    </row>
    <row r="92" spans="1:31" s="84" customFormat="1" ht="42.75" x14ac:dyDescent="0.2">
      <c r="A92" s="69">
        <v>223</v>
      </c>
      <c r="B92" s="6" t="s">
        <v>57</v>
      </c>
      <c r="C92" s="6" t="s">
        <v>58</v>
      </c>
      <c r="D92" s="16" t="s">
        <v>76</v>
      </c>
      <c r="E92" s="73" t="s">
        <v>77</v>
      </c>
      <c r="F92" s="6" t="s">
        <v>78</v>
      </c>
      <c r="G92" s="52">
        <v>2022680010084</v>
      </c>
      <c r="H92" s="88" t="s">
        <v>287</v>
      </c>
      <c r="I92" s="19"/>
      <c r="J92" s="20"/>
      <c r="K92" s="20"/>
      <c r="L92" s="115"/>
      <c r="M92" s="140"/>
      <c r="N92" s="135"/>
      <c r="O92" s="43" t="s">
        <v>175</v>
      </c>
      <c r="P92" s="37"/>
      <c r="Q92" s="37"/>
      <c r="R92" s="37"/>
      <c r="S92" s="91"/>
      <c r="T92" s="37">
        <v>9779000000</v>
      </c>
      <c r="U92" s="117"/>
      <c r="V92" s="37"/>
      <c r="W92" s="37"/>
      <c r="X92" s="37"/>
      <c r="Y92" s="91"/>
      <c r="Z92" s="37"/>
      <c r="AA92" s="117"/>
      <c r="AB92" s="138"/>
      <c r="AC92" s="126"/>
      <c r="AD92" s="126" t="s">
        <v>40</v>
      </c>
      <c r="AE92" s="126" t="s">
        <v>41</v>
      </c>
    </row>
    <row r="93" spans="1:31" s="84" customFormat="1" ht="30" x14ac:dyDescent="0.2">
      <c r="A93" s="69">
        <v>223</v>
      </c>
      <c r="B93" s="6" t="s">
        <v>57</v>
      </c>
      <c r="C93" s="6" t="s">
        <v>58</v>
      </c>
      <c r="D93" s="16" t="s">
        <v>76</v>
      </c>
      <c r="E93" s="73" t="s">
        <v>77</v>
      </c>
      <c r="F93" s="6"/>
      <c r="G93" s="52"/>
      <c r="H93" s="88" t="s">
        <v>217</v>
      </c>
      <c r="I93" s="19"/>
      <c r="J93" s="20"/>
      <c r="K93" s="20"/>
      <c r="L93" s="164"/>
      <c r="M93" s="162"/>
      <c r="N93" s="136"/>
      <c r="O93" s="43"/>
      <c r="P93" s="37"/>
      <c r="Q93" s="37"/>
      <c r="R93" s="37"/>
      <c r="S93" s="91"/>
      <c r="T93" s="37">
        <v>1449870483.8499999</v>
      </c>
      <c r="U93" s="118"/>
      <c r="V93" s="37"/>
      <c r="W93" s="37"/>
      <c r="X93" s="37"/>
      <c r="Y93" s="91"/>
      <c r="Z93" s="59"/>
      <c r="AA93" s="118"/>
      <c r="AB93" s="139"/>
      <c r="AC93" s="127"/>
      <c r="AD93" s="127" t="s">
        <v>40</v>
      </c>
      <c r="AE93" s="127" t="s">
        <v>41</v>
      </c>
    </row>
    <row r="94" spans="1:31" s="84" customFormat="1" ht="409.5" x14ac:dyDescent="0.2">
      <c r="A94" s="69">
        <v>224</v>
      </c>
      <c r="B94" s="6" t="s">
        <v>57</v>
      </c>
      <c r="C94" s="6" t="s">
        <v>58</v>
      </c>
      <c r="D94" s="16" t="s">
        <v>76</v>
      </c>
      <c r="E94" s="73" t="s">
        <v>79</v>
      </c>
      <c r="F94" s="6" t="s">
        <v>80</v>
      </c>
      <c r="G94" s="52">
        <v>2020680010029</v>
      </c>
      <c r="H94" s="88" t="s">
        <v>97</v>
      </c>
      <c r="I94" s="19" t="s">
        <v>98</v>
      </c>
      <c r="J94" s="20">
        <v>44562</v>
      </c>
      <c r="K94" s="20">
        <v>44926</v>
      </c>
      <c r="L94" s="159">
        <v>1</v>
      </c>
      <c r="M94" s="131">
        <v>0.85</v>
      </c>
      <c r="N94" s="134">
        <f>IFERROR(IF(M94/L94&gt;100%,100%,M94/L94),"-")</f>
        <v>0.85</v>
      </c>
      <c r="O94" s="43" t="s">
        <v>273</v>
      </c>
      <c r="P94" s="37"/>
      <c r="Q94" s="37"/>
      <c r="R94" s="37"/>
      <c r="S94" s="55"/>
      <c r="T94" s="37">
        <f>17311582417.43+100000000</f>
        <v>17411582417.43</v>
      </c>
      <c r="U94" s="116">
        <f>SUM(P94:T96)</f>
        <v>26606352900.890614</v>
      </c>
      <c r="V94" s="37"/>
      <c r="W94" s="37"/>
      <c r="X94" s="37"/>
      <c r="Y94" s="91"/>
      <c r="Z94" s="37">
        <f>14116097218.16+1228795169.8</f>
        <v>15344892387.959999</v>
      </c>
      <c r="AA94" s="116">
        <f>SUM(V94:Z96)</f>
        <v>22060837452.970001</v>
      </c>
      <c r="AB94" s="137">
        <f>IFERROR(AA94/U94,"-")</f>
        <v>0.82915676324174226</v>
      </c>
      <c r="AC94" s="125"/>
      <c r="AD94" s="128" t="s">
        <v>40</v>
      </c>
      <c r="AE94" s="128" t="s">
        <v>41</v>
      </c>
    </row>
    <row r="95" spans="1:31" s="84" customFormat="1" ht="71.25" x14ac:dyDescent="0.2">
      <c r="A95" s="69">
        <v>224</v>
      </c>
      <c r="B95" s="6" t="s">
        <v>57</v>
      </c>
      <c r="C95" s="6" t="s">
        <v>58</v>
      </c>
      <c r="D95" s="16" t="s">
        <v>76</v>
      </c>
      <c r="E95" s="7" t="s">
        <v>79</v>
      </c>
      <c r="F95" s="6" t="s">
        <v>80</v>
      </c>
      <c r="G95" s="52">
        <v>2020680010114</v>
      </c>
      <c r="H95" s="89" t="s">
        <v>99</v>
      </c>
      <c r="I95" s="8" t="s">
        <v>98</v>
      </c>
      <c r="J95" s="21">
        <v>44621</v>
      </c>
      <c r="K95" s="21">
        <v>44926</v>
      </c>
      <c r="L95" s="160"/>
      <c r="M95" s="132"/>
      <c r="N95" s="135"/>
      <c r="O95" s="43" t="s">
        <v>274</v>
      </c>
      <c r="P95" s="37"/>
      <c r="Q95" s="37"/>
      <c r="R95" s="37"/>
      <c r="S95" s="91"/>
      <c r="T95" s="37">
        <v>7608583203.0900002</v>
      </c>
      <c r="U95" s="117"/>
      <c r="V95" s="37"/>
      <c r="W95" s="37"/>
      <c r="X95" s="37"/>
      <c r="Y95" s="91"/>
      <c r="Z95" s="37">
        <v>6715945065.0100012</v>
      </c>
      <c r="AA95" s="117"/>
      <c r="AB95" s="138"/>
      <c r="AC95" s="126"/>
      <c r="AD95" s="129"/>
      <c r="AE95" s="129"/>
    </row>
    <row r="96" spans="1:31" s="84" customFormat="1" ht="30" x14ac:dyDescent="0.2">
      <c r="A96" s="69">
        <v>224</v>
      </c>
      <c r="B96" s="6" t="s">
        <v>57</v>
      </c>
      <c r="C96" s="6" t="s">
        <v>58</v>
      </c>
      <c r="D96" s="16" t="s">
        <v>76</v>
      </c>
      <c r="E96" s="7" t="s">
        <v>79</v>
      </c>
      <c r="F96" s="6" t="s">
        <v>80</v>
      </c>
      <c r="G96" s="52"/>
      <c r="H96" s="57" t="s">
        <v>288</v>
      </c>
      <c r="I96" s="8"/>
      <c r="J96" s="21"/>
      <c r="K96" s="21"/>
      <c r="L96" s="161"/>
      <c r="M96" s="133"/>
      <c r="N96" s="136"/>
      <c r="O96" s="43"/>
      <c r="P96" s="37"/>
      <c r="Q96" s="37"/>
      <c r="R96" s="37"/>
      <c r="S96" s="37"/>
      <c r="T96" s="37">
        <f>1222707171.20777+363480109.162842</f>
        <v>1586187280.3706121</v>
      </c>
      <c r="U96" s="118"/>
      <c r="V96" s="37"/>
      <c r="W96" s="37"/>
      <c r="X96" s="37"/>
      <c r="Y96" s="91"/>
      <c r="Z96" s="37"/>
      <c r="AA96" s="118"/>
      <c r="AB96" s="139"/>
      <c r="AC96" s="127"/>
      <c r="AD96" s="130"/>
      <c r="AE96" s="130"/>
    </row>
    <row r="97" spans="1:31" s="84" customFormat="1" ht="57" x14ac:dyDescent="0.2">
      <c r="A97" s="69">
        <v>225</v>
      </c>
      <c r="B97" s="8" t="s">
        <v>57</v>
      </c>
      <c r="C97" s="22" t="s">
        <v>58</v>
      </c>
      <c r="D97" s="58" t="s">
        <v>76</v>
      </c>
      <c r="E97" s="7" t="s">
        <v>81</v>
      </c>
      <c r="F97" s="8" t="s">
        <v>82</v>
      </c>
      <c r="G97" s="52"/>
      <c r="H97" s="88" t="s">
        <v>113</v>
      </c>
      <c r="I97" s="96"/>
      <c r="J97" s="18"/>
      <c r="K97" s="18"/>
      <c r="L97" s="60">
        <v>0</v>
      </c>
      <c r="M97" s="66">
        <v>0</v>
      </c>
      <c r="N97" s="83" t="str">
        <f>IFERROR(IF(M97/L97&gt;100%,100%,M97/L97),"-")</f>
        <v>-</v>
      </c>
      <c r="O97" s="43"/>
      <c r="P97" s="37"/>
      <c r="Q97" s="37"/>
      <c r="R97" s="37"/>
      <c r="S97" s="91"/>
      <c r="T97" s="37"/>
      <c r="U97" s="65">
        <f>SUM(P97:T97)</f>
        <v>0</v>
      </c>
      <c r="V97" s="37"/>
      <c r="W97" s="37"/>
      <c r="X97" s="37"/>
      <c r="Y97" s="91"/>
      <c r="Z97" s="37"/>
      <c r="AA97" s="65">
        <f>SUM(V97:Z97)</f>
        <v>0</v>
      </c>
      <c r="AB97" s="62" t="str">
        <f>IFERROR(AA97/U97,"-")</f>
        <v>-</v>
      </c>
      <c r="AC97" s="63"/>
      <c r="AD97" s="86" t="s">
        <v>40</v>
      </c>
      <c r="AE97" s="86" t="s">
        <v>41</v>
      </c>
    </row>
    <row r="98" spans="1:31" s="84" customFormat="1" ht="78.75" customHeight="1" x14ac:dyDescent="0.2">
      <c r="A98" s="69">
        <v>226</v>
      </c>
      <c r="B98" s="8" t="s">
        <v>57</v>
      </c>
      <c r="C98" s="22" t="s">
        <v>58</v>
      </c>
      <c r="D98" s="58" t="s">
        <v>76</v>
      </c>
      <c r="E98" s="7" t="s">
        <v>83</v>
      </c>
      <c r="F98" s="8" t="s">
        <v>84</v>
      </c>
      <c r="G98" s="52"/>
      <c r="H98" s="88" t="s">
        <v>113</v>
      </c>
      <c r="I98" s="23"/>
      <c r="J98" s="21">
        <v>44621</v>
      </c>
      <c r="K98" s="21">
        <v>44895</v>
      </c>
      <c r="L98" s="68">
        <v>0</v>
      </c>
      <c r="M98" s="67"/>
      <c r="N98" s="94" t="str">
        <f>IFERROR(IF(M98/L98&gt;100%,100%,M98/L98),"-")</f>
        <v>-</v>
      </c>
      <c r="O98" s="43" t="s">
        <v>138</v>
      </c>
      <c r="P98" s="37"/>
      <c r="Q98" s="37"/>
      <c r="R98" s="37"/>
      <c r="S98" s="91"/>
      <c r="T98" s="37"/>
      <c r="U98" s="61">
        <f>SUM(P98:T98)</f>
        <v>0</v>
      </c>
      <c r="V98" s="37"/>
      <c r="W98" s="37"/>
      <c r="X98" s="37"/>
      <c r="Y98" s="91"/>
      <c r="Z98" s="37"/>
      <c r="AA98" s="61">
        <f>SUM(V98:Z98)</f>
        <v>0</v>
      </c>
      <c r="AB98" s="62" t="str">
        <f>IFERROR(AA98/U98,"-")</f>
        <v>-</v>
      </c>
      <c r="AC98" s="63"/>
      <c r="AD98" s="86" t="s">
        <v>40</v>
      </c>
      <c r="AE98" s="86" t="s">
        <v>41</v>
      </c>
    </row>
    <row r="99" spans="1:31" s="84" customFormat="1" ht="78.75" customHeight="1" x14ac:dyDescent="0.2">
      <c r="A99" s="69">
        <v>227</v>
      </c>
      <c r="B99" s="6" t="s">
        <v>57</v>
      </c>
      <c r="C99" s="6" t="s">
        <v>58</v>
      </c>
      <c r="D99" s="16" t="s">
        <v>76</v>
      </c>
      <c r="E99" s="7" t="s">
        <v>85</v>
      </c>
      <c r="F99" s="8" t="s">
        <v>86</v>
      </c>
      <c r="G99" s="52"/>
      <c r="H99" s="16"/>
      <c r="I99" s="8"/>
      <c r="J99" s="18">
        <v>44621</v>
      </c>
      <c r="K99" s="18">
        <v>44895</v>
      </c>
      <c r="L99" s="47">
        <v>1</v>
      </c>
      <c r="M99" s="48">
        <v>0</v>
      </c>
      <c r="N99" s="83">
        <f>IFERROR(IF(M99/L99&gt;100%,100%,M99/L99),"-")</f>
        <v>0</v>
      </c>
      <c r="O99" s="43" t="s">
        <v>138</v>
      </c>
      <c r="P99" s="37"/>
      <c r="Q99" s="37"/>
      <c r="R99" s="37"/>
      <c r="S99" s="91"/>
      <c r="T99" s="37"/>
      <c r="U99" s="65">
        <f>SUM(P99:T99)</f>
        <v>0</v>
      </c>
      <c r="V99" s="37"/>
      <c r="W99" s="37"/>
      <c r="X99" s="37"/>
      <c r="Y99" s="91"/>
      <c r="Z99" s="37"/>
      <c r="AA99" s="65">
        <f>SUM(V99:Z99)</f>
        <v>0</v>
      </c>
      <c r="AB99" s="62" t="str">
        <f>IFERROR(AA99/U99,"-")</f>
        <v>-</v>
      </c>
      <c r="AC99" s="63"/>
      <c r="AD99" s="86" t="s">
        <v>40</v>
      </c>
      <c r="AE99" s="86" t="s">
        <v>41</v>
      </c>
    </row>
    <row r="100" spans="1:31" s="84" customFormat="1" ht="71.25" x14ac:dyDescent="0.2">
      <c r="A100" s="69">
        <v>228</v>
      </c>
      <c r="B100" s="6" t="s">
        <v>57</v>
      </c>
      <c r="C100" s="6" t="s">
        <v>58</v>
      </c>
      <c r="D100" s="16" t="s">
        <v>76</v>
      </c>
      <c r="E100" s="7" t="s">
        <v>87</v>
      </c>
      <c r="F100" s="8" t="s">
        <v>88</v>
      </c>
      <c r="G100" s="52"/>
      <c r="H100" s="96"/>
      <c r="I100" s="8"/>
      <c r="J100" s="18">
        <v>44621</v>
      </c>
      <c r="K100" s="18">
        <v>44895</v>
      </c>
      <c r="L100" s="60">
        <v>0.7</v>
      </c>
      <c r="M100" s="66">
        <v>0</v>
      </c>
      <c r="N100" s="83">
        <f>IFERROR(IF(M100/L100&gt;100%,100%,M100/L100),"-")</f>
        <v>0</v>
      </c>
      <c r="O100" s="43" t="s">
        <v>100</v>
      </c>
      <c r="P100" s="37"/>
      <c r="Q100" s="37"/>
      <c r="R100" s="37"/>
      <c r="S100" s="91"/>
      <c r="T100" s="37">
        <v>2185496636.1993599</v>
      </c>
      <c r="U100" s="65">
        <f>SUM(P100:T100)</f>
        <v>2185496636.1993599</v>
      </c>
      <c r="V100" s="37"/>
      <c r="W100" s="37"/>
      <c r="X100" s="37"/>
      <c r="Y100" s="91"/>
      <c r="Z100" s="37"/>
      <c r="AA100" s="65">
        <f>SUM(V100:Z100)</f>
        <v>0</v>
      </c>
      <c r="AB100" s="62">
        <f>IFERROR(AA100/U100,"-")</f>
        <v>0</v>
      </c>
      <c r="AC100" s="63"/>
      <c r="AD100" s="86" t="s">
        <v>40</v>
      </c>
      <c r="AE100" s="86" t="s">
        <v>41</v>
      </c>
    </row>
    <row r="101" spans="1:31" s="84" customFormat="1" ht="71.25" x14ac:dyDescent="0.2">
      <c r="A101" s="70">
        <v>300</v>
      </c>
      <c r="B101" s="89" t="s">
        <v>89</v>
      </c>
      <c r="C101" s="89" t="s">
        <v>90</v>
      </c>
      <c r="D101" s="100" t="s">
        <v>91</v>
      </c>
      <c r="E101" s="79" t="s">
        <v>92</v>
      </c>
      <c r="F101" s="103" t="s">
        <v>93</v>
      </c>
      <c r="G101" s="113">
        <v>2021680010031</v>
      </c>
      <c r="H101" s="88" t="s">
        <v>132</v>
      </c>
      <c r="I101" s="96" t="s">
        <v>112</v>
      </c>
      <c r="J101" s="81">
        <v>44562</v>
      </c>
      <c r="K101" s="81">
        <v>44742</v>
      </c>
      <c r="L101" s="159">
        <v>1</v>
      </c>
      <c r="M101" s="131">
        <v>1</v>
      </c>
      <c r="N101" s="134">
        <f>IFERROR(IF(M101/L101&gt;100%,100%,M101/L101),"-")</f>
        <v>1</v>
      </c>
      <c r="O101" s="43" t="s">
        <v>131</v>
      </c>
      <c r="P101" s="101">
        <f>1426484649-650084649</f>
        <v>776400000</v>
      </c>
      <c r="Q101" s="37"/>
      <c r="R101" s="37"/>
      <c r="S101" s="91"/>
      <c r="T101" s="37"/>
      <c r="U101" s="116">
        <f>SUM(P101:T106)</f>
        <v>19284070224.32</v>
      </c>
      <c r="V101" s="37">
        <v>776400000</v>
      </c>
      <c r="W101" s="37"/>
      <c r="X101" s="37"/>
      <c r="Y101" s="91"/>
      <c r="Z101" s="37"/>
      <c r="AA101" s="116">
        <f>SUM(V101:Z106)</f>
        <v>14811561822.58</v>
      </c>
      <c r="AB101" s="137">
        <f>IFERROR(AA101/U101,"-")</f>
        <v>0.76807238566785963</v>
      </c>
      <c r="AC101" s="125"/>
      <c r="AD101" s="128" t="s">
        <v>40</v>
      </c>
      <c r="AE101" s="128" t="s">
        <v>41</v>
      </c>
    </row>
    <row r="102" spans="1:31" s="84" customFormat="1" ht="71.25" x14ac:dyDescent="0.2">
      <c r="A102" s="4">
        <v>300</v>
      </c>
      <c r="B102" s="98" t="s">
        <v>89</v>
      </c>
      <c r="C102" s="98" t="s">
        <v>90</v>
      </c>
      <c r="D102" s="99" t="s">
        <v>91</v>
      </c>
      <c r="E102" s="74" t="s">
        <v>92</v>
      </c>
      <c r="F102" s="24" t="s">
        <v>93</v>
      </c>
      <c r="G102" s="113">
        <v>2020680010098</v>
      </c>
      <c r="H102" s="88" t="s">
        <v>101</v>
      </c>
      <c r="I102" s="96" t="s">
        <v>112</v>
      </c>
      <c r="J102" s="81">
        <v>44562</v>
      </c>
      <c r="K102" s="81">
        <v>44742</v>
      </c>
      <c r="L102" s="160"/>
      <c r="M102" s="132"/>
      <c r="N102" s="135"/>
      <c r="O102" s="90" t="s">
        <v>133</v>
      </c>
      <c r="P102" s="101">
        <f>2140080000-43780000</f>
        <v>2096300000</v>
      </c>
      <c r="Q102" s="37"/>
      <c r="R102" s="37"/>
      <c r="S102" s="91"/>
      <c r="T102" s="37"/>
      <c r="U102" s="117"/>
      <c r="V102" s="37">
        <v>2096300000</v>
      </c>
      <c r="W102" s="37"/>
      <c r="X102" s="37"/>
      <c r="Y102" s="91"/>
      <c r="Z102" s="37"/>
      <c r="AA102" s="117"/>
      <c r="AB102" s="138"/>
      <c r="AC102" s="126"/>
      <c r="AD102" s="129"/>
      <c r="AE102" s="129"/>
    </row>
    <row r="103" spans="1:31" s="84" customFormat="1" ht="71.25" x14ac:dyDescent="0.2">
      <c r="A103" s="4">
        <v>300</v>
      </c>
      <c r="B103" s="98" t="s">
        <v>89</v>
      </c>
      <c r="C103" s="98" t="s">
        <v>90</v>
      </c>
      <c r="D103" s="99" t="s">
        <v>91</v>
      </c>
      <c r="E103" s="74" t="s">
        <v>92</v>
      </c>
      <c r="F103" s="24" t="s">
        <v>93</v>
      </c>
      <c r="G103" s="113">
        <v>2021680010078</v>
      </c>
      <c r="H103" s="88" t="s">
        <v>102</v>
      </c>
      <c r="I103" s="96" t="s">
        <v>112</v>
      </c>
      <c r="J103" s="81">
        <v>44562</v>
      </c>
      <c r="K103" s="81">
        <v>44742</v>
      </c>
      <c r="L103" s="160"/>
      <c r="M103" s="132"/>
      <c r="N103" s="135"/>
      <c r="O103" s="90" t="s">
        <v>134</v>
      </c>
      <c r="P103" s="101">
        <f>1496800000-145600000</f>
        <v>1351200000</v>
      </c>
      <c r="Q103" s="37"/>
      <c r="R103" s="37"/>
      <c r="S103" s="91"/>
      <c r="T103" s="37"/>
      <c r="U103" s="117"/>
      <c r="V103" s="37">
        <v>1351200000</v>
      </c>
      <c r="W103" s="37"/>
      <c r="X103" s="37"/>
      <c r="Y103" s="91"/>
      <c r="Z103" s="37"/>
      <c r="AA103" s="117"/>
      <c r="AB103" s="138"/>
      <c r="AC103" s="126"/>
      <c r="AD103" s="129"/>
      <c r="AE103" s="129"/>
    </row>
    <row r="104" spans="1:31" s="84" customFormat="1" ht="157.5" customHeight="1" x14ac:dyDescent="0.2">
      <c r="A104" s="4">
        <v>300</v>
      </c>
      <c r="B104" s="98" t="s">
        <v>89</v>
      </c>
      <c r="C104" s="98" t="s">
        <v>90</v>
      </c>
      <c r="D104" s="99" t="s">
        <v>91</v>
      </c>
      <c r="E104" s="74" t="s">
        <v>92</v>
      </c>
      <c r="F104" s="24" t="s">
        <v>93</v>
      </c>
      <c r="G104" s="113">
        <v>2022680010027</v>
      </c>
      <c r="H104" s="88" t="s">
        <v>226</v>
      </c>
      <c r="I104" s="96" t="s">
        <v>225</v>
      </c>
      <c r="J104" s="81"/>
      <c r="K104" s="81"/>
      <c r="L104" s="160"/>
      <c r="M104" s="132"/>
      <c r="N104" s="135"/>
      <c r="O104" s="90" t="s">
        <v>227</v>
      </c>
      <c r="P104" s="101">
        <f>2739777018+839464649</f>
        <v>3579241667</v>
      </c>
      <c r="Q104" s="37"/>
      <c r="R104" s="37"/>
      <c r="S104" s="91"/>
      <c r="T104" s="37"/>
      <c r="U104" s="117"/>
      <c r="V104" s="37">
        <f>2946433332.65+233829999.64+118150000.64+34396666.65</f>
        <v>3332809999.5799999</v>
      </c>
      <c r="W104" s="37"/>
      <c r="X104" s="37"/>
      <c r="Y104" s="91"/>
      <c r="Z104" s="37"/>
      <c r="AA104" s="117"/>
      <c r="AB104" s="138"/>
      <c r="AC104" s="126"/>
      <c r="AD104" s="129"/>
      <c r="AE104" s="129"/>
    </row>
    <row r="105" spans="1:31" s="84" customFormat="1" ht="71.25" x14ac:dyDescent="0.2">
      <c r="A105" s="69">
        <v>300</v>
      </c>
      <c r="B105" s="89" t="s">
        <v>89</v>
      </c>
      <c r="C105" s="89" t="s">
        <v>90</v>
      </c>
      <c r="D105" s="100" t="s">
        <v>91</v>
      </c>
      <c r="E105" s="74" t="s">
        <v>92</v>
      </c>
      <c r="F105" s="24" t="s">
        <v>93</v>
      </c>
      <c r="G105" s="113">
        <v>2021680010120</v>
      </c>
      <c r="H105" s="93" t="s">
        <v>103</v>
      </c>
      <c r="I105" s="96" t="s">
        <v>104</v>
      </c>
      <c r="J105" s="81">
        <v>44562</v>
      </c>
      <c r="K105" s="81">
        <v>44926</v>
      </c>
      <c r="L105" s="160"/>
      <c r="M105" s="132"/>
      <c r="N105" s="135"/>
      <c r="O105" s="90" t="s">
        <v>114</v>
      </c>
      <c r="P105" s="101">
        <v>4137320506</v>
      </c>
      <c r="Q105" s="37">
        <v>6417224685</v>
      </c>
      <c r="R105" s="37"/>
      <c r="S105" s="91"/>
      <c r="T105" s="102">
        <f>270698077+852861</f>
        <v>271550938</v>
      </c>
      <c r="U105" s="117"/>
      <c r="V105" s="37">
        <v>1238860211</v>
      </c>
      <c r="W105" s="37">
        <f>5389875222+626116390</f>
        <v>6015991612</v>
      </c>
      <c r="X105" s="37"/>
      <c r="Y105" s="91"/>
      <c r="Z105" s="37"/>
      <c r="AA105" s="117"/>
      <c r="AB105" s="138"/>
      <c r="AC105" s="126"/>
      <c r="AD105" s="129"/>
      <c r="AE105" s="129"/>
    </row>
    <row r="106" spans="1:31" s="84" customFormat="1" ht="71.25" x14ac:dyDescent="0.2">
      <c r="A106" s="69">
        <v>300</v>
      </c>
      <c r="B106" s="89" t="s">
        <v>89</v>
      </c>
      <c r="C106" s="89" t="s">
        <v>90</v>
      </c>
      <c r="D106" s="100" t="s">
        <v>91</v>
      </c>
      <c r="E106" s="74" t="s">
        <v>92</v>
      </c>
      <c r="F106" s="24" t="s">
        <v>93</v>
      </c>
      <c r="G106" s="113">
        <v>2021680010120</v>
      </c>
      <c r="H106" s="93" t="s">
        <v>103</v>
      </c>
      <c r="I106" s="93" t="s">
        <v>281</v>
      </c>
      <c r="J106" s="104"/>
      <c r="K106" s="104"/>
      <c r="L106" s="161"/>
      <c r="M106" s="133"/>
      <c r="N106" s="136"/>
      <c r="O106" s="105"/>
      <c r="P106" s="106"/>
      <c r="Q106" s="107">
        <v>615682344.35999966</v>
      </c>
      <c r="R106" s="107"/>
      <c r="S106" s="108"/>
      <c r="T106" s="109">
        <v>39150083.960000001</v>
      </c>
      <c r="U106" s="118"/>
      <c r="V106" s="107"/>
      <c r="W106" s="107"/>
      <c r="X106" s="107"/>
      <c r="Y106" s="108"/>
      <c r="Z106" s="107"/>
      <c r="AA106" s="118"/>
      <c r="AB106" s="139"/>
      <c r="AC106" s="127"/>
      <c r="AD106" s="130"/>
      <c r="AE106" s="130"/>
    </row>
    <row r="107" spans="1:31" s="84" customFormat="1" ht="15" x14ac:dyDescent="0.2">
      <c r="A107" s="70" cm="1">
        <f t="array" ref="A107">SUM(--(FREQUENCY(A9:A106,A9:A106)&gt;0))</f>
        <v>21</v>
      </c>
      <c r="B107" s="25"/>
      <c r="C107" s="26"/>
      <c r="D107" s="26"/>
      <c r="E107" s="26"/>
      <c r="F107" s="26"/>
      <c r="G107" s="26"/>
      <c r="H107" s="26"/>
      <c r="I107" s="27"/>
      <c r="J107" s="28"/>
      <c r="K107" s="29"/>
      <c r="L107" s="29"/>
      <c r="M107" s="30" t="s">
        <v>94</v>
      </c>
      <c r="N107" s="29">
        <f>IFERROR(AVERAGE(N9:N105),"-")</f>
        <v>0.80454545454545456</v>
      </c>
      <c r="O107" s="44"/>
      <c r="P107" s="31">
        <f t="shared" ref="P107:V107" si="1">SUM(P9:P106)</f>
        <v>153565224892.39999</v>
      </c>
      <c r="Q107" s="31">
        <f t="shared" si="1"/>
        <v>15151224916.360001</v>
      </c>
      <c r="R107" s="31">
        <f t="shared" si="1"/>
        <v>0</v>
      </c>
      <c r="S107" s="31">
        <f t="shared" si="1"/>
        <v>0</v>
      </c>
      <c r="T107" s="31">
        <f t="shared" si="1"/>
        <v>167284454333.53995</v>
      </c>
      <c r="U107" s="32">
        <f t="shared" si="1"/>
        <v>336000904142.29999</v>
      </c>
      <c r="V107" s="31">
        <f t="shared" si="1"/>
        <v>70287731156.709991</v>
      </c>
      <c r="W107" s="31">
        <f>SUM(W9:W106)</f>
        <v>13767484737.77</v>
      </c>
      <c r="X107" s="31">
        <f>SUM(X9:X106)</f>
        <v>0</v>
      </c>
      <c r="Y107" s="31">
        <f>SUM(Y9:Y106)</f>
        <v>0</v>
      </c>
      <c r="Z107" s="31">
        <f>SUM(Z9:Z106)</f>
        <v>119078090695.83</v>
      </c>
      <c r="AA107" s="110">
        <f>SUM(AA9:AA106)</f>
        <v>203133306590.31</v>
      </c>
      <c r="AB107" s="34">
        <f>IFERROR(AA107/U107,"-")</f>
        <v>0.60456178565603169</v>
      </c>
      <c r="AC107" s="33">
        <f>SUM(AC9:AC105)</f>
        <v>0</v>
      </c>
      <c r="AD107" s="26"/>
      <c r="AE107" s="26"/>
    </row>
    <row r="108" spans="1:31" x14ac:dyDescent="0.2">
      <c r="P108" s="56"/>
    </row>
    <row r="109" spans="1:31" customFormat="1" x14ac:dyDescent="0.2"/>
    <row r="110" spans="1:31" customFormat="1" x14ac:dyDescent="0.2"/>
    <row r="111" spans="1:31" customFormat="1" x14ac:dyDescent="0.2"/>
    <row r="112" spans="1:31" customFormat="1" x14ac:dyDescent="0.2">
      <c r="S112" s="1"/>
    </row>
    <row r="113" spans="17:28" customFormat="1" x14ac:dyDescent="0.2"/>
    <row r="114" spans="17:28" customFormat="1" x14ac:dyDescent="0.2"/>
    <row r="115" spans="17:28" customFormat="1" x14ac:dyDescent="0.2"/>
    <row r="116" spans="17:28" customFormat="1" x14ac:dyDescent="0.2"/>
    <row r="117" spans="17:28" x14ac:dyDescent="0.2">
      <c r="Q117"/>
      <c r="R117"/>
      <c r="T117"/>
      <c r="U117"/>
      <c r="V117"/>
      <c r="W117"/>
      <c r="X117"/>
      <c r="Y117"/>
      <c r="Z117"/>
      <c r="AA117"/>
      <c r="AB117"/>
    </row>
    <row r="118" spans="17:28" x14ac:dyDescent="0.2">
      <c r="T118"/>
      <c r="U118"/>
      <c r="V118"/>
      <c r="W118"/>
      <c r="X118"/>
      <c r="Y118"/>
      <c r="Z118"/>
      <c r="AA118"/>
      <c r="AB118"/>
    </row>
    <row r="119" spans="17:28" x14ac:dyDescent="0.2">
      <c r="T119"/>
      <c r="U119"/>
      <c r="V119"/>
      <c r="W119"/>
      <c r="X119"/>
      <c r="Y119"/>
      <c r="Z119"/>
      <c r="AA119"/>
      <c r="AB119"/>
    </row>
    <row r="120" spans="17:28" x14ac:dyDescent="0.2">
      <c r="T120"/>
      <c r="U120"/>
      <c r="V120"/>
      <c r="W120"/>
      <c r="X120"/>
      <c r="Y120"/>
      <c r="Z120"/>
      <c r="AA120"/>
      <c r="AB120"/>
    </row>
    <row r="121" spans="17:28" x14ac:dyDescent="0.2">
      <c r="T121"/>
      <c r="U121"/>
      <c r="V121"/>
      <c r="W121"/>
      <c r="X121"/>
      <c r="Y121"/>
      <c r="Z121"/>
      <c r="AA121"/>
      <c r="AB121"/>
    </row>
    <row r="122" spans="17:28" x14ac:dyDescent="0.2">
      <c r="T122"/>
      <c r="U122"/>
      <c r="V122"/>
      <c r="W122"/>
      <c r="X122"/>
      <c r="Y122"/>
      <c r="Z122"/>
      <c r="AA122"/>
      <c r="AB122"/>
    </row>
    <row r="123" spans="17:28" x14ac:dyDescent="0.2">
      <c r="T123"/>
      <c r="U123"/>
      <c r="V123"/>
      <c r="W123"/>
      <c r="X123"/>
      <c r="Y123"/>
      <c r="Z123"/>
      <c r="AA123"/>
      <c r="AB123"/>
    </row>
    <row r="124" spans="17:28" x14ac:dyDescent="0.2">
      <c r="T124"/>
      <c r="U124"/>
      <c r="V124"/>
      <c r="W124"/>
      <c r="X124"/>
      <c r="Y124"/>
      <c r="Z124"/>
      <c r="AA124"/>
      <c r="AB124"/>
    </row>
  </sheetData>
  <mergeCells count="126">
    <mergeCell ref="AE79:AE80"/>
    <mergeCell ref="AB81:AB93"/>
    <mergeCell ref="AC81:AC93"/>
    <mergeCell ref="AD81:AD93"/>
    <mergeCell ref="AE81:AE93"/>
    <mergeCell ref="U79:U80"/>
    <mergeCell ref="AA79:AA80"/>
    <mergeCell ref="AB79:AB80"/>
    <mergeCell ref="AC79:AC80"/>
    <mergeCell ref="U22:U23"/>
    <mergeCell ref="AA22:AA23"/>
    <mergeCell ref="AB22:AB23"/>
    <mergeCell ref="AC22:AC23"/>
    <mergeCell ref="AD22:AD23"/>
    <mergeCell ref="AE22:AE23"/>
    <mergeCell ref="U75:U78"/>
    <mergeCell ref="AA75:AA78"/>
    <mergeCell ref="AB75:AB78"/>
    <mergeCell ref="AC75:AC78"/>
    <mergeCell ref="AD75:AD78"/>
    <mergeCell ref="AE75:AE78"/>
    <mergeCell ref="AD79:AD80"/>
    <mergeCell ref="L75:L78"/>
    <mergeCell ref="N75:N78"/>
    <mergeCell ref="L79:L80"/>
    <mergeCell ref="M79:M80"/>
    <mergeCell ref="N79:N80"/>
    <mergeCell ref="AB29:AB63"/>
    <mergeCell ref="AC29:AC63"/>
    <mergeCell ref="AD29:AD63"/>
    <mergeCell ref="M75:M78"/>
    <mergeCell ref="AB64:AB65"/>
    <mergeCell ref="AC64:AC65"/>
    <mergeCell ref="AD64:AD65"/>
    <mergeCell ref="AE64:AE65"/>
    <mergeCell ref="AB67:AB74"/>
    <mergeCell ref="AC67:AC74"/>
    <mergeCell ref="AD67:AD74"/>
    <mergeCell ref="AE67:AE74"/>
    <mergeCell ref="U67:U74"/>
    <mergeCell ref="AA67:AA74"/>
    <mergeCell ref="U64:U65"/>
    <mergeCell ref="AA64:AA65"/>
    <mergeCell ref="L64:L65"/>
    <mergeCell ref="M64:M65"/>
    <mergeCell ref="N64:N65"/>
    <mergeCell ref="M67:M74"/>
    <mergeCell ref="L67:L74"/>
    <mergeCell ref="N67:N74"/>
    <mergeCell ref="AD12:AD19"/>
    <mergeCell ref="AE12:AE19"/>
    <mergeCell ref="L20:L21"/>
    <mergeCell ref="M20:M21"/>
    <mergeCell ref="N20:N21"/>
    <mergeCell ref="U20:U21"/>
    <mergeCell ref="AA20:AA21"/>
    <mergeCell ref="AB20:AB21"/>
    <mergeCell ref="AC20:AC21"/>
    <mergeCell ref="AD20:AD21"/>
    <mergeCell ref="AE20:AE21"/>
    <mergeCell ref="L12:L19"/>
    <mergeCell ref="U12:U19"/>
    <mergeCell ref="AA12:AA19"/>
    <mergeCell ref="AB12:AB19"/>
    <mergeCell ref="AC12:AC19"/>
    <mergeCell ref="AE29:AE63"/>
    <mergeCell ref="AA29:AA63"/>
    <mergeCell ref="AA81:AA93"/>
    <mergeCell ref="L94:L96"/>
    <mergeCell ref="N94:N96"/>
    <mergeCell ref="M94:M96"/>
    <mergeCell ref="AA101:AA106"/>
    <mergeCell ref="AB101:AB106"/>
    <mergeCell ref="AC101:AC106"/>
    <mergeCell ref="AD101:AD106"/>
    <mergeCell ref="AE101:AE106"/>
    <mergeCell ref="N81:N93"/>
    <mergeCell ref="M81:M93"/>
    <mergeCell ref="L81:L93"/>
    <mergeCell ref="U81:U93"/>
    <mergeCell ref="U94:U96"/>
    <mergeCell ref="AA94:AA96"/>
    <mergeCell ref="AB94:AB96"/>
    <mergeCell ref="N101:N106"/>
    <mergeCell ref="M101:M106"/>
    <mergeCell ref="L101:L106"/>
    <mergeCell ref="U101:U106"/>
    <mergeCell ref="AC94:AC96"/>
    <mergeCell ref="AD94:AD96"/>
    <mergeCell ref="AE94:AE96"/>
    <mergeCell ref="A1:A4"/>
    <mergeCell ref="A5:C5"/>
    <mergeCell ref="B7:F7"/>
    <mergeCell ref="G7:K7"/>
    <mergeCell ref="D6:G6"/>
    <mergeCell ref="D5:G5"/>
    <mergeCell ref="B1:AB4"/>
    <mergeCell ref="A6:C6"/>
    <mergeCell ref="L7:N7"/>
    <mergeCell ref="O7:U7"/>
    <mergeCell ref="V7:AA7"/>
    <mergeCell ref="AB7:AB8"/>
    <mergeCell ref="AC1:AE1"/>
    <mergeCell ref="AC2:AE2"/>
    <mergeCell ref="AC3:AE3"/>
    <mergeCell ref="AC4:AE4"/>
    <mergeCell ref="L29:L63"/>
    <mergeCell ref="U25:U28"/>
    <mergeCell ref="AA25:AA28"/>
    <mergeCell ref="L25:L28"/>
    <mergeCell ref="AD7:AE7"/>
    <mergeCell ref="U29:U63"/>
    <mergeCell ref="AC25:AC28"/>
    <mergeCell ref="AD25:AD28"/>
    <mergeCell ref="AE25:AE28"/>
    <mergeCell ref="AC7:AC8"/>
    <mergeCell ref="M25:M28"/>
    <mergeCell ref="N25:N28"/>
    <mergeCell ref="AB25:AB28"/>
    <mergeCell ref="M29:M63"/>
    <mergeCell ref="N29:N63"/>
    <mergeCell ref="N12:N19"/>
    <mergeCell ref="M12:M19"/>
    <mergeCell ref="N22:N23"/>
    <mergeCell ref="M22:M23"/>
    <mergeCell ref="L22:L23"/>
  </mergeCells>
  <phoneticPr fontId="5" type="noConversion"/>
  <conditionalFormatting sqref="N94 N9:N10 N20 N24:N27 N22 N64 N66:N67 N75 N81 N79 N97:N101 N12">
    <cfRule type="cellIs" dxfId="8" priority="16" operator="between">
      <formula>0.67</formula>
      <formula>1</formula>
    </cfRule>
    <cfRule type="cellIs" dxfId="7" priority="17" operator="between">
      <formula>0.34</formula>
      <formula>0.66</formula>
    </cfRule>
    <cfRule type="cellIs" dxfId="6" priority="18" operator="between">
      <formula>0</formula>
      <formula>0.33</formula>
    </cfRule>
  </conditionalFormatting>
  <conditionalFormatting sqref="N29">
    <cfRule type="cellIs" dxfId="5" priority="4" operator="between">
      <formula>0.67</formula>
      <formula>1</formula>
    </cfRule>
    <cfRule type="cellIs" dxfId="4" priority="5" operator="between">
      <formula>0.34</formula>
      <formula>0.66</formula>
    </cfRule>
    <cfRule type="cellIs" dxfId="3" priority="6" operator="between">
      <formula>0</formula>
      <formula>0.33</formula>
    </cfRule>
  </conditionalFormatting>
  <conditionalFormatting sqref="N11">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39370078740157483" right="0.19685039370078741" top="0.39370078740157483" bottom="0.19685039370078741" header="0.31496062992125984" footer="0.31496062992125984"/>
  <pageSetup paperSize="14"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54A1324D314E246858CCB0DBD6A20B5" ma:contentTypeVersion="2" ma:contentTypeDescription="Crear nuevo documento." ma:contentTypeScope="" ma:versionID="8d8375ddf498767435bd9f3b0e1e4576">
  <xsd:schema xmlns:xsd="http://www.w3.org/2001/XMLSchema" xmlns:xs="http://www.w3.org/2001/XMLSchema" xmlns:p="http://schemas.microsoft.com/office/2006/metadata/properties" xmlns:ns2="dac37a0c-0a8f-4d7e-a10a-8470f4d28696" targetNamespace="http://schemas.microsoft.com/office/2006/metadata/properties" ma:root="true" ma:fieldsID="96914eedc705e213edebc724d2ce31c7" ns2:_="">
    <xsd:import namespace="dac37a0c-0a8f-4d7e-a10a-8470f4d2869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c37a0c-0a8f-4d7e-a10a-8470f4d28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8CD13F-065B-422F-A567-6DD2013FAB7F}">
  <ds:schemaRefs>
    <ds:schemaRef ds:uri="http://purl.org/dc/terms/"/>
    <ds:schemaRef ds:uri="http://purl.org/dc/dcmitype/"/>
    <ds:schemaRef ds:uri="http://schemas.microsoft.com/office/infopath/2007/PartnerControls"/>
    <ds:schemaRef ds:uri="dac37a0c-0a8f-4d7e-a10a-8470f4d28696"/>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456D269-016D-4C36-BF5B-5004B1CF7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c37a0c-0a8f-4d7e-a10a-8470f4d28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96FC9C-EDA5-446E-B4EC-E6FBB6BFDA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Nov</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revision/>
  <cp:lastPrinted>2022-08-02T14:20:28Z</cp:lastPrinted>
  <dcterms:created xsi:type="dcterms:W3CDTF">2008-07-08T21:30:46Z</dcterms:created>
  <dcterms:modified xsi:type="dcterms:W3CDTF">2023-01-16T16:04:35Z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0x010100E54A1324D314E246858CCB0DBD6A20B5</vt:lpwstr>
  </property>
</Properties>
</file>