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9 - Septiembre\Publicados\"/>
    </mc:Choice>
  </mc:AlternateContent>
  <xr:revisionPtr revIDLastSave="0" documentId="13_ncr:1_{793369FD-7640-4897-9AE0-4543E5C6CF5D}"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14" l="1" a="1"/>
  <c r="A62" i="14" s="1"/>
  <c r="N62" i="14"/>
  <c r="U36" i="14" l="1"/>
  <c r="AC62" i="14"/>
  <c r="AA36" i="14"/>
  <c r="Q12" i="14"/>
  <c r="P31" i="14"/>
  <c r="P24" i="14"/>
  <c r="P46" i="14" l="1"/>
  <c r="Q38" i="14" l="1"/>
  <c r="P38" i="14"/>
  <c r="P21" i="14" l="1"/>
  <c r="AA24" i="14" l="1"/>
  <c r="AA23" i="14"/>
  <c r="AA22" i="14"/>
  <c r="AA21" i="14"/>
  <c r="AA20" i="14"/>
  <c r="AA19" i="14"/>
  <c r="AA13" i="14"/>
  <c r="AA12" i="14"/>
  <c r="AA11" i="14"/>
  <c r="AA10" i="14"/>
  <c r="AA61" i="14"/>
  <c r="AA59" i="14"/>
  <c r="AA58" i="14"/>
  <c r="AA55" i="14"/>
  <c r="AA50" i="14"/>
  <c r="AA48" i="14"/>
  <c r="AA45" i="14"/>
  <c r="AA38" i="14"/>
  <c r="AA30" i="14"/>
  <c r="V53" i="14"/>
  <c r="P15" i="14" l="1"/>
  <c r="P61" i="14" l="1"/>
  <c r="P18" i="14" l="1"/>
  <c r="P35" i="14"/>
  <c r="Q10" i="14" l="1"/>
  <c r="P29" i="14" l="1"/>
  <c r="T27" i="14"/>
  <c r="P17" i="14" l="1"/>
  <c r="P16" i="14"/>
  <c r="U13" i="14" s="1"/>
  <c r="AB13" i="14" s="1"/>
  <c r="U55" i="14" l="1"/>
  <c r="AA53" i="14"/>
  <c r="U53" i="14"/>
  <c r="P22" i="14" l="1"/>
  <c r="P48" i="14"/>
  <c r="U48" i="14" s="1"/>
  <c r="P10" i="14" l="1"/>
  <c r="U10" i="14" s="1"/>
  <c r="AB10" i="14" s="1"/>
  <c r="P58" i="14" l="1"/>
  <c r="U24" i="14" l="1"/>
  <c r="N45" i="14" l="1"/>
  <c r="P30" i="14"/>
  <c r="U30" i="14" s="1"/>
  <c r="AB30" i="14" s="1"/>
  <c r="U12" i="14"/>
  <c r="AB12" i="14" s="1"/>
  <c r="Q61" i="14"/>
  <c r="U61" i="14" s="1"/>
  <c r="Q20" i="14"/>
  <c r="U20" i="14" s="1"/>
  <c r="N13" i="14"/>
  <c r="U45" i="14"/>
  <c r="U59" i="14"/>
  <c r="AB59" i="14" s="1"/>
  <c r="AA43" i="14"/>
  <c r="U43" i="14"/>
  <c r="N12" i="14"/>
  <c r="N11" i="14"/>
  <c r="N10" i="14"/>
  <c r="N9" i="14"/>
  <c r="Q23" i="14"/>
  <c r="Q62" i="14" s="1"/>
  <c r="U58" i="14"/>
  <c r="AB58" i="14" s="1"/>
  <c r="U52" i="14"/>
  <c r="U51" i="14"/>
  <c r="U50" i="14"/>
  <c r="AB48" i="14"/>
  <c r="U47" i="14"/>
  <c r="U42" i="14"/>
  <c r="U41" i="14"/>
  <c r="U22" i="14"/>
  <c r="AB22" i="14" s="1"/>
  <c r="U19" i="14"/>
  <c r="U11" i="14"/>
  <c r="AB11" i="14" s="1"/>
  <c r="U9" i="14"/>
  <c r="U21" i="14"/>
  <c r="N61" i="14"/>
  <c r="N59" i="14"/>
  <c r="N58" i="14"/>
  <c r="N55" i="14"/>
  <c r="N53" i="14"/>
  <c r="N52" i="14"/>
  <c r="N51" i="14"/>
  <c r="N50" i="14"/>
  <c r="N48" i="14"/>
  <c r="N47" i="14"/>
  <c r="N43" i="14"/>
  <c r="N42" i="14"/>
  <c r="N41" i="14"/>
  <c r="N38" i="14"/>
  <c r="N36" i="14"/>
  <c r="N30" i="14"/>
  <c r="N24" i="14"/>
  <c r="N23" i="14"/>
  <c r="N22" i="14"/>
  <c r="N21" i="14"/>
  <c r="N20" i="14"/>
  <c r="N19" i="14"/>
  <c r="AA52" i="14"/>
  <c r="AA51" i="14"/>
  <c r="AB50" i="14"/>
  <c r="AA47" i="14"/>
  <c r="AA42" i="14"/>
  <c r="AA41" i="14"/>
  <c r="AA9" i="14"/>
  <c r="R62" i="14"/>
  <c r="S62" i="14"/>
  <c r="T62" i="14"/>
  <c r="X62" i="14"/>
  <c r="Y62" i="14"/>
  <c r="W62" i="14"/>
  <c r="V62" i="14"/>
  <c r="AB53" i="14"/>
  <c r="AB55" i="14"/>
  <c r="AB24" i="14"/>
  <c r="Z62" i="14"/>
  <c r="AB41" i="14" l="1"/>
  <c r="U23" i="14"/>
  <c r="AB9" i="14"/>
  <c r="AB42" i="14"/>
  <c r="AB43" i="14"/>
  <c r="AB19" i="14"/>
  <c r="AB20" i="14"/>
  <c r="AB61" i="14"/>
  <c r="AB52" i="14"/>
  <c r="AB23" i="14"/>
  <c r="AB47" i="14"/>
  <c r="AB36" i="14"/>
  <c r="P62" i="14"/>
  <c r="U38" i="14"/>
  <c r="U62" i="14" s="1"/>
  <c r="AB45" i="14"/>
  <c r="AB21" i="14"/>
  <c r="AB51" i="14"/>
  <c r="AA62" i="14"/>
  <c r="AB38" i="14" l="1"/>
  <c r="AB62"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<sst xmlns="http://schemas.openxmlformats.org/spreadsheetml/2006/main" count="517" uniqueCount="223">
  <si>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</si>
  <si>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</si>
  <si>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</si>
  <si>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</si>
  <si>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</si>
  <si>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</si>
  <si>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</si>
  <si>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</si>
  <si>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</si>
  <si>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</si>
  <si>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</si>
  <si>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</si>
  <si>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</si>
  <si>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</si>
  <si>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</si>
  <si>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</si>
  <si>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</si>
  <si>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</si>
  <si>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</si>
  <si>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</si>
  <si>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</si>
  <si>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</si>
  <si>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</si>
  <si>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</si>
  <si>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</si>
  <si>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</si>
  <si>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</si>
  <si>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</si>
  <si>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</si>
  <si>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</si>
  <si>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</si>
  <si>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</si>
  <si>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</si>
  <si>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</si>
  <si>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</si>
  <si>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</si>
  <si>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</si>
  <si>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</si>
  <si>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</si>
  <si>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</si>
  <si>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</si>
  <si>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</si>
  <si>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</si>
  <si>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</si>
  <si>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</si>
  <si>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</si>
  <si>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</si>
  <si>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</si>
  <si>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</si>
  <si>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</si>
  <si>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</si>
  <si>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</si>
  <si>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</si>
  <si>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</si>
  <si>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</si>
  <si>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</si>
  <si>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</si>
  <si>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</si>
  <si>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</si>
  <si>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</si>
  <si>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</si>
  <si>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</si>
  <si>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</si>
  <si>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</si>
  <si>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</si>
  <si>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</si>
  <si>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</si>
  <si>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</si>
  <si>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</si>
  <si>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</si>
  <si>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</si>
  <si>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</si>
  <si>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</si>
  <si>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</si>
  <si>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</si>
  <si>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</si>
  <si>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</si>
  <si>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</si>
  <si>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</si>
  <si>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</si>
  <si>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</si>
  <si>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</si>
  <si>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</si>
  <si>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</si>
  <si>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</si>
  <si>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</si>
  <si>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</si>
  <si>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</si>
  <si>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</si>
  <si>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</si>
  <si>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</si>
  <si>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</si>
  <si>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</si>
  <si>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</si>
  <si>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</si>
  <si>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</si>
  <si>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</si>
  <si>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</si>
  <si>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</si>
  <si>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</si>
  <si>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</si>
  <si>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</si>
  <si>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</si>
  <si>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</si>
  <si>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</si>
  <si>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</si>
  <si>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</si>
  <si>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</si>
  <si>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</si>
  <si>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</si>
  <si>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</si>
  <si>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</si>
  <si>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</si>
  <si>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</si>
  <si>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</si>
  <si>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</si>
  <si>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</si>
  <si>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</si>
  <si>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</si>
  <si>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</si>
  <si>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</si>
  <si>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</si>
  <si>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</si>
  <si>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</si>
  <si>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</si>
  <si>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</si>
  <si>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2.3.2.02.02.006.2201029.64114.201</t>
  </si>
  <si>
    <t>2.3.2.02.02.005.2201052.54129.201</t>
  </si>
  <si>
    <t>2.3.2.02.02.009.2201060.92913.201
2.3.2.02.02.009.2201060.92913.206</t>
  </si>
  <si>
    <t>2.3.2.02.02.009.2201074.92919.201
2.3.2.02.02.009.2201074.92919.206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</si>
  <si>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</si>
  <si>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</si>
  <si>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</si>
  <si>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</si>
  <si>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</si>
  <si>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</si>
  <si>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</si>
  <si>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</si>
  <si>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</si>
  <si>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</si>
  <si>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</si>
  <si>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</si>
  <si>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</si>
  <si>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</si>
  <si>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</si>
  <si>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</si>
  <si>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</si>
  <si>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</si>
  <si>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</si>
  <si>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</si>
  <si>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</si>
  <si>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</si>
  <si>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</si>
  <si>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</si>
  <si>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</si>
  <si>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</si>
  <si>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</si>
  <si>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</si>
  <si>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</si>
  <si>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</si>
  <si>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</si>
  <si>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</si>
  <si>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2.3.2.02.02.009.2201030.91121.206</t>
  </si>
  <si>
    <t xml:space="preserve">2.3.2.02.02.009.2201055.91121.205
2.3.2.02.02.009.2201030.91121.206
</t>
  </si>
  <si>
    <t xml:space="preserve">2.3.2.02.02.007.2201071.72112.201
2.3.2.02.02.008.2201006.83990.201 </t>
  </si>
  <si>
    <t xml:space="preserve">2.3.2.02.02.009.2201071.91121.205
2.3.2.02.02.009.2201071.91121.213
</t>
  </si>
  <si>
    <t>2.3.2.02.02.009.2202009.92511.201
2.3.2.02.02.009.2202009.92511.290
2.3.2.02.02.009.2202009.92512.201
2.3.2.02.02.009.2202009.92511.224
2.3.2.02.02.009.2202009.92512.224</t>
  </si>
  <si>
    <t>2.3.2.02.02.009.2202009.92512.201
2.3.2.02.02.009.2202009.92511.290
2.3.2.02.02.009.2202009.92512.224</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</si>
  <si>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</si>
  <si>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</si>
  <si>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</si>
  <si>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</si>
  <si>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</si>
  <si>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</si>
  <si>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</si>
  <si>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</si>
  <si>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</si>
  <si>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</si>
  <si>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</si>
  <si>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</si>
  <si>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DOTACIÓN DE MOBILIARIO PARA LAS INSTITUCIONES EDUCATIVAS OFICIALES Y LA SECRETARÍA DE EDUCACIÓN DEL MUNICIPIO DE BUCARAMANGA</t>
  </si>
  <si>
    <t>Realizar dotación para el mejoramiento de las condiciones de mobiliario en las instituciones educativas oficiales y la Secretaría de Educación.</t>
  </si>
  <si>
    <t>MANTENIMIENTO Y ADECUACIÓN DE LA INFRAESTRUCTURA FÍSICA DE LAS INSTITUCIONES EDUCATIVAS
OFICIALES DEL MUNICIPIO DE BUCARAMANGA</t>
  </si>
  <si>
    <t xml:space="preserve">Desarrollar de obras de mantenimiento y adecuaciones de la planta física de las instituciones educativas oficiales del municipio </t>
  </si>
  <si>
    <t xml:space="preserve">Adición al presupuesto por  Recursos del Balance  </t>
  </si>
  <si>
    <t>2.3.2.02.02.008.2201006.83990.583</t>
  </si>
  <si>
    <t>2.3.2.02.02.009.2202009.92511.523</t>
  </si>
  <si>
    <t>2.3.7.06.02.4599002.54129.688
2.3.7.06.02.4599002.54129.506</t>
  </si>
  <si>
    <t>2.3.2.02.02.008.2201006.83990.201
2.3.2.02.02.008.2201006.83990.205</t>
  </si>
  <si>
    <t>2.3.2.02.02.009.2201049.92920.201
2.3.2.02.02.009.2201049.92920.206</t>
  </si>
  <si>
    <t>2.3.2.02.02.008.2201006.82120.201
2.3.2.02.02.008.2201006.83990.201
2.3.2.02.02.009.2201013.91121.283
2.3.2.02.02.008.2201006.83111.201
2.3.2.02.01.004.2201070.45221.201
2.3.2.02.01.004.2201070.4526102.201
2.3.2.02.01.004.2201070.4526101.201
2.3.2.02.01.004.2201070.45272.201
2.3.2.02.01.004.2201070.45250.201
2.3.2.02.01.004.2201070.4529001.201
2.3.2.02.01.004.2201070.47215.201
2.3.2.02.01.004.2201070.4523001.201
2.3.2.02.01.004.2201070.47811.201
2.3.2.02.01.004.2201070.47821.201</t>
  </si>
  <si>
    <t>2.3.2.02.02.008.2201006.83990.201
2.3.2.02.02.009.2201006.92410.201</t>
  </si>
  <si>
    <t>2.3.2.02.01.003.2201070.3811102.201
2.3.2.02.01.003.2201070.3812299.201</t>
  </si>
  <si>
    <t>2.3.2.02.01.003.2201070.3811106.201
2.3.2.02.01.003.2201070.3812201.201
2.3.2.02.01.003.2201070.3811201.201
2.3.2.02.01.003.2201070.3814038.201
2.3.2.02.01.003.2201070.3756010.201
2.3.2.02.01.004.2201070.4731401.201
2.3.2.02.01.003.2201070.3814049.201
2.3.2.02.01.003.2201070.3812299.201
2.3.2.02.01.003.2201070.3811901.201
2.3.2.02.01.003.2201070.3694012.201
2.3.2.02.01.003.2201070.3811102.201
2.3.2.02.01.003.2201070.3814051.201
2.3.2.02.01.003.2201070.45272.201</t>
  </si>
  <si>
    <t>SERVICIO PARA EL PAGO DE LOS PASIVOS EXIGIBLES DE LA SECRETARÍA DE EDUCACIÓN DEL MUNICIPIO DE BUCARAMANGA</t>
  </si>
  <si>
    <t>Realizar Pago Vigencias Expiradas de los Contratos No. 242 De 2018 y No. 252 De 2018</t>
  </si>
  <si>
    <t>2.3.7.06.02.4599002.54129.794
2.3.7.06.02.4599002.54129.694
2.3.7.06.02.4599002.54129.601</t>
  </si>
  <si>
    <t>Adición al presupuesto</t>
  </si>
  <si>
    <t>DOTACIÓN DE MOBILIARIO ESCOLAR A INSTITUCIONES EDUCATIVAS OFICIALES PRIORIZADAS EN 2022 EN EL MUNICIPIO DE BUCARAMANGA</t>
  </si>
  <si>
    <t>Mejorar las condiciones de mobiliario para la atención de calidad a la población escolar de las IEO del municipio de Bucaramanga.</t>
  </si>
  <si>
    <t>2.3.2.02.01.003.2201070.3814051.201
2.3.2.02.01.003.2201070.3812299.201
2.3.2.02.01.003.2201070.3812201.201
2.3.2.02.01.003.2201070.3811106.201</t>
  </si>
  <si>
    <t>FORTALECIMIENTO DE LA CAPACIDAD TECNOLÓGICA Y ACCESO A LAS TIC EN LAS INSTITUCIONES EDUCATIVAS OFICIALES DEL MUNICIPIO DE BUCARAMANGA</t>
  </si>
  <si>
    <t>Realizar la dotación de equipos tecnológicos (incluidas licencias ofimáticas) para las sedes educativas oficiales del municipio</t>
  </si>
  <si>
    <t xml:space="preserve">2.3.2.02.01.004.2201070.45221.201
</t>
  </si>
  <si>
    <t>2.3.2.02.01.004.2201070.45221.289
2.3.2.02.01.004.2201070.4731401.289
2.3.2.02.01.004.2201070.4732301.289
2.3.2.02.02.003.2202050.3814091.289
2.3.2.02.02.003.2202050.3814091.265</t>
  </si>
  <si>
    <t>MEJORAMIENTO Y ADECUACIÓN DE ESPACIOS DE APRENDIZAJE PARA PRESTACIÓN DEL SERVICIO EDUCATIVO E IMPLEMENTACIÓN DE ESTRATEGIAS DE CALIDAD Y COBERTURA EN LAS INSTITUCIONES EDUCATIVAS OFICIALES DEL MUNICIPIO DE BUCARAMANGA</t>
  </si>
  <si>
    <t>Realizar mejoramientos y adecuaciones  de las instalaciones físicas de las instituciones educativas oficiales del municipio.</t>
  </si>
  <si>
    <t>2.3.2.02.02.005.2201052.54129.201
2.3.2.02.02.005.2201052.54129.506
2.3.2.02.02.005.2201052.54129.592</t>
  </si>
  <si>
    <t>2.3.2.02.02.005.2201052.54129.506
2.3.2.02.02.005.2201052.54129.594</t>
  </si>
  <si>
    <t>2.3.2.02.02.005.2201052.54129.588</t>
  </si>
  <si>
    <t>2.3.2.02.02.006.2201079.63393.201
2.3.2.02.02.008.2201006.82120.201
2.3.2.02.02.008.2201006.83310.201
2.3.2.02.02.008.2201006.83990.201
2.3.2.02.02.006.2201079.63393.213
2.3.2.02.02.006.2201079.63393.214
2.3.2.02.02.006.2201079.63393.266
2.3.2.02.02.006.2201079.63393.217
2.3.2.02.02.006.2201079.63393.514</t>
  </si>
  <si>
    <t>2.3.2.02.02.005.2201052.54129.588
2.3.2.02.02.005.2201052.54129.501</t>
  </si>
  <si>
    <t>30/09/2022</t>
  </si>
  <si>
    <t>2.3.2.02.02.007.2201071.72112.201
2.3.2.02.02.008.2201071.85250.201
2.3.2.02.02.008.2201071.85330.201
2.3.2.02.02.008.2201071.86311.201
2.3.2.02.02.008.2201071.86330.206
2.3.2.02.02.008.2201071.86311.206</t>
  </si>
  <si>
    <t xml:space="preserve">2.3.1.01.01.001.01.2201071.201
2.3.2.02.01.002.2201044.2823321.201
2.3.2.02.01.002.2201044.2823403.201
2.3.2.02.01.002.2201044.2933003.201
2.3.2.02.02.008.2201071.83631.201
2.3.1.01.01.001.01.2201071.205
2.3.1.01.01.001.01.2201071.277
2.3.1.01.01.001.01.2201071.505
2.3.1.01.01.001.02.2201071.205
2.3.1.01.01.001.04.2201071.205
2.3.1.01.01.001.05.2201071.205
2.3.1.01.01.001.06.2201071.205
2.3.1.01.01.001.07.2201071.205
2.3.1.01.01.001.08.01.2201071.205
2.3.1.01.01.001.08.02.2201071.205
2.3.1.01.01.002.06.2201071.205
2.3.1.01.01.002.31.2201071.205
2.3.1.01.02.001.2201071.205
2.3.1.01.02.002.2201071.205
2.3.1.01.02.003.2201071.205
2.3.1.01.02.004.2201071.205
2.3.1.01.02.005.2201071.205
2.3.1.01.02.006.2201071.205
2.3.1.01.02.007.2201071.205
2.3.1.01.02.008.2201071.205
2.3.1.01.02.009.2201071.205
2.3.1.01.03.001.01.2201071.205
2.3.1.01.03.001.03.2201071.205
2.3.1.01.03.009.2201071.205
2.3.1.01.03.096.2201071.205
2.3.1.01.03.097.2201071.205
2.3.2.02.01.002.2201044.2823115.205
2.3.2.02.01.002.2201044.2823211.205
2.3.2.02.01.002.2201044.2823321.205
2.3.2.02.01.002.2201044.2823403.205
2.3.2.02.01.002.2201044.2933001.205
2.3.2.02.01.002.2201044.2933003.205
2.3.2.02.02.006.2201044.63111.205
2.3.2.02.02.006.2201044.64241.205
2.3.2.02.02.009.2201071.97321.205
2.3.7.06.01.4599002.01.01.205
2.3.7.06.01.4599002.01.02.205
2.3.7.06.01.4599002.02.01.205
2.3.7.06.01.4599002.02.02.205
</t>
  </si>
  <si>
    <t>Fortalecer a las instituciones educativas oficiales con planta de personal docente. directivo docente y administrativa.</t>
  </si>
  <si>
    <t>Mantener en funcionamiento las 5 ludotecas :
Centro Cultural del Oriente, Kennedy – Centro Vida Norte, Estación del Ferrocarril Café Madrid, Parque Metropolitano Bosque Encantado (La Ceiba), Recrear del Norte.</t>
  </si>
  <si>
    <t>IMPLEMENTACIÓN DE ACCIONES PARA EL FOMENTO DE COMPETENCIAS CIUDADANAS EN LOS ESTUDIANTES DE LAS INSTITUCIONES EDUCATIVAS OFICIALES DEL MUNICIPIO DE BUCARAMANGA</t>
  </si>
  <si>
    <t>•Realizar visitas guiadas a puntos de interés cultural e histórico del municipio para los estudiantes de las Instituciones Educativas Oficiales del Municipio
•Desarrollar espacios de formación y socialización en temas históricos y culturales dirigidos a estudiantes de las instituciones educativas oficiales del municipio de Bucaramanga</t>
  </si>
  <si>
    <t>2.3.2.02.02.009.2201049.91121.201
2.3.2.02.02.009.2201049.91121.206</t>
  </si>
  <si>
    <t>05/10/2022</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</si>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</sst>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theme="1"/>
      <name val="Arial"/>
      <family val="2"/>
    </font>
    <font>
      <b/>
      <sz val="12"/>
      <name val="Arial"/>
      <family val="2"/>
    </font>
    <font>
      <sz val="7.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s>
  <cellStyleXfs count="1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5" fillId="0" borderId="0"/>
  </cellStyleXfs>
  <cellXfs count="215">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8" fillId="0" borderId="2" xfId="0" applyNumberFormat="1" applyFont="1" applyBorder="1" applyAlignment="1">
      <alignment horizontal="center" vertical="center"/>
    </xf>
    <xf numFmtId="3" fontId="9" fillId="0" borderId="2" xfId="0" applyNumberFormat="1" applyFont="1" applyBorder="1" applyAlignment="1">
      <alignment horizontal="center" vertical="center" wrapText="1"/>
    </xf>
    <xf numFmtId="0" fontId="8" fillId="0" borderId="2" xfId="0" applyFont="1" applyBorder="1" applyAlignment="1">
      <alignment vertical="center"/>
    </xf>
    <xf numFmtId="9" fontId="10" fillId="2" borderId="2" xfId="0" applyNumberFormat="1" applyFont="1" applyFill="1" applyBorder="1" applyAlignment="1">
      <alignment horizontal="justify" vertical="center"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7" fontId="0" fillId="3" borderId="0" xfId="0" applyNumberFormat="1" applyFont="1" applyFill="1" applyBorder="1" applyAlignment="1">
      <alignment vertical="top"/>
    </xf>
    <xf numFmtId="7" fontId="7" fillId="2" borderId="1" xfId="0" applyNumberFormat="1" applyFont="1" applyFill="1" applyBorder="1" applyAlignment="1">
      <alignment horizontal="center" vertical="center" wrapText="1"/>
    </xf>
    <xf numFmtId="7" fontId="0" fillId="0" borderId="0" xfId="0" applyNumberFormat="1" applyFont="1"/>
    <xf numFmtId="7" fontId="0" fillId="0" borderId="0" xfId="110" applyNumberFormat="1" applyFont="1"/>
    <xf numFmtId="167" fontId="0" fillId="3" borderId="0" xfId="0" applyNumberFormat="1" applyFont="1" applyFill="1" applyBorder="1" applyAlignment="1">
      <alignment horizontal="center" vertical="top"/>
    </xf>
    <xf numFmtId="167" fontId="7" fillId="2" borderId="1" xfId="0" applyNumberFormat="1" applyFont="1" applyFill="1" applyBorder="1" applyAlignment="1">
      <alignment horizontal="center" vertical="center" wrapText="1"/>
    </xf>
    <xf numFmtId="167" fontId="0" fillId="0" borderId="0" xfId="0" applyNumberFormat="1" applyFont="1" applyAlignment="1">
      <alignment horizontal="center"/>
    </xf>
    <xf numFmtId="0" fontId="0" fillId="3" borderId="0" xfId="0" applyFont="1" applyFill="1" applyBorder="1" applyAlignment="1">
      <alignment horizontal="left" vertical="top"/>
    </xf>
    <xf numFmtId="5" fontId="9" fillId="0" borderId="2" xfId="108" applyNumberFormat="1" applyFont="1" applyFill="1" applyBorder="1" applyAlignment="1">
      <alignment horizontal="left" vertical="center" wrapText="1"/>
    </xf>
    <xf numFmtId="42" fontId="9" fillId="0" borderId="2" xfId="111" applyFont="1" applyFill="1" applyBorder="1" applyAlignment="1">
      <alignment horizontal="left" vertical="center" wrapText="1"/>
    </xf>
    <xf numFmtId="0" fontId="0" fillId="0" borderId="0" xfId="0" applyFont="1" applyAlignment="1">
      <alignment horizontal="left"/>
    </xf>
    <xf numFmtId="1" fontId="9" fillId="0" borderId="2" xfId="110" applyNumberFormat="1" applyFont="1" applyFill="1" applyBorder="1" applyAlignment="1">
      <alignment horizontal="right" vertical="center" wrapText="1"/>
    </xf>
    <xf numFmtId="0" fontId="0" fillId="0" borderId="0" xfId="0" applyFont="1" applyAlignment="1">
      <alignment horizontal="right"/>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6" fillId="2" borderId="2" xfId="108" applyNumberFormat="1" applyFont="1" applyFill="1" applyBorder="1" applyAlignment="1">
      <alignment vertical="center"/>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5" fontId="6" fillId="2" borderId="2" xfId="108"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0" fillId="3" borderId="0" xfId="0" applyNumberFormat="1" applyFont="1" applyFill="1" applyBorder="1" applyAlignment="1">
      <alignment vertical="top"/>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166" fontId="9" fillId="0" borderId="2" xfId="110" applyNumberFormat="1" applyFont="1" applyFill="1" applyBorder="1" applyAlignment="1">
      <alignment horizontal="right" vertical="center"/>
    </xf>
    <xf numFmtId="166" fontId="9" fillId="0" borderId="2" xfId="110"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9" fillId="0" borderId="2"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164" fontId="9" fillId="0" borderId="2" xfId="0" applyNumberFormat="1" applyFont="1" applyFill="1" applyBorder="1" applyAlignment="1">
      <alignment horizontal="left" vertical="center" wrapText="1"/>
    </xf>
    <xf numFmtId="1" fontId="9" fillId="0" borderId="2" xfId="0" applyNumberFormat="1" applyFont="1" applyFill="1" applyBorder="1" applyAlignment="1">
      <alignment horizontal="left" vertical="center" wrapText="1"/>
    </xf>
    <xf numFmtId="164" fontId="9" fillId="0" borderId="2"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9" fontId="8" fillId="0" borderId="1" xfId="0" applyNumberFormat="1" applyFont="1" applyBorder="1" applyAlignment="1">
      <alignment horizontal="center" vertical="center"/>
    </xf>
    <xf numFmtId="9" fontId="9" fillId="0" borderId="2" xfId="107" applyNumberFormat="1" applyFont="1" applyFill="1" applyBorder="1" applyAlignment="1">
      <alignment horizontal="center" vertical="center" wrapText="1"/>
    </xf>
    <xf numFmtId="10" fontId="8" fillId="0" borderId="2" xfId="0" applyNumberFormat="1" applyFont="1" applyBorder="1" applyAlignment="1">
      <alignment horizontal="center" vertical="center"/>
    </xf>
    <xf numFmtId="164" fontId="9" fillId="0" borderId="2"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10" fontId="0" fillId="0" borderId="0" xfId="107" applyNumberFormat="1" applyFont="1"/>
    <xf numFmtId="5" fontId="9" fillId="0" borderId="4" xfId="108" applyNumberFormat="1" applyFont="1" applyFill="1" applyBorder="1" applyAlignment="1">
      <alignment horizontal="center" vertical="center" wrapText="1"/>
    </xf>
    <xf numFmtId="9"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9" fillId="0" borderId="2" xfId="0" applyNumberFormat="1" applyFont="1" applyBorder="1" applyAlignment="1">
      <alignment horizontal="center" vertical="center" wrapText="1"/>
    </xf>
    <xf numFmtId="167" fontId="0" fillId="0" borderId="0" xfId="0" applyNumberFormat="1"/>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9" fontId="9" fillId="0" borderId="1" xfId="107" applyNumberFormat="1" applyFont="1" applyFill="1" applyBorder="1" applyAlignment="1">
      <alignment horizontal="center" vertical="center" wrapText="1"/>
    </xf>
    <xf numFmtId="9" fontId="9" fillId="0" borderId="1" xfId="0" applyNumberFormat="1" applyFont="1" applyBorder="1" applyAlignment="1">
      <alignment horizontal="center" vertical="center" wrapText="1"/>
    </xf>
    <xf numFmtId="5" fontId="9" fillId="0" borderId="1" xfId="108"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9" fontId="9" fillId="4"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xf>
    <xf numFmtId="168" fontId="9" fillId="4" borderId="2"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164" fontId="9" fillId="0" borderId="1" xfId="0" applyNumberFormat="1" applyFont="1" applyFill="1" applyBorder="1" applyAlignment="1">
      <alignment horizontal="justify" vertical="center" wrapText="1"/>
    </xf>
    <xf numFmtId="0" fontId="9" fillId="0" borderId="2" xfId="0" applyFont="1" applyFill="1" applyBorder="1" applyAlignment="1">
      <alignment horizontal="justify" vertical="center"/>
    </xf>
    <xf numFmtId="1" fontId="9" fillId="2" borderId="2" xfId="0" applyNumberFormat="1" applyFont="1" applyFill="1" applyBorder="1" applyAlignment="1">
      <alignment horizontal="center" vertical="center"/>
    </xf>
    <xf numFmtId="164" fontId="12" fillId="0" borderId="2" xfId="0" applyNumberFormat="1" applyFont="1" applyFill="1" applyBorder="1" applyAlignment="1">
      <alignment horizontal="left" vertical="center" wrapText="1"/>
    </xf>
    <xf numFmtId="9" fontId="8" fillId="0" borderId="1" xfId="0" applyNumberFormat="1"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9" fontId="9" fillId="0" borderId="1" xfId="107"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3" fontId="9" fillId="0" borderId="1" xfId="0" applyNumberFormat="1" applyFont="1" applyBorder="1" applyAlignment="1">
      <alignment horizontal="center" vertical="center" wrapText="1"/>
    </xf>
    <xf numFmtId="5" fontId="9" fillId="0" borderId="1" xfId="108"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0" fontId="7" fillId="2" borderId="13" xfId="0" applyFont="1" applyFill="1" applyBorder="1" applyAlignment="1">
      <alignment horizontal="center" vertical="center"/>
    </xf>
    <xf numFmtId="164" fontId="9" fillId="0" borderId="1" xfId="0" applyNumberFormat="1" applyFont="1" applyBorder="1" applyAlignment="1">
      <alignment horizontal="center" vertical="center" wrapText="1"/>
    </xf>
    <xf numFmtId="164" fontId="9" fillId="0" borderId="1" xfId="0" applyNumberFormat="1" applyFont="1" applyFill="1" applyBorder="1" applyAlignment="1">
      <alignment horizontal="left" vertical="center" wrapText="1"/>
    </xf>
    <xf numFmtId="166" fontId="9" fillId="0" borderId="1" xfId="110" applyNumberFormat="1" applyFont="1" applyFill="1" applyBorder="1" applyAlignment="1">
      <alignment horizontal="right" vertical="center"/>
    </xf>
    <xf numFmtId="1" fontId="9" fillId="0" borderId="4" xfId="110" applyNumberFormat="1" applyFont="1" applyFill="1" applyBorder="1" applyAlignment="1">
      <alignment horizontal="right" vertical="center" wrapText="1"/>
    </xf>
    <xf numFmtId="164" fontId="9" fillId="0" borderId="4" xfId="0" applyNumberFormat="1" applyFont="1" applyBorder="1" applyAlignment="1">
      <alignment horizontal="center" vertical="center" wrapText="1"/>
    </xf>
    <xf numFmtId="164" fontId="9" fillId="0" borderId="4" xfId="0" applyNumberFormat="1" applyFont="1" applyFill="1" applyBorder="1" applyAlignment="1">
      <alignment horizontal="left" vertical="center" wrapText="1"/>
    </xf>
    <xf numFmtId="166" fontId="9" fillId="0" borderId="4" xfId="110" applyNumberFormat="1" applyFont="1" applyFill="1" applyBorder="1" applyAlignment="1">
      <alignment horizontal="right" vertical="center"/>
    </xf>
    <xf numFmtId="0" fontId="9" fillId="0" borderId="7" xfId="0" applyFont="1" applyFill="1" applyBorder="1" applyAlignment="1">
      <alignment horizontal="justify" vertical="center" wrapText="1"/>
    </xf>
    <xf numFmtId="1" fontId="9" fillId="0" borderId="4" xfId="0" applyNumberFormat="1" applyFont="1" applyFill="1" applyBorder="1" applyAlignment="1">
      <alignment horizontal="left" vertical="center" wrapText="1"/>
    </xf>
    <xf numFmtId="1" fontId="9" fillId="0" borderId="1" xfId="110" applyNumberFormat="1" applyFont="1" applyFill="1" applyBorder="1" applyAlignment="1">
      <alignment horizontal="right" vertical="center" wrapText="1"/>
    </xf>
    <xf numFmtId="165" fontId="7"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center" vertical="center"/>
    </xf>
    <xf numFmtId="9" fontId="7" fillId="2" borderId="2" xfId="107" applyNumberFormat="1" applyFont="1" applyFill="1" applyBorder="1" applyAlignment="1">
      <alignment horizontal="center" vertical="center" wrapText="1"/>
    </xf>
    <xf numFmtId="166" fontId="11" fillId="2" borderId="2" xfId="110" applyNumberFormat="1" applyFont="1" applyFill="1" applyBorder="1" applyAlignment="1">
      <alignment vertical="center" wrapText="1"/>
    </xf>
    <xf numFmtId="166" fontId="6" fillId="0" borderId="2" xfId="110" applyNumberFormat="1" applyFont="1" applyBorder="1" applyAlignment="1">
      <alignment horizontal="right"/>
    </xf>
    <xf numFmtId="166" fontId="11" fillId="2" borderId="2" xfId="110" applyNumberFormat="1" applyFont="1" applyFill="1" applyBorder="1" applyAlignment="1">
      <alignment horizontal="right" vertical="center" wrapText="1"/>
    </xf>
    <xf numFmtId="166" fontId="11" fillId="2" borderId="1" xfId="110" applyNumberFormat="1" applyFont="1" applyFill="1" applyBorder="1" applyAlignment="1">
      <alignment horizontal="right" vertical="center" wrapText="1"/>
    </xf>
    <xf numFmtId="166" fontId="9" fillId="0" borderId="2" xfId="110" applyNumberFormat="1" applyFont="1" applyFill="1" applyBorder="1" applyAlignment="1">
      <alignment horizontal="right"/>
    </xf>
    <xf numFmtId="166" fontId="6" fillId="0" borderId="2" xfId="110" applyNumberFormat="1" applyFont="1" applyBorder="1" applyAlignment="1">
      <alignment vertical="center"/>
    </xf>
    <xf numFmtId="166" fontId="9" fillId="0" borderId="2" xfId="110" applyNumberFormat="1" applyFont="1" applyBorder="1" applyAlignment="1">
      <alignment horizontal="right" vertical="center"/>
    </xf>
    <xf numFmtId="166" fontId="11" fillId="2" borderId="1" xfId="110" applyNumberFormat="1" applyFont="1" applyFill="1" applyBorder="1" applyAlignment="1">
      <alignment vertical="center" wrapText="1"/>
    </xf>
    <xf numFmtId="166" fontId="9" fillId="0" borderId="1" xfId="110" applyNumberFormat="1" applyFont="1" applyFill="1" applyBorder="1" applyAlignment="1">
      <alignment horizontal="right" vertical="center" wrapText="1"/>
    </xf>
    <xf numFmtId="166" fontId="9" fillId="0" borderId="1" xfId="110" applyNumberFormat="1" applyFont="1" applyBorder="1" applyAlignment="1">
      <alignment horizontal="right" vertical="center"/>
    </xf>
    <xf numFmtId="166" fontId="6" fillId="0" borderId="1" xfId="110" applyNumberFormat="1" applyFont="1" applyBorder="1" applyAlignment="1">
      <alignment horizontal="right"/>
    </xf>
    <xf numFmtId="166" fontId="9" fillId="0" borderId="4" xfId="110" applyNumberFormat="1" applyFont="1" applyFill="1" applyBorder="1" applyAlignment="1">
      <alignment horizontal="right" vertical="center" wrapText="1"/>
    </xf>
    <xf numFmtId="166" fontId="6" fillId="0" borderId="4" xfId="110" applyNumberFormat="1" applyFont="1" applyBorder="1" applyAlignment="1">
      <alignment horizontal="right"/>
    </xf>
    <xf numFmtId="166" fontId="9" fillId="0" borderId="4" xfId="110" applyNumberFormat="1" applyFont="1" applyBorder="1" applyAlignment="1">
      <alignment horizontal="right" vertical="center"/>
    </xf>
    <xf numFmtId="1" fontId="9" fillId="4" borderId="1" xfId="0" applyNumberFormat="1" applyFont="1" applyFill="1" applyBorder="1" applyAlignment="1">
      <alignment horizontal="center" vertical="center"/>
    </xf>
    <xf numFmtId="1" fontId="9" fillId="4"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166" fontId="11" fillId="2" borderId="1" xfId="110" applyNumberFormat="1" applyFont="1" applyFill="1" applyBorder="1" applyAlignment="1">
      <alignment vertical="center" wrapText="1"/>
    </xf>
    <xf numFmtId="166" fontId="11" fillId="2" borderId="4" xfId="110" applyNumberFormat="1" applyFont="1" applyFill="1" applyBorder="1" applyAlignment="1">
      <alignment vertical="center" wrapText="1"/>
    </xf>
    <xf numFmtId="5" fontId="9" fillId="0" borderId="1" xfId="108" applyNumberFormat="1" applyFont="1" applyFill="1" applyBorder="1" applyAlignment="1">
      <alignment horizontal="center" vertical="center" wrapText="1"/>
    </xf>
    <xf numFmtId="5" fontId="9" fillId="0" borderId="2" xfId="108" applyNumberFormat="1" applyFont="1" applyFill="1" applyBorder="1" applyAlignment="1">
      <alignment horizontal="center" vertical="center" wrapText="1"/>
    </xf>
    <xf numFmtId="5" fontId="9" fillId="0" borderId="7"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9" fontId="8" fillId="0" borderId="7"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166" fontId="11" fillId="2" borderId="1" xfId="110" applyNumberFormat="1" applyFont="1" applyFill="1" applyBorder="1" applyAlignment="1">
      <alignment horizontal="center" vertical="center" wrapText="1"/>
    </xf>
    <xf numFmtId="166" fontId="11" fillId="2" borderId="7" xfId="110" applyNumberFormat="1" applyFont="1" applyFill="1" applyBorder="1" applyAlignment="1">
      <alignment horizontal="center" vertical="center" wrapText="1"/>
    </xf>
    <xf numFmtId="166" fontId="11" fillId="2" borderId="4" xfId="110" applyNumberFormat="1" applyFont="1" applyFill="1" applyBorder="1" applyAlignment="1">
      <alignment horizontal="center" vertical="center" wrapText="1"/>
    </xf>
    <xf numFmtId="9" fontId="9" fillId="0" borderId="1" xfId="107" applyNumberFormat="1" applyFont="1" applyFill="1" applyBorder="1" applyAlignment="1">
      <alignment horizontal="center" vertical="center" wrapText="1"/>
    </xf>
    <xf numFmtId="9" fontId="9" fillId="0" borderId="7" xfId="107" applyNumberFormat="1" applyFont="1" applyFill="1" applyBorder="1" applyAlignment="1">
      <alignment horizontal="center" vertical="center" wrapText="1"/>
    </xf>
    <xf numFmtId="9" fontId="9" fillId="0" borderId="4" xfId="107" applyNumberFormat="1" applyFont="1" applyFill="1" applyBorder="1" applyAlignment="1">
      <alignment horizontal="center" vertical="center" wrapText="1"/>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166" fontId="11" fillId="2" borderId="1" xfId="110" applyNumberFormat="1" applyFont="1" applyFill="1" applyBorder="1" applyAlignment="1">
      <alignment horizontal="right" vertical="center" wrapText="1"/>
    </xf>
    <xf numFmtId="166" fontId="11" fillId="2" borderId="4" xfId="110" applyNumberFormat="1" applyFont="1" applyFill="1" applyBorder="1" applyAlignment="1">
      <alignment horizontal="right" vertical="center" wrapText="1"/>
    </xf>
    <xf numFmtId="166" fontId="11" fillId="2" borderId="2" xfId="110" applyNumberFormat="1" applyFont="1" applyFill="1" applyBorder="1" applyAlignment="1">
      <alignment horizontal="right" vertical="center" wrapText="1"/>
    </xf>
    <xf numFmtId="166" fontId="11" fillId="2" borderId="7" xfId="110" applyNumberFormat="1" applyFont="1" applyFill="1" applyBorder="1" applyAlignment="1">
      <alignment horizontal="right" vertical="center" wrapText="1"/>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3" fontId="9" fillId="4" borderId="1"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4" borderId="1"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9" fontId="9" fillId="0" borderId="7" xfId="0" applyNumberFormat="1" applyFont="1" applyBorder="1" applyAlignment="1">
      <alignment horizontal="center" vertical="center" wrapText="1"/>
    </xf>
    <xf numFmtId="9" fontId="9" fillId="4" borderId="7"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0" fillId="0" borderId="2"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3" fontId="9" fillId="0" borderId="7" xfId="0" applyNumberFormat="1" applyFont="1" applyBorder="1" applyAlignment="1">
      <alignment horizontal="center" vertical="center" wrapText="1"/>
    </xf>
    <xf numFmtId="1" fontId="9" fillId="4" borderId="7" xfId="0" applyNumberFormat="1" applyFont="1" applyFill="1" applyBorder="1" applyAlignment="1">
      <alignment horizontal="center" vertical="center"/>
    </xf>
    <xf numFmtId="3" fontId="9" fillId="0" borderId="2" xfId="0" applyNumberFormat="1" applyFont="1" applyBorder="1" applyAlignment="1">
      <alignment horizontal="center" vertical="center" wrapText="1"/>
    </xf>
    <xf numFmtId="1" fontId="9" fillId="4" borderId="2" xfId="0" applyNumberFormat="1" applyFont="1" applyFill="1" applyBorder="1" applyAlignment="1">
      <alignment horizontal="center" vertical="center"/>
    </xf>
    <xf numFmtId="9" fontId="8" fillId="0" borderId="2" xfId="0" applyNumberFormat="1" applyFont="1" applyBorder="1" applyAlignment="1">
      <alignment horizontal="center" vertical="center"/>
    </xf>
    <xf numFmtId="166" fontId="11" fillId="2" borderId="2" xfId="110" applyNumberFormat="1" applyFont="1" applyFill="1" applyBorder="1" applyAlignment="1">
      <alignment horizontal="center" vertical="center" wrapText="1"/>
    </xf>
    <xf numFmtId="9" fontId="9" fillId="0" borderId="1" xfId="108" applyNumberFormat="1" applyFont="1" applyFill="1" applyBorder="1" applyAlignment="1">
      <alignment horizontal="center" vertical="center" wrapText="1"/>
    </xf>
    <xf numFmtId="9" fontId="9" fillId="0" borderId="2" xfId="108" applyNumberFormat="1" applyFont="1" applyFill="1" applyBorder="1" applyAlignment="1">
      <alignment horizontal="center" vertical="center" wrapText="1"/>
    </xf>
    <xf numFmtId="9" fontId="9" fillId="0" borderId="7" xfId="108" applyNumberFormat="1" applyFont="1" applyFill="1" applyBorder="1" applyAlignment="1">
      <alignment horizontal="center" vertical="center" wrapText="1"/>
    </xf>
    <xf numFmtId="9" fontId="9" fillId="0" borderId="4" xfId="108" applyNumberFormat="1" applyFont="1" applyFill="1" applyBorder="1" applyAlignment="1">
      <alignment horizontal="center" vertical="center" wrapText="1"/>
    </xf>
    <xf numFmtId="9" fontId="9" fillId="0" borderId="2" xfId="107" applyNumberFormat="1" applyFont="1" applyFill="1" applyBorder="1" applyAlignment="1">
      <alignment horizontal="center" vertical="center" wrapText="1"/>
    </xf>
    <xf numFmtId="3" fontId="9" fillId="4" borderId="7" xfId="0" applyNumberFormat="1" applyFont="1" applyFill="1" applyBorder="1" applyAlignment="1">
      <alignment horizontal="center" vertical="center"/>
    </xf>
    <xf numFmtId="2" fontId="7" fillId="0" borderId="2" xfId="113" applyNumberFormat="1" applyFont="1" applyBorder="1" applyAlignment="1">
      <alignment horizontal="left" vertical="center" wrapText="1"/>
    </xf>
    <xf numFmtId="2" fontId="7" fillId="0" borderId="6" xfId="113" applyNumberFormat="1" applyFont="1" applyBorder="1" applyAlignment="1">
      <alignment horizontal="left" vertical="center" wrapText="1"/>
    </xf>
    <xf numFmtId="2" fontId="7" fillId="0" borderId="12" xfId="113" applyNumberFormat="1" applyFont="1" applyBorder="1" applyAlignment="1">
      <alignment horizontal="left" vertical="center" wrapText="1"/>
    </xf>
    <xf numFmtId="2" fontId="7" fillId="0" borderId="5" xfId="113" applyNumberFormat="1" applyFont="1" applyBorder="1" applyAlignment="1">
      <alignment horizontal="left" vertical="center" wrapText="1"/>
    </xf>
  </cellXfs>
  <cellStyles count="1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Normal 2 2" xfId="113" xr:uid="{0A90FF8C-3A06-4CB3-B780-48D77D973104}"/>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6600FF"/>
      <color rgb="FF3333FF"/>
      <color rgb="FF99CC00"/>
      <color rgb="FF9966FF"/>
      <color rgb="FFCC00CC"/>
      <color rgb="FF3333CC"/>
      <color rgb="FFFF00FF"/>
      <color rgb="FFFF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9"/>
  <sheetViews>
    <sheetView tabSelected="1" topLeftCell="N1" zoomScale="51" zoomScaleNormal="51" workbookViewId="0">
      <selection activeCell="AC2" sqref="AC2:AE3"/>
    </sheetView>
  </sheetViews>
  <sheetFormatPr baseColWidth="10" defaultColWidth="11.25" defaultRowHeight="14.25" x14ac:dyDescent="0.2"/>
  <cols>
    <col min="1" max="1" width="7.875" style="1" customWidth="1"/>
    <col min="2" max="2" width="30.75" style="1" customWidth="1"/>
    <col min="3" max="4" width="22.75" style="1" customWidth="1"/>
    <col min="5" max="5" width="58.75" style="17" customWidth="1"/>
    <col min="6" max="6" width="58.75" style="18" customWidth="1"/>
    <col min="7" max="7" width="18.875" style="35" customWidth="1"/>
    <col min="8" max="8" width="47.75" style="1" customWidth="1"/>
    <col min="9" max="9" width="50.5" style="1" customWidth="1"/>
    <col min="10" max="10" width="18.125" style="1" customWidth="1"/>
    <col min="11" max="11" width="17.625" style="1" customWidth="1"/>
    <col min="12" max="12" width="16.625" style="1" customWidth="1"/>
    <col min="13" max="13" width="12.5" style="1" customWidth="1"/>
    <col min="14" max="14" width="13" style="1" customWidth="1"/>
    <col min="15" max="15" width="36.75" style="33" customWidth="1"/>
    <col min="16" max="16" width="30.625" style="25" customWidth="1"/>
    <col min="17" max="17" width="33" style="25" customWidth="1"/>
    <col min="18" max="18" width="20.375" style="1" customWidth="1"/>
    <col min="19" max="19" width="14.5" style="1" customWidth="1"/>
    <col min="20" max="20" width="19.5" style="1" customWidth="1"/>
    <col min="21" max="21" width="33.5" style="29" customWidth="1"/>
    <col min="22" max="22" width="30.625" style="1" customWidth="1"/>
    <col min="23" max="23" width="34.375" style="1" customWidth="1"/>
    <col min="24" max="24" width="19.25" style="1" customWidth="1"/>
    <col min="25" max="25" width="15.625" style="1" customWidth="1"/>
    <col min="26" max="26" width="27.5" style="1" customWidth="1"/>
    <col min="27" max="27" width="33.25" style="22" customWidth="1"/>
    <col min="28" max="28" width="14.125" style="1" customWidth="1"/>
    <col min="29" max="29" width="20.75" style="1" customWidth="1"/>
    <col min="30" max="31" width="22" style="1" customWidth="1"/>
    <col min="32" max="16384" width="11.25" style="1"/>
  </cols>
  <sheetData>
    <row r="1" spans="1:32" ht="15" x14ac:dyDescent="0.2">
      <c r="A1" s="176"/>
      <c r="B1" s="182" t="s">
        <v>117</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4"/>
      <c r="AC1" s="197" t="s">
        <v>151</v>
      </c>
      <c r="AD1" s="197"/>
      <c r="AE1" s="197"/>
    </row>
    <row r="2" spans="1:32" ht="15" x14ac:dyDescent="0.2">
      <c r="A2" s="177"/>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C2" s="211" t="s">
        <v>221</v>
      </c>
      <c r="AD2" s="211"/>
      <c r="AE2" s="211"/>
    </row>
    <row r="3" spans="1:32" ht="15" customHeight="1" x14ac:dyDescent="0.2">
      <c r="A3" s="177"/>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7"/>
      <c r="AC3" s="212" t="s">
        <v>222</v>
      </c>
      <c r="AD3" s="213"/>
      <c r="AE3" s="214"/>
    </row>
    <row r="4" spans="1:32" ht="15" x14ac:dyDescent="0.2">
      <c r="A4" s="178"/>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7"/>
      <c r="AC4" s="198" t="s">
        <v>33</v>
      </c>
      <c r="AD4" s="198"/>
      <c r="AE4" s="198"/>
    </row>
    <row r="5" spans="1:32" ht="16.899999999999999" customHeight="1" x14ac:dyDescent="0.2">
      <c r="A5" s="179" t="s">
        <v>31</v>
      </c>
      <c r="B5" s="180"/>
      <c r="C5" s="181"/>
      <c r="D5" s="188" t="s">
        <v>220</v>
      </c>
      <c r="E5" s="188"/>
      <c r="F5" s="188"/>
      <c r="G5" s="188"/>
      <c r="H5" s="50"/>
      <c r="I5" s="50"/>
      <c r="J5" s="50"/>
      <c r="K5" s="50"/>
      <c r="L5" s="50"/>
      <c r="M5" s="2"/>
      <c r="N5" s="2"/>
      <c r="O5" s="30"/>
      <c r="P5" s="23"/>
      <c r="Q5" s="23"/>
      <c r="R5" s="2"/>
      <c r="S5" s="2"/>
      <c r="T5" s="2"/>
      <c r="U5" s="27"/>
      <c r="V5" s="2"/>
      <c r="W5" s="2"/>
      <c r="X5" s="2"/>
      <c r="Y5" s="2"/>
      <c r="Z5" s="2"/>
      <c r="AA5" s="21"/>
      <c r="AB5" s="2"/>
      <c r="AC5" s="2"/>
      <c r="AD5" s="2"/>
      <c r="AE5" s="3"/>
    </row>
    <row r="6" spans="1:32" ht="18.600000000000001" customHeight="1" x14ac:dyDescent="0.2">
      <c r="A6" s="179" t="s">
        <v>32</v>
      </c>
      <c r="B6" s="180"/>
      <c r="C6" s="181"/>
      <c r="D6" s="188" t="s">
        <v>212</v>
      </c>
      <c r="E6" s="188"/>
      <c r="F6" s="188"/>
      <c r="G6" s="189"/>
      <c r="H6" s="51"/>
      <c r="I6" s="51"/>
      <c r="J6" s="51"/>
      <c r="K6" s="51"/>
      <c r="L6" s="51"/>
      <c r="M6" s="2"/>
      <c r="N6" s="2"/>
      <c r="O6" s="30"/>
      <c r="P6" s="23"/>
      <c r="Q6" s="23"/>
      <c r="R6" s="2"/>
      <c r="S6" s="2"/>
      <c r="T6" s="2"/>
      <c r="U6" s="27"/>
      <c r="V6" s="2"/>
      <c r="W6" s="2"/>
      <c r="X6" s="2"/>
      <c r="Y6" s="2"/>
      <c r="Z6" s="2"/>
      <c r="AA6" s="21"/>
      <c r="AB6" s="2"/>
      <c r="AC6" s="2"/>
      <c r="AD6" s="4"/>
      <c r="AE6" s="5"/>
    </row>
    <row r="7" spans="1:32" ht="15" x14ac:dyDescent="0.2">
      <c r="A7" s="6"/>
      <c r="B7" s="190" t="s">
        <v>10</v>
      </c>
      <c r="C7" s="191"/>
      <c r="D7" s="191"/>
      <c r="E7" s="191"/>
      <c r="F7" s="192"/>
      <c r="G7" s="193" t="s">
        <v>11</v>
      </c>
      <c r="H7" s="193"/>
      <c r="I7" s="193"/>
      <c r="J7" s="193"/>
      <c r="K7" s="193"/>
      <c r="L7" s="196" t="s">
        <v>26</v>
      </c>
      <c r="M7" s="196"/>
      <c r="N7" s="196"/>
      <c r="O7" s="190" t="s">
        <v>24</v>
      </c>
      <c r="P7" s="191"/>
      <c r="Q7" s="191"/>
      <c r="R7" s="191"/>
      <c r="S7" s="191"/>
      <c r="T7" s="191"/>
      <c r="U7" s="192"/>
      <c r="V7" s="190" t="s">
        <v>18</v>
      </c>
      <c r="W7" s="191"/>
      <c r="X7" s="191"/>
      <c r="Y7" s="191"/>
      <c r="Z7" s="191"/>
      <c r="AA7" s="192"/>
      <c r="AB7" s="194" t="s">
        <v>19</v>
      </c>
      <c r="AC7" s="196" t="s">
        <v>27</v>
      </c>
      <c r="AD7" s="196" t="s">
        <v>25</v>
      </c>
      <c r="AE7" s="196"/>
    </row>
    <row r="8" spans="1:32" ht="39" customHeight="1" x14ac:dyDescent="0.2">
      <c r="A8" s="7" t="s">
        <v>30</v>
      </c>
      <c r="B8" s="12" t="s">
        <v>1</v>
      </c>
      <c r="C8" s="7" t="s">
        <v>6</v>
      </c>
      <c r="D8" s="7" t="s">
        <v>2</v>
      </c>
      <c r="E8" s="12" t="s">
        <v>7</v>
      </c>
      <c r="F8" s="7" t="s">
        <v>20</v>
      </c>
      <c r="G8" s="52" t="s">
        <v>15</v>
      </c>
      <c r="H8" s="49" t="s">
        <v>3</v>
      </c>
      <c r="I8" s="49" t="s">
        <v>16</v>
      </c>
      <c r="J8" s="49" t="s">
        <v>22</v>
      </c>
      <c r="K8" s="49" t="s">
        <v>23</v>
      </c>
      <c r="L8" s="49" t="s">
        <v>4</v>
      </c>
      <c r="M8" s="49" t="s">
        <v>5</v>
      </c>
      <c r="N8" s="49" t="s">
        <v>0</v>
      </c>
      <c r="O8" s="7" t="s">
        <v>9</v>
      </c>
      <c r="P8" s="24" t="s">
        <v>35</v>
      </c>
      <c r="Q8" s="24" t="s">
        <v>8</v>
      </c>
      <c r="R8" s="12" t="s">
        <v>28</v>
      </c>
      <c r="S8" s="12" t="s">
        <v>34</v>
      </c>
      <c r="T8" s="12" t="s">
        <v>12</v>
      </c>
      <c r="U8" s="28" t="s">
        <v>21</v>
      </c>
      <c r="V8" s="12" t="s">
        <v>35</v>
      </c>
      <c r="W8" s="12" t="s">
        <v>8</v>
      </c>
      <c r="X8" s="12" t="s">
        <v>28</v>
      </c>
      <c r="Y8" s="12" t="s">
        <v>34</v>
      </c>
      <c r="Z8" s="12" t="s">
        <v>12</v>
      </c>
      <c r="AA8" s="20" t="s">
        <v>29</v>
      </c>
      <c r="AB8" s="195"/>
      <c r="AC8" s="194"/>
      <c r="AD8" s="11" t="s">
        <v>13</v>
      </c>
      <c r="AE8" s="11" t="s">
        <v>14</v>
      </c>
    </row>
    <row r="9" spans="1:32" customFormat="1" ht="68.25" customHeight="1" x14ac:dyDescent="0.2">
      <c r="A9" s="55">
        <v>1</v>
      </c>
      <c r="B9" s="9" t="s">
        <v>36</v>
      </c>
      <c r="C9" s="9" t="s">
        <v>38</v>
      </c>
      <c r="D9" s="9" t="s">
        <v>39</v>
      </c>
      <c r="E9" s="16" t="s">
        <v>40</v>
      </c>
      <c r="F9" s="19" t="s">
        <v>41</v>
      </c>
      <c r="G9" s="34"/>
      <c r="H9" s="56" t="s">
        <v>150</v>
      </c>
      <c r="I9" s="65"/>
      <c r="J9" s="60"/>
      <c r="K9" s="60"/>
      <c r="L9" s="80">
        <v>0</v>
      </c>
      <c r="M9" s="89"/>
      <c r="N9" s="64" t="str">
        <f>IFERROR(IF(M9/L9&gt;100%,100%,M9/L9),"-")</f>
        <v>-</v>
      </c>
      <c r="O9" s="58"/>
      <c r="P9" s="54"/>
      <c r="Q9" s="54"/>
      <c r="R9" s="54"/>
      <c r="S9" s="54"/>
      <c r="T9" s="53"/>
      <c r="U9" s="118">
        <f>SUM(P9:T9)</f>
        <v>0</v>
      </c>
      <c r="V9" s="54"/>
      <c r="W9" s="54"/>
      <c r="X9" s="54"/>
      <c r="Y9" s="54"/>
      <c r="Z9" s="119"/>
      <c r="AA9" s="120">
        <f>SUM(V9:Z9)</f>
        <v>0</v>
      </c>
      <c r="AB9" s="63" t="str">
        <f>IFERROR(AA9/U9,"-")</f>
        <v>-</v>
      </c>
      <c r="AC9" s="8"/>
      <c r="AD9" s="67" t="s">
        <v>42</v>
      </c>
      <c r="AE9" s="68" t="s">
        <v>43</v>
      </c>
    </row>
    <row r="10" spans="1:32" customFormat="1" ht="141.75" customHeight="1" x14ac:dyDescent="0.2">
      <c r="A10" s="55">
        <v>2</v>
      </c>
      <c r="B10" s="10" t="s">
        <v>36</v>
      </c>
      <c r="C10" s="10" t="s">
        <v>38</v>
      </c>
      <c r="D10" s="10" t="s">
        <v>39</v>
      </c>
      <c r="E10" s="16" t="s">
        <v>44</v>
      </c>
      <c r="F10" s="19" t="s">
        <v>45</v>
      </c>
      <c r="G10" s="34">
        <v>2020680010064</v>
      </c>
      <c r="H10" s="56" t="s">
        <v>46</v>
      </c>
      <c r="I10" s="57" t="s">
        <v>179</v>
      </c>
      <c r="J10" s="60">
        <v>44562</v>
      </c>
      <c r="K10" s="60">
        <v>44926</v>
      </c>
      <c r="L10" s="79">
        <v>32276</v>
      </c>
      <c r="M10" s="103">
        <v>33548</v>
      </c>
      <c r="N10" s="74">
        <f>IFERROR(IF(M10/L10&gt;100%,100%,M10/L10),"-")</f>
        <v>1</v>
      </c>
      <c r="O10" s="58" t="s">
        <v>210</v>
      </c>
      <c r="P10" s="54">
        <f>17615613079-320420687</f>
        <v>17295192392</v>
      </c>
      <c r="Q10" s="54">
        <f>1110265056+8000000000+40083581.03</f>
        <v>9150348637.0300007</v>
      </c>
      <c r="R10" s="54"/>
      <c r="S10" s="54"/>
      <c r="T10" s="54">
        <v>1421676897.3</v>
      </c>
      <c r="U10" s="121">
        <f>SUM(P10:T10)</f>
        <v>27867217926.329998</v>
      </c>
      <c r="V10" s="54">
        <v>16053684998.779999</v>
      </c>
      <c r="W10" s="54">
        <v>9062866113.0300007</v>
      </c>
      <c r="X10" s="54"/>
      <c r="Y10" s="54"/>
      <c r="Z10" s="54">
        <v>1421676897.3</v>
      </c>
      <c r="AA10" s="121">
        <f>SUM(V10:Z10)</f>
        <v>26538228009.109997</v>
      </c>
      <c r="AB10" s="81">
        <f>IFERROR(AA10/U10,"-")</f>
        <v>0.95230991766981088</v>
      </c>
      <c r="AC10" s="73"/>
      <c r="AD10" s="76" t="s">
        <v>42</v>
      </c>
      <c r="AE10" s="75" t="s">
        <v>43</v>
      </c>
      <c r="AF10" s="72"/>
    </row>
    <row r="11" spans="1:32" customFormat="1" ht="124.9" customHeight="1" x14ac:dyDescent="0.2">
      <c r="A11" s="55">
        <v>3</v>
      </c>
      <c r="B11" s="9" t="s">
        <v>36</v>
      </c>
      <c r="C11" s="9" t="s">
        <v>38</v>
      </c>
      <c r="D11" s="9" t="s">
        <v>39</v>
      </c>
      <c r="E11" s="16" t="s">
        <v>47</v>
      </c>
      <c r="F11" s="19" t="s">
        <v>48</v>
      </c>
      <c r="G11" s="34">
        <v>2020680010064</v>
      </c>
      <c r="H11" s="56" t="s">
        <v>46</v>
      </c>
      <c r="I11" s="57" t="s">
        <v>179</v>
      </c>
      <c r="J11" s="60">
        <v>44562</v>
      </c>
      <c r="K11" s="60">
        <v>44926</v>
      </c>
      <c r="L11" s="77">
        <v>1</v>
      </c>
      <c r="M11" s="85">
        <v>0.93</v>
      </c>
      <c r="N11" s="13">
        <f>IFERROR(IF(M11/L11&gt;100%,100%,M11/L11),"-")</f>
        <v>0.93</v>
      </c>
      <c r="O11" s="58" t="s">
        <v>123</v>
      </c>
      <c r="P11" s="54"/>
      <c r="Q11" s="122"/>
      <c r="R11" s="54"/>
      <c r="S11" s="54"/>
      <c r="T11" s="54">
        <v>524065612.69999999</v>
      </c>
      <c r="U11" s="118">
        <f>SUM(P11:T11)</f>
        <v>524065612.69999999</v>
      </c>
      <c r="V11" s="54"/>
      <c r="W11" s="54"/>
      <c r="X11" s="54"/>
      <c r="Y11" s="54"/>
      <c r="Z11" s="54">
        <v>524065612.69999999</v>
      </c>
      <c r="AA11" s="120">
        <f>SUM(V11:Z11)</f>
        <v>524065612.69999999</v>
      </c>
      <c r="AB11" s="63">
        <f>IFERROR(AA11/U11,"-")</f>
        <v>1</v>
      </c>
      <c r="AC11" s="8"/>
      <c r="AD11" s="69" t="s">
        <v>42</v>
      </c>
      <c r="AE11" s="68" t="s">
        <v>43</v>
      </c>
    </row>
    <row r="12" spans="1:32" customFormat="1" ht="64.900000000000006" customHeight="1" x14ac:dyDescent="0.2">
      <c r="A12" s="55">
        <v>4</v>
      </c>
      <c r="B12" s="9" t="s">
        <v>36</v>
      </c>
      <c r="C12" s="9" t="s">
        <v>38</v>
      </c>
      <c r="D12" s="9" t="s">
        <v>39</v>
      </c>
      <c r="E12" s="16" t="s">
        <v>176</v>
      </c>
      <c r="F12" s="19" t="s">
        <v>49</v>
      </c>
      <c r="G12" s="34">
        <v>2021680010073</v>
      </c>
      <c r="H12" s="56" t="s">
        <v>118</v>
      </c>
      <c r="I12" s="57" t="s">
        <v>155</v>
      </c>
      <c r="J12" s="60">
        <v>44562</v>
      </c>
      <c r="K12" s="60">
        <v>44926</v>
      </c>
      <c r="L12" s="14">
        <v>3335</v>
      </c>
      <c r="M12" s="86">
        <v>2847</v>
      </c>
      <c r="N12" s="13">
        <f>IFERROR(IF(M12/L12&gt;100%,100%,M12/L12),"-")</f>
        <v>0.8536731634182908</v>
      </c>
      <c r="O12" s="58" t="s">
        <v>163</v>
      </c>
      <c r="P12" s="54"/>
      <c r="Q12" s="54">
        <f>106811308-55026926+2369082</f>
        <v>54153464</v>
      </c>
      <c r="R12" s="54"/>
      <c r="S12" s="54"/>
      <c r="T12" s="54"/>
      <c r="U12" s="118">
        <f>SUM(P12:T12)</f>
        <v>54153464</v>
      </c>
      <c r="V12" s="54"/>
      <c r="W12" s="54">
        <v>51784382</v>
      </c>
      <c r="X12" s="54"/>
      <c r="Y12" s="54"/>
      <c r="Z12" s="119"/>
      <c r="AA12" s="120">
        <f>SUM(V12:Z12)</f>
        <v>51784382</v>
      </c>
      <c r="AB12" s="63">
        <f>IFERROR(AA12/U12,"-")</f>
        <v>0.95625243844050312</v>
      </c>
      <c r="AC12" s="8"/>
      <c r="AD12" s="69" t="s">
        <v>42</v>
      </c>
      <c r="AE12" s="68" t="s">
        <v>43</v>
      </c>
    </row>
    <row r="13" spans="1:32" customFormat="1" ht="64.900000000000006" customHeight="1" x14ac:dyDescent="0.2">
      <c r="A13" s="55">
        <v>5</v>
      </c>
      <c r="B13" s="10" t="s">
        <v>36</v>
      </c>
      <c r="C13" s="10" t="s">
        <v>38</v>
      </c>
      <c r="D13" s="10" t="s">
        <v>39</v>
      </c>
      <c r="E13" s="16" t="s">
        <v>50</v>
      </c>
      <c r="F13" s="19" t="s">
        <v>51</v>
      </c>
      <c r="G13" s="34">
        <v>2021680010073</v>
      </c>
      <c r="H13" s="56" t="s">
        <v>118</v>
      </c>
      <c r="I13" s="57" t="s">
        <v>178</v>
      </c>
      <c r="J13" s="60">
        <v>44562</v>
      </c>
      <c r="K13" s="60">
        <v>44926</v>
      </c>
      <c r="L13" s="142">
        <v>4</v>
      </c>
      <c r="M13" s="168">
        <v>23</v>
      </c>
      <c r="N13" s="134">
        <f>IFERROR(IF(M13/L13&gt;100%,100%,M13/L13),"-")</f>
        <v>1</v>
      </c>
      <c r="O13" s="58" t="s">
        <v>162</v>
      </c>
      <c r="P13" s="54"/>
      <c r="Q13" s="54">
        <v>81109816</v>
      </c>
      <c r="R13" s="54"/>
      <c r="S13" s="54"/>
      <c r="T13" s="54"/>
      <c r="U13" s="152">
        <f>SUM(P13:T18)</f>
        <v>5427390306.3999996</v>
      </c>
      <c r="V13" s="54"/>
      <c r="W13" s="54">
        <v>81109816</v>
      </c>
      <c r="X13" s="54"/>
      <c r="Y13" s="54"/>
      <c r="Z13" s="119"/>
      <c r="AA13" s="152">
        <f>SUM(V13:Z18)</f>
        <v>2456796640.6300001</v>
      </c>
      <c r="AB13" s="155">
        <f>IFERROR(AA13/U13,"-")</f>
        <v>0.45266629115155693</v>
      </c>
      <c r="AC13" s="138"/>
      <c r="AD13" s="146" t="s">
        <v>42</v>
      </c>
      <c r="AE13" s="149" t="s">
        <v>43</v>
      </c>
    </row>
    <row r="14" spans="1:32" customFormat="1" ht="81" customHeight="1" x14ac:dyDescent="0.2">
      <c r="A14" s="55">
        <v>5</v>
      </c>
      <c r="B14" s="10" t="s">
        <v>36</v>
      </c>
      <c r="C14" s="10" t="s">
        <v>38</v>
      </c>
      <c r="D14" s="10" t="s">
        <v>39</v>
      </c>
      <c r="E14" s="16" t="s">
        <v>50</v>
      </c>
      <c r="F14" s="19" t="s">
        <v>51</v>
      </c>
      <c r="G14" s="34">
        <v>2021680010102</v>
      </c>
      <c r="H14" s="56" t="s">
        <v>122</v>
      </c>
      <c r="I14" s="57" t="s">
        <v>177</v>
      </c>
      <c r="J14" s="60">
        <v>44562</v>
      </c>
      <c r="K14" s="60">
        <v>44926</v>
      </c>
      <c r="L14" s="143"/>
      <c r="M14" s="210"/>
      <c r="N14" s="145"/>
      <c r="O14" s="59" t="s">
        <v>124</v>
      </c>
      <c r="P14" s="54"/>
      <c r="Q14" s="54">
        <v>1614876582</v>
      </c>
      <c r="R14" s="54"/>
      <c r="S14" s="54"/>
      <c r="T14" s="54"/>
      <c r="U14" s="153"/>
      <c r="V14" s="54"/>
      <c r="W14" s="54">
        <v>1549074845.3299999</v>
      </c>
      <c r="X14" s="54"/>
      <c r="Y14" s="54"/>
      <c r="Z14" s="119"/>
      <c r="AA14" s="153"/>
      <c r="AB14" s="156"/>
      <c r="AC14" s="140"/>
      <c r="AD14" s="147"/>
      <c r="AE14" s="150"/>
    </row>
    <row r="15" spans="1:32" customFormat="1" ht="102" customHeight="1" x14ac:dyDescent="0.2">
      <c r="A15" s="55">
        <v>5</v>
      </c>
      <c r="B15" s="10" t="s">
        <v>36</v>
      </c>
      <c r="C15" s="10" t="s">
        <v>38</v>
      </c>
      <c r="D15" s="10" t="s">
        <v>39</v>
      </c>
      <c r="E15" s="16" t="s">
        <v>50</v>
      </c>
      <c r="F15" s="19" t="s">
        <v>51</v>
      </c>
      <c r="G15" s="34">
        <v>2021680010117</v>
      </c>
      <c r="H15" s="56" t="s">
        <v>119</v>
      </c>
      <c r="I15" s="57" t="s">
        <v>159</v>
      </c>
      <c r="J15" s="60">
        <v>44562</v>
      </c>
      <c r="K15" s="60">
        <v>44926</v>
      </c>
      <c r="L15" s="143"/>
      <c r="M15" s="210"/>
      <c r="N15" s="145"/>
      <c r="O15" s="58" t="s">
        <v>204</v>
      </c>
      <c r="P15" s="54">
        <f>685561802-288283001.7-397278800.3+350000000+225000000+225000000+954209367+212418301</f>
        <v>1966627668</v>
      </c>
      <c r="Q15" s="54">
        <v>64280301</v>
      </c>
      <c r="R15" s="53"/>
      <c r="S15" s="53"/>
      <c r="T15" s="54"/>
      <c r="U15" s="153"/>
      <c r="V15" s="54"/>
      <c r="W15" s="54"/>
      <c r="X15" s="54"/>
      <c r="Y15" s="54"/>
      <c r="Z15" s="119"/>
      <c r="AA15" s="153"/>
      <c r="AB15" s="156"/>
      <c r="AC15" s="140"/>
      <c r="AD15" s="147"/>
      <c r="AE15" s="150"/>
    </row>
    <row r="16" spans="1:32" customFormat="1" ht="99.75" customHeight="1" x14ac:dyDescent="0.2">
      <c r="A16" s="55">
        <v>5</v>
      </c>
      <c r="B16" s="10" t="s">
        <v>36</v>
      </c>
      <c r="C16" s="10" t="s">
        <v>38</v>
      </c>
      <c r="D16" s="10" t="s">
        <v>39</v>
      </c>
      <c r="E16" s="16" t="s">
        <v>50</v>
      </c>
      <c r="F16" s="19" t="s">
        <v>51</v>
      </c>
      <c r="G16" s="34">
        <v>2022680010002</v>
      </c>
      <c r="H16" s="56" t="s">
        <v>173</v>
      </c>
      <c r="I16" s="57" t="s">
        <v>174</v>
      </c>
      <c r="J16" s="60">
        <v>44636</v>
      </c>
      <c r="K16" s="60">
        <v>44926</v>
      </c>
      <c r="L16" s="143"/>
      <c r="M16" s="210"/>
      <c r="N16" s="145"/>
      <c r="O16" s="58" t="s">
        <v>192</v>
      </c>
      <c r="P16" s="54">
        <f>33775982.18+194842355.7</f>
        <v>228618337.88</v>
      </c>
      <c r="Q16" s="54"/>
      <c r="R16" s="53"/>
      <c r="S16" s="53"/>
      <c r="T16" s="54"/>
      <c r="U16" s="153"/>
      <c r="V16" s="54">
        <v>228618337.88</v>
      </c>
      <c r="W16" s="54"/>
      <c r="X16" s="54"/>
      <c r="Y16" s="54"/>
      <c r="Z16" s="119"/>
      <c r="AA16" s="153"/>
      <c r="AB16" s="156"/>
      <c r="AC16" s="140"/>
      <c r="AD16" s="147"/>
      <c r="AE16" s="150"/>
    </row>
    <row r="17" spans="1:31" customFormat="1" ht="201.75" customHeight="1" x14ac:dyDescent="0.2">
      <c r="A17" s="55">
        <v>5</v>
      </c>
      <c r="B17" s="10" t="s">
        <v>36</v>
      </c>
      <c r="C17" s="10" t="s">
        <v>38</v>
      </c>
      <c r="D17" s="10" t="s">
        <v>39</v>
      </c>
      <c r="E17" s="16" t="s">
        <v>50</v>
      </c>
      <c r="F17" s="19" t="s">
        <v>51</v>
      </c>
      <c r="G17" s="34">
        <v>2022680010007</v>
      </c>
      <c r="H17" s="56" t="s">
        <v>180</v>
      </c>
      <c r="I17" s="57" t="s">
        <v>181</v>
      </c>
      <c r="J17" s="60">
        <v>44684</v>
      </c>
      <c r="K17" s="60">
        <v>44926</v>
      </c>
      <c r="L17" s="143"/>
      <c r="M17" s="210"/>
      <c r="N17" s="145"/>
      <c r="O17" s="58" t="s">
        <v>193</v>
      </c>
      <c r="P17" s="123">
        <f>146018312.16+31902438.7+97149826.13+86108570.89+18437396.99+8086630.24+208485915.12+161079802.1+42568971.56+5112275+29251561.82+2116884+8421246</f>
        <v>844739830.71000016</v>
      </c>
      <c r="Q17" s="54"/>
      <c r="R17" s="53"/>
      <c r="S17" s="53"/>
      <c r="T17" s="54"/>
      <c r="U17" s="153"/>
      <c r="V17" s="54">
        <v>597993641.41999996</v>
      </c>
      <c r="W17" s="54"/>
      <c r="X17" s="54"/>
      <c r="Y17" s="54"/>
      <c r="Z17" s="119"/>
      <c r="AA17" s="153"/>
      <c r="AB17" s="156"/>
      <c r="AC17" s="140"/>
      <c r="AD17" s="147"/>
      <c r="AE17" s="150"/>
    </row>
    <row r="18" spans="1:31" customFormat="1" ht="87" customHeight="1" x14ac:dyDescent="0.2">
      <c r="A18" s="55">
        <v>5</v>
      </c>
      <c r="B18" s="10" t="s">
        <v>36</v>
      </c>
      <c r="C18" s="10" t="s">
        <v>38</v>
      </c>
      <c r="D18" s="10" t="s">
        <v>39</v>
      </c>
      <c r="E18" s="16" t="s">
        <v>50</v>
      </c>
      <c r="F18" s="19" t="s">
        <v>51</v>
      </c>
      <c r="G18" s="34">
        <v>2022680010053</v>
      </c>
      <c r="H18" s="56" t="s">
        <v>198</v>
      </c>
      <c r="I18" s="57" t="s">
        <v>199</v>
      </c>
      <c r="J18" s="60">
        <v>44782</v>
      </c>
      <c r="K18" s="60">
        <v>44926</v>
      </c>
      <c r="L18" s="144"/>
      <c r="M18" s="169"/>
      <c r="N18" s="135"/>
      <c r="O18" s="58" t="s">
        <v>200</v>
      </c>
      <c r="P18" s="123">
        <f>1141355.1+98369613.03+510898825.12+16727977.56</f>
        <v>627137770.80999994</v>
      </c>
      <c r="Q18" s="54"/>
      <c r="R18" s="53"/>
      <c r="S18" s="53"/>
      <c r="T18" s="54"/>
      <c r="U18" s="154"/>
      <c r="V18" s="54"/>
      <c r="W18" s="54"/>
      <c r="X18" s="54"/>
      <c r="Y18" s="54"/>
      <c r="Z18" s="119"/>
      <c r="AA18" s="154"/>
      <c r="AB18" s="157"/>
      <c r="AC18" s="141"/>
      <c r="AD18" s="148"/>
      <c r="AE18" s="151"/>
    </row>
    <row r="19" spans="1:31" customFormat="1" ht="150" customHeight="1" x14ac:dyDescent="0.2">
      <c r="A19" s="55">
        <v>6</v>
      </c>
      <c r="B19" s="9" t="s">
        <v>36</v>
      </c>
      <c r="C19" s="9" t="s">
        <v>38</v>
      </c>
      <c r="D19" s="9" t="s">
        <v>39</v>
      </c>
      <c r="E19" s="16" t="s">
        <v>52</v>
      </c>
      <c r="F19" s="19" t="s">
        <v>53</v>
      </c>
      <c r="G19" s="34">
        <v>2020680010026</v>
      </c>
      <c r="H19" s="56" t="s">
        <v>54</v>
      </c>
      <c r="I19" s="57" t="s">
        <v>135</v>
      </c>
      <c r="J19" s="60">
        <v>44562</v>
      </c>
      <c r="K19" s="60">
        <v>44926</v>
      </c>
      <c r="L19" s="77">
        <v>1</v>
      </c>
      <c r="M19" s="85">
        <v>1</v>
      </c>
      <c r="N19" s="13">
        <f t="shared" ref="N19:N24" si="0">IFERROR(IF(M19/L19&gt;100%,100%,M19/L19),"-")</f>
        <v>1</v>
      </c>
      <c r="O19" s="58" t="s">
        <v>125</v>
      </c>
      <c r="P19" s="53">
        <v>308830000</v>
      </c>
      <c r="Q19" s="54"/>
      <c r="R19" s="54"/>
      <c r="S19" s="54"/>
      <c r="T19" s="54"/>
      <c r="U19" s="118">
        <f>SUM(P19:T19)</f>
        <v>308830000</v>
      </c>
      <c r="V19" s="54">
        <v>272593333.33999997</v>
      </c>
      <c r="W19" s="124"/>
      <c r="X19" s="54"/>
      <c r="Y19" s="54"/>
      <c r="Z19" s="119"/>
      <c r="AA19" s="120">
        <f>SUM(V19:Z19)</f>
        <v>272593333.33999997</v>
      </c>
      <c r="AB19" s="63">
        <f>IFERROR(AA19/U19,"-")</f>
        <v>0.88266468069811865</v>
      </c>
      <c r="AC19" s="8"/>
      <c r="AD19" s="69" t="s">
        <v>42</v>
      </c>
      <c r="AE19" s="68" t="s">
        <v>43</v>
      </c>
    </row>
    <row r="20" spans="1:31" customFormat="1" ht="142.9" customHeight="1" x14ac:dyDescent="0.2">
      <c r="A20" s="55">
        <v>7</v>
      </c>
      <c r="B20" s="10" t="s">
        <v>36</v>
      </c>
      <c r="C20" s="10" t="s">
        <v>38</v>
      </c>
      <c r="D20" s="10" t="s">
        <v>39</v>
      </c>
      <c r="E20" s="16" t="s">
        <v>55</v>
      </c>
      <c r="F20" s="19" t="s">
        <v>56</v>
      </c>
      <c r="G20" s="34">
        <v>2020680010026</v>
      </c>
      <c r="H20" s="56" t="s">
        <v>54</v>
      </c>
      <c r="I20" s="57" t="s">
        <v>135</v>
      </c>
      <c r="J20" s="60">
        <v>44562</v>
      </c>
      <c r="K20" s="60">
        <v>44926</v>
      </c>
      <c r="L20" s="82">
        <v>1</v>
      </c>
      <c r="M20" s="87">
        <v>1</v>
      </c>
      <c r="N20" s="62">
        <f t="shared" si="0"/>
        <v>1</v>
      </c>
      <c r="O20" s="58" t="s">
        <v>188</v>
      </c>
      <c r="P20" s="53">
        <v>139485010</v>
      </c>
      <c r="Q20" s="54">
        <f>849676605-62961615</f>
        <v>786714990</v>
      </c>
      <c r="R20" s="54"/>
      <c r="S20" s="54"/>
      <c r="T20" s="54"/>
      <c r="U20" s="125">
        <f>SUM(P20:T20)</f>
        <v>926200000</v>
      </c>
      <c r="V20" s="54">
        <v>46991676.659999996</v>
      </c>
      <c r="W20" s="54">
        <v>742344989.92000031</v>
      </c>
      <c r="X20" s="54"/>
      <c r="Y20" s="54"/>
      <c r="Z20" s="119"/>
      <c r="AA20" s="121">
        <f>SUM(V20:Z20)</f>
        <v>789336666.58000028</v>
      </c>
      <c r="AB20" s="81">
        <f t="shared" ref="AB20:AB24" si="1">IFERROR(AA20/U20,"-")</f>
        <v>0.85223133942992901</v>
      </c>
      <c r="AC20" s="83"/>
      <c r="AD20" s="70" t="s">
        <v>42</v>
      </c>
      <c r="AE20" s="71" t="s">
        <v>43</v>
      </c>
    </row>
    <row r="21" spans="1:31" customFormat="1" ht="80.25" customHeight="1" x14ac:dyDescent="0.2">
      <c r="A21" s="55">
        <v>8</v>
      </c>
      <c r="B21" s="10" t="s">
        <v>36</v>
      </c>
      <c r="C21" s="10" t="s">
        <v>38</v>
      </c>
      <c r="D21" s="10" t="s">
        <v>39</v>
      </c>
      <c r="E21" s="16" t="s">
        <v>57</v>
      </c>
      <c r="F21" s="19" t="s">
        <v>58</v>
      </c>
      <c r="G21" s="34">
        <v>2020680010135</v>
      </c>
      <c r="H21" s="56" t="s">
        <v>59</v>
      </c>
      <c r="I21" s="56" t="s">
        <v>216</v>
      </c>
      <c r="J21" s="60">
        <v>44562</v>
      </c>
      <c r="K21" s="60">
        <v>44926</v>
      </c>
      <c r="L21" s="79">
        <v>4</v>
      </c>
      <c r="M21" s="84">
        <v>5</v>
      </c>
      <c r="N21" s="62">
        <f t="shared" si="0"/>
        <v>1</v>
      </c>
      <c r="O21" s="58" t="s">
        <v>164</v>
      </c>
      <c r="P21" s="54">
        <f>98797800+253000000</f>
        <v>351797800</v>
      </c>
      <c r="Q21" s="54"/>
      <c r="R21" s="53"/>
      <c r="S21" s="53"/>
      <c r="T21" s="53"/>
      <c r="U21" s="125">
        <f>SUM(P21:T21)</f>
        <v>351797800</v>
      </c>
      <c r="V21" s="54">
        <v>336897800</v>
      </c>
      <c r="W21" s="124"/>
      <c r="X21" s="124"/>
      <c r="Y21" s="124"/>
      <c r="Z21" s="119"/>
      <c r="AA21" s="121">
        <f>SUM(V21:Z21)</f>
        <v>336897800</v>
      </c>
      <c r="AB21" s="81">
        <f t="shared" si="1"/>
        <v>0.95764612513210712</v>
      </c>
      <c r="AC21" s="83"/>
      <c r="AD21" s="70" t="s">
        <v>42</v>
      </c>
      <c r="AE21" s="71" t="s">
        <v>43</v>
      </c>
    </row>
    <row r="22" spans="1:31" customFormat="1" ht="60" x14ac:dyDescent="0.2">
      <c r="A22" s="55">
        <v>9</v>
      </c>
      <c r="B22" s="10" t="s">
        <v>36</v>
      </c>
      <c r="C22" s="10" t="s">
        <v>38</v>
      </c>
      <c r="D22" s="10" t="s">
        <v>39</v>
      </c>
      <c r="E22" s="16" t="s">
        <v>60</v>
      </c>
      <c r="F22" s="19" t="s">
        <v>61</v>
      </c>
      <c r="G22" s="34">
        <v>2020680010092</v>
      </c>
      <c r="H22" s="56" t="s">
        <v>62</v>
      </c>
      <c r="I22" s="57" t="s">
        <v>136</v>
      </c>
      <c r="J22" s="60">
        <v>44562</v>
      </c>
      <c r="K22" s="60">
        <v>44926</v>
      </c>
      <c r="L22" s="79">
        <v>2664</v>
      </c>
      <c r="M22" s="88">
        <v>2615</v>
      </c>
      <c r="N22" s="62">
        <f t="shared" si="0"/>
        <v>0.98160660660660659</v>
      </c>
      <c r="O22" s="58" t="s">
        <v>126</v>
      </c>
      <c r="P22" s="54">
        <f>5677311514-40903048</f>
        <v>5636408466</v>
      </c>
      <c r="Q22" s="54"/>
      <c r="R22" s="53"/>
      <c r="S22" s="53"/>
      <c r="T22" s="53"/>
      <c r="U22" s="125">
        <f>SUM(P22:T22)</f>
        <v>5636408466</v>
      </c>
      <c r="V22" s="54">
        <v>5636408465</v>
      </c>
      <c r="W22" s="124"/>
      <c r="X22" s="124"/>
      <c r="Y22" s="124"/>
      <c r="Z22" s="119"/>
      <c r="AA22" s="121">
        <f>SUM(V22:Z22)</f>
        <v>5636408465</v>
      </c>
      <c r="AB22" s="81">
        <f t="shared" si="1"/>
        <v>0.99999999982258203</v>
      </c>
      <c r="AC22" s="83"/>
      <c r="AD22" s="70" t="s">
        <v>42</v>
      </c>
      <c r="AE22" s="71" t="s">
        <v>43</v>
      </c>
    </row>
    <row r="23" spans="1:31" customFormat="1" ht="76.900000000000006" customHeight="1" x14ac:dyDescent="0.2">
      <c r="A23" s="55">
        <v>10</v>
      </c>
      <c r="B23" s="9" t="s">
        <v>36</v>
      </c>
      <c r="C23" s="9" t="s">
        <v>38</v>
      </c>
      <c r="D23" s="9" t="s">
        <v>39</v>
      </c>
      <c r="E23" s="16" t="s">
        <v>63</v>
      </c>
      <c r="F23" s="19" t="s">
        <v>64</v>
      </c>
      <c r="G23" s="114">
        <v>2020680010090</v>
      </c>
      <c r="H23" s="61" t="s">
        <v>65</v>
      </c>
      <c r="I23" s="61" t="s">
        <v>137</v>
      </c>
      <c r="J23" s="105">
        <v>44562</v>
      </c>
      <c r="K23" s="105">
        <v>44926</v>
      </c>
      <c r="L23" s="101">
        <v>9668</v>
      </c>
      <c r="M23" s="100">
        <v>9755</v>
      </c>
      <c r="N23" s="96">
        <f t="shared" si="0"/>
        <v>1</v>
      </c>
      <c r="O23" s="106" t="s">
        <v>165</v>
      </c>
      <c r="P23" s="126"/>
      <c r="Q23" s="126">
        <f>13637991107+1224120000</f>
        <v>14862111107</v>
      </c>
      <c r="R23" s="107"/>
      <c r="S23" s="107"/>
      <c r="T23" s="107"/>
      <c r="U23" s="125">
        <f>SUM(P23:T23)</f>
        <v>14862111107</v>
      </c>
      <c r="V23" s="126"/>
      <c r="W23" s="126">
        <v>14351906059.309999</v>
      </c>
      <c r="X23" s="127"/>
      <c r="Y23" s="127"/>
      <c r="Z23" s="128"/>
      <c r="AA23" s="121">
        <f>SUM(V23:Z23)</f>
        <v>14351906059.309999</v>
      </c>
      <c r="AB23" s="99">
        <f t="shared" si="1"/>
        <v>0.96567075538483249</v>
      </c>
      <c r="AC23" s="102"/>
      <c r="AD23" s="97" t="s">
        <v>42</v>
      </c>
      <c r="AE23" s="98" t="s">
        <v>43</v>
      </c>
    </row>
    <row r="24" spans="1:31" customFormat="1" ht="69.75" customHeight="1" x14ac:dyDescent="0.2">
      <c r="A24" s="55">
        <v>11</v>
      </c>
      <c r="B24" s="10" t="s">
        <v>36</v>
      </c>
      <c r="C24" s="10" t="s">
        <v>38</v>
      </c>
      <c r="D24" s="10" t="s">
        <v>39</v>
      </c>
      <c r="E24" s="16" t="s">
        <v>66</v>
      </c>
      <c r="F24" s="19" t="s">
        <v>67</v>
      </c>
      <c r="G24" s="34">
        <v>2021680010103</v>
      </c>
      <c r="H24" s="56" t="s">
        <v>120</v>
      </c>
      <c r="I24" s="56" t="s">
        <v>157</v>
      </c>
      <c r="J24" s="60">
        <v>44562</v>
      </c>
      <c r="K24" s="60">
        <v>44926</v>
      </c>
      <c r="L24" s="201">
        <v>10</v>
      </c>
      <c r="M24" s="202">
        <v>5</v>
      </c>
      <c r="N24" s="203">
        <f t="shared" si="0"/>
        <v>0.5</v>
      </c>
      <c r="O24" s="59" t="s">
        <v>161</v>
      </c>
      <c r="P24" s="54">
        <f>4250000000-205896899-392537583.44-493937122.81-1000000000-313568885.41-1434934429.33-35334567.11-7327215-1749300-2000000-20486537+920247999</f>
        <v>1262475459.9000001</v>
      </c>
      <c r="Q24" s="54">
        <v>32140151</v>
      </c>
      <c r="R24" s="53"/>
      <c r="S24" s="53"/>
      <c r="T24" s="53"/>
      <c r="U24" s="162">
        <f>SUM(P24:T29)</f>
        <v>3633716154.6099997</v>
      </c>
      <c r="V24" s="54"/>
      <c r="W24" s="54"/>
      <c r="X24" s="54"/>
      <c r="Y24" s="54"/>
      <c r="Z24" s="119"/>
      <c r="AA24" s="162">
        <f>SUM(V24:Z29)</f>
        <v>2094427257.1399999</v>
      </c>
      <c r="AB24" s="209">
        <f t="shared" si="1"/>
        <v>0.57638713868249047</v>
      </c>
      <c r="AC24" s="139"/>
      <c r="AD24" s="158" t="s">
        <v>42</v>
      </c>
      <c r="AE24" s="159" t="s">
        <v>43</v>
      </c>
    </row>
    <row r="25" spans="1:31" customFormat="1" ht="84.75" customHeight="1" x14ac:dyDescent="0.2">
      <c r="A25" s="55">
        <v>11</v>
      </c>
      <c r="B25" s="10" t="s">
        <v>36</v>
      </c>
      <c r="C25" s="10" t="s">
        <v>38</v>
      </c>
      <c r="D25" s="10" t="s">
        <v>39</v>
      </c>
      <c r="E25" s="16" t="s">
        <v>66</v>
      </c>
      <c r="F25" s="19" t="s">
        <v>67</v>
      </c>
      <c r="G25" s="108">
        <v>2021680010102</v>
      </c>
      <c r="H25" s="66" t="s">
        <v>122</v>
      </c>
      <c r="I25" s="66" t="s">
        <v>177</v>
      </c>
      <c r="J25" s="109">
        <v>44562</v>
      </c>
      <c r="K25" s="109">
        <v>44926</v>
      </c>
      <c r="L25" s="199"/>
      <c r="M25" s="200"/>
      <c r="N25" s="145"/>
      <c r="O25" s="110" t="s">
        <v>124</v>
      </c>
      <c r="P25" s="129"/>
      <c r="Q25" s="129">
        <v>1614876582</v>
      </c>
      <c r="R25" s="111"/>
      <c r="S25" s="111"/>
      <c r="T25" s="111"/>
      <c r="U25" s="163"/>
      <c r="V25" s="129"/>
      <c r="W25" s="129">
        <v>1549074845.3299999</v>
      </c>
      <c r="X25" s="129"/>
      <c r="Y25" s="129"/>
      <c r="Z25" s="130"/>
      <c r="AA25" s="163"/>
      <c r="AB25" s="156"/>
      <c r="AC25" s="140"/>
      <c r="AD25" s="147"/>
      <c r="AE25" s="150"/>
    </row>
    <row r="26" spans="1:31" customFormat="1" ht="84.75" customHeight="1" x14ac:dyDescent="0.2">
      <c r="A26" s="55">
        <v>11</v>
      </c>
      <c r="B26" s="10" t="s">
        <v>36</v>
      </c>
      <c r="C26" s="10" t="s">
        <v>38</v>
      </c>
      <c r="D26" s="10" t="s">
        <v>39</v>
      </c>
      <c r="E26" s="16" t="s">
        <v>66</v>
      </c>
      <c r="F26" s="19" t="s">
        <v>67</v>
      </c>
      <c r="G26" s="34">
        <v>2022680010009</v>
      </c>
      <c r="H26" s="56" t="s">
        <v>182</v>
      </c>
      <c r="I26" s="61" t="s">
        <v>183</v>
      </c>
      <c r="J26" s="60">
        <v>44684</v>
      </c>
      <c r="K26" s="60">
        <v>44926</v>
      </c>
      <c r="L26" s="199"/>
      <c r="M26" s="200"/>
      <c r="N26" s="145"/>
      <c r="O26" s="58" t="s">
        <v>127</v>
      </c>
      <c r="P26" s="54">
        <v>165880700.50999999</v>
      </c>
      <c r="Q26" s="54"/>
      <c r="R26" s="53"/>
      <c r="S26" s="53"/>
      <c r="T26" s="53"/>
      <c r="U26" s="163"/>
      <c r="V26" s="54">
        <v>165880700.50999999</v>
      </c>
      <c r="W26" s="54"/>
      <c r="X26" s="54"/>
      <c r="Y26" s="54"/>
      <c r="Z26" s="119"/>
      <c r="AA26" s="163"/>
      <c r="AB26" s="156"/>
      <c r="AC26" s="140"/>
      <c r="AD26" s="147"/>
      <c r="AE26" s="150"/>
    </row>
    <row r="27" spans="1:31" customFormat="1" ht="84.75" customHeight="1" x14ac:dyDescent="0.2">
      <c r="A27" s="55">
        <v>11</v>
      </c>
      <c r="B27" s="10" t="s">
        <v>36</v>
      </c>
      <c r="C27" s="10" t="s">
        <v>38</v>
      </c>
      <c r="D27" s="10" t="s">
        <v>39</v>
      </c>
      <c r="E27" s="16" t="s">
        <v>66</v>
      </c>
      <c r="F27" s="19" t="s">
        <v>67</v>
      </c>
      <c r="G27" s="34">
        <v>2022680010033</v>
      </c>
      <c r="H27" s="56" t="s">
        <v>194</v>
      </c>
      <c r="I27" s="61" t="s">
        <v>195</v>
      </c>
      <c r="J27" s="60">
        <v>44769</v>
      </c>
      <c r="K27" s="60">
        <v>44926</v>
      </c>
      <c r="L27" s="199"/>
      <c r="M27" s="200"/>
      <c r="N27" s="145"/>
      <c r="O27" s="58" t="s">
        <v>196</v>
      </c>
      <c r="P27" s="54">
        <v>54780161.310000002</v>
      </c>
      <c r="Q27" s="54"/>
      <c r="R27" s="53"/>
      <c r="S27" s="53"/>
      <c r="T27" s="53">
        <f>38601236.72+117547557.07</f>
        <v>156148793.78999999</v>
      </c>
      <c r="U27" s="163"/>
      <c r="V27" s="54">
        <v>54780161.310000002</v>
      </c>
      <c r="W27" s="54"/>
      <c r="X27" s="54"/>
      <c r="Y27" s="54"/>
      <c r="Z27" s="54">
        <v>156148793.78999999</v>
      </c>
      <c r="AA27" s="163"/>
      <c r="AB27" s="156"/>
      <c r="AC27" s="140"/>
      <c r="AD27" s="147"/>
      <c r="AE27" s="150"/>
    </row>
    <row r="28" spans="1:31" customFormat="1" ht="113.25" customHeight="1" x14ac:dyDescent="0.2">
      <c r="A28" s="55">
        <v>11</v>
      </c>
      <c r="B28" s="10" t="s">
        <v>36</v>
      </c>
      <c r="C28" s="10" t="s">
        <v>38</v>
      </c>
      <c r="D28" s="10" t="s">
        <v>39</v>
      </c>
      <c r="E28" s="16" t="s">
        <v>66</v>
      </c>
      <c r="F28" s="19" t="s">
        <v>67</v>
      </c>
      <c r="G28" s="34">
        <v>2022680010061</v>
      </c>
      <c r="H28" s="56" t="s">
        <v>205</v>
      </c>
      <c r="I28" s="61" t="s">
        <v>206</v>
      </c>
      <c r="J28" s="60">
        <v>44798</v>
      </c>
      <c r="K28" s="60">
        <v>44926</v>
      </c>
      <c r="L28" s="199"/>
      <c r="M28" s="200"/>
      <c r="N28" s="145"/>
      <c r="O28" s="58" t="s">
        <v>207</v>
      </c>
      <c r="P28" s="54">
        <v>70669134.219999999</v>
      </c>
      <c r="Q28" s="54">
        <v>45792437.159999996</v>
      </c>
      <c r="R28" s="53"/>
      <c r="S28" s="53"/>
      <c r="T28" s="53">
        <v>52081184.82</v>
      </c>
      <c r="U28" s="163"/>
      <c r="V28" s="54">
        <v>70669134.219999999</v>
      </c>
      <c r="W28" s="54">
        <v>45792437.159999996</v>
      </c>
      <c r="X28" s="54"/>
      <c r="Y28" s="54"/>
      <c r="Z28" s="54">
        <v>52081184.82</v>
      </c>
      <c r="AA28" s="163"/>
      <c r="AB28" s="156"/>
      <c r="AC28" s="140"/>
      <c r="AD28" s="147"/>
      <c r="AE28" s="150"/>
    </row>
    <row r="29" spans="1:31" customFormat="1" ht="56.25" customHeight="1" x14ac:dyDescent="0.2">
      <c r="A29" s="55">
        <v>11</v>
      </c>
      <c r="B29" s="10" t="s">
        <v>36</v>
      </c>
      <c r="C29" s="10" t="s">
        <v>38</v>
      </c>
      <c r="D29" s="10" t="s">
        <v>39</v>
      </c>
      <c r="E29" s="16" t="s">
        <v>66</v>
      </c>
      <c r="F29" s="19" t="s">
        <v>67</v>
      </c>
      <c r="G29" s="34"/>
      <c r="H29" s="56" t="s">
        <v>184</v>
      </c>
      <c r="I29" s="61"/>
      <c r="J29" s="60"/>
      <c r="K29" s="60"/>
      <c r="L29" s="165"/>
      <c r="M29" s="133"/>
      <c r="N29" s="135"/>
      <c r="O29" s="58" t="s">
        <v>209</v>
      </c>
      <c r="P29" s="54">
        <f>178871549.9</f>
        <v>178871549.90000001</v>
      </c>
      <c r="Q29" s="54"/>
      <c r="R29" s="53"/>
      <c r="S29" s="53"/>
      <c r="T29" s="53"/>
      <c r="U29" s="161"/>
      <c r="V29" s="54"/>
      <c r="W29" s="54"/>
      <c r="X29" s="54"/>
      <c r="Y29" s="54"/>
      <c r="Z29" s="119"/>
      <c r="AA29" s="161"/>
      <c r="AB29" s="157"/>
      <c r="AC29" s="141"/>
      <c r="AD29" s="148"/>
      <c r="AE29" s="151"/>
    </row>
    <row r="30" spans="1:31" customFormat="1" ht="75" x14ac:dyDescent="0.2">
      <c r="A30" s="55">
        <v>12</v>
      </c>
      <c r="B30" s="10" t="s">
        <v>36</v>
      </c>
      <c r="C30" s="10" t="s">
        <v>38</v>
      </c>
      <c r="D30" s="10" t="s">
        <v>39</v>
      </c>
      <c r="E30" s="16" t="s">
        <v>68</v>
      </c>
      <c r="F30" s="19" t="s">
        <v>69</v>
      </c>
      <c r="G30" s="114">
        <v>2021680010057</v>
      </c>
      <c r="H30" s="61" t="s">
        <v>70</v>
      </c>
      <c r="I30" s="61" t="s">
        <v>158</v>
      </c>
      <c r="J30" s="105">
        <v>44562</v>
      </c>
      <c r="K30" s="105">
        <v>44926</v>
      </c>
      <c r="L30" s="164">
        <v>6</v>
      </c>
      <c r="M30" s="132">
        <v>7</v>
      </c>
      <c r="N30" s="134">
        <f>IFERROR(IF(M30/L30&gt;100%,100%,M30/L30),"-")</f>
        <v>1</v>
      </c>
      <c r="O30" s="106" t="s">
        <v>127</v>
      </c>
      <c r="P30" s="126">
        <f>61391722+357793798</f>
        <v>419185520</v>
      </c>
      <c r="Q30" s="126"/>
      <c r="R30" s="107"/>
      <c r="S30" s="107"/>
      <c r="T30" s="107"/>
      <c r="U30" s="160">
        <f>SUM(P30:T35)</f>
        <v>5298144616.6599998</v>
      </c>
      <c r="V30" s="126">
        <v>419185520</v>
      </c>
      <c r="W30" s="126"/>
      <c r="X30" s="127"/>
      <c r="Y30" s="127"/>
      <c r="Z30" s="128"/>
      <c r="AA30" s="152">
        <f>SUM(V30:Z35)</f>
        <v>2072755617.8699999</v>
      </c>
      <c r="AB30" s="205">
        <f>IFERROR(AA30/U30,"-")</f>
        <v>0.3912229219550229</v>
      </c>
      <c r="AC30" s="138">
        <v>126000000</v>
      </c>
      <c r="AD30" s="146" t="s">
        <v>42</v>
      </c>
      <c r="AE30" s="149" t="s">
        <v>43</v>
      </c>
    </row>
    <row r="31" spans="1:31" customFormat="1" ht="60" x14ac:dyDescent="0.2">
      <c r="A31" s="55">
        <v>12</v>
      </c>
      <c r="B31" s="10" t="s">
        <v>36</v>
      </c>
      <c r="C31" s="10" t="s">
        <v>38</v>
      </c>
      <c r="D31" s="10" t="s">
        <v>39</v>
      </c>
      <c r="E31" s="16" t="s">
        <v>68</v>
      </c>
      <c r="F31" s="19" t="s">
        <v>69</v>
      </c>
      <c r="G31" s="34">
        <v>2021680010103</v>
      </c>
      <c r="H31" s="56" t="s">
        <v>120</v>
      </c>
      <c r="I31" s="56" t="s">
        <v>157</v>
      </c>
      <c r="J31" s="60">
        <v>44562</v>
      </c>
      <c r="K31" s="60">
        <v>44926</v>
      </c>
      <c r="L31" s="201"/>
      <c r="M31" s="202"/>
      <c r="N31" s="203"/>
      <c r="O31" s="59" t="s">
        <v>161</v>
      </c>
      <c r="P31" s="54">
        <f>3603046476-205896899-392537583.45-493937122.82-1000000000-313568885.4-1434934429.32-35334567.11-7327215-1749300-2000000-20486537+920248000</f>
        <v>615521936.89999998</v>
      </c>
      <c r="Q31" s="54">
        <v>32140150</v>
      </c>
      <c r="R31" s="53"/>
      <c r="S31" s="53"/>
      <c r="T31" s="53"/>
      <c r="U31" s="162"/>
      <c r="V31" s="54"/>
      <c r="W31" s="124"/>
      <c r="X31" s="124"/>
      <c r="Y31" s="124"/>
      <c r="Z31" s="119"/>
      <c r="AA31" s="204"/>
      <c r="AB31" s="206"/>
      <c r="AC31" s="139"/>
      <c r="AD31" s="158"/>
      <c r="AE31" s="159"/>
    </row>
    <row r="32" spans="1:31" customFormat="1" ht="66.75" customHeight="1" x14ac:dyDescent="0.2">
      <c r="A32" s="55">
        <v>12</v>
      </c>
      <c r="B32" s="10" t="s">
        <v>36</v>
      </c>
      <c r="C32" s="10" t="s">
        <v>38</v>
      </c>
      <c r="D32" s="10" t="s">
        <v>39</v>
      </c>
      <c r="E32" s="16" t="s">
        <v>68</v>
      </c>
      <c r="F32" s="19" t="s">
        <v>69</v>
      </c>
      <c r="G32" s="108">
        <v>2022680010001</v>
      </c>
      <c r="H32" s="66" t="s">
        <v>171</v>
      </c>
      <c r="I32" s="112" t="s">
        <v>175</v>
      </c>
      <c r="J32" s="109">
        <v>44622</v>
      </c>
      <c r="K32" s="109">
        <v>44926</v>
      </c>
      <c r="L32" s="199"/>
      <c r="M32" s="200"/>
      <c r="N32" s="145"/>
      <c r="O32" s="113" t="s">
        <v>172</v>
      </c>
      <c r="P32" s="129">
        <v>54000000</v>
      </c>
      <c r="Q32" s="129"/>
      <c r="R32" s="111"/>
      <c r="S32" s="111"/>
      <c r="T32" s="111"/>
      <c r="U32" s="163"/>
      <c r="V32" s="129">
        <v>54000000</v>
      </c>
      <c r="W32" s="131"/>
      <c r="X32" s="131"/>
      <c r="Y32" s="131"/>
      <c r="Z32" s="130"/>
      <c r="AA32" s="153"/>
      <c r="AB32" s="207"/>
      <c r="AC32" s="140"/>
      <c r="AD32" s="147"/>
      <c r="AE32" s="150"/>
    </row>
    <row r="33" spans="1:31" customFormat="1" ht="85.5" customHeight="1" x14ac:dyDescent="0.2">
      <c r="A33" s="55">
        <v>12</v>
      </c>
      <c r="B33" s="10" t="s">
        <v>36</v>
      </c>
      <c r="C33" s="10" t="s">
        <v>38</v>
      </c>
      <c r="D33" s="10" t="s">
        <v>39</v>
      </c>
      <c r="E33" s="16" t="s">
        <v>68</v>
      </c>
      <c r="F33" s="19" t="s">
        <v>69</v>
      </c>
      <c r="G33" s="34">
        <v>2022680010009</v>
      </c>
      <c r="H33" s="56" t="s">
        <v>182</v>
      </c>
      <c r="I33" s="61" t="s">
        <v>183</v>
      </c>
      <c r="J33" s="60">
        <v>44684</v>
      </c>
      <c r="K33" s="60">
        <v>44926</v>
      </c>
      <c r="L33" s="199"/>
      <c r="M33" s="200"/>
      <c r="N33" s="145"/>
      <c r="O33" s="58" t="s">
        <v>127</v>
      </c>
      <c r="P33" s="54">
        <v>821993545.12</v>
      </c>
      <c r="Q33" s="54"/>
      <c r="R33" s="53"/>
      <c r="S33" s="53"/>
      <c r="T33" s="53"/>
      <c r="U33" s="163"/>
      <c r="V33" s="54">
        <v>821993545.12</v>
      </c>
      <c r="W33" s="124"/>
      <c r="X33" s="124"/>
      <c r="Y33" s="124"/>
      <c r="Z33" s="119"/>
      <c r="AA33" s="153"/>
      <c r="AB33" s="207"/>
      <c r="AC33" s="140"/>
      <c r="AD33" s="147"/>
      <c r="AE33" s="150"/>
    </row>
    <row r="34" spans="1:31" customFormat="1" ht="114" customHeight="1" x14ac:dyDescent="0.2">
      <c r="A34" s="55">
        <v>12</v>
      </c>
      <c r="B34" s="10" t="s">
        <v>36</v>
      </c>
      <c r="C34" s="10" t="s">
        <v>38</v>
      </c>
      <c r="D34" s="10" t="s">
        <v>39</v>
      </c>
      <c r="E34" s="16" t="s">
        <v>68</v>
      </c>
      <c r="F34" s="19" t="s">
        <v>69</v>
      </c>
      <c r="G34" s="34">
        <v>2022680010061</v>
      </c>
      <c r="H34" s="56" t="s">
        <v>205</v>
      </c>
      <c r="I34" s="61" t="s">
        <v>206</v>
      </c>
      <c r="J34" s="60">
        <v>44798</v>
      </c>
      <c r="K34" s="60">
        <v>44926</v>
      </c>
      <c r="L34" s="199"/>
      <c r="M34" s="200"/>
      <c r="N34" s="145"/>
      <c r="O34" s="58" t="s">
        <v>208</v>
      </c>
      <c r="P34" s="54"/>
      <c r="Q34" s="54">
        <v>653478048.26999998</v>
      </c>
      <c r="R34" s="53"/>
      <c r="S34" s="53"/>
      <c r="T34" s="53">
        <v>124098504.48</v>
      </c>
      <c r="U34" s="163"/>
      <c r="V34" s="54"/>
      <c r="W34" s="54">
        <v>653478048.26999998</v>
      </c>
      <c r="X34" s="53"/>
      <c r="Y34" s="53"/>
      <c r="Z34" s="53">
        <v>124098504.48</v>
      </c>
      <c r="AA34" s="153"/>
      <c r="AB34" s="207"/>
      <c r="AC34" s="140"/>
      <c r="AD34" s="147"/>
      <c r="AE34" s="150"/>
    </row>
    <row r="35" spans="1:31" customFormat="1" ht="60" customHeight="1" x14ac:dyDescent="0.2">
      <c r="A35" s="55">
        <v>12</v>
      </c>
      <c r="B35" s="10" t="s">
        <v>36</v>
      </c>
      <c r="C35" s="10" t="s">
        <v>38</v>
      </c>
      <c r="D35" s="10" t="s">
        <v>39</v>
      </c>
      <c r="E35" s="16" t="s">
        <v>68</v>
      </c>
      <c r="F35" s="19" t="s">
        <v>69</v>
      </c>
      <c r="G35" s="34"/>
      <c r="H35" s="56" t="s">
        <v>197</v>
      </c>
      <c r="I35" s="61"/>
      <c r="J35" s="60"/>
      <c r="K35" s="60"/>
      <c r="L35" s="165"/>
      <c r="M35" s="133"/>
      <c r="N35" s="135"/>
      <c r="O35" s="58" t="s">
        <v>211</v>
      </c>
      <c r="P35" s="54">
        <f>178871549.89+2398855362</f>
        <v>2577726911.8899999</v>
      </c>
      <c r="Q35" s="54"/>
      <c r="R35" s="53"/>
      <c r="S35" s="53"/>
      <c r="T35" s="53"/>
      <c r="U35" s="161"/>
      <c r="V35" s="54"/>
      <c r="W35" s="124"/>
      <c r="X35" s="124"/>
      <c r="Y35" s="124"/>
      <c r="Z35" s="119"/>
      <c r="AA35" s="154"/>
      <c r="AB35" s="208"/>
      <c r="AC35" s="141"/>
      <c r="AD35" s="148"/>
      <c r="AE35" s="151"/>
    </row>
    <row r="36" spans="1:31" customFormat="1" ht="126.75" customHeight="1" x14ac:dyDescent="0.2">
      <c r="A36" s="55">
        <v>13</v>
      </c>
      <c r="B36" s="9" t="s">
        <v>36</v>
      </c>
      <c r="C36" s="9" t="s">
        <v>38</v>
      </c>
      <c r="D36" s="9" t="s">
        <v>71</v>
      </c>
      <c r="E36" s="16" t="s">
        <v>72</v>
      </c>
      <c r="F36" s="19" t="s">
        <v>73</v>
      </c>
      <c r="G36" s="34">
        <v>2021680010100</v>
      </c>
      <c r="H36" s="56" t="s">
        <v>152</v>
      </c>
      <c r="I36" s="57" t="s">
        <v>168</v>
      </c>
      <c r="J36" s="60">
        <v>44562</v>
      </c>
      <c r="K36" s="60">
        <v>44926</v>
      </c>
      <c r="L36" s="164">
        <v>47</v>
      </c>
      <c r="M36" s="132">
        <v>47</v>
      </c>
      <c r="N36" s="134">
        <f>IFERROR(IF(M36/L36&gt;100%,100%,M36/L36),"-")</f>
        <v>1</v>
      </c>
      <c r="O36" s="59" t="s">
        <v>125</v>
      </c>
      <c r="P36" s="54">
        <v>67304444.469999999</v>
      </c>
      <c r="Q36" s="54"/>
      <c r="R36" s="53"/>
      <c r="S36" s="53"/>
      <c r="T36" s="53"/>
      <c r="U36" s="136">
        <f>SUM(P36:T37)</f>
        <v>163304444.47</v>
      </c>
      <c r="V36" s="54">
        <v>50638888.880000003</v>
      </c>
      <c r="W36" s="124"/>
      <c r="X36" s="124"/>
      <c r="Y36" s="124"/>
      <c r="Z36" s="119"/>
      <c r="AA36" s="160">
        <f>SUM(V36:Z37)</f>
        <v>50638888.880000003</v>
      </c>
      <c r="AB36" s="155">
        <f>IFERROR(AA36/U36,"-")</f>
        <v>0.31008885915106044</v>
      </c>
      <c r="AC36" s="138">
        <v>28800000</v>
      </c>
      <c r="AD36" s="146" t="s">
        <v>42</v>
      </c>
      <c r="AE36" s="149" t="s">
        <v>43</v>
      </c>
    </row>
    <row r="37" spans="1:31" customFormat="1" ht="155.25" customHeight="1" x14ac:dyDescent="0.2">
      <c r="A37" s="55">
        <v>13</v>
      </c>
      <c r="B37" s="9" t="s">
        <v>36</v>
      </c>
      <c r="C37" s="9" t="s">
        <v>38</v>
      </c>
      <c r="D37" s="9" t="s">
        <v>71</v>
      </c>
      <c r="E37" s="16" t="s">
        <v>72</v>
      </c>
      <c r="F37" s="19" t="s">
        <v>73</v>
      </c>
      <c r="G37" s="34">
        <v>2022680010070</v>
      </c>
      <c r="H37" s="56" t="s">
        <v>217</v>
      </c>
      <c r="I37" s="92" t="s">
        <v>218</v>
      </c>
      <c r="J37" s="60">
        <v>44826</v>
      </c>
      <c r="K37" s="60">
        <v>44926</v>
      </c>
      <c r="L37" s="165"/>
      <c r="M37" s="133"/>
      <c r="N37" s="135"/>
      <c r="O37" s="59" t="s">
        <v>219</v>
      </c>
      <c r="P37" s="54">
        <v>40973074</v>
      </c>
      <c r="Q37" s="54">
        <v>55026926</v>
      </c>
      <c r="R37" s="53"/>
      <c r="S37" s="53"/>
      <c r="T37" s="53"/>
      <c r="U37" s="137"/>
      <c r="V37" s="54"/>
      <c r="W37" s="124"/>
      <c r="X37" s="124"/>
      <c r="Y37" s="124"/>
      <c r="Z37" s="119"/>
      <c r="AA37" s="161"/>
      <c r="AB37" s="157"/>
      <c r="AC37" s="141"/>
      <c r="AD37" s="148"/>
      <c r="AE37" s="151"/>
    </row>
    <row r="38" spans="1:31" customFormat="1" ht="171" customHeight="1" x14ac:dyDescent="0.2">
      <c r="A38" s="55">
        <v>14</v>
      </c>
      <c r="B38" s="10" t="s">
        <v>36</v>
      </c>
      <c r="C38" s="10" t="s">
        <v>38</v>
      </c>
      <c r="D38" s="10" t="s">
        <v>71</v>
      </c>
      <c r="E38" s="16" t="s">
        <v>74</v>
      </c>
      <c r="F38" s="19" t="s">
        <v>75</v>
      </c>
      <c r="G38" s="34">
        <v>2020680010076</v>
      </c>
      <c r="H38" s="56" t="s">
        <v>76</v>
      </c>
      <c r="I38" s="61" t="s">
        <v>139</v>
      </c>
      <c r="J38" s="60">
        <v>44562</v>
      </c>
      <c r="K38" s="60">
        <v>44926</v>
      </c>
      <c r="L38" s="164">
        <v>47</v>
      </c>
      <c r="M38" s="132">
        <v>47</v>
      </c>
      <c r="N38" s="134">
        <f>IFERROR(IF(M38/L38&gt;100%,100%,M38/L38),"-")</f>
        <v>1</v>
      </c>
      <c r="O38" s="58" t="s">
        <v>213</v>
      </c>
      <c r="P38" s="54">
        <f>78863292+10151732254+5969919604+148900000</f>
        <v>16349415150</v>
      </c>
      <c r="Q38" s="54">
        <f>1240724312+2576601485</f>
        <v>3817325797</v>
      </c>
      <c r="R38" s="53"/>
      <c r="S38" s="53"/>
      <c r="T38" s="53"/>
      <c r="U38" s="160">
        <f>SUM(P38:T40)</f>
        <v>257145706098.27002</v>
      </c>
      <c r="V38" s="54">
        <v>15363616229.75</v>
      </c>
      <c r="W38" s="54">
        <v>2832581999</v>
      </c>
      <c r="X38" s="124"/>
      <c r="Y38" s="124"/>
      <c r="Z38" s="119"/>
      <c r="AA38" s="160">
        <f>SUM(V38:Z40)</f>
        <v>180853697005.59</v>
      </c>
      <c r="AB38" s="155">
        <f>IFERROR(AA38/U38,"-")</f>
        <v>0.70331214061367797</v>
      </c>
      <c r="AC38" s="138"/>
      <c r="AD38" s="146" t="s">
        <v>42</v>
      </c>
      <c r="AE38" s="149" t="s">
        <v>43</v>
      </c>
    </row>
    <row r="39" spans="1:31" customFormat="1" ht="409.5" x14ac:dyDescent="0.2">
      <c r="A39" s="55">
        <v>14</v>
      </c>
      <c r="B39" s="10" t="s">
        <v>36</v>
      </c>
      <c r="C39" s="10" t="s">
        <v>38</v>
      </c>
      <c r="D39" s="10" t="s">
        <v>71</v>
      </c>
      <c r="E39" s="16" t="s">
        <v>74</v>
      </c>
      <c r="F39" s="19" t="s">
        <v>75</v>
      </c>
      <c r="G39" s="34">
        <v>2020680010027</v>
      </c>
      <c r="H39" s="56" t="s">
        <v>77</v>
      </c>
      <c r="I39" s="56" t="s">
        <v>215</v>
      </c>
      <c r="J39" s="60">
        <v>44562</v>
      </c>
      <c r="K39" s="60">
        <v>44926</v>
      </c>
      <c r="L39" s="199"/>
      <c r="M39" s="200"/>
      <c r="N39" s="145"/>
      <c r="O39" s="95" t="s">
        <v>214</v>
      </c>
      <c r="P39" s="54">
        <v>1253532491</v>
      </c>
      <c r="Q39" s="54">
        <v>234110556079.27002</v>
      </c>
      <c r="R39" s="53"/>
      <c r="S39" s="53"/>
      <c r="T39" s="53"/>
      <c r="U39" s="163"/>
      <c r="V39" s="54">
        <v>792123169</v>
      </c>
      <c r="W39" s="54">
        <v>160316300762.5</v>
      </c>
      <c r="X39" s="124"/>
      <c r="Y39" s="124"/>
      <c r="Z39" s="119"/>
      <c r="AA39" s="163"/>
      <c r="AB39" s="156"/>
      <c r="AC39" s="140"/>
      <c r="AD39" s="147"/>
      <c r="AE39" s="150"/>
    </row>
    <row r="40" spans="1:31" customFormat="1" ht="84.75" customHeight="1" x14ac:dyDescent="0.2">
      <c r="A40" s="55">
        <v>14</v>
      </c>
      <c r="B40" s="10" t="s">
        <v>36</v>
      </c>
      <c r="C40" s="10" t="s">
        <v>38</v>
      </c>
      <c r="D40" s="10" t="s">
        <v>71</v>
      </c>
      <c r="E40" s="16" t="s">
        <v>74</v>
      </c>
      <c r="F40" s="19" t="s">
        <v>75</v>
      </c>
      <c r="G40" s="34">
        <v>2021680010102</v>
      </c>
      <c r="H40" s="56" t="s">
        <v>122</v>
      </c>
      <c r="I40" s="66" t="s">
        <v>134</v>
      </c>
      <c r="J40" s="60">
        <v>44562</v>
      </c>
      <c r="K40" s="60">
        <v>44926</v>
      </c>
      <c r="L40" s="199"/>
      <c r="M40" s="200"/>
      <c r="N40" s="145"/>
      <c r="O40" s="58" t="s">
        <v>124</v>
      </c>
      <c r="P40" s="54"/>
      <c r="Q40" s="54">
        <v>1614876581</v>
      </c>
      <c r="R40" s="53"/>
      <c r="S40" s="53"/>
      <c r="T40" s="53"/>
      <c r="U40" s="163"/>
      <c r="V40" s="124"/>
      <c r="W40" s="54">
        <v>1549074845.3399999</v>
      </c>
      <c r="X40" s="124"/>
      <c r="Y40" s="124"/>
      <c r="Z40" s="119"/>
      <c r="AA40" s="163"/>
      <c r="AB40" s="156"/>
      <c r="AC40" s="140"/>
      <c r="AD40" s="147"/>
      <c r="AE40" s="150"/>
    </row>
    <row r="41" spans="1:31" customFormat="1" ht="75" x14ac:dyDescent="0.2">
      <c r="A41" s="55">
        <v>15</v>
      </c>
      <c r="B41" s="9" t="s">
        <v>36</v>
      </c>
      <c r="C41" s="9" t="s">
        <v>38</v>
      </c>
      <c r="D41" s="9" t="s">
        <v>71</v>
      </c>
      <c r="E41" s="16" t="s">
        <v>78</v>
      </c>
      <c r="F41" s="19" t="s">
        <v>79</v>
      </c>
      <c r="G41" s="34">
        <v>2020680010132</v>
      </c>
      <c r="H41" s="56" t="s">
        <v>80</v>
      </c>
      <c r="I41" s="57" t="s">
        <v>140</v>
      </c>
      <c r="J41" s="60">
        <v>44562</v>
      </c>
      <c r="K41" s="60">
        <v>44926</v>
      </c>
      <c r="L41" s="14">
        <v>300</v>
      </c>
      <c r="M41" s="89">
        <v>386</v>
      </c>
      <c r="N41" s="13">
        <f t="shared" ref="N41:N55" si="2">IFERROR(IF(M41/L41&gt;100%,100%,M41/L41),"-")</f>
        <v>1</v>
      </c>
      <c r="O41" s="58" t="s">
        <v>128</v>
      </c>
      <c r="P41" s="54">
        <v>175000000</v>
      </c>
      <c r="Q41" s="54">
        <v>175000000</v>
      </c>
      <c r="R41" s="54"/>
      <c r="S41" s="54"/>
      <c r="T41" s="54"/>
      <c r="U41" s="118">
        <f t="shared" ref="U41:U52" si="3">SUM(P41:T41)</f>
        <v>350000000</v>
      </c>
      <c r="V41" s="54">
        <v>175000000</v>
      </c>
      <c r="W41" s="54">
        <v>175000000</v>
      </c>
      <c r="X41" s="54"/>
      <c r="Y41" s="54"/>
      <c r="Z41" s="119"/>
      <c r="AA41" s="120">
        <f>SUM(V41:Z41)</f>
        <v>350000000</v>
      </c>
      <c r="AB41" s="63">
        <f>IFERROR(AA41/U41,"-")</f>
        <v>1</v>
      </c>
      <c r="AC41" s="8">
        <v>66931755.117647</v>
      </c>
      <c r="AD41" s="69" t="s">
        <v>42</v>
      </c>
      <c r="AE41" s="68" t="s">
        <v>43</v>
      </c>
    </row>
    <row r="42" spans="1:31" customFormat="1" ht="75" x14ac:dyDescent="0.2">
      <c r="A42" s="55">
        <v>16</v>
      </c>
      <c r="B42" s="9" t="s">
        <v>36</v>
      </c>
      <c r="C42" s="9" t="s">
        <v>38</v>
      </c>
      <c r="D42" s="9" t="s">
        <v>71</v>
      </c>
      <c r="E42" s="16" t="s">
        <v>81</v>
      </c>
      <c r="F42" s="19" t="s">
        <v>82</v>
      </c>
      <c r="G42" s="34">
        <v>2020680010132</v>
      </c>
      <c r="H42" s="56" t="s">
        <v>80</v>
      </c>
      <c r="I42" s="57" t="s">
        <v>141</v>
      </c>
      <c r="J42" s="60">
        <v>44562</v>
      </c>
      <c r="K42" s="60">
        <v>44926</v>
      </c>
      <c r="L42" s="14">
        <v>35000</v>
      </c>
      <c r="M42" s="86">
        <v>37818</v>
      </c>
      <c r="N42" s="13">
        <f t="shared" si="2"/>
        <v>1</v>
      </c>
      <c r="O42" s="58" t="s">
        <v>128</v>
      </c>
      <c r="P42" s="54">
        <v>125000000</v>
      </c>
      <c r="Q42" s="54">
        <v>125000000</v>
      </c>
      <c r="R42" s="54"/>
      <c r="S42" s="54"/>
      <c r="T42" s="54"/>
      <c r="U42" s="118">
        <f t="shared" si="3"/>
        <v>250000000</v>
      </c>
      <c r="V42" s="54">
        <v>125000000</v>
      </c>
      <c r="W42" s="54">
        <v>125000000</v>
      </c>
      <c r="X42" s="54"/>
      <c r="Y42" s="54"/>
      <c r="Z42" s="119"/>
      <c r="AA42" s="120">
        <f>SUM(V42:Z42)</f>
        <v>250000000</v>
      </c>
      <c r="AB42" s="63">
        <f>IFERROR(AA42/U42,"-")</f>
        <v>1</v>
      </c>
      <c r="AC42" s="8">
        <v>190322604.88235301</v>
      </c>
      <c r="AD42" s="69" t="s">
        <v>42</v>
      </c>
      <c r="AE42" s="68" t="s">
        <v>43</v>
      </c>
    </row>
    <row r="43" spans="1:31" customFormat="1" ht="75" x14ac:dyDescent="0.2">
      <c r="A43" s="55">
        <v>17</v>
      </c>
      <c r="B43" s="10" t="s">
        <v>36</v>
      </c>
      <c r="C43" s="10" t="s">
        <v>38</v>
      </c>
      <c r="D43" s="10" t="s">
        <v>71</v>
      </c>
      <c r="E43" s="16" t="s">
        <v>83</v>
      </c>
      <c r="F43" s="19" t="s">
        <v>84</v>
      </c>
      <c r="G43" s="34">
        <v>2021680010083</v>
      </c>
      <c r="H43" s="56" t="s">
        <v>121</v>
      </c>
      <c r="I43" s="57" t="s">
        <v>142</v>
      </c>
      <c r="J43" s="60">
        <v>44562</v>
      </c>
      <c r="K43" s="60">
        <v>44926</v>
      </c>
      <c r="L43" s="164">
        <v>500</v>
      </c>
      <c r="M43" s="132">
        <v>127</v>
      </c>
      <c r="N43" s="134">
        <f t="shared" si="2"/>
        <v>0.254</v>
      </c>
      <c r="O43" s="58" t="s">
        <v>129</v>
      </c>
      <c r="P43" s="54">
        <v>123094917</v>
      </c>
      <c r="Q43" s="54">
        <v>103103083</v>
      </c>
      <c r="R43" s="54"/>
      <c r="S43" s="54"/>
      <c r="T43" s="54"/>
      <c r="U43" s="136">
        <f>SUM(P43:T44)</f>
        <v>293502444.47000003</v>
      </c>
      <c r="V43" s="54">
        <v>43238257</v>
      </c>
      <c r="W43" s="54">
        <v>103103083</v>
      </c>
      <c r="X43" s="54"/>
      <c r="Y43" s="54"/>
      <c r="Z43" s="119"/>
      <c r="AA43" s="160">
        <f>SUM(V43:Z44)</f>
        <v>196980228.88999999</v>
      </c>
      <c r="AB43" s="155">
        <f>IFERROR(AA43/U43,"-")</f>
        <v>0.67113658710987012</v>
      </c>
      <c r="AC43" s="138"/>
      <c r="AD43" s="146" t="s">
        <v>42</v>
      </c>
      <c r="AE43" s="149" t="s">
        <v>43</v>
      </c>
    </row>
    <row r="44" spans="1:31" customFormat="1" ht="75" x14ac:dyDescent="0.2">
      <c r="A44" s="55">
        <v>17</v>
      </c>
      <c r="B44" s="10" t="s">
        <v>36</v>
      </c>
      <c r="C44" s="10" t="s">
        <v>38</v>
      </c>
      <c r="D44" s="10" t="s">
        <v>71</v>
      </c>
      <c r="E44" s="16" t="s">
        <v>83</v>
      </c>
      <c r="F44" s="93" t="s">
        <v>84</v>
      </c>
      <c r="G44" s="34">
        <v>2021680010100</v>
      </c>
      <c r="H44" s="56" t="s">
        <v>152</v>
      </c>
      <c r="I44" s="57" t="s">
        <v>138</v>
      </c>
      <c r="J44" s="60">
        <v>44562</v>
      </c>
      <c r="K44" s="60">
        <v>44926</v>
      </c>
      <c r="L44" s="165"/>
      <c r="M44" s="133"/>
      <c r="N44" s="135"/>
      <c r="O44" s="58" t="s">
        <v>125</v>
      </c>
      <c r="P44" s="54">
        <v>67304444.469999999</v>
      </c>
      <c r="Q44" s="54"/>
      <c r="R44" s="54"/>
      <c r="S44" s="54"/>
      <c r="T44" s="54"/>
      <c r="U44" s="137"/>
      <c r="V44" s="54">
        <v>50638888.890000001</v>
      </c>
      <c r="W44" s="54"/>
      <c r="X44" s="54"/>
      <c r="Y44" s="54"/>
      <c r="Z44" s="119"/>
      <c r="AA44" s="161"/>
      <c r="AB44" s="157"/>
      <c r="AC44" s="141"/>
      <c r="AD44" s="148"/>
      <c r="AE44" s="151"/>
    </row>
    <row r="45" spans="1:31" customFormat="1" ht="150" customHeight="1" x14ac:dyDescent="0.2">
      <c r="A45" s="55">
        <v>18</v>
      </c>
      <c r="B45" s="9" t="s">
        <v>36</v>
      </c>
      <c r="C45" s="9" t="s">
        <v>38</v>
      </c>
      <c r="D45" s="9" t="s">
        <v>71</v>
      </c>
      <c r="E45" s="16" t="s">
        <v>85</v>
      </c>
      <c r="F45" s="19" t="s">
        <v>86</v>
      </c>
      <c r="G45" s="34">
        <v>2021680010100</v>
      </c>
      <c r="H45" s="56" t="s">
        <v>152</v>
      </c>
      <c r="I45" s="57" t="s">
        <v>169</v>
      </c>
      <c r="J45" s="60">
        <v>44562</v>
      </c>
      <c r="K45" s="60">
        <v>44926</v>
      </c>
      <c r="L45" s="164">
        <v>20</v>
      </c>
      <c r="M45" s="132">
        <v>20</v>
      </c>
      <c r="N45" s="134">
        <f t="shared" si="2"/>
        <v>1</v>
      </c>
      <c r="O45" s="58" t="s">
        <v>125</v>
      </c>
      <c r="P45" s="54">
        <v>67304444.459999993</v>
      </c>
      <c r="Q45" s="54"/>
      <c r="R45" s="54"/>
      <c r="S45" s="54"/>
      <c r="T45" s="54"/>
      <c r="U45" s="136">
        <f>SUM(P45:T46)</f>
        <v>114304444.45999999</v>
      </c>
      <c r="V45" s="54">
        <v>50638888.890000001</v>
      </c>
      <c r="W45" s="54"/>
      <c r="X45" s="54"/>
      <c r="Y45" s="54"/>
      <c r="Z45" s="119"/>
      <c r="AA45" s="160">
        <f>SUM(V45:Z46)</f>
        <v>92625555.549999997</v>
      </c>
      <c r="AB45" s="155">
        <f>IFERROR(AA45/U45,"-")</f>
        <v>0.81034080509803474</v>
      </c>
      <c r="AC45" s="138"/>
      <c r="AD45" s="146" t="s">
        <v>42</v>
      </c>
      <c r="AE45" s="149" t="s">
        <v>43</v>
      </c>
    </row>
    <row r="46" spans="1:31" customFormat="1" ht="98.25" customHeight="1" x14ac:dyDescent="0.2">
      <c r="A46" s="55">
        <v>18</v>
      </c>
      <c r="B46" s="9" t="s">
        <v>36</v>
      </c>
      <c r="C46" s="9" t="s">
        <v>38</v>
      </c>
      <c r="D46" s="9" t="s">
        <v>71</v>
      </c>
      <c r="E46" s="16" t="s">
        <v>85</v>
      </c>
      <c r="F46" s="19" t="s">
        <v>86</v>
      </c>
      <c r="G46" s="34">
        <v>2021680010101</v>
      </c>
      <c r="H46" s="56" t="s">
        <v>153</v>
      </c>
      <c r="I46" s="57" t="s">
        <v>170</v>
      </c>
      <c r="J46" s="60">
        <v>44562</v>
      </c>
      <c r="K46" s="60">
        <v>44926</v>
      </c>
      <c r="L46" s="165"/>
      <c r="M46" s="133"/>
      <c r="N46" s="135"/>
      <c r="O46" s="59" t="s">
        <v>125</v>
      </c>
      <c r="P46" s="54">
        <f>47000000</f>
        <v>47000000</v>
      </c>
      <c r="Q46" s="54"/>
      <c r="R46" s="54"/>
      <c r="S46" s="54"/>
      <c r="T46" s="54"/>
      <c r="U46" s="137"/>
      <c r="V46" s="54">
        <v>41986666.659999996</v>
      </c>
      <c r="W46" s="54"/>
      <c r="X46" s="54"/>
      <c r="Y46" s="54"/>
      <c r="Z46" s="119"/>
      <c r="AA46" s="161"/>
      <c r="AB46" s="157"/>
      <c r="AC46" s="141"/>
      <c r="AD46" s="148"/>
      <c r="AE46" s="151"/>
    </row>
    <row r="47" spans="1:31" customFormat="1" ht="75" x14ac:dyDescent="0.2">
      <c r="A47" s="55">
        <v>19</v>
      </c>
      <c r="B47" s="9" t="s">
        <v>36</v>
      </c>
      <c r="C47" s="9" t="s">
        <v>38</v>
      </c>
      <c r="D47" s="9" t="s">
        <v>71</v>
      </c>
      <c r="E47" s="16" t="s">
        <v>87</v>
      </c>
      <c r="F47" s="19" t="s">
        <v>88</v>
      </c>
      <c r="G47" s="34">
        <v>2020680010107</v>
      </c>
      <c r="H47" s="56" t="s">
        <v>89</v>
      </c>
      <c r="I47" s="57" t="s">
        <v>143</v>
      </c>
      <c r="J47" s="60">
        <v>44562</v>
      </c>
      <c r="K47" s="60">
        <v>44926</v>
      </c>
      <c r="L47" s="14">
        <v>1</v>
      </c>
      <c r="M47" s="90">
        <v>0.3</v>
      </c>
      <c r="N47" s="13">
        <f t="shared" si="2"/>
        <v>0.3</v>
      </c>
      <c r="O47" s="58" t="s">
        <v>189</v>
      </c>
      <c r="P47" s="54">
        <v>40903048</v>
      </c>
      <c r="Q47" s="54">
        <v>50000000</v>
      </c>
      <c r="R47" s="54"/>
      <c r="S47" s="54"/>
      <c r="T47" s="54"/>
      <c r="U47" s="118">
        <f t="shared" si="3"/>
        <v>90903048</v>
      </c>
      <c r="V47" s="54">
        <v>32118540</v>
      </c>
      <c r="W47" s="54">
        <v>50000000</v>
      </c>
      <c r="X47" s="54"/>
      <c r="Y47" s="54"/>
      <c r="Z47" s="119"/>
      <c r="AA47" s="120">
        <f t="shared" ref="AA47:AA52" si="4">SUM(V47:Z47)</f>
        <v>82118540</v>
      </c>
      <c r="AB47" s="63">
        <f t="shared" ref="AB47:AB53" si="5">IFERROR(AA47/U47,"-")</f>
        <v>0.90336398841103771</v>
      </c>
      <c r="AC47" s="8">
        <v>35297957</v>
      </c>
      <c r="AD47" s="69" t="s">
        <v>42</v>
      </c>
      <c r="AE47" s="68" t="s">
        <v>43</v>
      </c>
    </row>
    <row r="48" spans="1:31" customFormat="1" ht="216" customHeight="1" x14ac:dyDescent="0.2">
      <c r="A48" s="55">
        <v>20</v>
      </c>
      <c r="B48" s="9" t="s">
        <v>36</v>
      </c>
      <c r="C48" s="9" t="s">
        <v>38</v>
      </c>
      <c r="D48" s="9" t="s">
        <v>71</v>
      </c>
      <c r="E48" s="16" t="s">
        <v>90</v>
      </c>
      <c r="F48" s="19" t="s">
        <v>91</v>
      </c>
      <c r="G48" s="34">
        <v>2020680010028</v>
      </c>
      <c r="H48" s="56" t="s">
        <v>92</v>
      </c>
      <c r="I48" s="56" t="s">
        <v>144</v>
      </c>
      <c r="J48" s="60">
        <v>44562</v>
      </c>
      <c r="K48" s="60">
        <v>44926</v>
      </c>
      <c r="L48" s="170">
        <v>1</v>
      </c>
      <c r="M48" s="172">
        <v>0.75</v>
      </c>
      <c r="N48" s="134">
        <f t="shared" si="2"/>
        <v>0.75</v>
      </c>
      <c r="O48" s="31" t="s">
        <v>190</v>
      </c>
      <c r="P48" s="54">
        <f>506800000+1221416666.6+12800000+10153179+0+0+0+0+3800563+0+222429455+19588706+97801922</f>
        <v>2094790491.5999999</v>
      </c>
      <c r="Q48" s="54"/>
      <c r="R48" s="54"/>
      <c r="S48" s="54"/>
      <c r="T48" s="54">
        <v>49329884</v>
      </c>
      <c r="U48" s="160">
        <f>SUM(P48:T49)</f>
        <v>2952155731.5999999</v>
      </c>
      <c r="V48" s="54">
        <v>1973017689.2300003</v>
      </c>
      <c r="W48" s="54"/>
      <c r="X48" s="54"/>
      <c r="Y48" s="54"/>
      <c r="Z48" s="119"/>
      <c r="AA48" s="160">
        <f>SUM(V48:Z49)</f>
        <v>1973017689.2300003</v>
      </c>
      <c r="AB48" s="155">
        <f t="shared" si="5"/>
        <v>0.66833116834275896</v>
      </c>
      <c r="AC48" s="138"/>
      <c r="AD48" s="146" t="s">
        <v>42</v>
      </c>
      <c r="AE48" s="149" t="s">
        <v>43</v>
      </c>
    </row>
    <row r="49" spans="1:31" customFormat="1" ht="69.75" customHeight="1" x14ac:dyDescent="0.2">
      <c r="A49" s="55">
        <v>20</v>
      </c>
      <c r="B49" s="9" t="s">
        <v>36</v>
      </c>
      <c r="C49" s="9" t="s">
        <v>38</v>
      </c>
      <c r="D49" s="9" t="s">
        <v>71</v>
      </c>
      <c r="E49" s="16" t="s">
        <v>90</v>
      </c>
      <c r="F49" s="19" t="s">
        <v>91</v>
      </c>
      <c r="G49" s="34"/>
      <c r="H49" s="56" t="s">
        <v>184</v>
      </c>
      <c r="I49" s="56"/>
      <c r="J49" s="60"/>
      <c r="K49" s="60"/>
      <c r="L49" s="171"/>
      <c r="M49" s="173"/>
      <c r="N49" s="135"/>
      <c r="O49" s="31" t="s">
        <v>185</v>
      </c>
      <c r="P49" s="54"/>
      <c r="Q49" s="54"/>
      <c r="R49" s="54"/>
      <c r="S49" s="54"/>
      <c r="T49" s="54">
        <v>808035356</v>
      </c>
      <c r="U49" s="161"/>
      <c r="V49" s="54"/>
      <c r="W49" s="54"/>
      <c r="X49" s="54"/>
      <c r="Y49" s="54"/>
      <c r="Z49" s="119"/>
      <c r="AA49" s="161"/>
      <c r="AB49" s="157"/>
      <c r="AC49" s="141"/>
      <c r="AD49" s="148"/>
      <c r="AE49" s="151"/>
    </row>
    <row r="50" spans="1:31" customFormat="1" ht="90" x14ac:dyDescent="0.2">
      <c r="A50" s="55">
        <v>21</v>
      </c>
      <c r="B50" s="9" t="s">
        <v>36</v>
      </c>
      <c r="C50" s="9" t="s">
        <v>38</v>
      </c>
      <c r="D50" s="9" t="s">
        <v>71</v>
      </c>
      <c r="E50" s="16" t="s">
        <v>93</v>
      </c>
      <c r="F50" s="19" t="s">
        <v>94</v>
      </c>
      <c r="G50" s="34">
        <v>2020680010154</v>
      </c>
      <c r="H50" s="56" t="s">
        <v>95</v>
      </c>
      <c r="I50" s="57" t="s">
        <v>145</v>
      </c>
      <c r="J50" s="60">
        <v>44562</v>
      </c>
      <c r="K50" s="60">
        <v>44926</v>
      </c>
      <c r="L50" s="14">
        <v>1</v>
      </c>
      <c r="M50" s="91">
        <v>0.8</v>
      </c>
      <c r="N50" s="13">
        <f t="shared" si="2"/>
        <v>0.8</v>
      </c>
      <c r="O50" s="31" t="s">
        <v>130</v>
      </c>
      <c r="P50" s="54">
        <v>80000000</v>
      </c>
      <c r="Q50" s="54"/>
      <c r="R50" s="54"/>
      <c r="S50" s="54"/>
      <c r="T50" s="54"/>
      <c r="U50" s="118">
        <f t="shared" si="3"/>
        <v>80000000</v>
      </c>
      <c r="V50" s="54">
        <v>80000000</v>
      </c>
      <c r="W50" s="54"/>
      <c r="X50" s="54"/>
      <c r="Y50" s="54"/>
      <c r="Z50" s="119"/>
      <c r="AA50" s="120">
        <f>SUM(V50:Z50)</f>
        <v>80000000</v>
      </c>
      <c r="AB50" s="63">
        <f t="shared" si="5"/>
        <v>1</v>
      </c>
      <c r="AC50" s="8"/>
      <c r="AD50" s="69" t="s">
        <v>42</v>
      </c>
      <c r="AE50" s="68" t="s">
        <v>43</v>
      </c>
    </row>
    <row r="51" spans="1:31" customFormat="1" ht="90" x14ac:dyDescent="0.2">
      <c r="A51" s="55">
        <v>22</v>
      </c>
      <c r="B51" s="9" t="s">
        <v>36</v>
      </c>
      <c r="C51" s="9" t="s">
        <v>38</v>
      </c>
      <c r="D51" s="9" t="s">
        <v>71</v>
      </c>
      <c r="E51" s="16" t="s">
        <v>96</v>
      </c>
      <c r="F51" s="19" t="s">
        <v>97</v>
      </c>
      <c r="G51" s="34">
        <v>2020680010115</v>
      </c>
      <c r="H51" s="56" t="s">
        <v>98</v>
      </c>
      <c r="I51" s="56" t="s">
        <v>146</v>
      </c>
      <c r="J51" s="60">
        <v>44562</v>
      </c>
      <c r="K51" s="60">
        <v>44926</v>
      </c>
      <c r="L51" s="77">
        <v>1</v>
      </c>
      <c r="M51" s="85">
        <v>1</v>
      </c>
      <c r="N51" s="13">
        <f t="shared" si="2"/>
        <v>1</v>
      </c>
      <c r="O51" s="58" t="s">
        <v>131</v>
      </c>
      <c r="P51" s="54">
        <v>227180000</v>
      </c>
      <c r="Q51" s="54"/>
      <c r="R51" s="54"/>
      <c r="S51" s="54"/>
      <c r="T51" s="54"/>
      <c r="U51" s="118">
        <f t="shared" si="3"/>
        <v>227180000</v>
      </c>
      <c r="V51" s="54">
        <v>181752900</v>
      </c>
      <c r="W51" s="54"/>
      <c r="X51" s="54"/>
      <c r="Y51" s="54"/>
      <c r="Z51" s="119"/>
      <c r="AA51" s="120">
        <f t="shared" si="4"/>
        <v>181752900</v>
      </c>
      <c r="AB51" s="63">
        <f t="shared" si="5"/>
        <v>0.80003917598380136</v>
      </c>
      <c r="AC51" s="8"/>
      <c r="AD51" s="69" t="s">
        <v>42</v>
      </c>
      <c r="AE51" s="68" t="s">
        <v>43</v>
      </c>
    </row>
    <row r="52" spans="1:31" customFormat="1" ht="67.900000000000006" customHeight="1" x14ac:dyDescent="0.2">
      <c r="A52" s="55">
        <v>23</v>
      </c>
      <c r="B52" s="9" t="s">
        <v>36</v>
      </c>
      <c r="C52" s="9" t="s">
        <v>38</v>
      </c>
      <c r="D52" s="9" t="s">
        <v>71</v>
      </c>
      <c r="E52" s="16" t="s">
        <v>99</v>
      </c>
      <c r="F52" s="19" t="s">
        <v>100</v>
      </c>
      <c r="G52" s="34"/>
      <c r="H52" s="48" t="s">
        <v>150</v>
      </c>
      <c r="I52" s="65"/>
      <c r="J52" s="60">
        <v>44562</v>
      </c>
      <c r="K52" s="60">
        <v>44926</v>
      </c>
      <c r="L52" s="14">
        <v>0</v>
      </c>
      <c r="M52" s="94"/>
      <c r="N52" s="13" t="str">
        <f t="shared" si="2"/>
        <v>-</v>
      </c>
      <c r="O52" s="58"/>
      <c r="P52" s="54"/>
      <c r="Q52" s="54"/>
      <c r="R52" s="54"/>
      <c r="S52" s="54"/>
      <c r="T52" s="54"/>
      <c r="U52" s="118">
        <f t="shared" si="3"/>
        <v>0</v>
      </c>
      <c r="V52" s="54"/>
      <c r="W52" s="54"/>
      <c r="X52" s="54"/>
      <c r="Y52" s="54"/>
      <c r="Z52" s="119"/>
      <c r="AA52" s="120">
        <f t="shared" si="4"/>
        <v>0</v>
      </c>
      <c r="AB52" s="63" t="str">
        <f t="shared" si="5"/>
        <v>-</v>
      </c>
      <c r="AC52" s="8"/>
      <c r="AD52" s="69" t="s">
        <v>42</v>
      </c>
      <c r="AE52" s="68" t="s">
        <v>43</v>
      </c>
    </row>
    <row r="53" spans="1:31" customFormat="1" ht="105" customHeight="1" x14ac:dyDescent="0.2">
      <c r="A53" s="55">
        <v>24</v>
      </c>
      <c r="B53" s="9" t="s">
        <v>36</v>
      </c>
      <c r="C53" s="15" t="s">
        <v>38</v>
      </c>
      <c r="D53" s="15" t="s">
        <v>101</v>
      </c>
      <c r="E53" s="16" t="s">
        <v>102</v>
      </c>
      <c r="F53" s="19" t="s">
        <v>103</v>
      </c>
      <c r="G53" s="34">
        <v>2020680010099</v>
      </c>
      <c r="H53" s="56" t="s">
        <v>104</v>
      </c>
      <c r="I53" s="56" t="s">
        <v>147</v>
      </c>
      <c r="J53" s="60">
        <v>44562</v>
      </c>
      <c r="K53" s="60">
        <v>44926</v>
      </c>
      <c r="L53" s="164">
        <v>1750</v>
      </c>
      <c r="M53" s="168">
        <v>2217</v>
      </c>
      <c r="N53" s="134">
        <f t="shared" si="2"/>
        <v>1</v>
      </c>
      <c r="O53" s="32" t="s">
        <v>166</v>
      </c>
      <c r="P53" s="54">
        <v>3120423778</v>
      </c>
      <c r="Q53" s="54"/>
      <c r="R53" s="54"/>
      <c r="S53" s="54"/>
      <c r="T53" s="54">
        <v>205167262</v>
      </c>
      <c r="U53" s="160">
        <f>SUM(P53:T54)</f>
        <v>3806104550.27</v>
      </c>
      <c r="V53" s="54">
        <f>1763130242+1179927496+165276171</f>
        <v>3108333909</v>
      </c>
      <c r="W53" s="54"/>
      <c r="X53" s="54"/>
      <c r="Y53" s="54"/>
      <c r="Z53" s="54">
        <v>205097334</v>
      </c>
      <c r="AA53" s="160">
        <f>SUM(V53:Z54)</f>
        <v>3313431243</v>
      </c>
      <c r="AB53" s="155">
        <f t="shared" si="5"/>
        <v>0.87055707462501253</v>
      </c>
      <c r="AC53" s="138">
        <v>1141533095</v>
      </c>
      <c r="AD53" s="146" t="s">
        <v>42</v>
      </c>
      <c r="AE53" s="149" t="s">
        <v>43</v>
      </c>
    </row>
    <row r="54" spans="1:31" customFormat="1" ht="65.25" customHeight="1" x14ac:dyDescent="0.2">
      <c r="A54" s="55">
        <v>24</v>
      </c>
      <c r="B54" s="9" t="s">
        <v>36</v>
      </c>
      <c r="C54" s="15" t="s">
        <v>38</v>
      </c>
      <c r="D54" s="15" t="s">
        <v>101</v>
      </c>
      <c r="E54" s="16" t="s">
        <v>102</v>
      </c>
      <c r="F54" s="19" t="s">
        <v>103</v>
      </c>
      <c r="G54" s="34"/>
      <c r="H54" s="56" t="s">
        <v>184</v>
      </c>
      <c r="I54" s="56"/>
      <c r="J54" s="60"/>
      <c r="K54" s="60"/>
      <c r="L54" s="165"/>
      <c r="M54" s="169"/>
      <c r="N54" s="135"/>
      <c r="O54" s="32" t="s">
        <v>186</v>
      </c>
      <c r="P54" s="54"/>
      <c r="Q54" s="54"/>
      <c r="R54" s="54"/>
      <c r="S54" s="54"/>
      <c r="T54" s="54">
        <v>480513510.26999998</v>
      </c>
      <c r="U54" s="161"/>
      <c r="V54" s="54"/>
      <c r="W54" s="54"/>
      <c r="X54" s="54"/>
      <c r="Y54" s="54"/>
      <c r="Z54" s="119"/>
      <c r="AA54" s="161"/>
      <c r="AB54" s="157"/>
      <c r="AC54" s="141"/>
      <c r="AD54" s="148"/>
      <c r="AE54" s="151"/>
    </row>
    <row r="55" spans="1:31" customFormat="1" ht="66" customHeight="1" x14ac:dyDescent="0.2">
      <c r="A55" s="55">
        <v>25</v>
      </c>
      <c r="B55" s="10" t="s">
        <v>36</v>
      </c>
      <c r="C55" s="10" t="s">
        <v>38</v>
      </c>
      <c r="D55" s="10" t="s">
        <v>101</v>
      </c>
      <c r="E55" s="16" t="s">
        <v>105</v>
      </c>
      <c r="F55" s="19" t="s">
        <v>106</v>
      </c>
      <c r="G55" s="34">
        <v>2020680010099</v>
      </c>
      <c r="H55" s="56" t="s">
        <v>104</v>
      </c>
      <c r="I55" s="56" t="s">
        <v>148</v>
      </c>
      <c r="J55" s="60">
        <v>44562</v>
      </c>
      <c r="K55" s="60">
        <v>44926</v>
      </c>
      <c r="L55" s="170">
        <v>1</v>
      </c>
      <c r="M55" s="172">
        <v>1</v>
      </c>
      <c r="N55" s="134">
        <f t="shared" si="2"/>
        <v>1</v>
      </c>
      <c r="O55" s="32" t="s">
        <v>167</v>
      </c>
      <c r="P55" s="54">
        <v>1600366022</v>
      </c>
      <c r="Q55" s="54"/>
      <c r="R55" s="54"/>
      <c r="S55" s="54"/>
      <c r="T55" s="54">
        <v>694832738</v>
      </c>
      <c r="U55" s="160">
        <f>SUM(P55:T57)</f>
        <v>2925712270.2600002</v>
      </c>
      <c r="V55" s="54">
        <v>1600366022</v>
      </c>
      <c r="W55" s="54"/>
      <c r="X55" s="54"/>
      <c r="Y55" s="54"/>
      <c r="Z55" s="54">
        <v>694832738</v>
      </c>
      <c r="AA55" s="160">
        <f>SUM(V55:Z57)</f>
        <v>2395514451.3899999</v>
      </c>
      <c r="AB55" s="155">
        <f>IFERROR(AA55/U55,"-")</f>
        <v>0.81877991754025659</v>
      </c>
      <c r="AC55" s="138">
        <v>785323624</v>
      </c>
      <c r="AD55" s="146" t="s">
        <v>42</v>
      </c>
      <c r="AE55" s="149" t="s">
        <v>43</v>
      </c>
    </row>
    <row r="56" spans="1:31" customFormat="1" ht="81.75" customHeight="1" x14ac:dyDescent="0.2">
      <c r="A56" s="55">
        <v>25</v>
      </c>
      <c r="B56" s="10" t="s">
        <v>36</v>
      </c>
      <c r="C56" s="10" t="s">
        <v>38</v>
      </c>
      <c r="D56" s="10" t="s">
        <v>101</v>
      </c>
      <c r="E56" s="16" t="s">
        <v>105</v>
      </c>
      <c r="F56" s="19" t="s">
        <v>106</v>
      </c>
      <c r="G56" s="34">
        <v>2020680010060</v>
      </c>
      <c r="H56" s="56" t="s">
        <v>107</v>
      </c>
      <c r="I56" s="56" t="s">
        <v>156</v>
      </c>
      <c r="J56" s="60">
        <v>44562</v>
      </c>
      <c r="K56" s="60">
        <v>44926</v>
      </c>
      <c r="L56" s="174"/>
      <c r="M56" s="175"/>
      <c r="N56" s="145"/>
      <c r="O56" s="32" t="s">
        <v>132</v>
      </c>
      <c r="P56" s="54">
        <v>150000000</v>
      </c>
      <c r="Q56" s="54"/>
      <c r="R56" s="54"/>
      <c r="S56" s="54"/>
      <c r="T56" s="54"/>
      <c r="U56" s="163"/>
      <c r="V56" s="54">
        <v>100315691.39</v>
      </c>
      <c r="W56" s="54"/>
      <c r="X56" s="54"/>
      <c r="Y56" s="54"/>
      <c r="Z56" s="119"/>
      <c r="AA56" s="163"/>
      <c r="AB56" s="156"/>
      <c r="AC56" s="140"/>
      <c r="AD56" s="147"/>
      <c r="AE56" s="150"/>
    </row>
    <row r="57" spans="1:31" customFormat="1" ht="73.5" customHeight="1" x14ac:dyDescent="0.2">
      <c r="A57" s="55">
        <v>25</v>
      </c>
      <c r="B57" s="10" t="s">
        <v>36</v>
      </c>
      <c r="C57" s="10" t="s">
        <v>38</v>
      </c>
      <c r="D57" s="10" t="s">
        <v>101</v>
      </c>
      <c r="E57" s="16" t="s">
        <v>105</v>
      </c>
      <c r="F57" s="19" t="s">
        <v>106</v>
      </c>
      <c r="G57" s="34"/>
      <c r="H57" s="56" t="s">
        <v>184</v>
      </c>
      <c r="I57" s="56"/>
      <c r="J57" s="60"/>
      <c r="K57" s="60"/>
      <c r="L57" s="171"/>
      <c r="M57" s="173"/>
      <c r="N57" s="135"/>
      <c r="O57" s="32" t="s">
        <v>186</v>
      </c>
      <c r="P57" s="54"/>
      <c r="Q57" s="54"/>
      <c r="R57" s="54"/>
      <c r="S57" s="54"/>
      <c r="T57" s="54">
        <v>480513510.25999999</v>
      </c>
      <c r="U57" s="161"/>
      <c r="V57" s="54"/>
      <c r="W57" s="54"/>
      <c r="X57" s="54"/>
      <c r="Y57" s="54"/>
      <c r="Z57" s="119"/>
      <c r="AA57" s="161"/>
      <c r="AB57" s="157"/>
      <c r="AC57" s="141"/>
      <c r="AD57" s="148"/>
      <c r="AE57" s="151"/>
    </row>
    <row r="58" spans="1:31" customFormat="1" ht="109.9" customHeight="1" x14ac:dyDescent="0.2">
      <c r="A58" s="55">
        <v>26</v>
      </c>
      <c r="B58" s="9" t="s">
        <v>36</v>
      </c>
      <c r="C58" s="9" t="s">
        <v>38</v>
      </c>
      <c r="D58" s="9" t="s">
        <v>101</v>
      </c>
      <c r="E58" s="16" t="s">
        <v>108</v>
      </c>
      <c r="F58" s="19" t="s">
        <v>109</v>
      </c>
      <c r="G58" s="34">
        <v>2021680010116</v>
      </c>
      <c r="H58" s="56" t="s">
        <v>154</v>
      </c>
      <c r="I58" s="56" t="s">
        <v>160</v>
      </c>
      <c r="J58" s="60">
        <v>44562</v>
      </c>
      <c r="K58" s="60">
        <v>44926</v>
      </c>
      <c r="L58" s="14">
        <v>1000</v>
      </c>
      <c r="M58" s="86">
        <v>2277</v>
      </c>
      <c r="N58" s="13">
        <f>IFERROR(IF(M58/L58&gt;100%,100%,M58/L58),"-")</f>
        <v>1</v>
      </c>
      <c r="O58" s="58" t="s">
        <v>191</v>
      </c>
      <c r="P58" s="54">
        <f>51700000+0</f>
        <v>51700000</v>
      </c>
      <c r="Q58" s="54"/>
      <c r="R58" s="54"/>
      <c r="S58" s="54"/>
      <c r="T58" s="54"/>
      <c r="U58" s="118">
        <f>SUM(P58:T58)</f>
        <v>51700000</v>
      </c>
      <c r="V58" s="54">
        <v>44850000</v>
      </c>
      <c r="W58" s="54"/>
      <c r="X58" s="54"/>
      <c r="Y58" s="54"/>
      <c r="Z58" s="119"/>
      <c r="AA58" s="120">
        <f>SUM(V58:Z58)</f>
        <v>44850000</v>
      </c>
      <c r="AB58" s="63">
        <f>IFERROR(AA58/U58,"-")</f>
        <v>0.86750483558994196</v>
      </c>
      <c r="AC58" s="8"/>
      <c r="AD58" s="69" t="s">
        <v>42</v>
      </c>
      <c r="AE58" s="68" t="s">
        <v>43</v>
      </c>
    </row>
    <row r="59" spans="1:31" customFormat="1" ht="90" x14ac:dyDescent="0.2">
      <c r="A59" s="55">
        <v>195</v>
      </c>
      <c r="B59" s="10" t="s">
        <v>37</v>
      </c>
      <c r="C59" s="10" t="s">
        <v>110</v>
      </c>
      <c r="D59" s="10" t="s">
        <v>111</v>
      </c>
      <c r="E59" s="16" t="s">
        <v>112</v>
      </c>
      <c r="F59" s="19" t="s">
        <v>113</v>
      </c>
      <c r="G59" s="34">
        <v>2022680010057</v>
      </c>
      <c r="H59" s="56" t="s">
        <v>201</v>
      </c>
      <c r="I59" s="56" t="s">
        <v>202</v>
      </c>
      <c r="J59" s="60">
        <v>44785</v>
      </c>
      <c r="K59" s="60">
        <v>44926</v>
      </c>
      <c r="L59" s="164">
        <v>12</v>
      </c>
      <c r="M59" s="132">
        <v>0</v>
      </c>
      <c r="N59" s="134">
        <f>IFERROR(IF(M59/L59&gt;100%,100%,M59/L59),"-")</f>
        <v>0</v>
      </c>
      <c r="O59" s="58" t="s">
        <v>203</v>
      </c>
      <c r="P59" s="54">
        <v>5523182878.9499998</v>
      </c>
      <c r="Q59" s="54"/>
      <c r="R59" s="54"/>
      <c r="S59" s="54"/>
      <c r="T59" s="54"/>
      <c r="U59" s="160">
        <f>SUM(P59:T60)</f>
        <v>5528525170.9499998</v>
      </c>
      <c r="V59" s="54">
        <v>1641082124</v>
      </c>
      <c r="W59" s="54"/>
      <c r="X59" s="54"/>
      <c r="Y59" s="54"/>
      <c r="Z59" s="119"/>
      <c r="AA59" s="160">
        <f>SUM(V59:Z60)</f>
        <v>1641082124</v>
      </c>
      <c r="AB59" s="155">
        <f>IFERROR(AA59/U59,"-")</f>
        <v>0.29683904355236984</v>
      </c>
      <c r="AC59" s="138"/>
      <c r="AD59" s="166" t="s">
        <v>42</v>
      </c>
      <c r="AE59" s="149" t="s">
        <v>43</v>
      </c>
    </row>
    <row r="60" spans="1:31" customFormat="1" ht="66.75" customHeight="1" x14ac:dyDescent="0.2">
      <c r="A60" s="55">
        <v>195</v>
      </c>
      <c r="B60" s="10" t="s">
        <v>37</v>
      </c>
      <c r="C60" s="10" t="s">
        <v>110</v>
      </c>
      <c r="D60" s="10" t="s">
        <v>111</v>
      </c>
      <c r="E60" s="16" t="s">
        <v>112</v>
      </c>
      <c r="F60" s="19" t="s">
        <v>113</v>
      </c>
      <c r="G60" s="34"/>
      <c r="H60" s="56" t="s">
        <v>184</v>
      </c>
      <c r="I60" s="56"/>
      <c r="J60" s="60"/>
      <c r="K60" s="60"/>
      <c r="L60" s="165"/>
      <c r="M60" s="133"/>
      <c r="N60" s="135"/>
      <c r="O60" s="58" t="s">
        <v>187</v>
      </c>
      <c r="P60" s="54">
        <v>702041</v>
      </c>
      <c r="Q60" s="54">
        <v>4640251</v>
      </c>
      <c r="R60" s="54"/>
      <c r="S60" s="54"/>
      <c r="T60" s="54"/>
      <c r="U60" s="161"/>
      <c r="V60" s="54"/>
      <c r="W60" s="54"/>
      <c r="X60" s="54"/>
      <c r="Y60" s="54"/>
      <c r="Z60" s="119"/>
      <c r="AA60" s="161"/>
      <c r="AB60" s="157"/>
      <c r="AC60" s="141"/>
      <c r="AD60" s="167"/>
      <c r="AE60" s="151"/>
    </row>
    <row r="61" spans="1:31" customFormat="1" ht="90" x14ac:dyDescent="0.2">
      <c r="A61" s="55">
        <v>196</v>
      </c>
      <c r="B61" s="10" t="s">
        <v>37</v>
      </c>
      <c r="C61" s="10" t="s">
        <v>110</v>
      </c>
      <c r="D61" s="10" t="s">
        <v>111</v>
      </c>
      <c r="E61" s="16" t="s">
        <v>114</v>
      </c>
      <c r="F61" s="19" t="s">
        <v>115</v>
      </c>
      <c r="G61" s="34">
        <v>2020680010145</v>
      </c>
      <c r="H61" s="56" t="s">
        <v>116</v>
      </c>
      <c r="I61" s="57" t="s">
        <v>149</v>
      </c>
      <c r="J61" s="60">
        <v>44562</v>
      </c>
      <c r="K61" s="60">
        <v>44926</v>
      </c>
      <c r="L61" s="14">
        <v>47</v>
      </c>
      <c r="M61" s="89">
        <v>47</v>
      </c>
      <c r="N61" s="13">
        <f>IFERROR(IF(M61/L61&gt;100%,100%,M61/L61),"-")</f>
        <v>1</v>
      </c>
      <c r="O61" s="58" t="s">
        <v>133</v>
      </c>
      <c r="P61" s="54">
        <f>300000000+2000000000-1925412891</f>
        <v>374587109</v>
      </c>
      <c r="Q61" s="54">
        <f>865629616+18345512</f>
        <v>883975128</v>
      </c>
      <c r="R61" s="54"/>
      <c r="S61" s="54"/>
      <c r="T61" s="54"/>
      <c r="U61" s="118">
        <f>SUM(P61:T61)</f>
        <v>1258562237</v>
      </c>
      <c r="V61" s="54">
        <v>70551324.969999999</v>
      </c>
      <c r="W61" s="54">
        <v>883975128</v>
      </c>
      <c r="X61" s="54"/>
      <c r="Y61" s="54"/>
      <c r="Z61" s="119"/>
      <c r="AA61" s="120">
        <f>SUM(V61:Z61)</f>
        <v>954526452.97000003</v>
      </c>
      <c r="AB61" s="63">
        <f>IFERROR(AA61/U61,"-")</f>
        <v>0.75842610314232717</v>
      </c>
      <c r="AC61" s="8"/>
      <c r="AD61" s="69" t="s">
        <v>42</v>
      </c>
      <c r="AE61" s="68" t="s">
        <v>43</v>
      </c>
    </row>
    <row r="62" spans="1:31" ht="15" x14ac:dyDescent="0.2">
      <c r="A62" s="104" cm="1">
        <f t="array" ref="A62">SUM(--(FREQUENCY(A9:A61,A9:A61)&gt;0))</f>
        <v>28</v>
      </c>
      <c r="B62" s="36"/>
      <c r="C62" s="37"/>
      <c r="D62" s="37"/>
      <c r="E62" s="38"/>
      <c r="F62" s="39"/>
      <c r="G62" s="40"/>
      <c r="H62" s="37"/>
      <c r="I62" s="37"/>
      <c r="J62" s="37"/>
      <c r="K62" s="41"/>
      <c r="L62" s="41"/>
      <c r="M62" s="42" t="s">
        <v>17</v>
      </c>
      <c r="N62" s="41">
        <f>IFERROR(AVERAGE(N9:N61),"-")</f>
        <v>0.86035691423172689</v>
      </c>
      <c r="O62" s="43"/>
      <c r="P62" s="47">
        <f t="shared" ref="P62:Z62" si="6">SUM(P9:P61)</f>
        <v>65199706529.100006</v>
      </c>
      <c r="Q62" s="47">
        <f t="shared" si="6"/>
        <v>269931526110.73001</v>
      </c>
      <c r="R62" s="47">
        <f t="shared" si="6"/>
        <v>0</v>
      </c>
      <c r="S62" s="47">
        <f t="shared" si="6"/>
        <v>0</v>
      </c>
      <c r="T62" s="47">
        <f t="shared" si="6"/>
        <v>4996463253.6200008</v>
      </c>
      <c r="U62" s="115">
        <f>SUM(U9:U61)</f>
        <v>340127695893.45001</v>
      </c>
      <c r="V62" s="44">
        <f t="shared" si="6"/>
        <v>50284966503.900002</v>
      </c>
      <c r="W62" s="44">
        <f t="shared" si="6"/>
        <v>194122467354.19</v>
      </c>
      <c r="X62" s="44">
        <f t="shared" si="6"/>
        <v>0</v>
      </c>
      <c r="Y62" s="44">
        <f t="shared" si="6"/>
        <v>0</v>
      </c>
      <c r="Z62" s="44">
        <f t="shared" si="6"/>
        <v>3178001065.0900002</v>
      </c>
      <c r="AA62" s="116">
        <f>SUM(AA9:AA61)</f>
        <v>247585434923.18002</v>
      </c>
      <c r="AB62" s="117">
        <f>IFERROR(AA62/U62,"-")</f>
        <v>0.72791906661061734</v>
      </c>
      <c r="AC62" s="45">
        <f>SUM(AC9:AC61)</f>
        <v>2374209036</v>
      </c>
      <c r="AD62" s="46"/>
      <c r="AE62" s="46"/>
    </row>
    <row r="64" spans="1:31" x14ac:dyDescent="0.2">
      <c r="Q64" s="26"/>
      <c r="T64"/>
      <c r="U64"/>
      <c r="V64"/>
      <c r="W64"/>
      <c r="X64"/>
      <c r="Y64"/>
      <c r="Z64"/>
      <c r="AA64"/>
      <c r="AB64"/>
      <c r="AC64"/>
    </row>
    <row r="65" spans="15:30" x14ac:dyDescent="0.2">
      <c r="O65"/>
      <c r="P65"/>
      <c r="Q65"/>
      <c r="R65"/>
      <c r="S65"/>
      <c r="T65"/>
      <c r="U65"/>
      <c r="V65"/>
      <c r="W65"/>
      <c r="X65"/>
      <c r="Y65"/>
      <c r="Z65"/>
      <c r="AA65"/>
      <c r="AB65"/>
      <c r="AC65"/>
    </row>
    <row r="66" spans="15:30" x14ac:dyDescent="0.2">
      <c r="O66"/>
      <c r="P66"/>
      <c r="Q66"/>
      <c r="R66"/>
      <c r="S66"/>
      <c r="T66"/>
      <c r="U66"/>
      <c r="V66"/>
      <c r="W66"/>
      <c r="X66"/>
      <c r="Y66"/>
      <c r="Z66"/>
      <c r="AA66"/>
      <c r="AB66"/>
      <c r="AC66"/>
      <c r="AD66"/>
    </row>
    <row r="67" spans="15:30" x14ac:dyDescent="0.2">
      <c r="O67"/>
      <c r="P67"/>
      <c r="Q67"/>
      <c r="R67"/>
      <c r="S67"/>
      <c r="T67"/>
      <c r="U67"/>
      <c r="V67"/>
      <c r="W67"/>
      <c r="X67"/>
      <c r="Y67"/>
      <c r="Z67"/>
      <c r="AA67"/>
      <c r="AB67"/>
      <c r="AC67"/>
      <c r="AD67"/>
    </row>
    <row r="68" spans="15:30" x14ac:dyDescent="0.2">
      <c r="O68"/>
      <c r="P68"/>
      <c r="Q68"/>
      <c r="R68"/>
      <c r="S68"/>
      <c r="T68"/>
      <c r="U68"/>
      <c r="V68"/>
      <c r="W68"/>
      <c r="X68"/>
      <c r="Y68"/>
      <c r="Z68"/>
      <c r="AA68"/>
      <c r="AB68"/>
      <c r="AC68"/>
      <c r="AD68"/>
    </row>
    <row r="69" spans="15:30" x14ac:dyDescent="0.2">
      <c r="O69"/>
      <c r="P69"/>
      <c r="Q69"/>
      <c r="R69"/>
      <c r="S69"/>
      <c r="T69"/>
      <c r="U69"/>
      <c r="V69"/>
      <c r="W69"/>
      <c r="X69"/>
      <c r="Y69"/>
      <c r="Z69"/>
      <c r="AA69"/>
      <c r="AB69"/>
      <c r="AC69"/>
      <c r="AD69"/>
    </row>
    <row r="70" spans="15:30" x14ac:dyDescent="0.2">
      <c r="O70"/>
      <c r="P70"/>
      <c r="Q70"/>
      <c r="R70"/>
      <c r="S70"/>
      <c r="T70"/>
      <c r="U70"/>
      <c r="V70"/>
      <c r="W70"/>
      <c r="X70"/>
      <c r="Y70"/>
      <c r="Z70"/>
      <c r="AA70"/>
      <c r="AB70"/>
      <c r="AC70"/>
      <c r="AD70"/>
    </row>
    <row r="71" spans="15:30" x14ac:dyDescent="0.2">
      <c r="P71"/>
      <c r="Q71"/>
      <c r="R71"/>
      <c r="S71"/>
      <c r="T71"/>
      <c r="U71"/>
      <c r="V71"/>
      <c r="W71"/>
      <c r="X71"/>
      <c r="Y71"/>
      <c r="Z71"/>
      <c r="AA71"/>
      <c r="AB71"/>
      <c r="AC71"/>
      <c r="AD71"/>
    </row>
    <row r="72" spans="15:30" x14ac:dyDescent="0.2">
      <c r="P72"/>
      <c r="Q72"/>
      <c r="R72"/>
      <c r="S72"/>
      <c r="T72"/>
      <c r="U72"/>
      <c r="V72"/>
      <c r="W72"/>
      <c r="X72"/>
      <c r="Y72"/>
      <c r="Z72"/>
      <c r="AA72"/>
      <c r="AB72"/>
      <c r="AC72"/>
      <c r="AD72"/>
    </row>
    <row r="73" spans="15:30" x14ac:dyDescent="0.2">
      <c r="P73"/>
      <c r="Q73"/>
      <c r="R73"/>
      <c r="S73"/>
      <c r="T73"/>
      <c r="U73"/>
      <c r="V73"/>
      <c r="W73"/>
      <c r="X73"/>
      <c r="Y73"/>
      <c r="Z73"/>
      <c r="AA73"/>
      <c r="AB73"/>
      <c r="AC73"/>
      <c r="AD73"/>
    </row>
    <row r="74" spans="15:30" x14ac:dyDescent="0.2">
      <c r="T74"/>
      <c r="U74"/>
      <c r="V74"/>
      <c r="W74"/>
      <c r="X74"/>
      <c r="Y74"/>
      <c r="Z74"/>
      <c r="AA74"/>
      <c r="AB74"/>
      <c r="AC74"/>
    </row>
    <row r="75" spans="15:30" x14ac:dyDescent="0.2">
      <c r="T75"/>
      <c r="U75"/>
      <c r="V75"/>
      <c r="W75"/>
      <c r="X75"/>
      <c r="Y75"/>
      <c r="Z75"/>
      <c r="AA75"/>
      <c r="AB75"/>
      <c r="AC75"/>
    </row>
    <row r="76" spans="15:30" x14ac:dyDescent="0.2">
      <c r="T76"/>
      <c r="U76" s="78"/>
      <c r="V76"/>
      <c r="W76"/>
      <c r="X76"/>
      <c r="Y76"/>
      <c r="Z76"/>
      <c r="AA76"/>
      <c r="AB76"/>
      <c r="AC76"/>
    </row>
    <row r="77" spans="15:30" x14ac:dyDescent="0.2">
      <c r="T77"/>
      <c r="U77"/>
      <c r="V77"/>
      <c r="W77"/>
      <c r="X77"/>
      <c r="Y77"/>
      <c r="Z77"/>
      <c r="AA77"/>
      <c r="AB77"/>
      <c r="AC77"/>
    </row>
    <row r="78" spans="15:30" x14ac:dyDescent="0.2">
      <c r="T78"/>
      <c r="U78"/>
      <c r="V78"/>
      <c r="W78"/>
      <c r="X78"/>
      <c r="Y78"/>
      <c r="Z78"/>
      <c r="AA78"/>
      <c r="AB78"/>
      <c r="AC78"/>
    </row>
    <row r="79" spans="15:30" x14ac:dyDescent="0.2">
      <c r="T79"/>
      <c r="U79"/>
      <c r="V79"/>
      <c r="W79"/>
      <c r="X79"/>
      <c r="Y79"/>
      <c r="Z79"/>
      <c r="AA79"/>
      <c r="AB79"/>
      <c r="AC79"/>
    </row>
    <row r="80" spans="15:30" x14ac:dyDescent="0.2">
      <c r="T80"/>
      <c r="U80"/>
      <c r="V80"/>
      <c r="W80"/>
      <c r="X80"/>
      <c r="Y80"/>
      <c r="Z80"/>
      <c r="AA80"/>
      <c r="AB80"/>
      <c r="AC80"/>
    </row>
    <row r="81" spans="20:29" x14ac:dyDescent="0.2">
      <c r="T81"/>
      <c r="U81"/>
      <c r="V81"/>
      <c r="W81"/>
      <c r="X81"/>
      <c r="Y81"/>
      <c r="Z81"/>
      <c r="AA81"/>
      <c r="AB81"/>
      <c r="AC81"/>
    </row>
    <row r="82" spans="20:29" x14ac:dyDescent="0.2">
      <c r="T82"/>
      <c r="U82"/>
      <c r="V82"/>
      <c r="W82"/>
      <c r="X82"/>
      <c r="Y82"/>
      <c r="Z82"/>
      <c r="AA82"/>
      <c r="AB82"/>
      <c r="AC82"/>
    </row>
    <row r="83" spans="20:29" x14ac:dyDescent="0.2">
      <c r="T83"/>
      <c r="U83"/>
      <c r="V83"/>
      <c r="W83"/>
      <c r="X83"/>
      <c r="Y83"/>
      <c r="Z83"/>
      <c r="AA83"/>
      <c r="AB83"/>
      <c r="AC83"/>
    </row>
    <row r="84" spans="20:29" x14ac:dyDescent="0.2">
      <c r="T84"/>
      <c r="U84"/>
      <c r="V84"/>
      <c r="W84"/>
      <c r="X84"/>
      <c r="Y84"/>
      <c r="Z84"/>
      <c r="AA84"/>
      <c r="AB84"/>
      <c r="AC84"/>
    </row>
    <row r="85" spans="20:29" x14ac:dyDescent="0.2">
      <c r="T85"/>
      <c r="U85"/>
      <c r="V85"/>
      <c r="W85"/>
      <c r="X85"/>
      <c r="Y85"/>
      <c r="Z85"/>
      <c r="AA85"/>
      <c r="AB85"/>
      <c r="AC85"/>
    </row>
    <row r="86" spans="20:29" x14ac:dyDescent="0.2">
      <c r="T86"/>
      <c r="U86"/>
      <c r="V86"/>
      <c r="W86"/>
      <c r="X86"/>
      <c r="Y86"/>
      <c r="Z86"/>
      <c r="AA86"/>
      <c r="AB86"/>
      <c r="AC86"/>
    </row>
    <row r="87" spans="20:29" x14ac:dyDescent="0.2">
      <c r="T87"/>
      <c r="U87"/>
      <c r="V87"/>
      <c r="W87"/>
      <c r="X87"/>
      <c r="Y87"/>
      <c r="Z87"/>
      <c r="AA87"/>
      <c r="AB87"/>
      <c r="AC87"/>
    </row>
    <row r="88" spans="20:29" x14ac:dyDescent="0.2">
      <c r="T88"/>
      <c r="U88"/>
      <c r="V88"/>
      <c r="W88"/>
      <c r="X88"/>
      <c r="Y88"/>
      <c r="Z88"/>
      <c r="AA88"/>
      <c r="AB88"/>
      <c r="AC88"/>
    </row>
    <row r="89" spans="20:29" x14ac:dyDescent="0.2">
      <c r="T89"/>
      <c r="U89"/>
      <c r="V89"/>
      <c r="W89"/>
      <c r="X89"/>
      <c r="Y89"/>
      <c r="Z89"/>
      <c r="AA89"/>
      <c r="AB89"/>
      <c r="AC89"/>
    </row>
  </sheetData>
  <mergeCells count="117">
    <mergeCell ref="AC1:AE1"/>
    <mergeCell ref="AC2:AE2"/>
    <mergeCell ref="AC3:AE3"/>
    <mergeCell ref="AC4:AE4"/>
    <mergeCell ref="AC7:AC8"/>
    <mergeCell ref="AD7:AE7"/>
    <mergeCell ref="L38:L40"/>
    <mergeCell ref="M38:M40"/>
    <mergeCell ref="N38:N40"/>
    <mergeCell ref="U38:U40"/>
    <mergeCell ref="L30:L35"/>
    <mergeCell ref="M30:M35"/>
    <mergeCell ref="N30:N35"/>
    <mergeCell ref="U30:U35"/>
    <mergeCell ref="L24:L29"/>
    <mergeCell ref="M24:M29"/>
    <mergeCell ref="N24:N29"/>
    <mergeCell ref="AA30:AA35"/>
    <mergeCell ref="AB30:AB35"/>
    <mergeCell ref="AD30:AD35"/>
    <mergeCell ref="AE30:AE35"/>
    <mergeCell ref="AA24:AA29"/>
    <mergeCell ref="AB24:AB29"/>
    <mergeCell ref="M13:M18"/>
    <mergeCell ref="A1:A4"/>
    <mergeCell ref="A5:C5"/>
    <mergeCell ref="A6:C6"/>
    <mergeCell ref="B1:AB4"/>
    <mergeCell ref="D5:G5"/>
    <mergeCell ref="D6:G6"/>
    <mergeCell ref="B7:F7"/>
    <mergeCell ref="G7:K7"/>
    <mergeCell ref="V7:AA7"/>
    <mergeCell ref="AB7:AB8"/>
    <mergeCell ref="L7:N7"/>
    <mergeCell ref="O7:U7"/>
    <mergeCell ref="M53:M54"/>
    <mergeCell ref="AE59:AE60"/>
    <mergeCell ref="L59:L60"/>
    <mergeCell ref="M59:M60"/>
    <mergeCell ref="N59:N60"/>
    <mergeCell ref="U59:U60"/>
    <mergeCell ref="AA59:AA60"/>
    <mergeCell ref="AA45:AA46"/>
    <mergeCell ref="L48:L49"/>
    <mergeCell ref="M48:M49"/>
    <mergeCell ref="N48:N49"/>
    <mergeCell ref="U48:U49"/>
    <mergeCell ref="L45:L46"/>
    <mergeCell ref="AD53:AD54"/>
    <mergeCell ref="AE53:AE54"/>
    <mergeCell ref="L55:L57"/>
    <mergeCell ref="M55:M57"/>
    <mergeCell ref="N55:N57"/>
    <mergeCell ref="U55:U57"/>
    <mergeCell ref="AA55:AA57"/>
    <mergeCell ref="AD55:AD57"/>
    <mergeCell ref="AE55:AE57"/>
    <mergeCell ref="L53:L54"/>
    <mergeCell ref="AB48:AB49"/>
    <mergeCell ref="AB59:AB60"/>
    <mergeCell ref="AD59:AD60"/>
    <mergeCell ref="AA43:AA44"/>
    <mergeCell ref="AB38:AB40"/>
    <mergeCell ref="AC38:AC40"/>
    <mergeCell ref="AD38:AD40"/>
    <mergeCell ref="AD43:AD44"/>
    <mergeCell ref="AB45:AB46"/>
    <mergeCell ref="AD45:AD46"/>
    <mergeCell ref="AB43:AB44"/>
    <mergeCell ref="AA48:AA49"/>
    <mergeCell ref="AA38:AA40"/>
    <mergeCell ref="AD48:AD49"/>
    <mergeCell ref="AC59:AC60"/>
    <mergeCell ref="AC55:AC57"/>
    <mergeCell ref="AB55:AB57"/>
    <mergeCell ref="AC53:AC54"/>
    <mergeCell ref="AB53:AB54"/>
    <mergeCell ref="AC48:AC49"/>
    <mergeCell ref="AC45:AC46"/>
    <mergeCell ref="AC43:AC44"/>
    <mergeCell ref="N53:N54"/>
    <mergeCell ref="U53:U54"/>
    <mergeCell ref="AA53:AA54"/>
    <mergeCell ref="U24:U29"/>
    <mergeCell ref="AE48:AE49"/>
    <mergeCell ref="AE43:AE44"/>
    <mergeCell ref="AE45:AE46"/>
    <mergeCell ref="AE38:AE40"/>
    <mergeCell ref="AE36:AE37"/>
    <mergeCell ref="N36:N37"/>
    <mergeCell ref="U36:U37"/>
    <mergeCell ref="AA36:AA37"/>
    <mergeCell ref="AB36:AB37"/>
    <mergeCell ref="AD36:AD37"/>
    <mergeCell ref="N43:N44"/>
    <mergeCell ref="U43:U44"/>
    <mergeCell ref="AC36:AC37"/>
    <mergeCell ref="M45:M46"/>
    <mergeCell ref="N45:N46"/>
    <mergeCell ref="U45:U46"/>
    <mergeCell ref="AC30:AC35"/>
    <mergeCell ref="AC24:AC29"/>
    <mergeCell ref="L13:L18"/>
    <mergeCell ref="N13:N18"/>
    <mergeCell ref="AD13:AD18"/>
    <mergeCell ref="AE13:AE18"/>
    <mergeCell ref="U13:U18"/>
    <mergeCell ref="AA13:AA18"/>
    <mergeCell ref="AB13:AB18"/>
    <mergeCell ref="AD24:AD29"/>
    <mergeCell ref="AE24:AE29"/>
    <mergeCell ref="AC13:AC18"/>
    <mergeCell ref="L36:L37"/>
    <mergeCell ref="M36:M37"/>
    <mergeCell ref="L43:L44"/>
    <mergeCell ref="M43:M44"/>
  </mergeCells>
  <conditionalFormatting sqref="N47:N48 N19:N24 N36 N45 N30 N9:N13 N41:N43 N50:N53 N55 N58:N59 N61 N38">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ignoredErrors>
    <ignoredError sqref="AB6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2022-11-23T22:20:31Z</dcterms:modified>
</cp:coreProperties>
</file>