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2CE82E92-E0DD-458B-96F4-3F8E53518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1" i="14" l="1"/>
  <c r="P41" i="14"/>
  <c r="N30" i="14" l="1"/>
  <c r="N29" i="14"/>
  <c r="N28" i="14"/>
  <c r="N27" i="14"/>
  <c r="N26" i="14"/>
  <c r="N25" i="14"/>
  <c r="N24" i="14"/>
  <c r="N22" i="14"/>
  <c r="N21" i="14"/>
  <c r="N20" i="14"/>
  <c r="N18" i="14"/>
  <c r="N17" i="14"/>
  <c r="N16" i="14"/>
  <c r="N14" i="14"/>
  <c r="N13" i="14"/>
  <c r="N12" i="14"/>
  <c r="N10" i="14"/>
  <c r="N9" i="14"/>
  <c r="P22" i="14"/>
  <c r="U22" i="14" s="1"/>
  <c r="P10" i="14"/>
  <c r="U10" i="14" s="1"/>
  <c r="P14" i="14"/>
  <c r="U14" i="14" s="1"/>
  <c r="N76" i="14"/>
  <c r="P77" i="14"/>
  <c r="P76" i="14"/>
  <c r="P74" i="14"/>
  <c r="U74" i="14" s="1"/>
  <c r="P70" i="14"/>
  <c r="U70" i="14"/>
  <c r="U76" i="14" l="1"/>
  <c r="P13" i="14" l="1"/>
  <c r="P20" i="14"/>
  <c r="P19" i="14"/>
  <c r="P17" i="14"/>
  <c r="P16" i="14"/>
  <c r="P9" i="14"/>
  <c r="V9" i="14"/>
  <c r="V78" i="14"/>
  <c r="V76" i="14"/>
  <c r="AA76" i="14" s="1"/>
  <c r="V74" i="14"/>
  <c r="AA74" i="14" s="1"/>
  <c r="V70" i="14"/>
  <c r="AA70" i="14" s="1"/>
  <c r="V69" i="14"/>
  <c r="V68" i="14"/>
  <c r="V67" i="14"/>
  <c r="V66" i="14"/>
  <c r="P66" i="14"/>
  <c r="P63" i="14"/>
  <c r="P65" i="14"/>
  <c r="V65" i="14"/>
  <c r="P58" i="14"/>
  <c r="P60" i="14"/>
  <c r="V60" i="14"/>
  <c r="V59" i="14"/>
  <c r="V52" i="14"/>
  <c r="V51" i="14"/>
  <c r="P45" i="14"/>
  <c r="P50" i="14"/>
  <c r="V50" i="14"/>
  <c r="V49" i="14"/>
  <c r="V41" i="14"/>
  <c r="AA41" i="14" s="1"/>
  <c r="V40" i="14"/>
  <c r="Z37" i="14"/>
  <c r="T34" i="14"/>
  <c r="T36" i="14"/>
  <c r="Z36" i="14"/>
  <c r="V35" i="14"/>
  <c r="V28" i="14"/>
  <c r="V25" i="14"/>
  <c r="P24" i="14"/>
  <c r="V24" i="14"/>
  <c r="V22" i="14"/>
  <c r="AA22" i="14" s="1"/>
  <c r="P21" i="14"/>
  <c r="V21" i="14"/>
  <c r="V19" i="14"/>
  <c r="V16" i="14"/>
  <c r="V14" i="14"/>
  <c r="AA14" i="14" s="1"/>
  <c r="V13" i="14"/>
  <c r="V10" i="14"/>
  <c r="AA10" i="14" s="1"/>
  <c r="P62" i="14" l="1"/>
  <c r="V62" i="14"/>
  <c r="V61" i="14"/>
  <c r="V58" i="14"/>
  <c r="P56" i="14"/>
  <c r="P55" i="14"/>
  <c r="V56" i="14"/>
  <c r="V55" i="14"/>
  <c r="V54" i="14"/>
  <c r="P49" i="14"/>
  <c r="P53" i="14"/>
  <c r="V53" i="14"/>
  <c r="V48" i="14"/>
  <c r="V47" i="14"/>
  <c r="V46" i="14"/>
  <c r="V45" i="14"/>
  <c r="V44" i="14"/>
  <c r="V38" i="14"/>
  <c r="V37" i="14"/>
  <c r="T37" i="14"/>
  <c r="V36" i="14"/>
  <c r="T35" i="14"/>
  <c r="Z35" i="14"/>
  <c r="Z34" i="14"/>
  <c r="V33" i="14"/>
  <c r="Z32" i="14"/>
  <c r="P35" i="14"/>
  <c r="V30" i="14"/>
  <c r="V29" i="14"/>
  <c r="P27" i="14"/>
  <c r="P26" i="14"/>
  <c r="V27" i="14"/>
  <c r="V20" i="14"/>
  <c r="P18" i="14"/>
  <c r="V18" i="14"/>
  <c r="V17" i="14"/>
  <c r="P59" i="14" l="1"/>
  <c r="P33" i="14" l="1"/>
  <c r="P37" i="14"/>
  <c r="P31" i="14"/>
  <c r="P61" i="14"/>
  <c r="P40" i="14"/>
  <c r="P38" i="14"/>
  <c r="P54" i="14"/>
  <c r="P25" i="14"/>
  <c r="P44" i="14"/>
  <c r="P52" i="14"/>
  <c r="P51" i="14"/>
  <c r="P43" i="14"/>
  <c r="P67" i="14"/>
  <c r="P73" i="14"/>
  <c r="P78" i="14"/>
  <c r="AC14" i="14" l="1"/>
  <c r="P68" i="14" l="1"/>
  <c r="P28" i="14" l="1"/>
  <c r="AA12" i="14" l="1"/>
  <c r="AA13" i="14"/>
  <c r="AA16" i="14"/>
  <c r="AA17" i="14"/>
  <c r="AA18" i="14"/>
  <c r="AA19" i="14"/>
  <c r="AA20" i="14"/>
  <c r="AA21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3" i="14"/>
  <c r="AA78" i="14"/>
  <c r="AA9" i="14"/>
  <c r="U12" i="14"/>
  <c r="U13" i="14"/>
  <c r="U16" i="14"/>
  <c r="U17" i="14"/>
  <c r="U18" i="14"/>
  <c r="U19" i="14"/>
  <c r="U20" i="14"/>
  <c r="U21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3" i="14"/>
  <c r="U44" i="14"/>
  <c r="U45" i="14"/>
  <c r="U46" i="14"/>
  <c r="U47" i="14"/>
  <c r="U48" i="14"/>
  <c r="U49" i="14"/>
  <c r="U50" i="14"/>
  <c r="U51" i="14"/>
  <c r="U52" i="14"/>
  <c r="U53" i="14"/>
  <c r="U55" i="14"/>
  <c r="U56" i="14"/>
  <c r="U57" i="14"/>
  <c r="U58" i="14"/>
  <c r="U59" i="14"/>
  <c r="U60" i="14"/>
  <c r="U61" i="14"/>
  <c r="U62" i="14"/>
  <c r="U63" i="14"/>
  <c r="U64" i="14"/>
  <c r="U65" i="14"/>
  <c r="U66" i="14"/>
  <c r="U67" i="14"/>
  <c r="U68" i="14"/>
  <c r="U69" i="14"/>
  <c r="U73" i="14"/>
  <c r="U78" i="14"/>
  <c r="T79" i="14"/>
  <c r="N78" i="14"/>
  <c r="AB44" i="14" l="1"/>
  <c r="AB35" i="14"/>
  <c r="AB52" i="14"/>
  <c r="AB27" i="14"/>
  <c r="AB18" i="14"/>
  <c r="AB60" i="14"/>
  <c r="AB68" i="14"/>
  <c r="AB74" i="14"/>
  <c r="AB70" i="14"/>
  <c r="AB62" i="14"/>
  <c r="AB46" i="14"/>
  <c r="AB37" i="14"/>
  <c r="AB29" i="14"/>
  <c r="AB20" i="14"/>
  <c r="AB69" i="14"/>
  <c r="AB61" i="14"/>
  <c r="AB53" i="14"/>
  <c r="AB45" i="14"/>
  <c r="AB36" i="14"/>
  <c r="AB28" i="14"/>
  <c r="AB19" i="14"/>
  <c r="AB67" i="14"/>
  <c r="AB59" i="14"/>
  <c r="AB51" i="14"/>
  <c r="AB43" i="14"/>
  <c r="AB34" i="14"/>
  <c r="AB26" i="14"/>
  <c r="AB17" i="14"/>
  <c r="AB78" i="14"/>
  <c r="AB66" i="14"/>
  <c r="AB58" i="14"/>
  <c r="AB50" i="14"/>
  <c r="AB41" i="14"/>
  <c r="AB33" i="14"/>
  <c r="AB25" i="14"/>
  <c r="AB16" i="14"/>
  <c r="AB76" i="14"/>
  <c r="AB65" i="14"/>
  <c r="AB57" i="14"/>
  <c r="AB49" i="14"/>
  <c r="AB40" i="14"/>
  <c r="AB32" i="14"/>
  <c r="AB24" i="14"/>
  <c r="AB14" i="14"/>
  <c r="AB64" i="14"/>
  <c r="AB56" i="14"/>
  <c r="AB48" i="14"/>
  <c r="AB39" i="14"/>
  <c r="AB31" i="14"/>
  <c r="AB22" i="14"/>
  <c r="AB13" i="14"/>
  <c r="AB73" i="14"/>
  <c r="AB63" i="14"/>
  <c r="AB55" i="14"/>
  <c r="AB47" i="14"/>
  <c r="AB38" i="14"/>
  <c r="AB30" i="14"/>
  <c r="AB21" i="14"/>
  <c r="AB12" i="14"/>
  <c r="N73" i="14"/>
  <c r="N31" i="14" l="1"/>
  <c r="U54" i="14" l="1"/>
  <c r="AB54" i="14" s="1"/>
  <c r="U9" i="14" l="1"/>
  <c r="AB10" i="14"/>
  <c r="P79" i="14" l="1"/>
  <c r="N74" i="14"/>
  <c r="N70" i="14"/>
  <c r="N68" i="14"/>
  <c r="N67" i="14"/>
  <c r="N66" i="14"/>
  <c r="N62" i="14"/>
  <c r="N61" i="14"/>
  <c r="N60" i="14"/>
  <c r="N59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1" i="14"/>
  <c r="N40" i="14"/>
  <c r="N39" i="14"/>
  <c r="N38" i="14"/>
  <c r="N35" i="14"/>
  <c r="N37" i="14"/>
  <c r="N36" i="14"/>
  <c r="N34" i="14"/>
  <c r="N33" i="14"/>
  <c r="N32" i="14"/>
  <c r="N19" i="14"/>
  <c r="Z79" i="14" l="1"/>
  <c r="N63" i="14"/>
  <c r="AC79" i="14"/>
  <c r="R79" i="14"/>
  <c r="X79" i="14"/>
  <c r="N69" i="14"/>
  <c r="N65" i="14"/>
  <c r="N64" i="14"/>
  <c r="N58" i="14"/>
  <c r="Y79" i="14"/>
  <c r="S79" i="14" l="1"/>
  <c r="N79" i="14"/>
  <c r="AA79" i="14"/>
  <c r="Q79" i="14"/>
  <c r="W79" i="14"/>
  <c r="V79" i="14"/>
  <c r="A79" i="14"/>
  <c r="AB9" i="14" l="1"/>
  <c r="U79" i="14" l="1"/>
  <c r="AB79" i="14" l="1"/>
</calcChain>
</file>

<file path=xl/sharedStrings.xml><?xml version="1.0" encoding="utf-8"?>
<sst xmlns="http://schemas.openxmlformats.org/spreadsheetml/2006/main" count="718" uniqueCount="293">
  <si>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</si>
  <si>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</si>
  <si>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</si>
  <si>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</si>
  <si>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</si>
  <si>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</si>
  <si>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</si>
  <si>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</si>
  <si>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</si>
  <si>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</si>
  <si>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</si>
  <si>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</si>
  <si>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</si>
  <si>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</si>
  <si>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</si>
  <si>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</si>
  <si>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</si>
  <si>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</si>
  <si>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</si>
  <si>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</si>
  <si>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</si>
  <si>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</si>
  <si>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</si>
  <si>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</si>
  <si>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</si>
  <si>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</si>
  <si>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</si>
  <si>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</si>
  <si>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</si>
  <si>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</si>
  <si>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</si>
  <si>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</si>
  <si>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</si>
  <si>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</si>
  <si>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</si>
  <si>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</si>
  <si>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</si>
  <si>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</si>
  <si>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</si>
  <si>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</si>
  <si>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</si>
  <si>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</si>
  <si>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</si>
  <si>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</si>
  <si>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</si>
  <si>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Sec. Desarrollo Social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</si>
  <si>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</si>
  <si>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</si>
  <si>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</si>
  <si>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</si>
  <si>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</si>
  <si>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</si>
  <si>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</si>
  <si>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</si>
  <si>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</si>
  <si>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</si>
  <si>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</si>
  <si>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</si>
  <si>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</si>
  <si>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</si>
  <si>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</si>
  <si>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</si>
  <si>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</si>
  <si>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</si>
  <si>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</si>
  <si>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</si>
  <si>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</si>
  <si>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</si>
  <si>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</si>
  <si>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</si>
  <si>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</si>
  <si>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</si>
  <si>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</si>
  <si>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</si>
  <si>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</si>
  <si>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</si>
  <si>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</si>
  <si>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</si>
  <si>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</si>
  <si>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</si>
  <si>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</si>
  <si>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</si>
  <si>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</si>
  <si>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</si>
  <si>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</si>
  <si>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</si>
  <si>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</si>
  <si>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</si>
  <si>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</si>
  <si>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</si>
  <si>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IMPLEMENTACIÓN DE ACCIONES TENDIENTES A MEJORAR LAS CONDICIONES DE LOS ADULTOS MAYORES DEL MUNICIPIO DE BUCARAMANGA</t>
  </si>
  <si>
    <t>Beneficiar y mantener a 11.000 personas mayores con el programa Colombia Mayor.</t>
  </si>
  <si>
    <t>Número de personas mayores beneficiados y mantenidos con el programa Colombia Mayor.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</si>
  <si>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</si>
  <si>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</si>
  <si>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</si>
  <si>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</si>
  <si>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</si>
  <si>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</si>
  <si>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</si>
  <si>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</si>
  <si>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</si>
  <si>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</si>
  <si>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</si>
  <si>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</si>
  <si>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</si>
  <si>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</si>
  <si>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</si>
  <si>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</si>
  <si>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</si>
  <si>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</si>
  <si>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</si>
  <si>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</si>
  <si>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</si>
  <si>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</si>
  <si>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</si>
  <si>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</si>
  <si>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</si>
  <si>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</si>
  <si>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</si>
  <si>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</si>
  <si>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</si>
  <si>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</si>
  <si>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</si>
  <si>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</si>
  <si>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</si>
  <si>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</si>
  <si>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</si>
  <si>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</si>
  <si>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</si>
  <si>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</si>
  <si>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</si>
  <si>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</si>
  <si>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</si>
  <si>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</si>
  <si>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Activar los diferentes mecanismos de protección, articulando los diferentes establecimientos y secretarias a fin de lograr la protección de la mujer y sean restablecidos sus derechos.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</si>
  <si>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</si>
  <si>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</si>
  <si>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Se busca proteger a la mujer y su familia en caso de vulneración de derechos, en situaciónes de riesgo critico de violencia y riesgo de muerte, entre otras.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</si>
  <si>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</si>
  <si>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</si>
  <si>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Actividades relacionadas con capmapañsas de prevención de violencia en la mujer, igual de derechos, la equidad en las tareas, eliminación del machismo y fenimismo.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</si>
  <si>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</si>
  <si>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</si>
  <si>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Atención virtual y precensial a mujeres y población diversa en temas de violencia sexual, intrafamiliar, domestica, cpacitación en temas de liderazgo y empoderamiento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</si>
  <si>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</si>
  <si>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</si>
  <si>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</si>
  <si>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</si>
  <si>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</si>
  <si>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</si>
  <si>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</si>
  <si>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</si>
  <si>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</si>
  <si>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</si>
  <si>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</si>
  <si>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</si>
  <si>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</si>
  <si>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</si>
  <si>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</si>
  <si>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</si>
  <si>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</si>
  <si>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</si>
  <si>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</si>
  <si>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</si>
  <si>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</si>
  <si>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</si>
  <si>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</si>
  <si>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</si>
  <si>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</si>
  <si>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</si>
  <si>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</si>
  <si>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</si>
  <si>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</si>
  <si>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</si>
  <si>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</si>
  <si>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</si>
  <si>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</si>
  <si>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</si>
  <si>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</si>
  <si>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</si>
  <si>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</si>
  <si>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</si>
  <si>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</si>
  <si>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</si>
  <si>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</si>
  <si>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</si>
  <si>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</si>
  <si>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</si>
  <si>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</si>
  <si>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</si>
  <si>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</si>
  <si>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</si>
  <si>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Mantener el beneficio al 100% de los ediles con pago de EPS, ARL, póliza de vida y dotación.</t>
  </si>
  <si>
    <t>Mantener en funcionamiento el 100% de los salones comunales que hacen parte del programa Ágoras.</t>
  </si>
  <si>
    <t>Porcentaje de salones comunales mantenidos en funcionamiento que hacen parte del programa Ágoras.</t>
  </si>
  <si>
    <t>Construir y/o dotar 10 salones comunales con el programa Ágoras.</t>
  </si>
  <si>
    <t>Número de salones comunales con el programa Ágoras construidos y/o dotados.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</si>
  <si>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</si>
  <si>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</si>
  <si>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</si>
  <si>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</si>
  <si>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</si>
  <si>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</si>
  <si>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PREVENCIÓN DEL CONTAGIO Y PROPAGACIÓN DE LA FIEBRE AFTOSA Y BRUCELOSIS EN LA ESPECIE BOVINA DEL MUNICIPIO DE BUCARAMANGA</t>
  </si>
  <si>
    <t>2.3.2.02.02.009. 4102043. 91114</t>
  </si>
  <si>
    <t>2.3.2.02.02.009.4102038.91114</t>
  </si>
  <si>
    <t>2.3.2.02.02.009.4102038.97321</t>
  </si>
  <si>
    <t>2.3.2.02.02.009.4104008.97321</t>
  </si>
  <si>
    <t>2.3.2.02.02.009.4104008.91114</t>
  </si>
  <si>
    <t>2.3.2.02.02.009.4103050.91114</t>
  </si>
  <si>
    <t>2.3.2.02.02.009.4103050.91124</t>
  </si>
  <si>
    <t>2.3.2.02.02.009.4502038.91114</t>
  </si>
  <si>
    <t>2.3.2.02.02.009.4104027.97321</t>
  </si>
  <si>
    <t>2.3.2.02.02.009.4104027.91114</t>
  </si>
  <si>
    <t>2.3.2.02.02.009.4104020.91114</t>
  </si>
  <si>
    <t>2.3.2.02.01.000.1702010.4415004</t>
  </si>
  <si>
    <t>2.3.2.02.01.000.1707042.3526201</t>
  </si>
  <si>
    <t>2.3.2.02.02.008.1702021.86119</t>
  </si>
  <si>
    <t>Meta no programada para la vigencia</t>
  </si>
  <si>
    <t>Coadyuvar en el segumiento, registro, incorporación, retiros y novedades de adultos mayores con posibilidad de ser beneficiarios del programa colombia mayor de prosperidad social.</t>
  </si>
  <si>
    <t>DESARROLLO DE ACCIONES DE ASISTENCIA SOCIAL ORIENTADAS A LA POBLACIÓN AFECTADA POR LAS DIFERENTES SITUACIONES DE EMERGENCIAS SOCIALES SANITARIAS NATURALES ANTRÓPICAS Y DE VULNERABILIDAD EN EL MUNICIPIO DE BUCARAMANGA</t>
  </si>
  <si>
    <t>Porcentaje de ediles mantenidos con el beneficio del pago de EPS, ARL, póliza de vida y dotación.</t>
  </si>
  <si>
    <t>Beneficiar al 100% de los Ediles con póliza, EPS y Seguro de vida</t>
  </si>
  <si>
    <t>Mantener el funcionamiento de las ágoras.</t>
  </si>
  <si>
    <t>Implementación de la estrategia participativa.</t>
  </si>
  <si>
    <t>DOTACIÓN DE SALONES COMUNALES PARA FOMENTAR LA INTEGRACIÓN COMUNITARIA Y LA CIUDADANÍA PARTICIPATIVA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</si>
  <si>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</si>
  <si>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DOTACIÓN DEL HOGAR DE CUIDADO Y ALBERGUE "CASA BUHO" PARA LA ATENCIÓN INTEGRAL DE NIÑOS Y NIÑAS EN EL MUNICIPIO DE BUCARAMANGA.</t>
  </si>
  <si>
    <t>2.3.2.02.01.002.4104020.2399926</t>
  </si>
  <si>
    <t>2.3.2.02.02.009.4104008.93491</t>
  </si>
  <si>
    <t>Se realiza vacunación a bovinos en los tres corregimientos de Bucraramanga</t>
  </si>
  <si>
    <t>Compra de mobiliario, tecnologia, implementos deportivos, entre otros</t>
  </si>
  <si>
    <t>Entrega de complementos alimentarios, a personas mayores vulnerables y de escasos recursos</t>
  </si>
  <si>
    <t>Llevar los servicios ofrecidos en los centros vida en los barrios, atención en salud, higiene, recreación, promoción de derechos, entre otros.</t>
  </si>
  <si>
    <t>Servicio exequial para personas mayores, dando sepultura digna</t>
  </si>
  <si>
    <t>Atención en centros vida y centros de bienestar conforme a las condiciones de cada persona mayor</t>
  </si>
  <si>
    <t>A traves de profesionales psicologis, trabajadores sociales se realizan actividades para la prevención de violencias</t>
  </si>
  <si>
    <t>Servicio exequial para NNA, dando sepultura digna</t>
  </si>
  <si>
    <t>Espacios para recreación, sano espacimiento y cultura</t>
  </si>
  <si>
    <t>Estrategias de prevención de riesgos de vulneración de derechos en NNA</t>
  </si>
  <si>
    <t>Atención psicologica y juridica</t>
  </si>
  <si>
    <t>Profesionales y convenios que potencian las capacidades de NNA para pautas en su proyecto de vida</t>
  </si>
  <si>
    <t>Acciones para la prevención y acciones para proteger a los NNA que se encuentra en trabajo infantil</t>
  </si>
  <si>
    <t>Articulación con otras secretarias, policia de infancia, icbf, para la garantia de los derechos o el restablecimiento de los mismo.</t>
  </si>
  <si>
    <t>Actividades ludicas, culturales y de recreación para conmemorar su día.</t>
  </si>
  <si>
    <t>Acciones para la prevención y acciones para proteger a los NNA que se encuentra en trabajo infantil asistencia alimentaria y refugio</t>
  </si>
  <si>
    <t>2.3.2.01.01.004.01.03.4502001.3844098 $50.000.000
2.3.2.01.01.003.05.04.4502001.4721202 $100.000.000
2.3.2.01.01.003.03.4502001.3812299 $250.000.000                                  Rec balance 20.000.000</t>
  </si>
  <si>
    <t>2.3.2.02.02.009.1702010.91131 Rec Balance 261.000.000</t>
  </si>
  <si>
    <t>2.3.2.02.02.009.4502038.91114 Rec Balance 20.000.000</t>
  </si>
  <si>
    <t>2.3.2.02.02.009.4502038.91114 Rec Balance 150.000.000</t>
  </si>
  <si>
    <t>Jorge Isnador Neira Gonzalez</t>
  </si>
  <si>
    <t>2.3.2.02.02.009. 4102043. 91114: 186.000.000
2.3.2.02.02.009.4102038.91114: 97.000.000
2.3.2.02.02.009.4102021.91114: 10.000.000</t>
  </si>
  <si>
    <t>Propios 2.3.2.01.01.004.01.01.4103031.3814088: 200.000.000
CONPES 2.3.2.01.01.004.01.01.4103031.3814088.516: 4.867.393</t>
  </si>
  <si>
    <t xml:space="preserve">2.3.2.02.02.009. 4102043. 91114: 137.000.000 
2.3.2.02.02.009.4102038.91114: 55.000.000   </t>
  </si>
  <si>
    <t>2.3.2.02.02.009.4102043. 91114: 60.000.000 
2.3.2.02.02.009.4102021.91114: 10.000.000</t>
  </si>
  <si>
    <t xml:space="preserve">2.3.2.02.02.009. 4102043. 91114: 45.000.000 
2.3.2.02.02.009.4102021.91114: 10.000.000 
 2.3.2.02.02.009.4102038.91114: 10.000.000   </t>
  </si>
  <si>
    <t>2.3.2.02.02.009.4102038.91114: 80.000.000 
  2.3.2.02.02.009.4102021.91114: 10.000.000</t>
  </si>
  <si>
    <t xml:space="preserve">2.3.2.02.02.009.4599006.91114: 160.000.000
2.3.2.02.02.009.4599006.91114: 1.090.951.807
2.3.2.02.02.009.4599006.91114.501 $75.000.000
2.3.2.02.02.009.4599031.91114.501 $175.000.000                                                                                                                                                                                                                                   </t>
  </si>
  <si>
    <t>FORTALECIMIENTO DE LA PARTICIPACIÓN CIUDADANA EN EL MUNICIPIO DE BUCARAMANGA</t>
  </si>
  <si>
    <t>FORTALECIMIENTO DE LA PARTICIPACIÓN E INCIDENCIA DE LAS EXPRESIONES E INSTITUCIONES DEMOCRÁTICAS JUVENILES DE LA CIUDAD DE BUCARAMANGA</t>
  </si>
  <si>
    <t xml:space="preserve">2.3.2.02.02.009.4502001.91114           </t>
  </si>
  <si>
    <t>Rec Balance 410.000.000</t>
  </si>
  <si>
    <t>505.000.000 juventudes</t>
  </si>
  <si>
    <t xml:space="preserve">Propios: 2.3.2.02.02.009.3301053.96230: 278.000.000
Propios: 2.3.2.02.02.009.4502001.911141: 12.000.000                                        </t>
  </si>
  <si>
    <t>Rec Balance 205,000,000</t>
  </si>
  <si>
    <t xml:space="preserve">2.3.2.02.02.009.4502001.91310      </t>
  </si>
  <si>
    <t>rec Balance 530.000.000</t>
  </si>
  <si>
    <t>APOYO EN LOS PROCESOS DE ATENCIÓN INTEGRAL DE LOS NIÑOS Y NIÑAS EN EL ESPACIO DE CUIDADO Y ALBERGUE “CASA BÚHO” EN EL MUNICIPIO DE BUCARAMANGA</t>
  </si>
  <si>
    <t xml:space="preserve">2.3.2.02.02.009. 4102043. 91114: 87.000.000 
2.3.2.02.02.009.4102021.91114: 20.000.000
2.3.2.02.02.009.4102038.91114: 50.000.000   </t>
  </si>
  <si>
    <t>2.3.2.02.02.009. 4102038. 91114.501: 150.000.000</t>
  </si>
  <si>
    <t>2.3.2.02.02.009.4102038.91114: 59.000.000 
2.3.2.02.02.009.4102021.91114: 10.000.000 
2.3.2.02.02.009. 4102043. 91114: 20.000.000</t>
  </si>
  <si>
    <t>2.3.2.02.02.009. 4102043. 91114,501: 180.000.000</t>
  </si>
  <si>
    <t>2.3.2.02.02.009.4102038.91114: 110.000.000
2.3.2.02.02.009.4102021.91114: 10.000.000
2.3.2.02.02.009. 4102043. 91114: 20.000.000</t>
  </si>
  <si>
    <t>2.3.2.02.02.009. 4102043. 91124,501: 100.000.000</t>
  </si>
  <si>
    <t>2.3.2.02.02.009.4102021.91114: 55.000.000 
2.3.2.02.02.009.4102038.91114: 10.000.000 
2.3.2.02.02.009. 4102043. 91114: 15.000.000</t>
  </si>
  <si>
    <t xml:space="preserve">2.3.2.02.02.009.4102043.91124: 230.000.000
2.3.2.02.02.009.4102021.91114: 15.000.000 
 2.3.2.02.02.009.4102038.91114: 40.000.000   </t>
  </si>
  <si>
    <t xml:space="preserve">2.3.2.02.02.009.4102038.91114: 90.000.000
 2.3.2.02.02.009. 4102043. 91114: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</si>
  <si>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 municipal 2.3.2.02.01.002.4104008.2399926: $ 600.912.530
 Est Dpto 2.3.2.02.01.002.4104008.2399926 $ 850.649.274
Propios: 2.3.2.02.01.002.4104008.2399926: $600.000.000       </t>
  </si>
  <si>
    <t>Est Mpal 2.3.2.02.02.009.4104008.93491 $1.709.196.620
Est dpal 2.3.2.02.02.009.4104008.93491 $1.049.350.726
Est dpal 2.3.2.02.02.009.4104008.93304 $600.000.000
est mpal 2.3.2.02.02.009.4104008.93304 $1.200.000.000
rendimientos 2.3.2.02.02.009.4104008.93304 $59.517.822 
Estampilla municipal balance CB
 2.3.2.02.02.009.4104008.93304.520 $ 988.970.133
Estampilla municipal balance CV
  2.3.2.02.02.009.4104008.93491.520 $ 1.251.459.694,58</t>
  </si>
  <si>
    <t>Propios 2.3.2.02.02.009.4104008.93491: 635.000.000 
Est Mpal: 2.3.2.02.02.009.4104008.91114: 172.799.850</t>
  </si>
  <si>
    <t>Propios 2.3.2.02.02.009.4104008.93491: 100.000.000
Est Mpal: 2.3.2.02.02.009.4104008.91114: 185.000.000</t>
  </si>
  <si>
    <t>Propios2.3.2.02.02.009.4104008.91124: 200.000.000
 Est Mpal: 2.3.2.02.02.009.4104008.91114: 87.091.000</t>
  </si>
  <si>
    <t>2.3.2.02.02.009.4104020.93411: 1.016.000.000 
 2.3.2.02.02.009.4104020.91114: 112.000.000</t>
  </si>
  <si>
    <t>2.3.2.02.02.009.1702010.91131:85.000.000  
 2.3.2.01.01.004.01.01.1709113.3814055.201:67.000.000 
  Rec balance 40.000.000</t>
  </si>
  <si>
    <t>2.3.2.02.02.008.1702021.86119
  2.3.2.01.01.003.02.05.1702014.4451600.201: 110.000.000</t>
  </si>
  <si>
    <t xml:space="preserve">2.3.2.02.02.009.4103050.91114  </t>
  </si>
  <si>
    <t>Rec Balnace 387.000.000</t>
  </si>
  <si>
    <t>IMPLEMENTACIÓN DE ACCIONES DE ASISTENCIA SOCIAL ORIENTADAS A LA POBLACIÓN AFECTADA POR LAS DIFERENTES SITUACIONES DE EMERGENCIAS SOCIALES, NATURALES, SANITARIAS, ANTRÓPICAS O EN SITUACION DE VULNERABILIDAD EN EL MUNICIPIO DE BUCARAMANGA</t>
  </si>
  <si>
    <t xml:space="preserve">Atender a (20.000) personas en condición de vulnerabilidad con situaciones de emergencia </t>
  </si>
  <si>
    <t>Atender con servicios integrales a (160) niñas y niños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</si>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</sst>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_-* #,##0_-;\-* #,##0_-;_-* &quot;-&quot;??_-;_-@_-"/>
    <numFmt numFmtId="169" formatCode="&quot;$&quot;\ #,##0"/>
    <numFmt numFmtId="170" formatCode="_(* #,##0.00_);_(* \(#,##0.00\);_(* &quot;-&quot;??_);_(@_)"/>
    <numFmt numFmtId="171" formatCode="0.0%"/>
  </numFmts>
  <fonts count="1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16" fillId="0" borderId="0"/>
    <xf numFmtId="170" fontId="16" fillId="0" borderId="0" applyFont="0" applyFill="0" applyBorder="0" applyAlignment="0" applyProtection="0"/>
    <xf numFmtId="0" fontId="5" fillId="0" borderId="0"/>
    <xf numFmtId="0" fontId="5" fillId="0" borderId="0"/>
  </cellStyleXfs>
  <cellXfs count="152">
    <xf numFmtId="0" fontId="0" fillId="0" borderId="0" xfId="0"/>
    <xf numFmtId="0" fontId="0" fillId="0" borderId="2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9" fillId="0" borderId="2" xfId="107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5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6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6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vertical="center" wrapText="1"/>
    </xf>
    <xf numFmtId="43" fontId="9" fillId="0" borderId="2" xfId="11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/>
    </xf>
    <xf numFmtId="44" fontId="9" fillId="0" borderId="2" xfId="108" applyFont="1" applyFill="1" applyBorder="1" applyAlignment="1">
      <alignment horizontal="right" vertical="center" wrapText="1"/>
    </xf>
    <xf numFmtId="7" fontId="9" fillId="0" borderId="2" xfId="108" applyNumberFormat="1" applyFont="1" applyFill="1" applyBorder="1" applyAlignment="1">
      <alignment horizontal="right" vertical="center" wrapText="1"/>
    </xf>
    <xf numFmtId="44" fontId="8" fillId="0" borderId="2" xfId="108" applyFont="1" applyBorder="1" applyAlignment="1">
      <alignment horizontal="right" vertical="center"/>
    </xf>
    <xf numFmtId="5" fontId="8" fillId="0" borderId="2" xfId="0" applyNumberFormat="1" applyFont="1" applyBorder="1" applyAlignment="1">
      <alignment horizontal="right"/>
    </xf>
    <xf numFmtId="166" fontId="9" fillId="0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44" fontId="9" fillId="0" borderId="2" xfId="108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5" fontId="9" fillId="0" borderId="2" xfId="0" applyNumberFormat="1" applyFont="1" applyBorder="1" applyAlignment="1">
      <alignment horizontal="right" vertical="center" wrapText="1"/>
    </xf>
    <xf numFmtId="44" fontId="9" fillId="0" borderId="2" xfId="108" applyFont="1" applyFill="1" applyBorder="1" applyAlignment="1">
      <alignment horizontal="right"/>
    </xf>
    <xf numFmtId="44" fontId="8" fillId="0" borderId="2" xfId="108" applyFont="1" applyBorder="1" applyAlignment="1">
      <alignment horizontal="left" vertical="center" wrapText="1"/>
    </xf>
    <xf numFmtId="0" fontId="8" fillId="0" borderId="2" xfId="108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8" fontId="0" fillId="0" borderId="0" xfId="0" applyNumberFormat="1"/>
    <xf numFmtId="166" fontId="7" fillId="2" borderId="4" xfId="108" applyNumberFormat="1" applyFont="1" applyFill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/>
    </xf>
    <xf numFmtId="166" fontId="8" fillId="0" borderId="2" xfId="108" applyNumberFormat="1" applyFont="1" applyBorder="1" applyAlignment="1">
      <alignment horizontal="right" vertical="center"/>
    </xf>
    <xf numFmtId="43" fontId="8" fillId="0" borderId="2" xfId="110" applyFont="1" applyBorder="1" applyAlignment="1">
      <alignment horizontal="justify" vertical="center" wrapText="1"/>
    </xf>
    <xf numFmtId="5" fontId="9" fillId="0" borderId="2" xfId="110" applyNumberFormat="1" applyFont="1" applyFill="1" applyBorder="1" applyAlignment="1">
      <alignment horizontal="right" vertical="center" wrapText="1"/>
    </xf>
    <xf numFmtId="5" fontId="10" fillId="0" borderId="2" xfId="110" applyNumberFormat="1" applyFont="1" applyBorder="1" applyAlignment="1">
      <alignment horizontal="right" vertical="center" wrapText="1"/>
    </xf>
    <xf numFmtId="5" fontId="10" fillId="0" borderId="2" xfId="110" applyNumberFormat="1" applyFont="1" applyFill="1" applyBorder="1" applyAlignment="1">
      <alignment horizontal="right" vertical="center" wrapText="1"/>
    </xf>
    <xf numFmtId="5" fontId="8" fillId="0" borderId="2" xfId="110" applyNumberFormat="1" applyFont="1" applyBorder="1" applyAlignment="1">
      <alignment horizontal="right"/>
    </xf>
    <xf numFmtId="5" fontId="15" fillId="0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vertical="center"/>
    </xf>
    <xf numFmtId="0" fontId="0" fillId="0" borderId="0" xfId="0" applyAlignment="1">
      <alignment vertical="center"/>
    </xf>
    <xf numFmtId="5" fontId="11" fillId="2" borderId="2" xfId="108" applyNumberFormat="1" applyFont="1" applyFill="1" applyBorder="1" applyAlignment="1">
      <alignment horizontal="right" vertical="center" wrapText="1"/>
    </xf>
    <xf numFmtId="169" fontId="9" fillId="0" borderId="2" xfId="110" applyNumberFormat="1" applyFont="1" applyFill="1" applyBorder="1" applyAlignment="1">
      <alignment horizontal="right" vertical="center" wrapText="1"/>
    </xf>
    <xf numFmtId="169" fontId="9" fillId="0" borderId="2" xfId="108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justify" vertical="center" wrapText="1"/>
    </xf>
    <xf numFmtId="14" fontId="0" fillId="3" borderId="0" xfId="0" applyNumberForma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169" fontId="9" fillId="0" borderId="2" xfId="110" applyNumberFormat="1" applyFont="1" applyBorder="1" applyAlignment="1">
      <alignment horizontal="right" vertical="center" wrapText="1"/>
    </xf>
    <xf numFmtId="169" fontId="9" fillId="0" borderId="2" xfId="110" applyNumberFormat="1" applyFont="1" applyBorder="1" applyAlignment="1">
      <alignment horizontal="right"/>
    </xf>
    <xf numFmtId="169" fontId="9" fillId="0" borderId="2" xfId="110" applyNumberFormat="1" applyFont="1" applyBorder="1" applyAlignment="1">
      <alignment horizontal="right" vertical="center"/>
    </xf>
    <xf numFmtId="169" fontId="9" fillId="0" borderId="2" xfId="110" applyNumberFormat="1" applyFont="1" applyFill="1" applyBorder="1" applyAlignment="1">
      <alignment horizontal="right" vertical="center"/>
    </xf>
    <xf numFmtId="171" fontId="8" fillId="0" borderId="2" xfId="0" applyNumberFormat="1" applyFont="1" applyBorder="1" applyAlignment="1">
      <alignment horizontal="center" vertical="center"/>
    </xf>
    <xf numFmtId="169" fontId="9" fillId="0" borderId="2" xfId="110" applyNumberFormat="1" applyFont="1" applyFill="1" applyBorder="1" applyAlignment="1">
      <alignment horizontal="right"/>
    </xf>
    <xf numFmtId="10" fontId="8" fillId="0" borderId="2" xfId="0" applyNumberFormat="1" applyFont="1" applyBorder="1" applyAlignment="1">
      <alignment horizontal="center" vertical="center"/>
    </xf>
    <xf numFmtId="44" fontId="0" fillId="0" borderId="0" xfId="0" applyNumberFormat="1"/>
    <xf numFmtId="6" fontId="0" fillId="0" borderId="0" xfId="0" applyNumberFormat="1"/>
    <xf numFmtId="7" fontId="11" fillId="2" borderId="2" xfId="108" applyNumberFormat="1" applyFont="1" applyFill="1" applyBorder="1" applyAlignment="1">
      <alignment horizontal="right" vertical="center" wrapText="1"/>
    </xf>
    <xf numFmtId="43" fontId="0" fillId="0" borderId="0" xfId="0" applyNumberFormat="1"/>
    <xf numFmtId="166" fontId="0" fillId="0" borderId="0" xfId="108" applyNumberFormat="1" applyFont="1"/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1" fontId="8" fillId="0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5" fontId="11" fillId="2" borderId="1" xfId="108" applyNumberFormat="1" applyFont="1" applyFill="1" applyBorder="1" applyAlignment="1">
      <alignment horizontal="right" vertical="center" wrapText="1"/>
    </xf>
    <xf numFmtId="5" fontId="11" fillId="2" borderId="4" xfId="108" applyNumberFormat="1" applyFont="1" applyFill="1" applyBorder="1" applyAlignment="1">
      <alignment horizontal="right" vertical="center" wrapText="1"/>
    </xf>
    <xf numFmtId="9" fontId="9" fillId="0" borderId="1" xfId="107" applyFont="1" applyFill="1" applyBorder="1" applyAlignment="1">
      <alignment horizontal="center" vertical="center" wrapText="1"/>
    </xf>
    <xf numFmtId="9" fontId="9" fillId="0" borderId="4" xfId="107" applyFont="1" applyFill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5" fontId="9" fillId="0" borderId="4" xfId="108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9" fontId="9" fillId="2" borderId="1" xfId="107" applyFont="1" applyFill="1" applyBorder="1" applyAlignment="1">
      <alignment horizontal="center" vertical="center" wrapText="1"/>
    </xf>
    <xf numFmtId="9" fontId="9" fillId="2" borderId="4" xfId="107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5" fontId="11" fillId="2" borderId="9" xfId="108" applyNumberFormat="1" applyFont="1" applyFill="1" applyBorder="1" applyAlignment="1">
      <alignment horizontal="right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14" applyNumberFormat="1" applyFont="1" applyBorder="1" applyAlignment="1">
      <alignment horizontal="left" vertical="center" wrapText="1"/>
    </xf>
    <xf numFmtId="2" fontId="7" fillId="0" borderId="6" xfId="114" applyNumberFormat="1" applyFont="1" applyBorder="1" applyAlignment="1">
      <alignment horizontal="left" vertical="center" wrapText="1"/>
    </xf>
    <xf numFmtId="2" fontId="7" fillId="0" borderId="7" xfId="114" applyNumberFormat="1" applyFont="1" applyBorder="1" applyAlignment="1">
      <alignment horizontal="left" vertical="center" wrapText="1"/>
    </xf>
    <xf numFmtId="2" fontId="7" fillId="0" borderId="8" xfId="114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9" fillId="0" borderId="9" xfId="107" applyFont="1" applyFill="1" applyBorder="1" applyAlignment="1">
      <alignment horizontal="center" vertical="center" wrapText="1"/>
    </xf>
    <xf numFmtId="5" fontId="9" fillId="0" borderId="9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</cellXfs>
  <cellStyles count="1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illares 2" xfId="112" xr:uid="{00000000-0005-0000-0000-00006B000000}"/>
    <cellStyle name="Moneda" xfId="108" builtinId="4"/>
    <cellStyle name="Normal" xfId="0" builtinId="0"/>
    <cellStyle name="Normal 2" xfId="109" xr:uid="{00000000-0005-0000-0000-00006E000000}"/>
    <cellStyle name="Normal 2 2" xfId="114" xr:uid="{2775DBF2-4AE6-4DE2-9C53-05E6B2793856}"/>
    <cellStyle name="Normal 3" xfId="111" xr:uid="{00000000-0005-0000-0000-00006F000000}"/>
    <cellStyle name="Normal 3 2" xfId="113" xr:uid="{78E67048-EAFF-4D84-BE6E-846A289777BC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445605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abSelected="1" zoomScale="80" zoomScaleNormal="80" workbookViewId="0">
      <selection activeCell="D6" sqref="D6:G6"/>
    </sheetView>
  </sheetViews>
  <sheetFormatPr baseColWidth="10" defaultColWidth="11.25" defaultRowHeight="14.25" x14ac:dyDescent="0.2"/>
  <cols>
    <col min="1" max="1" width="8.25" customWidth="1"/>
    <col min="2" max="4" width="19.875" customWidth="1"/>
    <col min="5" max="6" width="50.875" customWidth="1"/>
    <col min="7" max="7" width="19.5" customWidth="1"/>
    <col min="8" max="8" width="50.875" customWidth="1"/>
    <col min="9" max="9" width="36.75" customWidth="1"/>
    <col min="10" max="10" width="12.875" customWidth="1"/>
    <col min="11" max="11" width="14.75" customWidth="1"/>
    <col min="12" max="12" width="14.875" style="67" customWidth="1"/>
    <col min="13" max="13" width="14.875" customWidth="1"/>
    <col min="14" max="14" width="11.25" customWidth="1"/>
    <col min="15" max="15" width="47.625" style="51" customWidth="1"/>
    <col min="16" max="27" width="23.5" customWidth="1"/>
    <col min="28" max="28" width="16.25" customWidth="1"/>
    <col min="29" max="29" width="21.25" customWidth="1"/>
    <col min="30" max="31" width="22.75" customWidth="1"/>
    <col min="32" max="32" width="15.875" customWidth="1"/>
  </cols>
  <sheetData>
    <row r="1" spans="1:32" ht="15" x14ac:dyDescent="0.2">
      <c r="A1" s="144"/>
      <c r="B1" s="147" t="s">
        <v>202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35" t="s">
        <v>227</v>
      </c>
      <c r="AD1" s="135"/>
      <c r="AE1" s="135"/>
    </row>
    <row r="2" spans="1:32" ht="15" x14ac:dyDescent="0.2">
      <c r="A2" s="14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36" t="s">
        <v>291</v>
      </c>
      <c r="AD2" s="136"/>
      <c r="AE2" s="136"/>
    </row>
    <row r="3" spans="1:32" ht="15" customHeight="1" x14ac:dyDescent="0.2">
      <c r="A3" s="144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37" t="s">
        <v>292</v>
      </c>
      <c r="AD3" s="138"/>
      <c r="AE3" s="139"/>
    </row>
    <row r="4" spans="1:32" ht="15" x14ac:dyDescent="0.2">
      <c r="A4" s="144"/>
      <c r="B4" s="147"/>
      <c r="C4" s="147"/>
      <c r="D4" s="147"/>
      <c r="E4" s="147"/>
      <c r="F4" s="147"/>
      <c r="G4" s="147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35" t="s">
        <v>33</v>
      </c>
      <c r="AD4" s="135"/>
      <c r="AE4" s="135"/>
    </row>
    <row r="5" spans="1:32" s="71" customFormat="1" ht="15" x14ac:dyDescent="0.2">
      <c r="A5" s="145" t="s">
        <v>31</v>
      </c>
      <c r="B5" s="145"/>
      <c r="C5" s="145"/>
      <c r="D5" s="149">
        <v>44847</v>
      </c>
      <c r="E5" s="150"/>
      <c r="F5" s="150"/>
      <c r="G5" s="151"/>
      <c r="H5" s="76"/>
      <c r="I5" s="76"/>
      <c r="J5" s="76"/>
      <c r="K5" s="76"/>
      <c r="L5" s="76"/>
      <c r="M5" s="68"/>
      <c r="N5" s="68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70"/>
    </row>
    <row r="6" spans="1:32" s="71" customFormat="1" ht="15" x14ac:dyDescent="0.2">
      <c r="A6" s="146" t="s">
        <v>32</v>
      </c>
      <c r="B6" s="146"/>
      <c r="C6" s="146"/>
      <c r="D6" s="149">
        <v>44834</v>
      </c>
      <c r="E6" s="150"/>
      <c r="F6" s="150"/>
      <c r="G6" s="151"/>
      <c r="H6" s="77"/>
      <c r="I6" s="77"/>
      <c r="J6" s="77"/>
      <c r="K6" s="77"/>
      <c r="L6" s="77"/>
      <c r="M6" s="68"/>
      <c r="N6" s="68"/>
      <c r="O6" s="6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70"/>
    </row>
    <row r="7" spans="1:32" ht="15" x14ac:dyDescent="0.2">
      <c r="A7" s="1"/>
      <c r="B7" s="141" t="s">
        <v>10</v>
      </c>
      <c r="C7" s="141"/>
      <c r="D7" s="141"/>
      <c r="E7" s="141"/>
      <c r="F7" s="141"/>
      <c r="G7" s="141" t="s">
        <v>11</v>
      </c>
      <c r="H7" s="141"/>
      <c r="I7" s="141"/>
      <c r="J7" s="141"/>
      <c r="K7" s="141"/>
      <c r="L7" s="141" t="s">
        <v>26</v>
      </c>
      <c r="M7" s="141"/>
      <c r="N7" s="141"/>
      <c r="O7" s="141" t="s">
        <v>24</v>
      </c>
      <c r="P7" s="141"/>
      <c r="Q7" s="141"/>
      <c r="R7" s="141"/>
      <c r="S7" s="141"/>
      <c r="T7" s="141"/>
      <c r="U7" s="141"/>
      <c r="V7" s="141" t="s">
        <v>18</v>
      </c>
      <c r="W7" s="141"/>
      <c r="X7" s="141"/>
      <c r="Y7" s="141"/>
      <c r="Z7" s="141"/>
      <c r="AA7" s="141"/>
      <c r="AB7" s="140" t="s">
        <v>19</v>
      </c>
      <c r="AC7" s="140" t="s">
        <v>27</v>
      </c>
      <c r="AD7" s="140" t="s">
        <v>25</v>
      </c>
      <c r="AE7" s="140"/>
    </row>
    <row r="8" spans="1:32" ht="30" x14ac:dyDescent="0.2">
      <c r="A8" s="2" t="s">
        <v>30</v>
      </c>
      <c r="B8" s="11" t="s">
        <v>1</v>
      </c>
      <c r="C8" s="2" t="s">
        <v>6</v>
      </c>
      <c r="D8" s="2" t="s">
        <v>2</v>
      </c>
      <c r="E8" s="2" t="s">
        <v>7</v>
      </c>
      <c r="F8" s="11" t="s">
        <v>20</v>
      </c>
      <c r="G8" s="11" t="s">
        <v>15</v>
      </c>
      <c r="H8" s="11" t="s">
        <v>3</v>
      </c>
      <c r="I8" s="11" t="s">
        <v>16</v>
      </c>
      <c r="J8" s="11" t="s">
        <v>22</v>
      </c>
      <c r="K8" s="11" t="s">
        <v>23</v>
      </c>
      <c r="L8" s="11" t="s">
        <v>4</v>
      </c>
      <c r="M8" s="11" t="s">
        <v>5</v>
      </c>
      <c r="N8" s="11" t="s">
        <v>0</v>
      </c>
      <c r="O8" s="52" t="s">
        <v>9</v>
      </c>
      <c r="P8" s="40" t="s">
        <v>35</v>
      </c>
      <c r="Q8" s="40" t="s">
        <v>8</v>
      </c>
      <c r="R8" s="40" t="s">
        <v>28</v>
      </c>
      <c r="S8" s="40" t="s">
        <v>34</v>
      </c>
      <c r="T8" s="40" t="s">
        <v>12</v>
      </c>
      <c r="U8" s="40" t="s">
        <v>21</v>
      </c>
      <c r="V8" s="40" t="s">
        <v>35</v>
      </c>
      <c r="W8" s="40" t="s">
        <v>8</v>
      </c>
      <c r="X8" s="40" t="s">
        <v>28</v>
      </c>
      <c r="Y8" s="40" t="s">
        <v>34</v>
      </c>
      <c r="Z8" s="40" t="s">
        <v>12</v>
      </c>
      <c r="AA8" s="40" t="s">
        <v>29</v>
      </c>
      <c r="AB8" s="140"/>
      <c r="AC8" s="140"/>
      <c r="AD8" s="40" t="s">
        <v>13</v>
      </c>
      <c r="AE8" s="40" t="s">
        <v>14</v>
      </c>
    </row>
    <row r="9" spans="1:32" ht="78.75" x14ac:dyDescent="0.2">
      <c r="A9" s="21">
        <v>67</v>
      </c>
      <c r="B9" s="7" t="s">
        <v>39</v>
      </c>
      <c r="C9" s="7" t="s">
        <v>40</v>
      </c>
      <c r="D9" s="91" t="s">
        <v>41</v>
      </c>
      <c r="E9" s="10" t="s">
        <v>42</v>
      </c>
      <c r="F9" s="8" t="s">
        <v>43</v>
      </c>
      <c r="G9" s="96">
        <v>2021680010003</v>
      </c>
      <c r="H9" s="8" t="s">
        <v>44</v>
      </c>
      <c r="I9" s="4" t="s">
        <v>237</v>
      </c>
      <c r="J9" s="6">
        <v>44562</v>
      </c>
      <c r="K9" s="6">
        <v>44926</v>
      </c>
      <c r="L9" s="63">
        <v>1</v>
      </c>
      <c r="M9" s="99">
        <v>1</v>
      </c>
      <c r="N9" s="41">
        <f>IFERROR(IF(M9/L9&gt;100%,100%,M9/L9),"-")</f>
        <v>1</v>
      </c>
      <c r="O9" s="29" t="s">
        <v>252</v>
      </c>
      <c r="P9" s="73">
        <f>206000000+97000000+10000000-20000000-50000000+180000000-111000000-10000000-10000000-10000000-100000000</f>
        <v>182000000</v>
      </c>
      <c r="Q9" s="59"/>
      <c r="R9" s="23"/>
      <c r="S9" s="23"/>
      <c r="T9" s="78"/>
      <c r="U9" s="72">
        <f>SUM(P9:T9)</f>
        <v>182000000</v>
      </c>
      <c r="V9" s="22">
        <f>5000000+13200000+27000000+2139620+44972504.71+34450000+52183333-16140000</f>
        <v>162805457.71000001</v>
      </c>
      <c r="W9" s="44"/>
      <c r="X9" s="44"/>
      <c r="Y9" s="44"/>
      <c r="Z9" s="36"/>
      <c r="AA9" s="87">
        <f>SUM(V9:Z9)</f>
        <v>162805457.71000001</v>
      </c>
      <c r="AB9" s="3">
        <f t="shared" ref="AB9:AB44" si="0">IFERROR(AA9/U9,"-")</f>
        <v>0.89453548192307697</v>
      </c>
      <c r="AC9" s="22"/>
      <c r="AD9" s="95" t="s">
        <v>45</v>
      </c>
      <c r="AE9" s="5" t="s">
        <v>251</v>
      </c>
      <c r="AF9" s="86"/>
    </row>
    <row r="10" spans="1:32" ht="94.5" x14ac:dyDescent="0.2">
      <c r="A10" s="21">
        <v>68</v>
      </c>
      <c r="B10" s="7" t="s">
        <v>39</v>
      </c>
      <c r="C10" s="7" t="s">
        <v>40</v>
      </c>
      <c r="D10" s="91" t="s">
        <v>41</v>
      </c>
      <c r="E10" s="10" t="s">
        <v>46</v>
      </c>
      <c r="F10" s="8" t="s">
        <v>47</v>
      </c>
      <c r="G10" s="96">
        <v>2021680010003</v>
      </c>
      <c r="H10" s="8" t="s">
        <v>44</v>
      </c>
      <c r="I10" s="4" t="s">
        <v>241</v>
      </c>
      <c r="J10" s="6">
        <v>44562</v>
      </c>
      <c r="K10" s="6">
        <v>44926</v>
      </c>
      <c r="L10" s="107">
        <v>1</v>
      </c>
      <c r="M10" s="119">
        <v>1</v>
      </c>
      <c r="N10" s="117">
        <f>IFERROR(IF(M10/L10&gt;100%,100%,M10/L10),"-")</f>
        <v>1</v>
      </c>
      <c r="O10" s="29" t="s">
        <v>271</v>
      </c>
      <c r="P10" s="73">
        <f>69000000+20000000+20000000</f>
        <v>109000000</v>
      </c>
      <c r="Q10" s="60"/>
      <c r="R10" s="23"/>
      <c r="S10" s="23"/>
      <c r="T10" s="78"/>
      <c r="U10" s="109">
        <f>SUM(P10:T11)</f>
        <v>289000000</v>
      </c>
      <c r="V10" s="22">
        <f>5000000+38000000+13500000+2849416+33666666+13303333</f>
        <v>106319415</v>
      </c>
      <c r="W10" s="44"/>
      <c r="X10" s="44"/>
      <c r="Y10" s="44"/>
      <c r="Z10" s="36"/>
      <c r="AA10" s="109">
        <f>SUM(V10:Z11)</f>
        <v>106319415</v>
      </c>
      <c r="AB10" s="111">
        <f t="shared" si="0"/>
        <v>0.36788724913494808</v>
      </c>
      <c r="AC10" s="113"/>
      <c r="AD10" s="115" t="s">
        <v>45</v>
      </c>
      <c r="AE10" s="105" t="s">
        <v>251</v>
      </c>
      <c r="AF10" s="86"/>
    </row>
    <row r="11" spans="1:32" ht="94.5" x14ac:dyDescent="0.2">
      <c r="A11" s="90">
        <v>68</v>
      </c>
      <c r="B11" s="7" t="s">
        <v>39</v>
      </c>
      <c r="C11" s="7" t="s">
        <v>40</v>
      </c>
      <c r="D11" s="91" t="s">
        <v>41</v>
      </c>
      <c r="E11" s="10" t="s">
        <v>46</v>
      </c>
      <c r="F11" s="8" t="s">
        <v>47</v>
      </c>
      <c r="G11" s="96">
        <v>2022680010056</v>
      </c>
      <c r="H11" s="8" t="s">
        <v>268</v>
      </c>
      <c r="I11" s="8" t="s">
        <v>290</v>
      </c>
      <c r="J11" s="6"/>
      <c r="K11" s="6"/>
      <c r="L11" s="108"/>
      <c r="M11" s="120"/>
      <c r="N11" s="118"/>
      <c r="O11" s="29" t="s">
        <v>272</v>
      </c>
      <c r="P11" s="73">
        <v>180000000</v>
      </c>
      <c r="Q11" s="60"/>
      <c r="R11" s="23"/>
      <c r="S11" s="23"/>
      <c r="T11" s="78"/>
      <c r="U11" s="110"/>
      <c r="V11" s="22"/>
      <c r="W11" s="44"/>
      <c r="X11" s="44"/>
      <c r="Y11" s="44"/>
      <c r="Z11" s="36"/>
      <c r="AA11" s="110"/>
      <c r="AB11" s="112"/>
      <c r="AC11" s="114"/>
      <c r="AD11" s="116"/>
      <c r="AE11" s="106"/>
      <c r="AF11" s="86"/>
    </row>
    <row r="12" spans="1:32" ht="75" x14ac:dyDescent="0.2">
      <c r="A12" s="21">
        <v>69</v>
      </c>
      <c r="B12" s="7" t="s">
        <v>39</v>
      </c>
      <c r="C12" s="7" t="s">
        <v>40</v>
      </c>
      <c r="D12" s="91" t="s">
        <v>41</v>
      </c>
      <c r="E12" s="10" t="s">
        <v>83</v>
      </c>
      <c r="F12" s="8" t="s">
        <v>84</v>
      </c>
      <c r="G12" s="92"/>
      <c r="H12" s="8" t="s">
        <v>219</v>
      </c>
      <c r="I12" s="8"/>
      <c r="J12" s="6">
        <v>44562</v>
      </c>
      <c r="K12" s="6">
        <v>44926</v>
      </c>
      <c r="L12" s="63">
        <v>0</v>
      </c>
      <c r="M12" s="99">
        <v>0</v>
      </c>
      <c r="N12" s="41" t="str">
        <f>IFERROR(IF(M12/L12&gt;100%,100%,M12/L12),"-")</f>
        <v>-</v>
      </c>
      <c r="O12" s="29"/>
      <c r="P12" s="74"/>
      <c r="Q12" s="23"/>
      <c r="R12" s="23"/>
      <c r="S12" s="23"/>
      <c r="T12" s="78"/>
      <c r="U12" s="72">
        <f t="shared" ref="U12:U78" si="1">SUM(P12:T12)</f>
        <v>0</v>
      </c>
      <c r="V12" s="22"/>
      <c r="W12" s="44"/>
      <c r="X12" s="44"/>
      <c r="Y12" s="44"/>
      <c r="Z12" s="36"/>
      <c r="AA12" s="87">
        <f t="shared" ref="AA12:AA78" si="2">SUM(V12:Z12)</f>
        <v>0</v>
      </c>
      <c r="AB12" s="3" t="str">
        <f t="shared" si="0"/>
        <v>-</v>
      </c>
      <c r="AC12" s="22"/>
      <c r="AD12" s="95" t="s">
        <v>45</v>
      </c>
      <c r="AE12" s="5" t="s">
        <v>251</v>
      </c>
      <c r="AF12" s="86"/>
    </row>
    <row r="13" spans="1:32" ht="75" x14ac:dyDescent="0.2">
      <c r="A13" s="21">
        <v>70</v>
      </c>
      <c r="B13" s="7" t="s">
        <v>39</v>
      </c>
      <c r="C13" s="7" t="s">
        <v>40</v>
      </c>
      <c r="D13" s="91" t="s">
        <v>41</v>
      </c>
      <c r="E13" s="10" t="s">
        <v>85</v>
      </c>
      <c r="F13" s="8" t="s">
        <v>86</v>
      </c>
      <c r="G13" s="96">
        <v>2021680010198</v>
      </c>
      <c r="H13" s="75" t="s">
        <v>228</v>
      </c>
      <c r="I13" s="8" t="s">
        <v>232</v>
      </c>
      <c r="J13" s="6">
        <v>44562</v>
      </c>
      <c r="K13" s="6">
        <v>44926</v>
      </c>
      <c r="L13" s="63">
        <v>1</v>
      </c>
      <c r="M13" s="99">
        <v>0</v>
      </c>
      <c r="N13" s="41">
        <f>IFERROR(IF(M13/L13&gt;100%,100%,M13/L13),"-")</f>
        <v>0</v>
      </c>
      <c r="O13" s="29" t="s">
        <v>253</v>
      </c>
      <c r="P13" s="73">
        <f>200000000+100000000+200000000-150000000</f>
        <v>350000000</v>
      </c>
      <c r="Q13" s="62"/>
      <c r="R13" s="23"/>
      <c r="S13" s="23"/>
      <c r="T13" s="78">
        <v>4867393.32</v>
      </c>
      <c r="U13" s="72">
        <f t="shared" si="1"/>
        <v>354867393.31999999</v>
      </c>
      <c r="V13" s="22">
        <f>1183839+1346534+4299111.55+6833229+67956948.11+27696830+1842412+575286+5347012+1272102+759316+8176743+40039106.21</f>
        <v>167328468.87</v>
      </c>
      <c r="W13" s="44"/>
      <c r="X13" s="44"/>
      <c r="Y13" s="44"/>
      <c r="Z13" s="36"/>
      <c r="AA13" s="87">
        <f t="shared" si="2"/>
        <v>167328468.87</v>
      </c>
      <c r="AB13" s="3">
        <f t="shared" si="0"/>
        <v>0.47152393265704284</v>
      </c>
      <c r="AC13" s="22"/>
      <c r="AD13" s="95" t="s">
        <v>45</v>
      </c>
      <c r="AE13" s="5" t="s">
        <v>251</v>
      </c>
      <c r="AF13" s="86"/>
    </row>
    <row r="14" spans="1:32" ht="75" x14ac:dyDescent="0.2">
      <c r="A14" s="21">
        <v>71</v>
      </c>
      <c r="B14" s="7" t="s">
        <v>39</v>
      </c>
      <c r="C14" s="7" t="s">
        <v>40</v>
      </c>
      <c r="D14" s="91" t="s">
        <v>48</v>
      </c>
      <c r="E14" s="10" t="s">
        <v>49</v>
      </c>
      <c r="F14" s="8" t="s">
        <v>50</v>
      </c>
      <c r="G14" s="96">
        <v>2021680010003</v>
      </c>
      <c r="H14" s="8" t="s">
        <v>44</v>
      </c>
      <c r="I14" s="8" t="s">
        <v>237</v>
      </c>
      <c r="J14" s="6">
        <v>44562</v>
      </c>
      <c r="K14" s="6">
        <v>44926</v>
      </c>
      <c r="L14" s="107">
        <v>1</v>
      </c>
      <c r="M14" s="119">
        <v>1</v>
      </c>
      <c r="N14" s="117">
        <f>IFERROR(IF(M14/L14&gt;100%,100%,M14/L14),"-")</f>
        <v>1</v>
      </c>
      <c r="O14" s="29" t="s">
        <v>269</v>
      </c>
      <c r="P14" s="73">
        <f>87000000+20000000+50000000+10000000</f>
        <v>167000000</v>
      </c>
      <c r="Q14" s="60"/>
      <c r="R14" s="23"/>
      <c r="S14" s="23"/>
      <c r="T14" s="78"/>
      <c r="U14" s="109">
        <f>SUM(P14:T15)</f>
        <v>317000000</v>
      </c>
      <c r="V14" s="22">
        <f>5000000+4000000+30000000+43000000+5447750+8122248+32066667+37470000</f>
        <v>165106665</v>
      </c>
      <c r="W14" s="44"/>
      <c r="X14" s="44"/>
      <c r="Y14" s="44"/>
      <c r="Z14" s="36"/>
      <c r="AA14" s="109">
        <f>SUM(V14:Z15)</f>
        <v>165106665</v>
      </c>
      <c r="AB14" s="111">
        <f t="shared" si="0"/>
        <v>0.52084121451104104</v>
      </c>
      <c r="AC14" s="113">
        <f>160*60000</f>
        <v>9600000</v>
      </c>
      <c r="AD14" s="115" t="s">
        <v>45</v>
      </c>
      <c r="AE14" s="105" t="s">
        <v>251</v>
      </c>
      <c r="AF14" s="86"/>
    </row>
    <row r="15" spans="1:32" ht="75" x14ac:dyDescent="0.2">
      <c r="A15" s="90">
        <v>71</v>
      </c>
      <c r="B15" s="7" t="s">
        <v>39</v>
      </c>
      <c r="C15" s="7" t="s">
        <v>40</v>
      </c>
      <c r="D15" s="91" t="s">
        <v>48</v>
      </c>
      <c r="E15" s="10" t="s">
        <v>49</v>
      </c>
      <c r="F15" s="8" t="s">
        <v>50</v>
      </c>
      <c r="G15" s="96">
        <v>2022680010056</v>
      </c>
      <c r="H15" s="8" t="s">
        <v>268</v>
      </c>
      <c r="I15" s="8" t="s">
        <v>290</v>
      </c>
      <c r="J15" s="6"/>
      <c r="K15" s="6"/>
      <c r="L15" s="108"/>
      <c r="M15" s="120"/>
      <c r="N15" s="118"/>
      <c r="O15" s="29" t="s">
        <v>270</v>
      </c>
      <c r="P15" s="73">
        <v>150000000</v>
      </c>
      <c r="Q15" s="60"/>
      <c r="R15" s="23"/>
      <c r="S15" s="23"/>
      <c r="T15" s="78"/>
      <c r="U15" s="110"/>
      <c r="V15" s="22"/>
      <c r="W15" s="44"/>
      <c r="X15" s="44"/>
      <c r="Y15" s="44"/>
      <c r="Z15" s="36"/>
      <c r="AA15" s="110"/>
      <c r="AB15" s="112"/>
      <c r="AC15" s="114"/>
      <c r="AD15" s="116"/>
      <c r="AE15" s="106"/>
      <c r="AF15" s="86"/>
    </row>
    <row r="16" spans="1:32" ht="94.5" x14ac:dyDescent="0.2">
      <c r="A16" s="21">
        <v>72</v>
      </c>
      <c r="B16" s="7" t="s">
        <v>39</v>
      </c>
      <c r="C16" s="7" t="s">
        <v>40</v>
      </c>
      <c r="D16" s="91" t="s">
        <v>48</v>
      </c>
      <c r="E16" s="10" t="s">
        <v>51</v>
      </c>
      <c r="F16" s="8" t="s">
        <v>52</v>
      </c>
      <c r="G16" s="96">
        <v>2021680010003</v>
      </c>
      <c r="H16" s="8" t="s">
        <v>44</v>
      </c>
      <c r="I16" s="8" t="s">
        <v>242</v>
      </c>
      <c r="J16" s="6">
        <v>44562</v>
      </c>
      <c r="K16" s="6">
        <v>44926</v>
      </c>
      <c r="L16" s="63">
        <v>1</v>
      </c>
      <c r="M16" s="99">
        <v>1</v>
      </c>
      <c r="N16" s="41">
        <f>IFERROR(IF(M16/L16&gt;100%,100%,M16/L16),"-")</f>
        <v>1</v>
      </c>
      <c r="O16" s="29" t="s">
        <v>254</v>
      </c>
      <c r="P16" s="73">
        <f>137000000+55000000-50000000</f>
        <v>142000000</v>
      </c>
      <c r="Q16" s="60"/>
      <c r="R16" s="23"/>
      <c r="S16" s="23"/>
      <c r="T16" s="78"/>
      <c r="U16" s="72">
        <f t="shared" si="1"/>
        <v>142000000</v>
      </c>
      <c r="V16" s="22">
        <f>54500000+12000000+2874106+50916667+14470000</f>
        <v>134760773</v>
      </c>
      <c r="W16" s="44"/>
      <c r="X16" s="44"/>
      <c r="Y16" s="44"/>
      <c r="Z16" s="36"/>
      <c r="AA16" s="87">
        <f t="shared" si="2"/>
        <v>134760773</v>
      </c>
      <c r="AB16" s="3">
        <f t="shared" si="0"/>
        <v>0.94901952816901414</v>
      </c>
      <c r="AC16" s="22"/>
      <c r="AD16" s="95" t="s">
        <v>45</v>
      </c>
      <c r="AE16" s="5" t="s">
        <v>251</v>
      </c>
      <c r="AF16" s="86"/>
    </row>
    <row r="17" spans="1:32" ht="75" x14ac:dyDescent="0.2">
      <c r="A17" s="21">
        <v>73</v>
      </c>
      <c r="B17" s="7" t="s">
        <v>39</v>
      </c>
      <c r="C17" s="7" t="s">
        <v>40</v>
      </c>
      <c r="D17" s="91" t="s">
        <v>48</v>
      </c>
      <c r="E17" s="10" t="s">
        <v>53</v>
      </c>
      <c r="F17" s="8" t="s">
        <v>54</v>
      </c>
      <c r="G17" s="96">
        <v>2021680010003</v>
      </c>
      <c r="H17" s="8" t="s">
        <v>44</v>
      </c>
      <c r="I17" s="8"/>
      <c r="J17" s="6">
        <v>44562</v>
      </c>
      <c r="K17" s="6">
        <v>44926</v>
      </c>
      <c r="L17" s="63">
        <v>1</v>
      </c>
      <c r="M17" s="100">
        <v>0.6</v>
      </c>
      <c r="N17" s="41">
        <f>IFERROR(IF(M17/L17&gt;100%,100%,M17/L17),"-")</f>
        <v>0.6</v>
      </c>
      <c r="O17" s="29" t="s">
        <v>255</v>
      </c>
      <c r="P17" s="73">
        <f>60000000-40000000</f>
        <v>20000000</v>
      </c>
      <c r="Q17" s="58"/>
      <c r="R17" s="23"/>
      <c r="S17" s="23"/>
      <c r="T17" s="78"/>
      <c r="U17" s="72">
        <f t="shared" si="1"/>
        <v>20000000</v>
      </c>
      <c r="V17" s="22">
        <f>5000000+5000000+4916667</f>
        <v>14916667</v>
      </c>
      <c r="W17" s="44"/>
      <c r="X17" s="44"/>
      <c r="Y17" s="44"/>
      <c r="Z17" s="36"/>
      <c r="AA17" s="87">
        <f t="shared" si="2"/>
        <v>14916667</v>
      </c>
      <c r="AB17" s="3">
        <f t="shared" si="0"/>
        <v>0.74583334999999995</v>
      </c>
      <c r="AC17" s="22"/>
      <c r="AD17" s="95" t="s">
        <v>45</v>
      </c>
      <c r="AE17" s="5" t="s">
        <v>251</v>
      </c>
      <c r="AF17" s="86"/>
    </row>
    <row r="18" spans="1:32" ht="78.75" x14ac:dyDescent="0.2">
      <c r="A18" s="21">
        <v>74</v>
      </c>
      <c r="B18" s="7" t="s">
        <v>39</v>
      </c>
      <c r="C18" s="7" t="s">
        <v>40</v>
      </c>
      <c r="D18" s="91" t="s">
        <v>48</v>
      </c>
      <c r="E18" s="10" t="s">
        <v>55</v>
      </c>
      <c r="F18" s="8" t="s">
        <v>56</v>
      </c>
      <c r="G18" s="96">
        <v>2021680010003</v>
      </c>
      <c r="H18" s="8" t="s">
        <v>44</v>
      </c>
      <c r="I18" s="8"/>
      <c r="J18" s="6">
        <v>44562</v>
      </c>
      <c r="K18" s="6">
        <v>44926</v>
      </c>
      <c r="L18" s="63">
        <v>1</v>
      </c>
      <c r="M18" s="99">
        <v>1</v>
      </c>
      <c r="N18" s="41">
        <f>IFERROR(IF(M18/L18&gt;100%,100%,M18/L18),"-")</f>
        <v>1</v>
      </c>
      <c r="O18" s="29" t="s">
        <v>206</v>
      </c>
      <c r="P18" s="73">
        <f>100000000-55000000+111000000</f>
        <v>156000000</v>
      </c>
      <c r="Q18" s="58"/>
      <c r="R18" s="23"/>
      <c r="S18" s="23"/>
      <c r="T18" s="78"/>
      <c r="U18" s="72">
        <f t="shared" si="1"/>
        <v>156000000</v>
      </c>
      <c r="V18" s="22">
        <f>24000000+11261520+119875917</f>
        <v>155137437</v>
      </c>
      <c r="W18" s="33"/>
      <c r="X18" s="44"/>
      <c r="Y18" s="44"/>
      <c r="Z18" s="36"/>
      <c r="AA18" s="87">
        <f t="shared" si="2"/>
        <v>155137437</v>
      </c>
      <c r="AB18" s="3">
        <f t="shared" si="0"/>
        <v>0.99447074999999996</v>
      </c>
      <c r="AC18" s="22"/>
      <c r="AD18" s="95" t="s">
        <v>45</v>
      </c>
      <c r="AE18" s="5" t="s">
        <v>251</v>
      </c>
      <c r="AF18" s="86"/>
    </row>
    <row r="19" spans="1:32" ht="94.5" x14ac:dyDescent="0.2">
      <c r="A19" s="21">
        <v>75</v>
      </c>
      <c r="B19" s="7" t="s">
        <v>39</v>
      </c>
      <c r="C19" s="7" t="s">
        <v>40</v>
      </c>
      <c r="D19" s="91" t="s">
        <v>48</v>
      </c>
      <c r="E19" s="10" t="s">
        <v>57</v>
      </c>
      <c r="F19" s="8" t="s">
        <v>58</v>
      </c>
      <c r="G19" s="96">
        <v>2021680010003</v>
      </c>
      <c r="H19" s="8" t="s">
        <v>44</v>
      </c>
      <c r="I19" s="8" t="s">
        <v>243</v>
      </c>
      <c r="J19" s="6">
        <v>44562</v>
      </c>
      <c r="K19" s="6">
        <v>44926</v>
      </c>
      <c r="L19" s="63">
        <v>1</v>
      </c>
      <c r="M19" s="100">
        <v>0.8</v>
      </c>
      <c r="N19" s="41">
        <f t="shared" ref="N19" si="3">IFERROR(IF(M19/L19&gt;100%,100%,M19/L19),"-")</f>
        <v>0.8</v>
      </c>
      <c r="O19" s="29" t="s">
        <v>256</v>
      </c>
      <c r="P19" s="73">
        <f>80000000+10000000+10000000-20000000-15000000-40000000</f>
        <v>25000000</v>
      </c>
      <c r="Q19" s="60"/>
      <c r="R19" s="23"/>
      <c r="S19" s="23"/>
      <c r="T19" s="78"/>
      <c r="U19" s="72">
        <f t="shared" si="1"/>
        <v>25000000</v>
      </c>
      <c r="V19" s="22">
        <f>4000000+6000000+3435825+7500000+2470000</f>
        <v>23405825</v>
      </c>
      <c r="W19" s="44"/>
      <c r="X19" s="44"/>
      <c r="Y19" s="44"/>
      <c r="Z19" s="36"/>
      <c r="AA19" s="87">
        <f t="shared" si="2"/>
        <v>23405825</v>
      </c>
      <c r="AB19" s="3">
        <f t="shared" si="0"/>
        <v>0.93623299999999998</v>
      </c>
      <c r="AC19" s="22"/>
      <c r="AD19" s="95" t="s">
        <v>45</v>
      </c>
      <c r="AE19" s="5" t="s">
        <v>251</v>
      </c>
      <c r="AF19" s="86"/>
    </row>
    <row r="20" spans="1:32" ht="75" x14ac:dyDescent="0.2">
      <c r="A20" s="21">
        <v>76</v>
      </c>
      <c r="B20" s="7" t="s">
        <v>39</v>
      </c>
      <c r="C20" s="7" t="s">
        <v>40</v>
      </c>
      <c r="D20" s="91" t="s">
        <v>48</v>
      </c>
      <c r="E20" s="10" t="s">
        <v>59</v>
      </c>
      <c r="F20" s="8" t="s">
        <v>60</v>
      </c>
      <c r="G20" s="96">
        <v>2021680010003</v>
      </c>
      <c r="H20" s="8" t="s">
        <v>44</v>
      </c>
      <c r="I20" s="8" t="s">
        <v>244</v>
      </c>
      <c r="J20" s="6">
        <v>44562</v>
      </c>
      <c r="K20" s="6">
        <v>44926</v>
      </c>
      <c r="L20" s="63">
        <v>1</v>
      </c>
      <c r="M20" s="101">
        <v>0.8</v>
      </c>
      <c r="N20" s="41">
        <f>IFERROR(IF(M20/L20&gt;100%,100%,M20/L20),"-")</f>
        <v>0.8</v>
      </c>
      <c r="O20" s="29" t="s">
        <v>257</v>
      </c>
      <c r="P20" s="73">
        <f>80000000+10000000-50000000</f>
        <v>40000000</v>
      </c>
      <c r="Q20" s="60"/>
      <c r="R20" s="23"/>
      <c r="S20" s="23"/>
      <c r="T20" s="78"/>
      <c r="U20" s="72">
        <f t="shared" si="1"/>
        <v>40000000</v>
      </c>
      <c r="V20" s="22">
        <f>4000000+5000000+13000000+11300000</f>
        <v>33300000</v>
      </c>
      <c r="W20" s="44"/>
      <c r="X20" s="44"/>
      <c r="Y20" s="44"/>
      <c r="Z20" s="36"/>
      <c r="AA20" s="87">
        <f t="shared" si="2"/>
        <v>33300000</v>
      </c>
      <c r="AB20" s="3">
        <f t="shared" si="0"/>
        <v>0.83250000000000002</v>
      </c>
      <c r="AC20" s="22"/>
      <c r="AD20" s="95" t="s">
        <v>45</v>
      </c>
      <c r="AE20" s="5" t="s">
        <v>251</v>
      </c>
      <c r="AF20" s="86"/>
    </row>
    <row r="21" spans="1:32" ht="75" x14ac:dyDescent="0.2">
      <c r="A21" s="21">
        <v>77</v>
      </c>
      <c r="B21" s="7" t="s">
        <v>39</v>
      </c>
      <c r="C21" s="7" t="s">
        <v>40</v>
      </c>
      <c r="D21" s="91" t="s">
        <v>48</v>
      </c>
      <c r="E21" s="10" t="s">
        <v>61</v>
      </c>
      <c r="F21" s="8" t="s">
        <v>62</v>
      </c>
      <c r="G21" s="96">
        <v>2021680010003</v>
      </c>
      <c r="H21" s="8" t="s">
        <v>44</v>
      </c>
      <c r="I21" s="8" t="s">
        <v>245</v>
      </c>
      <c r="J21" s="6">
        <v>44562</v>
      </c>
      <c r="K21" s="6">
        <v>44926</v>
      </c>
      <c r="L21" s="63">
        <v>1</v>
      </c>
      <c r="M21" s="100">
        <v>0.8</v>
      </c>
      <c r="N21" s="41">
        <f>IFERROR(IF(M21/L21&gt;100%,100%,M21/L21),"-")</f>
        <v>0.8</v>
      </c>
      <c r="O21" s="29" t="s">
        <v>205</v>
      </c>
      <c r="P21" s="73">
        <f>40000000+35000000+10000000</f>
        <v>85000000</v>
      </c>
      <c r="Q21" s="60"/>
      <c r="R21" s="23"/>
      <c r="S21" s="23"/>
      <c r="T21" s="78"/>
      <c r="U21" s="72">
        <f t="shared" si="1"/>
        <v>85000000</v>
      </c>
      <c r="V21" s="22">
        <f>39862500+21748176+23000000</f>
        <v>84610676</v>
      </c>
      <c r="W21" s="44"/>
      <c r="X21" s="44"/>
      <c r="Y21" s="44"/>
      <c r="Z21" s="36"/>
      <c r="AA21" s="87">
        <f t="shared" si="2"/>
        <v>84610676</v>
      </c>
      <c r="AB21" s="3">
        <f t="shared" si="0"/>
        <v>0.99541971764705883</v>
      </c>
      <c r="AC21" s="22"/>
      <c r="AD21" s="95" t="s">
        <v>45</v>
      </c>
      <c r="AE21" s="5" t="s">
        <v>251</v>
      </c>
      <c r="AF21" s="86"/>
    </row>
    <row r="22" spans="1:32" ht="75" x14ac:dyDescent="0.2">
      <c r="A22" s="21">
        <v>78</v>
      </c>
      <c r="B22" s="7" t="s">
        <v>39</v>
      </c>
      <c r="C22" s="7" t="s">
        <v>40</v>
      </c>
      <c r="D22" s="91" t="s">
        <v>48</v>
      </c>
      <c r="E22" s="10" t="s">
        <v>63</v>
      </c>
      <c r="F22" s="8" t="s">
        <v>64</v>
      </c>
      <c r="G22" s="96">
        <v>2021680010003</v>
      </c>
      <c r="H22" s="8" t="s">
        <v>44</v>
      </c>
      <c r="I22" s="8" t="s">
        <v>246</v>
      </c>
      <c r="J22" s="6">
        <v>44562</v>
      </c>
      <c r="K22" s="6">
        <v>44926</v>
      </c>
      <c r="L22" s="107">
        <v>1</v>
      </c>
      <c r="M22" s="125">
        <v>0.9</v>
      </c>
      <c r="N22" s="117">
        <f>IFERROR(IF(M22/L22&gt;100%,100%,M22/L22),"-")</f>
        <v>0.9</v>
      </c>
      <c r="O22" s="29" t="s">
        <v>273</v>
      </c>
      <c r="P22" s="73">
        <f>200000000+10000000-10000000-40000000-40000000+20000000-50000000</f>
        <v>90000000</v>
      </c>
      <c r="Q22" s="60"/>
      <c r="R22" s="23"/>
      <c r="S22" s="23"/>
      <c r="T22" s="78"/>
      <c r="U22" s="109">
        <f>SUM(P22:T23)</f>
        <v>190000000</v>
      </c>
      <c r="V22" s="22">
        <f>6000000+6000000+10500000+5357944+8700000+12470000</f>
        <v>49027944</v>
      </c>
      <c r="W22" s="44"/>
      <c r="X22" s="44"/>
      <c r="Y22" s="44"/>
      <c r="Z22" s="36"/>
      <c r="AA22" s="109">
        <f>SUM(V22:Z23)</f>
        <v>49027944</v>
      </c>
      <c r="AB22" s="111">
        <f t="shared" si="0"/>
        <v>0.25804181052631581</v>
      </c>
      <c r="AC22" s="113">
        <v>5340000</v>
      </c>
      <c r="AD22" s="115" t="s">
        <v>45</v>
      </c>
      <c r="AE22" s="105" t="s">
        <v>251</v>
      </c>
      <c r="AF22" s="86"/>
    </row>
    <row r="23" spans="1:32" ht="75" x14ac:dyDescent="0.2">
      <c r="A23" s="90">
        <v>78</v>
      </c>
      <c r="B23" s="7" t="s">
        <v>39</v>
      </c>
      <c r="C23" s="7" t="s">
        <v>40</v>
      </c>
      <c r="D23" s="91" t="s">
        <v>48</v>
      </c>
      <c r="E23" s="10" t="s">
        <v>63</v>
      </c>
      <c r="F23" s="8" t="s">
        <v>64</v>
      </c>
      <c r="G23" s="96">
        <v>2022680010056</v>
      </c>
      <c r="H23" s="8" t="s">
        <v>268</v>
      </c>
      <c r="I23" s="8" t="s">
        <v>290</v>
      </c>
      <c r="J23" s="6"/>
      <c r="K23" s="6"/>
      <c r="L23" s="108"/>
      <c r="M23" s="126"/>
      <c r="N23" s="118"/>
      <c r="O23" s="29" t="s">
        <v>274</v>
      </c>
      <c r="P23" s="73">
        <v>100000000</v>
      </c>
      <c r="Q23" s="60"/>
      <c r="R23" s="23"/>
      <c r="S23" s="23"/>
      <c r="T23" s="78"/>
      <c r="U23" s="110"/>
      <c r="V23" s="22"/>
      <c r="W23" s="44"/>
      <c r="X23" s="44"/>
      <c r="Y23" s="44"/>
      <c r="Z23" s="36"/>
      <c r="AA23" s="110"/>
      <c r="AB23" s="112"/>
      <c r="AC23" s="114"/>
      <c r="AD23" s="116"/>
      <c r="AE23" s="106"/>
      <c r="AF23" s="86"/>
    </row>
    <row r="24" spans="1:32" ht="75" x14ac:dyDescent="0.2">
      <c r="A24" s="21">
        <v>79</v>
      </c>
      <c r="B24" s="7" t="s">
        <v>39</v>
      </c>
      <c r="C24" s="7" t="s">
        <v>40</v>
      </c>
      <c r="D24" s="91" t="s">
        <v>65</v>
      </c>
      <c r="E24" s="10" t="s">
        <v>66</v>
      </c>
      <c r="F24" s="8" t="s">
        <v>67</v>
      </c>
      <c r="G24" s="96">
        <v>2021680010003</v>
      </c>
      <c r="H24" s="8" t="s">
        <v>44</v>
      </c>
      <c r="I24" s="4" t="s">
        <v>240</v>
      </c>
      <c r="J24" s="6">
        <v>44562</v>
      </c>
      <c r="K24" s="6">
        <v>44926</v>
      </c>
      <c r="L24" s="63">
        <v>1</v>
      </c>
      <c r="M24" s="100">
        <v>0.8</v>
      </c>
      <c r="N24" s="41">
        <f t="shared" ref="N24:N30" si="4">IFERROR(IF(M24/L24&gt;100%,100%,M24/L24),"-")</f>
        <v>0.8</v>
      </c>
      <c r="O24" s="29" t="s">
        <v>275</v>
      </c>
      <c r="P24" s="74">
        <f>90000000-10000000-10000000-15000000+10000000+15000000+15000000</f>
        <v>95000000</v>
      </c>
      <c r="Q24" s="60"/>
      <c r="R24" s="23"/>
      <c r="S24" s="23"/>
      <c r="T24" s="79"/>
      <c r="U24" s="72">
        <f t="shared" si="1"/>
        <v>95000000</v>
      </c>
      <c r="V24" s="22">
        <f>4000000+5000000+6000000+5000000+7000000+12407070+18916667+35000000</f>
        <v>93323737</v>
      </c>
      <c r="W24" s="44"/>
      <c r="X24" s="44"/>
      <c r="Y24" s="44"/>
      <c r="Z24" s="36"/>
      <c r="AA24" s="87">
        <f t="shared" si="2"/>
        <v>93323737</v>
      </c>
      <c r="AB24" s="3">
        <f t="shared" si="0"/>
        <v>0.98235512631578947</v>
      </c>
      <c r="AC24" s="22"/>
      <c r="AD24" s="95" t="s">
        <v>45</v>
      </c>
      <c r="AE24" s="5" t="s">
        <v>251</v>
      </c>
      <c r="AF24" s="86"/>
    </row>
    <row r="25" spans="1:32" ht="75" x14ac:dyDescent="0.2">
      <c r="A25" s="21">
        <v>80</v>
      </c>
      <c r="B25" s="7" t="s">
        <v>39</v>
      </c>
      <c r="C25" s="7" t="s">
        <v>40</v>
      </c>
      <c r="D25" s="91" t="s">
        <v>65</v>
      </c>
      <c r="E25" s="10" t="s">
        <v>81</v>
      </c>
      <c r="F25" s="8" t="s">
        <v>82</v>
      </c>
      <c r="G25" s="96">
        <v>2021680010003</v>
      </c>
      <c r="H25" s="8" t="s">
        <v>44</v>
      </c>
      <c r="I25" s="4" t="s">
        <v>239</v>
      </c>
      <c r="J25" s="6">
        <v>44562</v>
      </c>
      <c r="K25" s="6">
        <v>44926</v>
      </c>
      <c r="L25" s="63">
        <v>50000</v>
      </c>
      <c r="M25" s="99">
        <v>13549</v>
      </c>
      <c r="N25" s="82">
        <f t="shared" si="4"/>
        <v>0.27098</v>
      </c>
      <c r="O25" s="29" t="s">
        <v>276</v>
      </c>
      <c r="P25" s="73">
        <f>250000000+15000000+40000000-20000000+100000000</f>
        <v>385000000</v>
      </c>
      <c r="Q25" s="60"/>
      <c r="R25" s="23"/>
      <c r="S25" s="23"/>
      <c r="T25" s="78"/>
      <c r="U25" s="72">
        <f t="shared" si="1"/>
        <v>385000000</v>
      </c>
      <c r="V25" s="22">
        <f>12000000+18000000+6000000+179488527+19000000+5000000</f>
        <v>239488527</v>
      </c>
      <c r="W25" s="44"/>
      <c r="X25" s="44"/>
      <c r="Y25" s="44"/>
      <c r="Z25" s="36"/>
      <c r="AA25" s="87">
        <f t="shared" si="2"/>
        <v>239488527</v>
      </c>
      <c r="AB25" s="3">
        <f t="shared" si="0"/>
        <v>0.62204812207792204</v>
      </c>
      <c r="AC25" s="22"/>
      <c r="AD25" s="95" t="s">
        <v>45</v>
      </c>
      <c r="AE25" s="5" t="s">
        <v>251</v>
      </c>
      <c r="AF25" s="86"/>
    </row>
    <row r="26" spans="1:32" ht="75" x14ac:dyDescent="0.2">
      <c r="A26" s="21">
        <v>81</v>
      </c>
      <c r="B26" s="7" t="s">
        <v>39</v>
      </c>
      <c r="C26" s="7" t="s">
        <v>40</v>
      </c>
      <c r="D26" s="91" t="s">
        <v>65</v>
      </c>
      <c r="E26" s="10" t="s">
        <v>68</v>
      </c>
      <c r="F26" s="8" t="s">
        <v>69</v>
      </c>
      <c r="G26" s="96">
        <v>2021680010003</v>
      </c>
      <c r="H26" s="8" t="s">
        <v>44</v>
      </c>
      <c r="I26" s="4"/>
      <c r="J26" s="6">
        <v>44562</v>
      </c>
      <c r="K26" s="6">
        <v>44926</v>
      </c>
      <c r="L26" s="63">
        <v>1</v>
      </c>
      <c r="M26" s="100">
        <v>0.4</v>
      </c>
      <c r="N26" s="41">
        <f t="shared" si="4"/>
        <v>0.4</v>
      </c>
      <c r="O26" s="29" t="s">
        <v>206</v>
      </c>
      <c r="P26" s="73">
        <f>211000000+150000000-20000000</f>
        <v>341000000</v>
      </c>
      <c r="Q26" s="60"/>
      <c r="R26" s="23"/>
      <c r="S26" s="23"/>
      <c r="T26" s="78"/>
      <c r="U26" s="72">
        <f t="shared" si="1"/>
        <v>341000000</v>
      </c>
      <c r="V26" s="22">
        <v>169992805</v>
      </c>
      <c r="W26" s="44"/>
      <c r="X26" s="44"/>
      <c r="Y26" s="44"/>
      <c r="Z26" s="36"/>
      <c r="AA26" s="87">
        <f t="shared" si="2"/>
        <v>169992805</v>
      </c>
      <c r="AB26" s="3">
        <f t="shared" si="0"/>
        <v>0.4985126246334311</v>
      </c>
      <c r="AC26" s="22"/>
      <c r="AD26" s="95" t="s">
        <v>45</v>
      </c>
      <c r="AE26" s="5" t="s">
        <v>251</v>
      </c>
      <c r="AF26" s="86"/>
    </row>
    <row r="27" spans="1:32" ht="75" x14ac:dyDescent="0.2">
      <c r="A27" s="21">
        <v>82</v>
      </c>
      <c r="B27" s="7" t="s">
        <v>39</v>
      </c>
      <c r="C27" s="7" t="s">
        <v>40</v>
      </c>
      <c r="D27" s="91" t="s">
        <v>65</v>
      </c>
      <c r="E27" s="10" t="s">
        <v>70</v>
      </c>
      <c r="F27" s="8" t="s">
        <v>71</v>
      </c>
      <c r="G27" s="96">
        <v>2021680010003</v>
      </c>
      <c r="H27" s="8" t="s">
        <v>44</v>
      </c>
      <c r="I27" s="4" t="s">
        <v>238</v>
      </c>
      <c r="J27" s="6">
        <v>44562</v>
      </c>
      <c r="K27" s="6">
        <v>44926</v>
      </c>
      <c r="L27" s="42">
        <v>1</v>
      </c>
      <c r="M27" s="102">
        <v>1</v>
      </c>
      <c r="N27" s="41">
        <f t="shared" si="4"/>
        <v>1</v>
      </c>
      <c r="O27" s="29" t="s">
        <v>207</v>
      </c>
      <c r="P27" s="73">
        <f>20000000+20000000</f>
        <v>40000000</v>
      </c>
      <c r="Q27" s="60"/>
      <c r="R27" s="23"/>
      <c r="S27" s="23"/>
      <c r="T27" s="73"/>
      <c r="U27" s="72">
        <f t="shared" si="1"/>
        <v>40000000</v>
      </c>
      <c r="V27" s="22">
        <f>20000000+20000000</f>
        <v>40000000</v>
      </c>
      <c r="W27" s="44"/>
      <c r="X27" s="44"/>
      <c r="Y27" s="44"/>
      <c r="Z27" s="36"/>
      <c r="AA27" s="87">
        <f t="shared" si="2"/>
        <v>40000000</v>
      </c>
      <c r="AB27" s="3">
        <f t="shared" si="0"/>
        <v>1</v>
      </c>
      <c r="AC27" s="22"/>
      <c r="AD27" s="95" t="s">
        <v>45</v>
      </c>
      <c r="AE27" s="5" t="s">
        <v>251</v>
      </c>
      <c r="AF27" s="86"/>
    </row>
    <row r="28" spans="1:32" ht="75" x14ac:dyDescent="0.2">
      <c r="A28" s="21">
        <v>83</v>
      </c>
      <c r="B28" s="7" t="s">
        <v>39</v>
      </c>
      <c r="C28" s="7" t="s">
        <v>40</v>
      </c>
      <c r="D28" s="91" t="s">
        <v>65</v>
      </c>
      <c r="E28" s="10" t="s">
        <v>72</v>
      </c>
      <c r="F28" s="8" t="s">
        <v>73</v>
      </c>
      <c r="G28" s="96">
        <v>2021680010003</v>
      </c>
      <c r="H28" s="8" t="s">
        <v>44</v>
      </c>
      <c r="I28" s="4"/>
      <c r="J28" s="6">
        <v>44562</v>
      </c>
      <c r="K28" s="6">
        <v>44926</v>
      </c>
      <c r="L28" s="63">
        <v>1</v>
      </c>
      <c r="M28" s="99">
        <v>1</v>
      </c>
      <c r="N28" s="41">
        <f t="shared" si="4"/>
        <v>1</v>
      </c>
      <c r="O28" s="29" t="s">
        <v>277</v>
      </c>
      <c r="P28" s="73">
        <f>90000000+20000000</f>
        <v>110000000</v>
      </c>
      <c r="Q28" s="60"/>
      <c r="R28" s="23"/>
      <c r="S28" s="23"/>
      <c r="T28" s="73"/>
      <c r="U28" s="72">
        <f t="shared" si="1"/>
        <v>110000000</v>
      </c>
      <c r="V28" s="22">
        <f>21500000+11000000+656736+18150000+6836380</f>
        <v>58143116</v>
      </c>
      <c r="W28" s="44"/>
      <c r="X28" s="44"/>
      <c r="Y28" s="44"/>
      <c r="Z28" s="36"/>
      <c r="AA28" s="87">
        <f t="shared" si="2"/>
        <v>58143116</v>
      </c>
      <c r="AB28" s="3">
        <f t="shared" si="0"/>
        <v>0.52857378181818182</v>
      </c>
      <c r="AC28" s="22"/>
      <c r="AD28" s="95" t="s">
        <v>45</v>
      </c>
      <c r="AE28" s="5" t="s">
        <v>251</v>
      </c>
      <c r="AF28" s="86"/>
    </row>
    <row r="29" spans="1:32" ht="75" x14ac:dyDescent="0.2">
      <c r="A29" s="21">
        <v>84</v>
      </c>
      <c r="B29" s="7" t="s">
        <v>39</v>
      </c>
      <c r="C29" s="7" t="s">
        <v>40</v>
      </c>
      <c r="D29" s="91" t="s">
        <v>65</v>
      </c>
      <c r="E29" s="10" t="s">
        <v>74</v>
      </c>
      <c r="F29" s="8" t="s">
        <v>75</v>
      </c>
      <c r="G29" s="96">
        <v>2021680010003</v>
      </c>
      <c r="H29" s="8" t="s">
        <v>44</v>
      </c>
      <c r="I29" s="4"/>
      <c r="J29" s="6">
        <v>44562</v>
      </c>
      <c r="K29" s="6">
        <v>44926</v>
      </c>
      <c r="L29" s="65">
        <v>1</v>
      </c>
      <c r="M29" s="100">
        <v>0.6</v>
      </c>
      <c r="N29" s="41">
        <f t="shared" si="4"/>
        <v>0.6</v>
      </c>
      <c r="O29" s="29" t="s">
        <v>205</v>
      </c>
      <c r="P29" s="73">
        <v>40000000</v>
      </c>
      <c r="Q29" s="59"/>
      <c r="R29" s="23"/>
      <c r="S29" s="23"/>
      <c r="T29" s="73"/>
      <c r="U29" s="72">
        <f t="shared" si="1"/>
        <v>40000000</v>
      </c>
      <c r="V29" s="22">
        <f>8000000+30360000</f>
        <v>38360000</v>
      </c>
      <c r="W29" s="44"/>
      <c r="X29" s="44"/>
      <c r="Y29" s="44"/>
      <c r="Z29" s="36"/>
      <c r="AA29" s="87">
        <f t="shared" si="2"/>
        <v>38360000</v>
      </c>
      <c r="AB29" s="3">
        <f t="shared" si="0"/>
        <v>0.95899999999999996</v>
      </c>
      <c r="AC29" s="22"/>
      <c r="AD29" s="95" t="s">
        <v>45</v>
      </c>
      <c r="AE29" s="5" t="s">
        <v>251</v>
      </c>
      <c r="AF29" s="86"/>
    </row>
    <row r="30" spans="1:32" ht="75" x14ac:dyDescent="0.2">
      <c r="A30" s="21">
        <v>88</v>
      </c>
      <c r="B30" s="7" t="s">
        <v>39</v>
      </c>
      <c r="C30" s="7" t="s">
        <v>40</v>
      </c>
      <c r="D30" s="91" t="s">
        <v>87</v>
      </c>
      <c r="E30" s="10" t="s">
        <v>91</v>
      </c>
      <c r="F30" s="8" t="s">
        <v>92</v>
      </c>
      <c r="G30" s="96">
        <v>2020680010040</v>
      </c>
      <c r="H30" s="8" t="s">
        <v>90</v>
      </c>
      <c r="I30" s="4" t="s">
        <v>220</v>
      </c>
      <c r="J30" s="6">
        <v>44562</v>
      </c>
      <c r="K30" s="6">
        <v>44926</v>
      </c>
      <c r="L30" s="63">
        <v>11000</v>
      </c>
      <c r="M30" s="99">
        <v>10840</v>
      </c>
      <c r="N30" s="41">
        <f t="shared" si="4"/>
        <v>0.98545454545454547</v>
      </c>
      <c r="O30" s="29" t="s">
        <v>230</v>
      </c>
      <c r="P30" s="74">
        <v>100000000</v>
      </c>
      <c r="Q30" s="25"/>
      <c r="R30" s="25"/>
      <c r="S30" s="25"/>
      <c r="T30" s="58"/>
      <c r="U30" s="72">
        <f t="shared" si="1"/>
        <v>100000000</v>
      </c>
      <c r="V30" s="36">
        <f>52200000+42950000</f>
        <v>95150000</v>
      </c>
      <c r="W30" s="44"/>
      <c r="X30" s="44"/>
      <c r="Y30" s="35"/>
      <c r="Z30" s="36"/>
      <c r="AA30" s="87">
        <f t="shared" si="2"/>
        <v>95150000</v>
      </c>
      <c r="AB30" s="3">
        <f t="shared" si="0"/>
        <v>0.95150000000000001</v>
      </c>
      <c r="AC30" s="22"/>
      <c r="AD30" s="95" t="s">
        <v>45</v>
      </c>
      <c r="AE30" s="5" t="s">
        <v>251</v>
      </c>
      <c r="AF30" s="86"/>
    </row>
    <row r="31" spans="1:32" ht="90" x14ac:dyDescent="0.2">
      <c r="A31" s="21">
        <v>89</v>
      </c>
      <c r="B31" s="7" t="s">
        <v>39</v>
      </c>
      <c r="C31" s="7" t="s">
        <v>40</v>
      </c>
      <c r="D31" s="91" t="s">
        <v>87</v>
      </c>
      <c r="E31" s="10" t="s">
        <v>88</v>
      </c>
      <c r="F31" s="8" t="s">
        <v>89</v>
      </c>
      <c r="G31" s="96">
        <v>2020680010040</v>
      </c>
      <c r="H31" s="8" t="s">
        <v>90</v>
      </c>
      <c r="I31" s="57" t="s">
        <v>233</v>
      </c>
      <c r="J31" s="6">
        <v>44562</v>
      </c>
      <c r="K31" s="6">
        <v>44926</v>
      </c>
      <c r="L31" s="64">
        <v>25000</v>
      </c>
      <c r="M31" s="103">
        <v>14873</v>
      </c>
      <c r="N31" s="66">
        <f t="shared" ref="N31" si="5">IFERROR(IF(M31/L31&gt;100%,100%,M31/L31),"-")</f>
        <v>0.59492</v>
      </c>
      <c r="O31" s="29" t="s">
        <v>278</v>
      </c>
      <c r="P31" s="74">
        <f>600000000+661000000</f>
        <v>1261000000</v>
      </c>
      <c r="Q31" s="25"/>
      <c r="R31" s="25"/>
      <c r="S31" s="25"/>
      <c r="T31" s="73">
        <v>1451561804</v>
      </c>
      <c r="U31" s="72">
        <f t="shared" si="1"/>
        <v>2712561804</v>
      </c>
      <c r="V31" s="22">
        <v>600000000</v>
      </c>
      <c r="W31" s="44"/>
      <c r="X31" s="44"/>
      <c r="Y31" s="44"/>
      <c r="Z31" s="36">
        <v>1451561804</v>
      </c>
      <c r="AA31" s="87">
        <f t="shared" si="2"/>
        <v>2051561804</v>
      </c>
      <c r="AB31" s="3">
        <f t="shared" si="0"/>
        <v>0.75631891630071779</v>
      </c>
      <c r="AC31" s="22"/>
      <c r="AD31" s="95" t="s">
        <v>45</v>
      </c>
      <c r="AE31" s="5" t="s">
        <v>251</v>
      </c>
      <c r="AF31" s="86"/>
    </row>
    <row r="32" spans="1:32" ht="75" x14ac:dyDescent="0.2">
      <c r="A32" s="21">
        <v>90</v>
      </c>
      <c r="B32" s="7" t="s">
        <v>39</v>
      </c>
      <c r="C32" s="7" t="s">
        <v>40</v>
      </c>
      <c r="D32" s="91" t="s">
        <v>87</v>
      </c>
      <c r="E32" s="10" t="s">
        <v>93</v>
      </c>
      <c r="F32" s="8" t="s">
        <v>94</v>
      </c>
      <c r="G32" s="96">
        <v>2020680010040</v>
      </c>
      <c r="H32" s="8" t="s">
        <v>90</v>
      </c>
      <c r="I32" s="28" t="s">
        <v>234</v>
      </c>
      <c r="J32" s="6">
        <v>44562</v>
      </c>
      <c r="K32" s="6">
        <v>44926</v>
      </c>
      <c r="L32" s="63">
        <v>2100</v>
      </c>
      <c r="M32" s="99">
        <v>8545</v>
      </c>
      <c r="N32" s="84">
        <f t="shared" ref="N32:N37" si="6">IFERROR(IF(M32/L32&gt;100%,100%,M32/L32),"-")</f>
        <v>1</v>
      </c>
      <c r="O32" s="29" t="s">
        <v>209</v>
      </c>
      <c r="P32" s="74">
        <v>63000000</v>
      </c>
      <c r="Q32" s="25"/>
      <c r="R32" s="25"/>
      <c r="S32" s="25"/>
      <c r="T32" s="58">
        <v>47000000</v>
      </c>
      <c r="U32" s="72">
        <f t="shared" si="1"/>
        <v>110000000</v>
      </c>
      <c r="V32" s="22">
        <v>63000000</v>
      </c>
      <c r="W32" s="44"/>
      <c r="X32" s="44"/>
      <c r="Y32" s="35"/>
      <c r="Z32" s="36">
        <f>44400000-13200000+15000000</f>
        <v>46200000</v>
      </c>
      <c r="AA32" s="87">
        <f t="shared" si="2"/>
        <v>109200000</v>
      </c>
      <c r="AB32" s="3">
        <f t="shared" si="0"/>
        <v>0.99272727272727268</v>
      </c>
      <c r="AC32" s="22"/>
      <c r="AD32" s="95" t="s">
        <v>45</v>
      </c>
      <c r="AE32" s="5" t="s">
        <v>251</v>
      </c>
      <c r="AF32" s="86"/>
    </row>
    <row r="33" spans="1:32" ht="75" x14ac:dyDescent="0.2">
      <c r="A33" s="21">
        <v>91</v>
      </c>
      <c r="B33" s="7" t="s">
        <v>39</v>
      </c>
      <c r="C33" s="7" t="s">
        <v>40</v>
      </c>
      <c r="D33" s="91" t="s">
        <v>87</v>
      </c>
      <c r="E33" s="10" t="s">
        <v>95</v>
      </c>
      <c r="F33" s="8" t="s">
        <v>96</v>
      </c>
      <c r="G33" s="96">
        <v>2020680010040</v>
      </c>
      <c r="H33" s="8" t="s">
        <v>90</v>
      </c>
      <c r="I33" s="28" t="s">
        <v>235</v>
      </c>
      <c r="J33" s="6">
        <v>44562</v>
      </c>
      <c r="K33" s="6">
        <v>44926</v>
      </c>
      <c r="L33" s="42">
        <v>1</v>
      </c>
      <c r="M33" s="102">
        <v>1</v>
      </c>
      <c r="N33" s="41">
        <f t="shared" si="6"/>
        <v>1</v>
      </c>
      <c r="O33" s="29" t="s">
        <v>208</v>
      </c>
      <c r="P33" s="74">
        <f>152962035+82000000</f>
        <v>234962035</v>
      </c>
      <c r="Q33" s="25"/>
      <c r="R33" s="25"/>
      <c r="S33" s="25"/>
      <c r="T33" s="83"/>
      <c r="U33" s="72">
        <f t="shared" si="1"/>
        <v>234962035</v>
      </c>
      <c r="V33" s="22">
        <f>152962035+78182010</f>
        <v>231144045</v>
      </c>
      <c r="W33" s="44"/>
      <c r="X33" s="44"/>
      <c r="Y33" s="35"/>
      <c r="Z33" s="36"/>
      <c r="AA33" s="87">
        <f t="shared" si="2"/>
        <v>231144045</v>
      </c>
      <c r="AB33" s="3">
        <f t="shared" si="0"/>
        <v>0.98375060890156152</v>
      </c>
      <c r="AC33" s="22"/>
      <c r="AD33" s="95" t="s">
        <v>45</v>
      </c>
      <c r="AE33" s="5" t="s">
        <v>251</v>
      </c>
      <c r="AF33" s="86"/>
    </row>
    <row r="34" spans="1:32" ht="240" x14ac:dyDescent="0.2">
      <c r="A34" s="21">
        <v>92</v>
      </c>
      <c r="B34" s="7" t="s">
        <v>39</v>
      </c>
      <c r="C34" s="7" t="s">
        <v>40</v>
      </c>
      <c r="D34" s="91" t="s">
        <v>87</v>
      </c>
      <c r="E34" s="10" t="s">
        <v>97</v>
      </c>
      <c r="F34" s="8" t="s">
        <v>98</v>
      </c>
      <c r="G34" s="96">
        <v>2020680010040</v>
      </c>
      <c r="H34" s="8" t="s">
        <v>90</v>
      </c>
      <c r="I34" s="28" t="s">
        <v>236</v>
      </c>
      <c r="J34" s="6">
        <v>44562</v>
      </c>
      <c r="K34" s="6">
        <v>44926</v>
      </c>
      <c r="L34" s="64">
        <v>1656</v>
      </c>
      <c r="M34" s="99">
        <v>1686</v>
      </c>
      <c r="N34" s="41">
        <f t="shared" si="6"/>
        <v>1</v>
      </c>
      <c r="O34" s="29" t="s">
        <v>279</v>
      </c>
      <c r="P34" s="74"/>
      <c r="Q34" s="25"/>
      <c r="R34" s="25"/>
      <c r="S34" s="25"/>
      <c r="T34" s="73">
        <f>4618065168+1463459694.58+988970133-2000000-210000000-65000000</f>
        <v>6793494995.5799999</v>
      </c>
      <c r="U34" s="72">
        <f t="shared" si="1"/>
        <v>6793494995.5799999</v>
      </c>
      <c r="V34" s="22"/>
      <c r="W34" s="44"/>
      <c r="X34" s="45"/>
      <c r="Y34" s="35"/>
      <c r="Z34" s="36">
        <f>1161962178+1146597600+3498548564-52514163</f>
        <v>5754594179</v>
      </c>
      <c r="AA34" s="87">
        <f t="shared" si="2"/>
        <v>5754594179</v>
      </c>
      <c r="AB34" s="3">
        <f t="shared" si="0"/>
        <v>0.84707417650915584</v>
      </c>
      <c r="AC34" s="22"/>
      <c r="AD34" s="95" t="s">
        <v>45</v>
      </c>
      <c r="AE34" s="5" t="s">
        <v>251</v>
      </c>
      <c r="AF34" s="86"/>
    </row>
    <row r="35" spans="1:32" ht="75" x14ac:dyDescent="0.2">
      <c r="A35" s="21">
        <v>93</v>
      </c>
      <c r="B35" s="7" t="s">
        <v>39</v>
      </c>
      <c r="C35" s="7" t="s">
        <v>40</v>
      </c>
      <c r="D35" s="91" t="s">
        <v>87</v>
      </c>
      <c r="E35" s="10" t="s">
        <v>102</v>
      </c>
      <c r="F35" s="8" t="s">
        <v>103</v>
      </c>
      <c r="G35" s="96">
        <v>2020680010040</v>
      </c>
      <c r="H35" s="8" t="s">
        <v>90</v>
      </c>
      <c r="I35" s="8" t="s">
        <v>104</v>
      </c>
      <c r="J35" s="6">
        <v>44562</v>
      </c>
      <c r="K35" s="6">
        <v>44926</v>
      </c>
      <c r="L35" s="63">
        <v>3</v>
      </c>
      <c r="M35" s="99">
        <v>3</v>
      </c>
      <c r="N35" s="41">
        <f>IFERROR(IF(M35/L35&gt;100%,100%,M35/L35),"-")</f>
        <v>1</v>
      </c>
      <c r="O35" s="29" t="s">
        <v>280</v>
      </c>
      <c r="P35" s="74">
        <f>635000000+300000000-63000000-20000000</f>
        <v>852000000</v>
      </c>
      <c r="Q35" s="25"/>
      <c r="R35" s="25"/>
      <c r="S35" s="25"/>
      <c r="T35" s="58">
        <f>157799850+15000000+60000000</f>
        <v>232799850</v>
      </c>
      <c r="U35" s="72">
        <f t="shared" si="1"/>
        <v>1084799850</v>
      </c>
      <c r="V35" s="36">
        <f>122300980.52+4518760+4190911.42+4363665.06-13555780+4165560.06+66987456.06+25734757.06+7391133.06</f>
        <v>226097443.24000001</v>
      </c>
      <c r="W35" s="44"/>
      <c r="X35" s="44"/>
      <c r="Y35" s="35"/>
      <c r="Z35" s="36">
        <f>170400000+56583333</f>
        <v>226983333</v>
      </c>
      <c r="AA35" s="87">
        <f t="shared" si="2"/>
        <v>453080776.24000001</v>
      </c>
      <c r="AB35" s="3">
        <f t="shared" si="0"/>
        <v>0.41766301520045379</v>
      </c>
      <c r="AC35" s="22"/>
      <c r="AD35" s="95" t="s">
        <v>45</v>
      </c>
      <c r="AE35" s="5" t="s">
        <v>251</v>
      </c>
      <c r="AF35" s="86"/>
    </row>
    <row r="36" spans="1:32" ht="75" x14ac:dyDescent="0.2">
      <c r="A36" s="21">
        <v>94</v>
      </c>
      <c r="B36" s="7" t="s">
        <v>39</v>
      </c>
      <c r="C36" s="7" t="s">
        <v>40</v>
      </c>
      <c r="D36" s="91" t="s">
        <v>87</v>
      </c>
      <c r="E36" s="10" t="s">
        <v>99</v>
      </c>
      <c r="F36" s="8" t="s">
        <v>100</v>
      </c>
      <c r="G36" s="96">
        <v>2020680010040</v>
      </c>
      <c r="H36" s="8" t="s">
        <v>90</v>
      </c>
      <c r="I36" s="8" t="s">
        <v>104</v>
      </c>
      <c r="J36" s="6">
        <v>44562</v>
      </c>
      <c r="K36" s="6">
        <v>44926</v>
      </c>
      <c r="L36" s="63">
        <v>1</v>
      </c>
      <c r="M36" s="99">
        <v>1</v>
      </c>
      <c r="N36" s="41">
        <f t="shared" si="6"/>
        <v>1</v>
      </c>
      <c r="O36" s="29" t="s">
        <v>281</v>
      </c>
      <c r="P36" s="74">
        <v>100000000</v>
      </c>
      <c r="Q36" s="25"/>
      <c r="R36" s="25"/>
      <c r="S36" s="25"/>
      <c r="T36" s="58">
        <f>185000000+100000000+65000000</f>
        <v>350000000</v>
      </c>
      <c r="U36" s="72">
        <f t="shared" si="1"/>
        <v>450000000</v>
      </c>
      <c r="V36" s="36">
        <f>36000000+14400000</f>
        <v>50400000</v>
      </c>
      <c r="W36" s="44"/>
      <c r="X36" s="46"/>
      <c r="Y36" s="35"/>
      <c r="Z36" s="36">
        <f>181200000+86683333+79200000</f>
        <v>347083333</v>
      </c>
      <c r="AA36" s="87">
        <f t="shared" si="2"/>
        <v>397483333</v>
      </c>
      <c r="AB36" s="3">
        <f t="shared" si="0"/>
        <v>0.88329629555555556</v>
      </c>
      <c r="AC36" s="22"/>
      <c r="AD36" s="95" t="s">
        <v>45</v>
      </c>
      <c r="AE36" s="5" t="s">
        <v>251</v>
      </c>
      <c r="AF36" s="86"/>
    </row>
    <row r="37" spans="1:32" ht="78.75" x14ac:dyDescent="0.2">
      <c r="A37" s="21">
        <v>95</v>
      </c>
      <c r="B37" s="7" t="s">
        <v>39</v>
      </c>
      <c r="C37" s="7" t="s">
        <v>40</v>
      </c>
      <c r="D37" s="91" t="s">
        <v>87</v>
      </c>
      <c r="E37" s="10" t="s">
        <v>203</v>
      </c>
      <c r="F37" s="8" t="s">
        <v>101</v>
      </c>
      <c r="G37" s="96">
        <v>2020680010040</v>
      </c>
      <c r="H37" s="8" t="s">
        <v>90</v>
      </c>
      <c r="I37" s="8" t="s">
        <v>104</v>
      </c>
      <c r="J37" s="6">
        <v>44562</v>
      </c>
      <c r="K37" s="6">
        <v>44926</v>
      </c>
      <c r="L37" s="63">
        <v>1</v>
      </c>
      <c r="M37" s="99">
        <v>1</v>
      </c>
      <c r="N37" s="41">
        <f t="shared" si="6"/>
        <v>1</v>
      </c>
      <c r="O37" s="29" t="s">
        <v>282</v>
      </c>
      <c r="P37" s="74">
        <f>200000000+300000000</f>
        <v>500000000</v>
      </c>
      <c r="Q37" s="25"/>
      <c r="R37" s="25"/>
      <c r="S37" s="25"/>
      <c r="T37" s="58">
        <f>87091000+50000000</f>
        <v>137091000</v>
      </c>
      <c r="U37" s="72">
        <f t="shared" si="1"/>
        <v>637091000</v>
      </c>
      <c r="V37" s="36">
        <f>13863000+45324589+14000000</f>
        <v>73187589</v>
      </c>
      <c r="W37" s="34"/>
      <c r="X37" s="34"/>
      <c r="Y37" s="47"/>
      <c r="Z37" s="36">
        <f>69000000+55500000+12000000</f>
        <v>136500000</v>
      </c>
      <c r="AA37" s="87">
        <f t="shared" si="2"/>
        <v>209687589</v>
      </c>
      <c r="AB37" s="3">
        <f t="shared" si="0"/>
        <v>0.32913286955866589</v>
      </c>
      <c r="AC37" s="22"/>
      <c r="AD37" s="95" t="s">
        <v>45</v>
      </c>
      <c r="AE37" s="5" t="s">
        <v>251</v>
      </c>
      <c r="AF37" s="86"/>
    </row>
    <row r="38" spans="1:32" ht="78.75" x14ac:dyDescent="0.2">
      <c r="A38" s="21">
        <v>96</v>
      </c>
      <c r="B38" s="7" t="s">
        <v>39</v>
      </c>
      <c r="C38" s="7" t="s">
        <v>40</v>
      </c>
      <c r="D38" s="91" t="s">
        <v>105</v>
      </c>
      <c r="E38" s="31" t="s">
        <v>106</v>
      </c>
      <c r="F38" s="27" t="s">
        <v>107</v>
      </c>
      <c r="G38" s="96">
        <v>2020680010072</v>
      </c>
      <c r="H38" s="30" t="s">
        <v>108</v>
      </c>
      <c r="I38" s="32" t="s">
        <v>109</v>
      </c>
      <c r="J38" s="6">
        <v>44562</v>
      </c>
      <c r="K38" s="6">
        <v>44926</v>
      </c>
      <c r="L38" s="63">
        <v>1</v>
      </c>
      <c r="M38" s="100">
        <v>0.75</v>
      </c>
      <c r="N38" s="41">
        <f t="shared" ref="N38:N50" si="7">IFERROR(IF(M38/L38&gt;100%,100%,M38/L38),"-")</f>
        <v>0.75</v>
      </c>
      <c r="O38" s="29" t="s">
        <v>210</v>
      </c>
      <c r="P38" s="74">
        <f>140000000+60000000</f>
        <v>200000000</v>
      </c>
      <c r="Q38" s="24"/>
      <c r="R38" s="24"/>
      <c r="S38" s="24"/>
      <c r="T38" s="79"/>
      <c r="U38" s="72">
        <f t="shared" si="1"/>
        <v>200000000</v>
      </c>
      <c r="V38" s="36">
        <f>73200000+13654719+63233333</f>
        <v>150088052</v>
      </c>
      <c r="W38" s="34"/>
      <c r="X38" s="34"/>
      <c r="Y38" s="34"/>
      <c r="Z38" s="36"/>
      <c r="AA38" s="87">
        <f t="shared" si="2"/>
        <v>150088052</v>
      </c>
      <c r="AB38" s="3">
        <f t="shared" si="0"/>
        <v>0.75044025999999997</v>
      </c>
      <c r="AC38" s="22"/>
      <c r="AD38" s="95" t="s">
        <v>45</v>
      </c>
      <c r="AE38" s="5" t="s">
        <v>251</v>
      </c>
      <c r="AF38" s="86"/>
    </row>
    <row r="39" spans="1:32" ht="75" x14ac:dyDescent="0.2">
      <c r="A39" s="21">
        <v>97</v>
      </c>
      <c r="B39" s="7" t="s">
        <v>39</v>
      </c>
      <c r="C39" s="7" t="s">
        <v>40</v>
      </c>
      <c r="D39" s="91" t="s">
        <v>105</v>
      </c>
      <c r="E39" s="31" t="s">
        <v>110</v>
      </c>
      <c r="F39" s="27" t="s">
        <v>111</v>
      </c>
      <c r="G39" s="96">
        <v>2020680010072</v>
      </c>
      <c r="H39" s="30" t="s">
        <v>108</v>
      </c>
      <c r="I39" s="32" t="s">
        <v>109</v>
      </c>
      <c r="J39" s="6">
        <v>44562</v>
      </c>
      <c r="K39" s="6">
        <v>44926</v>
      </c>
      <c r="L39" s="63">
        <v>1</v>
      </c>
      <c r="M39" s="99">
        <v>1</v>
      </c>
      <c r="N39" s="41">
        <f t="shared" si="7"/>
        <v>1</v>
      </c>
      <c r="O39" s="29" t="s">
        <v>211</v>
      </c>
      <c r="P39" s="74">
        <v>150000000</v>
      </c>
      <c r="Q39" s="24"/>
      <c r="R39" s="24"/>
      <c r="S39" s="24"/>
      <c r="T39" s="79"/>
      <c r="U39" s="72">
        <f t="shared" si="1"/>
        <v>150000000</v>
      </c>
      <c r="V39" s="36">
        <v>133281767</v>
      </c>
      <c r="W39" s="34"/>
      <c r="X39" s="34"/>
      <c r="Y39" s="34"/>
      <c r="Z39" s="36"/>
      <c r="AA39" s="87">
        <f t="shared" si="2"/>
        <v>133281767</v>
      </c>
      <c r="AB39" s="3">
        <f t="shared" si="0"/>
        <v>0.8885451133333333</v>
      </c>
      <c r="AC39" s="22"/>
      <c r="AD39" s="95" t="s">
        <v>45</v>
      </c>
      <c r="AE39" s="5" t="s">
        <v>251</v>
      </c>
      <c r="AF39" s="86"/>
    </row>
    <row r="40" spans="1:32" ht="75" x14ac:dyDescent="0.2">
      <c r="A40" s="21">
        <v>98</v>
      </c>
      <c r="B40" s="7" t="s">
        <v>39</v>
      </c>
      <c r="C40" s="7" t="s">
        <v>40</v>
      </c>
      <c r="D40" s="91" t="s">
        <v>105</v>
      </c>
      <c r="E40" s="31" t="s">
        <v>112</v>
      </c>
      <c r="F40" s="27" t="s">
        <v>113</v>
      </c>
      <c r="G40" s="96">
        <v>2020680010072</v>
      </c>
      <c r="H40" s="30" t="s">
        <v>108</v>
      </c>
      <c r="I40" s="32" t="s">
        <v>109</v>
      </c>
      <c r="J40" s="6">
        <v>44562</v>
      </c>
      <c r="K40" s="6">
        <v>44926</v>
      </c>
      <c r="L40" s="42">
        <v>1</v>
      </c>
      <c r="M40" s="102">
        <v>1</v>
      </c>
      <c r="N40" s="41">
        <f t="shared" si="7"/>
        <v>1</v>
      </c>
      <c r="O40" s="29" t="s">
        <v>210</v>
      </c>
      <c r="P40" s="74">
        <f>190000000+20000000+64000000</f>
        <v>274000000</v>
      </c>
      <c r="Q40" s="24"/>
      <c r="R40" s="24"/>
      <c r="S40" s="24"/>
      <c r="T40" s="79"/>
      <c r="U40" s="72">
        <f t="shared" si="1"/>
        <v>274000000</v>
      </c>
      <c r="V40" s="36">
        <f>80460890.36+66390.14+63934.88+13654719+3636214.24+63934.88+63934.88+54297268.88+12063934.88</f>
        <v>164371222.13999999</v>
      </c>
      <c r="W40" s="34"/>
      <c r="X40" s="34"/>
      <c r="Y40" s="34"/>
      <c r="Z40" s="36"/>
      <c r="AA40" s="87">
        <f t="shared" si="2"/>
        <v>164371222.13999999</v>
      </c>
      <c r="AB40" s="3">
        <f t="shared" si="0"/>
        <v>0.5998949713138686</v>
      </c>
      <c r="AC40" s="22"/>
      <c r="AD40" s="95" t="s">
        <v>45</v>
      </c>
      <c r="AE40" s="5" t="s">
        <v>251</v>
      </c>
      <c r="AF40" s="86"/>
    </row>
    <row r="41" spans="1:32" ht="90" x14ac:dyDescent="0.2">
      <c r="A41" s="21">
        <v>99</v>
      </c>
      <c r="B41" s="7" t="s">
        <v>39</v>
      </c>
      <c r="C41" s="7" t="s">
        <v>40</v>
      </c>
      <c r="D41" s="94" t="s">
        <v>105</v>
      </c>
      <c r="E41" s="31" t="s">
        <v>114</v>
      </c>
      <c r="F41" s="27" t="s">
        <v>115</v>
      </c>
      <c r="G41" s="97">
        <v>2021680010106</v>
      </c>
      <c r="H41" s="30" t="s">
        <v>221</v>
      </c>
      <c r="I41" s="4" t="s">
        <v>116</v>
      </c>
      <c r="J41" s="6">
        <v>44562</v>
      </c>
      <c r="K41" s="6">
        <v>44926</v>
      </c>
      <c r="L41" s="107">
        <v>1</v>
      </c>
      <c r="M41" s="127">
        <v>0.7</v>
      </c>
      <c r="N41" s="117">
        <f t="shared" si="7"/>
        <v>0.7</v>
      </c>
      <c r="O41" s="29" t="s">
        <v>286</v>
      </c>
      <c r="P41" s="74">
        <f>200000000</f>
        <v>200000000</v>
      </c>
      <c r="Q41" s="24"/>
      <c r="R41" s="24"/>
      <c r="S41" s="24"/>
      <c r="T41" s="79"/>
      <c r="U41" s="109">
        <f>SUM(P41:T42)</f>
        <v>587000000</v>
      </c>
      <c r="V41" s="36">
        <f>196800000+108213335+33146667</f>
        <v>338160002</v>
      </c>
      <c r="W41" s="34"/>
      <c r="X41" s="34"/>
      <c r="Y41" s="34"/>
      <c r="Z41" s="36"/>
      <c r="AA41" s="109">
        <f>SUM(V41:Z42)</f>
        <v>338160002</v>
      </c>
      <c r="AB41" s="111">
        <f t="shared" si="0"/>
        <v>0.57608177512776826</v>
      </c>
      <c r="AC41" s="113"/>
      <c r="AD41" s="115" t="s">
        <v>45</v>
      </c>
      <c r="AE41" s="105" t="s">
        <v>251</v>
      </c>
      <c r="AF41" s="86"/>
    </row>
    <row r="42" spans="1:32" ht="105" x14ac:dyDescent="0.2">
      <c r="A42" s="90">
        <v>99</v>
      </c>
      <c r="B42" s="7" t="s">
        <v>39</v>
      </c>
      <c r="C42" s="7" t="s">
        <v>40</v>
      </c>
      <c r="D42" s="94" t="s">
        <v>105</v>
      </c>
      <c r="E42" s="31" t="s">
        <v>114</v>
      </c>
      <c r="F42" s="27" t="s">
        <v>115</v>
      </c>
      <c r="G42" s="97">
        <v>20220680010036</v>
      </c>
      <c r="H42" s="30" t="s">
        <v>288</v>
      </c>
      <c r="I42" s="4" t="s">
        <v>289</v>
      </c>
      <c r="J42" s="6"/>
      <c r="K42" s="6"/>
      <c r="L42" s="108"/>
      <c r="M42" s="128"/>
      <c r="N42" s="118"/>
      <c r="O42" s="29" t="s">
        <v>287</v>
      </c>
      <c r="P42" s="74">
        <v>387000000</v>
      </c>
      <c r="Q42" s="24"/>
      <c r="R42" s="24"/>
      <c r="S42" s="24"/>
      <c r="T42" s="79"/>
      <c r="U42" s="110"/>
      <c r="V42" s="36"/>
      <c r="W42" s="34"/>
      <c r="X42" s="34"/>
      <c r="Y42" s="34"/>
      <c r="Z42" s="36"/>
      <c r="AA42" s="110"/>
      <c r="AB42" s="112"/>
      <c r="AC42" s="114"/>
      <c r="AD42" s="116"/>
      <c r="AE42" s="106"/>
      <c r="AF42" s="86"/>
    </row>
    <row r="43" spans="1:32" ht="75" x14ac:dyDescent="0.2">
      <c r="A43" s="21">
        <v>100</v>
      </c>
      <c r="B43" s="7" t="s">
        <v>39</v>
      </c>
      <c r="C43" s="7" t="s">
        <v>40</v>
      </c>
      <c r="D43" s="91" t="s">
        <v>117</v>
      </c>
      <c r="E43" s="31" t="s">
        <v>118</v>
      </c>
      <c r="F43" s="27" t="s">
        <v>119</v>
      </c>
      <c r="G43" s="96">
        <v>2020680010106</v>
      </c>
      <c r="H43" s="8" t="s">
        <v>120</v>
      </c>
      <c r="I43" s="9" t="s">
        <v>121</v>
      </c>
      <c r="J43" s="6">
        <v>44562</v>
      </c>
      <c r="K43" s="6">
        <v>44926</v>
      </c>
      <c r="L43" s="63">
        <v>1</v>
      </c>
      <c r="M43" s="104">
        <v>0.5</v>
      </c>
      <c r="N43" s="41">
        <f t="shared" si="7"/>
        <v>0.5</v>
      </c>
      <c r="O43" s="29" t="s">
        <v>249</v>
      </c>
      <c r="P43" s="74">
        <f>72000000+20000000</f>
        <v>92000000</v>
      </c>
      <c r="Q43" s="24"/>
      <c r="R43" s="24"/>
      <c r="S43" s="24"/>
      <c r="T43" s="79"/>
      <c r="U43" s="72">
        <f t="shared" si="1"/>
        <v>92000000</v>
      </c>
      <c r="V43" s="22"/>
      <c r="W43" s="34"/>
      <c r="X43" s="34"/>
      <c r="Y43" s="34"/>
      <c r="Z43" s="36"/>
      <c r="AA43" s="87">
        <f t="shared" si="2"/>
        <v>0</v>
      </c>
      <c r="AB43" s="3">
        <f t="shared" si="0"/>
        <v>0</v>
      </c>
      <c r="AC43" s="22"/>
      <c r="AD43" s="95" t="s">
        <v>45</v>
      </c>
      <c r="AE43" s="5" t="s">
        <v>251</v>
      </c>
      <c r="AF43" s="86"/>
    </row>
    <row r="44" spans="1:32" ht="75" x14ac:dyDescent="0.2">
      <c r="A44" s="21">
        <v>101</v>
      </c>
      <c r="B44" s="7" t="s">
        <v>39</v>
      </c>
      <c r="C44" s="7" t="s">
        <v>40</v>
      </c>
      <c r="D44" s="91" t="s">
        <v>117</v>
      </c>
      <c r="E44" s="31" t="s">
        <v>122</v>
      </c>
      <c r="F44" s="27" t="s">
        <v>123</v>
      </c>
      <c r="G44" s="96">
        <v>2020680010106</v>
      </c>
      <c r="H44" s="8" t="s">
        <v>120</v>
      </c>
      <c r="I44" s="9" t="s">
        <v>121</v>
      </c>
      <c r="J44" s="6">
        <v>44562</v>
      </c>
      <c r="K44" s="6">
        <v>44926</v>
      </c>
      <c r="L44" s="63">
        <v>600</v>
      </c>
      <c r="M44" s="99">
        <v>1342</v>
      </c>
      <c r="N44" s="41">
        <f t="shared" si="7"/>
        <v>1</v>
      </c>
      <c r="O44" s="29" t="s">
        <v>212</v>
      </c>
      <c r="P44" s="74">
        <f>65000000+90000000</f>
        <v>155000000</v>
      </c>
      <c r="Q44" s="24"/>
      <c r="R44" s="24"/>
      <c r="S44" s="24"/>
      <c r="T44" s="79"/>
      <c r="U44" s="72">
        <f t="shared" si="1"/>
        <v>155000000</v>
      </c>
      <c r="V44" s="22">
        <f>63300000+5000000+7000000+37900000</f>
        <v>113200000</v>
      </c>
      <c r="W44" s="34"/>
      <c r="X44" s="34"/>
      <c r="Y44" s="34"/>
      <c r="Z44" s="36"/>
      <c r="AA44" s="87">
        <f t="shared" si="2"/>
        <v>113200000</v>
      </c>
      <c r="AB44" s="3">
        <f t="shared" si="0"/>
        <v>0.73032258064516131</v>
      </c>
      <c r="AC44" s="22"/>
      <c r="AD44" s="95" t="s">
        <v>45</v>
      </c>
      <c r="AE44" s="5" t="s">
        <v>251</v>
      </c>
      <c r="AF44" s="86"/>
    </row>
    <row r="45" spans="1:32" ht="78.75" x14ac:dyDescent="0.2">
      <c r="A45" s="21">
        <v>102</v>
      </c>
      <c r="B45" s="7" t="s">
        <v>39</v>
      </c>
      <c r="C45" s="7" t="s">
        <v>40</v>
      </c>
      <c r="D45" s="91" t="s">
        <v>117</v>
      </c>
      <c r="E45" s="31" t="s">
        <v>133</v>
      </c>
      <c r="F45" s="27" t="s">
        <v>134</v>
      </c>
      <c r="G45" s="96">
        <v>2020680010106</v>
      </c>
      <c r="H45" s="8" t="s">
        <v>120</v>
      </c>
      <c r="I45" s="4" t="s">
        <v>135</v>
      </c>
      <c r="J45" s="6">
        <v>44562</v>
      </c>
      <c r="K45" s="6">
        <v>44926</v>
      </c>
      <c r="L45" s="63">
        <v>1</v>
      </c>
      <c r="M45" s="99">
        <v>1</v>
      </c>
      <c r="N45" s="41">
        <f t="shared" si="7"/>
        <v>1</v>
      </c>
      <c r="O45" s="29" t="s">
        <v>250</v>
      </c>
      <c r="P45" s="74">
        <f>68000000+150000000-15000000-10000000</f>
        <v>193000000</v>
      </c>
      <c r="Q45" s="24"/>
      <c r="R45" s="24"/>
      <c r="S45" s="24"/>
      <c r="T45" s="79"/>
      <c r="U45" s="72">
        <f t="shared" si="1"/>
        <v>193000000</v>
      </c>
      <c r="V45" s="22">
        <f>67600000+43900000</f>
        <v>111500000</v>
      </c>
      <c r="W45" s="34"/>
      <c r="X45" s="34"/>
      <c r="Y45" s="34"/>
      <c r="Z45" s="36"/>
      <c r="AA45" s="87">
        <f t="shared" si="2"/>
        <v>111500000</v>
      </c>
      <c r="AB45" s="3">
        <f t="shared" ref="AB45:AB79" si="8">IFERROR(AA45/U45,"-")</f>
        <v>0.57772020725388606</v>
      </c>
      <c r="AC45" s="22"/>
      <c r="AD45" s="95" t="s">
        <v>45</v>
      </c>
      <c r="AE45" s="5" t="s">
        <v>251</v>
      </c>
      <c r="AF45" s="86"/>
    </row>
    <row r="46" spans="1:32" ht="75" x14ac:dyDescent="0.2">
      <c r="A46" s="21">
        <v>103</v>
      </c>
      <c r="B46" s="7" t="s">
        <v>39</v>
      </c>
      <c r="C46" s="7" t="s">
        <v>40</v>
      </c>
      <c r="D46" s="91" t="s">
        <v>117</v>
      </c>
      <c r="E46" s="31" t="s">
        <v>136</v>
      </c>
      <c r="F46" s="27" t="s">
        <v>137</v>
      </c>
      <c r="G46" s="96">
        <v>2020680010106</v>
      </c>
      <c r="H46" s="8" t="s">
        <v>120</v>
      </c>
      <c r="I46" s="4" t="s">
        <v>138</v>
      </c>
      <c r="J46" s="6">
        <v>44562</v>
      </c>
      <c r="K46" s="6">
        <v>44926</v>
      </c>
      <c r="L46" s="42">
        <v>1</v>
      </c>
      <c r="M46" s="102">
        <v>1</v>
      </c>
      <c r="N46" s="41">
        <f t="shared" si="7"/>
        <v>1</v>
      </c>
      <c r="O46" s="29" t="s">
        <v>212</v>
      </c>
      <c r="P46" s="74">
        <v>50000000</v>
      </c>
      <c r="Q46" s="24"/>
      <c r="R46" s="24"/>
      <c r="S46" s="24"/>
      <c r="T46" s="79"/>
      <c r="U46" s="72">
        <f t="shared" si="1"/>
        <v>50000000</v>
      </c>
      <c r="V46" s="22">
        <f>9000000+23600000</f>
        <v>32600000</v>
      </c>
      <c r="W46" s="34"/>
      <c r="X46" s="34"/>
      <c r="Y46" s="34"/>
      <c r="Z46" s="36"/>
      <c r="AA46" s="87">
        <f t="shared" si="2"/>
        <v>32600000</v>
      </c>
      <c r="AB46" s="3">
        <f t="shared" si="8"/>
        <v>0.65200000000000002</v>
      </c>
      <c r="AC46" s="22"/>
      <c r="AD46" s="95" t="s">
        <v>45</v>
      </c>
      <c r="AE46" s="5" t="s">
        <v>251</v>
      </c>
      <c r="AF46" s="86"/>
    </row>
    <row r="47" spans="1:32" ht="78.75" x14ac:dyDescent="0.2">
      <c r="A47" s="21">
        <v>104</v>
      </c>
      <c r="B47" s="7" t="s">
        <v>39</v>
      </c>
      <c r="C47" s="7" t="s">
        <v>40</v>
      </c>
      <c r="D47" s="91" t="s">
        <v>117</v>
      </c>
      <c r="E47" s="31" t="s">
        <v>139</v>
      </c>
      <c r="F47" s="27" t="s">
        <v>140</v>
      </c>
      <c r="G47" s="96">
        <v>2020680010106</v>
      </c>
      <c r="H47" s="8" t="s">
        <v>120</v>
      </c>
      <c r="I47" s="4" t="s">
        <v>141</v>
      </c>
      <c r="J47" s="6">
        <v>44562</v>
      </c>
      <c r="K47" s="6">
        <v>44926</v>
      </c>
      <c r="L47" s="63">
        <v>1</v>
      </c>
      <c r="M47" s="99">
        <v>1</v>
      </c>
      <c r="N47" s="41">
        <f t="shared" si="7"/>
        <v>1</v>
      </c>
      <c r="O47" s="29" t="s">
        <v>212</v>
      </c>
      <c r="P47" s="74">
        <v>30000000</v>
      </c>
      <c r="Q47" s="24"/>
      <c r="R47" s="24"/>
      <c r="S47" s="24"/>
      <c r="T47" s="79"/>
      <c r="U47" s="72">
        <f t="shared" si="1"/>
        <v>30000000</v>
      </c>
      <c r="V47" s="22">
        <f>9000000+7000000</f>
        <v>16000000</v>
      </c>
      <c r="W47" s="34"/>
      <c r="X47" s="34"/>
      <c r="Y47" s="34"/>
      <c r="Z47" s="36"/>
      <c r="AA47" s="87">
        <f t="shared" si="2"/>
        <v>16000000</v>
      </c>
      <c r="AB47" s="3">
        <f t="shared" si="8"/>
        <v>0.53333333333333333</v>
      </c>
      <c r="AC47" s="22"/>
      <c r="AD47" s="95" t="s">
        <v>45</v>
      </c>
      <c r="AE47" s="5" t="s">
        <v>251</v>
      </c>
      <c r="AF47" s="86"/>
    </row>
    <row r="48" spans="1:32" ht="75" x14ac:dyDescent="0.2">
      <c r="A48" s="21">
        <v>105</v>
      </c>
      <c r="B48" s="7" t="s">
        <v>39</v>
      </c>
      <c r="C48" s="7" t="s">
        <v>40</v>
      </c>
      <c r="D48" s="91" t="s">
        <v>117</v>
      </c>
      <c r="E48" s="31" t="s">
        <v>142</v>
      </c>
      <c r="F48" s="27" t="s">
        <v>143</v>
      </c>
      <c r="G48" s="96">
        <v>2020680010106</v>
      </c>
      <c r="H48" s="8" t="s">
        <v>120</v>
      </c>
      <c r="I48" s="4" t="s">
        <v>144</v>
      </c>
      <c r="J48" s="6">
        <v>44562</v>
      </c>
      <c r="K48" s="6">
        <v>44926</v>
      </c>
      <c r="L48" s="63">
        <v>1</v>
      </c>
      <c r="M48" s="99">
        <v>1</v>
      </c>
      <c r="N48" s="41">
        <f t="shared" si="7"/>
        <v>1</v>
      </c>
      <c r="O48" s="29" t="s">
        <v>212</v>
      </c>
      <c r="P48" s="74">
        <v>115000000</v>
      </c>
      <c r="Q48" s="24"/>
      <c r="R48" s="24"/>
      <c r="S48" s="24"/>
      <c r="T48" s="79"/>
      <c r="U48" s="72">
        <f t="shared" si="1"/>
        <v>115000000</v>
      </c>
      <c r="V48" s="22">
        <f>49000000+20572777.05+40933333</f>
        <v>110506110.05</v>
      </c>
      <c r="W48" s="34"/>
      <c r="X48" s="34"/>
      <c r="Y48" s="34"/>
      <c r="Z48" s="36"/>
      <c r="AA48" s="87">
        <f t="shared" si="2"/>
        <v>110506110.05</v>
      </c>
      <c r="AB48" s="3">
        <f t="shared" si="8"/>
        <v>0.96092269608695646</v>
      </c>
      <c r="AC48" s="22"/>
      <c r="AD48" s="95" t="s">
        <v>45</v>
      </c>
      <c r="AE48" s="5" t="s">
        <v>251</v>
      </c>
      <c r="AF48" s="86"/>
    </row>
    <row r="49" spans="1:32" ht="75" x14ac:dyDescent="0.2">
      <c r="A49" s="21">
        <v>106</v>
      </c>
      <c r="B49" s="7" t="s">
        <v>39</v>
      </c>
      <c r="C49" s="7" t="s">
        <v>40</v>
      </c>
      <c r="D49" s="91" t="s">
        <v>117</v>
      </c>
      <c r="E49" s="31" t="s">
        <v>124</v>
      </c>
      <c r="F49" s="27" t="s">
        <v>125</v>
      </c>
      <c r="G49" s="96">
        <v>2020680010106</v>
      </c>
      <c r="H49" s="8" t="s">
        <v>120</v>
      </c>
      <c r="I49" s="9" t="s">
        <v>121</v>
      </c>
      <c r="J49" s="6">
        <v>44562</v>
      </c>
      <c r="K49" s="6">
        <v>44926</v>
      </c>
      <c r="L49" s="63">
        <v>1</v>
      </c>
      <c r="M49" s="99">
        <v>1</v>
      </c>
      <c r="N49" s="41">
        <f t="shared" si="7"/>
        <v>1</v>
      </c>
      <c r="O49" s="29" t="s">
        <v>212</v>
      </c>
      <c r="P49" s="74">
        <f>117000000-40000000-40000000</f>
        <v>37000000</v>
      </c>
      <c r="Q49" s="55"/>
      <c r="R49" s="24"/>
      <c r="S49" s="24"/>
      <c r="T49" s="79"/>
      <c r="U49" s="72">
        <f t="shared" si="1"/>
        <v>37000000</v>
      </c>
      <c r="V49" s="22">
        <f>9000000+7500000+20000000</f>
        <v>36500000</v>
      </c>
      <c r="W49" s="34"/>
      <c r="X49" s="34"/>
      <c r="Y49" s="34"/>
      <c r="Z49" s="36"/>
      <c r="AA49" s="87">
        <f t="shared" si="2"/>
        <v>36500000</v>
      </c>
      <c r="AB49" s="3">
        <f t="shared" si="8"/>
        <v>0.98648648648648651</v>
      </c>
      <c r="AC49" s="22"/>
      <c r="AD49" s="95" t="s">
        <v>45</v>
      </c>
      <c r="AE49" s="5" t="s">
        <v>251</v>
      </c>
      <c r="AF49" s="86"/>
    </row>
    <row r="50" spans="1:32" ht="75" x14ac:dyDescent="0.2">
      <c r="A50" s="21">
        <v>107</v>
      </c>
      <c r="B50" s="7" t="s">
        <v>39</v>
      </c>
      <c r="C50" s="7" t="s">
        <v>40</v>
      </c>
      <c r="D50" s="91" t="s">
        <v>126</v>
      </c>
      <c r="E50" s="31" t="s">
        <v>127</v>
      </c>
      <c r="F50" s="27" t="s">
        <v>128</v>
      </c>
      <c r="G50" s="96">
        <v>2020680010106</v>
      </c>
      <c r="H50" s="8" t="s">
        <v>120</v>
      </c>
      <c r="I50" s="9" t="s">
        <v>121</v>
      </c>
      <c r="J50" s="6">
        <v>44562</v>
      </c>
      <c r="K50" s="6">
        <v>44926</v>
      </c>
      <c r="L50" s="63">
        <v>1</v>
      </c>
      <c r="M50" s="99">
        <v>1</v>
      </c>
      <c r="N50" s="41">
        <f t="shared" si="7"/>
        <v>1</v>
      </c>
      <c r="O50" s="29" t="s">
        <v>212</v>
      </c>
      <c r="P50" s="74">
        <f>40000000+30000000+10000000</f>
        <v>80000000</v>
      </c>
      <c r="Q50" s="55"/>
      <c r="R50" s="24"/>
      <c r="S50" s="24"/>
      <c r="T50" s="79"/>
      <c r="U50" s="72">
        <f t="shared" si="1"/>
        <v>80000000</v>
      </c>
      <c r="V50" s="22">
        <f>9000000+16998265+7000000+45000000</f>
        <v>77998265</v>
      </c>
      <c r="W50" s="34"/>
      <c r="X50" s="34"/>
      <c r="Y50" s="34"/>
      <c r="Z50" s="36"/>
      <c r="AA50" s="87">
        <f t="shared" si="2"/>
        <v>77998265</v>
      </c>
      <c r="AB50" s="3">
        <f t="shared" si="8"/>
        <v>0.9749783125</v>
      </c>
      <c r="AC50" s="22">
        <v>6900000</v>
      </c>
      <c r="AD50" s="95" t="s">
        <v>45</v>
      </c>
      <c r="AE50" s="5" t="s">
        <v>251</v>
      </c>
      <c r="AF50" s="86"/>
    </row>
    <row r="51" spans="1:32" ht="94.5" x14ac:dyDescent="0.2">
      <c r="A51" s="21">
        <v>108</v>
      </c>
      <c r="B51" s="7" t="s">
        <v>39</v>
      </c>
      <c r="C51" s="7" t="s">
        <v>40</v>
      </c>
      <c r="D51" s="91" t="s">
        <v>126</v>
      </c>
      <c r="E51" s="31" t="s">
        <v>129</v>
      </c>
      <c r="F51" s="27" t="s">
        <v>130</v>
      </c>
      <c r="G51" s="96">
        <v>2020680010106</v>
      </c>
      <c r="H51" s="8" t="s">
        <v>120</v>
      </c>
      <c r="I51" s="9" t="s">
        <v>121</v>
      </c>
      <c r="J51" s="6">
        <v>44562</v>
      </c>
      <c r="K51" s="6">
        <v>44926</v>
      </c>
      <c r="L51" s="63">
        <v>4</v>
      </c>
      <c r="M51" s="99">
        <v>4</v>
      </c>
      <c r="N51" s="41">
        <f t="shared" ref="N51:N68" si="9">IFERROR(IF(M51/L51&gt;100%,100%,M51/L51),"-")</f>
        <v>1</v>
      </c>
      <c r="O51" s="29" t="s">
        <v>212</v>
      </c>
      <c r="P51" s="74">
        <f>20000000+20000000</f>
        <v>40000000</v>
      </c>
      <c r="Q51" s="55"/>
      <c r="R51" s="24"/>
      <c r="S51" s="24"/>
      <c r="T51" s="79"/>
      <c r="U51" s="72">
        <f t="shared" si="1"/>
        <v>40000000</v>
      </c>
      <c r="V51" s="22">
        <f>16998265+20612712</f>
        <v>37610977</v>
      </c>
      <c r="W51" s="34"/>
      <c r="X51" s="34"/>
      <c r="Y51" s="34"/>
      <c r="Z51" s="36"/>
      <c r="AA51" s="87">
        <f t="shared" si="2"/>
        <v>37610977</v>
      </c>
      <c r="AB51" s="3">
        <f t="shared" si="8"/>
        <v>0.94027442500000002</v>
      </c>
      <c r="AC51" s="22"/>
      <c r="AD51" s="95" t="s">
        <v>45</v>
      </c>
      <c r="AE51" s="5" t="s">
        <v>251</v>
      </c>
      <c r="AF51" s="86"/>
    </row>
    <row r="52" spans="1:32" ht="78.75" x14ac:dyDescent="0.2">
      <c r="A52" s="21">
        <v>109</v>
      </c>
      <c r="B52" s="7" t="s">
        <v>39</v>
      </c>
      <c r="C52" s="7" t="s">
        <v>40</v>
      </c>
      <c r="D52" s="91" t="s">
        <v>126</v>
      </c>
      <c r="E52" s="31" t="s">
        <v>145</v>
      </c>
      <c r="F52" s="27" t="s">
        <v>146</v>
      </c>
      <c r="G52" s="96">
        <v>2020680010106</v>
      </c>
      <c r="H52" s="8" t="s">
        <v>120</v>
      </c>
      <c r="I52" s="4" t="s">
        <v>144</v>
      </c>
      <c r="J52" s="6">
        <v>44562</v>
      </c>
      <c r="K52" s="6">
        <v>44926</v>
      </c>
      <c r="L52" s="63">
        <v>1</v>
      </c>
      <c r="M52" s="99">
        <v>1</v>
      </c>
      <c r="N52" s="41">
        <f t="shared" si="9"/>
        <v>1</v>
      </c>
      <c r="O52" s="29" t="s">
        <v>212</v>
      </c>
      <c r="P52" s="74">
        <f>50000000+30000000</f>
        <v>80000000</v>
      </c>
      <c r="Q52" s="55"/>
      <c r="R52" s="24"/>
      <c r="S52" s="24"/>
      <c r="T52" s="79"/>
      <c r="U52" s="72">
        <f t="shared" si="1"/>
        <v>80000000</v>
      </c>
      <c r="V52" s="22">
        <f>40000000+26100000+8000000</f>
        <v>74100000</v>
      </c>
      <c r="W52" s="34"/>
      <c r="X52" s="34"/>
      <c r="Y52" s="34"/>
      <c r="Z52" s="36"/>
      <c r="AA52" s="87">
        <f t="shared" si="2"/>
        <v>74100000</v>
      </c>
      <c r="AB52" s="3">
        <f t="shared" si="8"/>
        <v>0.92625000000000002</v>
      </c>
      <c r="AC52" s="22"/>
      <c r="AD52" s="95" t="s">
        <v>45</v>
      </c>
      <c r="AE52" s="5" t="s">
        <v>251</v>
      </c>
      <c r="AF52" s="86"/>
    </row>
    <row r="53" spans="1:32" ht="75" x14ac:dyDescent="0.2">
      <c r="A53" s="21">
        <v>110</v>
      </c>
      <c r="B53" s="7" t="s">
        <v>39</v>
      </c>
      <c r="C53" s="7" t="s">
        <v>40</v>
      </c>
      <c r="D53" s="91" t="s">
        <v>126</v>
      </c>
      <c r="E53" s="31" t="s">
        <v>131</v>
      </c>
      <c r="F53" s="27" t="s">
        <v>132</v>
      </c>
      <c r="G53" s="96">
        <v>2020680010106</v>
      </c>
      <c r="H53" s="8" t="s">
        <v>120</v>
      </c>
      <c r="I53" s="9" t="s">
        <v>121</v>
      </c>
      <c r="J53" s="6">
        <v>44562</v>
      </c>
      <c r="K53" s="6">
        <v>44926</v>
      </c>
      <c r="L53" s="42">
        <v>1</v>
      </c>
      <c r="M53" s="102">
        <v>1</v>
      </c>
      <c r="N53" s="41">
        <f t="shared" si="9"/>
        <v>1</v>
      </c>
      <c r="O53" s="29" t="s">
        <v>212</v>
      </c>
      <c r="P53" s="74">
        <f>110000000+50000000+40000000</f>
        <v>200000000</v>
      </c>
      <c r="Q53" s="55"/>
      <c r="R53" s="24"/>
      <c r="S53" s="24"/>
      <c r="T53" s="79"/>
      <c r="U53" s="72">
        <f t="shared" si="1"/>
        <v>200000000</v>
      </c>
      <c r="V53" s="22">
        <f>108300000+7500000+76733333</f>
        <v>192533333</v>
      </c>
      <c r="W53" s="34"/>
      <c r="X53" s="34"/>
      <c r="Y53" s="34"/>
      <c r="Z53" s="36"/>
      <c r="AA53" s="87">
        <f t="shared" si="2"/>
        <v>192533333</v>
      </c>
      <c r="AB53" s="3">
        <f t="shared" si="8"/>
        <v>0.96266666499999998</v>
      </c>
      <c r="AC53" s="22"/>
      <c r="AD53" s="95" t="s">
        <v>45</v>
      </c>
      <c r="AE53" s="5" t="s">
        <v>251</v>
      </c>
      <c r="AF53" s="86"/>
    </row>
    <row r="54" spans="1:32" ht="75" x14ac:dyDescent="0.2">
      <c r="A54" s="21">
        <v>111</v>
      </c>
      <c r="B54" s="7" t="s">
        <v>39</v>
      </c>
      <c r="C54" s="7" t="s">
        <v>40</v>
      </c>
      <c r="D54" s="91" t="s">
        <v>147</v>
      </c>
      <c r="E54" s="31" t="s">
        <v>152</v>
      </c>
      <c r="F54" s="27" t="s">
        <v>153</v>
      </c>
      <c r="G54" s="96">
        <v>2020680010050</v>
      </c>
      <c r="H54" s="8" t="s">
        <v>150</v>
      </c>
      <c r="I54" s="9" t="s">
        <v>151</v>
      </c>
      <c r="J54" s="6">
        <v>44562</v>
      </c>
      <c r="K54" s="6">
        <v>44926</v>
      </c>
      <c r="L54" s="63">
        <v>1</v>
      </c>
      <c r="M54" s="99">
        <v>1</v>
      </c>
      <c r="N54" s="41">
        <f t="shared" si="9"/>
        <v>1</v>
      </c>
      <c r="O54" s="29" t="s">
        <v>214</v>
      </c>
      <c r="P54" s="74">
        <f>179040000-30000000+130000000</f>
        <v>279040000</v>
      </c>
      <c r="Q54" s="56"/>
      <c r="R54" s="24"/>
      <c r="S54" s="24"/>
      <c r="T54" s="79"/>
      <c r="U54" s="72">
        <f t="shared" si="1"/>
        <v>279040000</v>
      </c>
      <c r="V54" s="22">
        <f>87600000-15586667+50000000+56046667</f>
        <v>178060000</v>
      </c>
      <c r="W54" s="34"/>
      <c r="X54" s="34"/>
      <c r="Y54" s="34"/>
      <c r="Z54" s="36"/>
      <c r="AA54" s="87">
        <f t="shared" si="2"/>
        <v>178060000</v>
      </c>
      <c r="AB54" s="3">
        <f t="shared" si="8"/>
        <v>0.63811639908256879</v>
      </c>
      <c r="AC54" s="22">
        <v>160000</v>
      </c>
      <c r="AD54" s="95" t="s">
        <v>45</v>
      </c>
      <c r="AE54" s="5" t="s">
        <v>251</v>
      </c>
      <c r="AF54" s="86"/>
    </row>
    <row r="55" spans="1:32" ht="75" x14ac:dyDescent="0.2">
      <c r="A55" s="21">
        <v>112</v>
      </c>
      <c r="B55" s="7" t="s">
        <v>39</v>
      </c>
      <c r="C55" s="7" t="s">
        <v>40</v>
      </c>
      <c r="D55" s="91" t="s">
        <v>147</v>
      </c>
      <c r="E55" s="31" t="s">
        <v>148</v>
      </c>
      <c r="F55" s="27" t="s">
        <v>149</v>
      </c>
      <c r="G55" s="96">
        <v>2020680010050</v>
      </c>
      <c r="H55" s="8" t="s">
        <v>150</v>
      </c>
      <c r="I55" s="9" t="s">
        <v>151</v>
      </c>
      <c r="J55" s="6">
        <v>44562</v>
      </c>
      <c r="K55" s="6">
        <v>44926</v>
      </c>
      <c r="L55" s="63">
        <v>284</v>
      </c>
      <c r="M55" s="99">
        <v>140</v>
      </c>
      <c r="N55" s="41">
        <f t="shared" si="9"/>
        <v>0.49295774647887325</v>
      </c>
      <c r="O55" s="29" t="s">
        <v>214</v>
      </c>
      <c r="P55" s="74">
        <f>1200000000+400000000-10000000</f>
        <v>1590000000</v>
      </c>
      <c r="Q55" s="55"/>
      <c r="R55" s="24"/>
      <c r="S55" s="24"/>
      <c r="T55" s="79"/>
      <c r="U55" s="72">
        <f t="shared" si="1"/>
        <v>1590000000</v>
      </c>
      <c r="V55" s="22">
        <f>45600000+60431024+265986000+271814760+29363333</f>
        <v>673195117</v>
      </c>
      <c r="W55" s="34"/>
      <c r="X55" s="34"/>
      <c r="Y55" s="34"/>
      <c r="Z55" s="36"/>
      <c r="AA55" s="87">
        <f t="shared" si="2"/>
        <v>673195117</v>
      </c>
      <c r="AB55" s="3">
        <f t="shared" si="8"/>
        <v>0.42339315534591193</v>
      </c>
      <c r="AC55" s="22">
        <v>10000000</v>
      </c>
      <c r="AD55" s="95" t="s">
        <v>45</v>
      </c>
      <c r="AE55" s="5" t="s">
        <v>251</v>
      </c>
      <c r="AF55" s="86"/>
    </row>
    <row r="56" spans="1:32" ht="75" x14ac:dyDescent="0.2">
      <c r="A56" s="21">
        <v>113</v>
      </c>
      <c r="B56" s="7" t="s">
        <v>39</v>
      </c>
      <c r="C56" s="7" t="s">
        <v>40</v>
      </c>
      <c r="D56" s="91" t="s">
        <v>147</v>
      </c>
      <c r="E56" s="31" t="s">
        <v>154</v>
      </c>
      <c r="F56" s="27" t="s">
        <v>155</v>
      </c>
      <c r="G56" s="96">
        <v>2020680010050</v>
      </c>
      <c r="H56" s="8" t="s">
        <v>150</v>
      </c>
      <c r="I56" s="9" t="s">
        <v>151</v>
      </c>
      <c r="J56" s="6">
        <v>44562</v>
      </c>
      <c r="K56" s="6">
        <v>44926</v>
      </c>
      <c r="L56" s="63">
        <v>1</v>
      </c>
      <c r="M56" s="99">
        <v>1</v>
      </c>
      <c r="N56" s="41">
        <f t="shared" si="9"/>
        <v>1</v>
      </c>
      <c r="O56" s="29" t="s">
        <v>214</v>
      </c>
      <c r="P56" s="74">
        <f>90000000+50000000+10000000</f>
        <v>150000000</v>
      </c>
      <c r="Q56" s="56"/>
      <c r="R56" s="24"/>
      <c r="S56" s="24"/>
      <c r="T56" s="79"/>
      <c r="U56" s="72">
        <f t="shared" si="1"/>
        <v>150000000</v>
      </c>
      <c r="V56" s="35">
        <f>81000000+65250000</f>
        <v>146250000</v>
      </c>
      <c r="W56" s="47"/>
      <c r="X56" s="47"/>
      <c r="Y56" s="47"/>
      <c r="Z56" s="36"/>
      <c r="AA56" s="87">
        <f t="shared" si="2"/>
        <v>146250000</v>
      </c>
      <c r="AB56" s="3">
        <f t="shared" si="8"/>
        <v>0.97499999999999998</v>
      </c>
      <c r="AC56" s="22"/>
      <c r="AD56" s="95" t="s">
        <v>45</v>
      </c>
      <c r="AE56" s="5" t="s">
        <v>251</v>
      </c>
      <c r="AF56" s="86"/>
    </row>
    <row r="57" spans="1:32" ht="75" x14ac:dyDescent="0.2">
      <c r="A57" s="21">
        <v>114</v>
      </c>
      <c r="B57" s="7" t="s">
        <v>39</v>
      </c>
      <c r="C57" s="7" t="s">
        <v>40</v>
      </c>
      <c r="D57" s="91" t="s">
        <v>147</v>
      </c>
      <c r="E57" s="31" t="s">
        <v>156</v>
      </c>
      <c r="F57" s="27" t="s">
        <v>157</v>
      </c>
      <c r="G57" s="96">
        <v>2020680010050</v>
      </c>
      <c r="H57" s="8" t="s">
        <v>150</v>
      </c>
      <c r="I57" s="9" t="s">
        <v>151</v>
      </c>
      <c r="J57" s="6">
        <v>44562</v>
      </c>
      <c r="K57" s="6">
        <v>44926</v>
      </c>
      <c r="L57" s="42">
        <v>1</v>
      </c>
      <c r="M57" s="102">
        <v>1</v>
      </c>
      <c r="N57" s="41">
        <f t="shared" si="9"/>
        <v>1</v>
      </c>
      <c r="O57" s="29" t="s">
        <v>213</v>
      </c>
      <c r="P57" s="74">
        <v>110000000</v>
      </c>
      <c r="Q57" s="56"/>
      <c r="R57" s="24"/>
      <c r="S57" s="24"/>
      <c r="T57" s="79"/>
      <c r="U57" s="72">
        <f t="shared" si="1"/>
        <v>110000000</v>
      </c>
      <c r="V57" s="35">
        <v>110000000</v>
      </c>
      <c r="W57" s="43"/>
      <c r="X57" s="47"/>
      <c r="Y57" s="47"/>
      <c r="Z57" s="36"/>
      <c r="AA57" s="87">
        <f t="shared" si="2"/>
        <v>110000000</v>
      </c>
      <c r="AB57" s="3">
        <f t="shared" si="8"/>
        <v>1</v>
      </c>
      <c r="AC57" s="22"/>
      <c r="AD57" s="95" t="s">
        <v>45</v>
      </c>
      <c r="AE57" s="5" t="s">
        <v>251</v>
      </c>
      <c r="AF57" s="86"/>
    </row>
    <row r="58" spans="1:32" ht="75" x14ac:dyDescent="0.2">
      <c r="A58" s="21">
        <v>115</v>
      </c>
      <c r="B58" s="7" t="s">
        <v>39</v>
      </c>
      <c r="C58" s="7" t="s">
        <v>40</v>
      </c>
      <c r="D58" s="91" t="s">
        <v>158</v>
      </c>
      <c r="E58" s="31" t="s">
        <v>159</v>
      </c>
      <c r="F58" s="27" t="s">
        <v>160</v>
      </c>
      <c r="G58" s="96">
        <v>2020680010121</v>
      </c>
      <c r="H58" s="30" t="s">
        <v>161</v>
      </c>
      <c r="I58" s="32" t="s">
        <v>162</v>
      </c>
      <c r="J58" s="6">
        <v>44562</v>
      </c>
      <c r="K58" s="6">
        <v>44926</v>
      </c>
      <c r="L58" s="63">
        <v>250</v>
      </c>
      <c r="M58" s="99">
        <v>250</v>
      </c>
      <c r="N58" s="41">
        <f t="shared" si="9"/>
        <v>1</v>
      </c>
      <c r="O58" s="29" t="s">
        <v>283</v>
      </c>
      <c r="P58" s="74">
        <f>1016000000+112000000+115000000-18000000-83000000-200000000</f>
        <v>942000000</v>
      </c>
      <c r="Q58" s="56"/>
      <c r="R58" s="24"/>
      <c r="S58" s="24"/>
      <c r="T58" s="80"/>
      <c r="U58" s="72">
        <f t="shared" si="1"/>
        <v>942000000</v>
      </c>
      <c r="V58" s="74">
        <f>39000000+487600062+292559946-18000000+17383333</f>
        <v>818543341</v>
      </c>
      <c r="W58" s="43"/>
      <c r="X58" s="47"/>
      <c r="Y58" s="47"/>
      <c r="Z58" s="36"/>
      <c r="AA58" s="87">
        <f t="shared" si="2"/>
        <v>818543341</v>
      </c>
      <c r="AB58" s="3">
        <f t="shared" si="8"/>
        <v>0.8689419755838641</v>
      </c>
      <c r="AC58" s="22"/>
      <c r="AD58" s="95" t="s">
        <v>45</v>
      </c>
      <c r="AE58" s="5" t="s">
        <v>251</v>
      </c>
      <c r="AF58" s="86"/>
    </row>
    <row r="59" spans="1:32" ht="75" x14ac:dyDescent="0.2">
      <c r="A59" s="21">
        <v>116</v>
      </c>
      <c r="B59" s="7" t="s">
        <v>39</v>
      </c>
      <c r="C59" s="7" t="s">
        <v>40</v>
      </c>
      <c r="D59" s="91" t="s">
        <v>158</v>
      </c>
      <c r="E59" s="31" t="s">
        <v>163</v>
      </c>
      <c r="F59" s="27" t="s">
        <v>164</v>
      </c>
      <c r="G59" s="96">
        <v>2020680010121</v>
      </c>
      <c r="H59" s="30" t="s">
        <v>161</v>
      </c>
      <c r="I59" s="32" t="s">
        <v>162</v>
      </c>
      <c r="J59" s="6">
        <v>44562</v>
      </c>
      <c r="K59" s="6">
        <v>44926</v>
      </c>
      <c r="L59" s="63">
        <v>1</v>
      </c>
      <c r="M59" s="104">
        <v>0.2</v>
      </c>
      <c r="N59" s="41">
        <f t="shared" si="9"/>
        <v>0.2</v>
      </c>
      <c r="O59" s="49" t="s">
        <v>215</v>
      </c>
      <c r="P59" s="74">
        <f>60000000+300000000+18000000</f>
        <v>378000000</v>
      </c>
      <c r="Q59" s="26"/>
      <c r="R59" s="37"/>
      <c r="S59" s="37"/>
      <c r="T59" s="80"/>
      <c r="U59" s="72">
        <f t="shared" si="1"/>
        <v>378000000</v>
      </c>
      <c r="V59" s="74">
        <f>18000000+14400000</f>
        <v>32400000</v>
      </c>
      <c r="W59" s="43"/>
      <c r="X59" s="43"/>
      <c r="Y59" s="43"/>
      <c r="Z59" s="36"/>
      <c r="AA59" s="87">
        <f t="shared" si="2"/>
        <v>32400000</v>
      </c>
      <c r="AB59" s="3">
        <f t="shared" si="8"/>
        <v>8.5714285714285715E-2</v>
      </c>
      <c r="AC59" s="22"/>
      <c r="AD59" s="95" t="s">
        <v>45</v>
      </c>
      <c r="AE59" s="5" t="s">
        <v>251</v>
      </c>
      <c r="AF59" s="86"/>
    </row>
    <row r="60" spans="1:32" ht="78.75" x14ac:dyDescent="0.2">
      <c r="A60" s="21">
        <v>117</v>
      </c>
      <c r="B60" s="7" t="s">
        <v>39</v>
      </c>
      <c r="C60" s="7" t="s">
        <v>40</v>
      </c>
      <c r="D60" s="91" t="s">
        <v>158</v>
      </c>
      <c r="E60" s="31" t="s">
        <v>165</v>
      </c>
      <c r="F60" s="27" t="s">
        <v>166</v>
      </c>
      <c r="G60" s="96">
        <v>2020680010121</v>
      </c>
      <c r="H60" s="30" t="s">
        <v>161</v>
      </c>
      <c r="I60" s="32" t="s">
        <v>162</v>
      </c>
      <c r="J60" s="6">
        <v>44562</v>
      </c>
      <c r="K60" s="6">
        <v>44926</v>
      </c>
      <c r="L60" s="63">
        <v>1</v>
      </c>
      <c r="M60" s="99">
        <v>1</v>
      </c>
      <c r="N60" s="41">
        <f t="shared" si="9"/>
        <v>1</v>
      </c>
      <c r="O60" s="48" t="s">
        <v>215</v>
      </c>
      <c r="P60" s="74">
        <f>151500000+80000000+200000000</f>
        <v>431500000</v>
      </c>
      <c r="Q60" s="26"/>
      <c r="R60" s="37"/>
      <c r="S60" s="37"/>
      <c r="T60" s="80"/>
      <c r="U60" s="72">
        <f t="shared" si="1"/>
        <v>431500000</v>
      </c>
      <c r="V60" s="74">
        <f>115200000+31063087+79123334+204369480</f>
        <v>429755901</v>
      </c>
      <c r="W60" s="43"/>
      <c r="X60" s="43"/>
      <c r="Y60" s="43"/>
      <c r="Z60" s="36"/>
      <c r="AA60" s="87">
        <f t="shared" si="2"/>
        <v>429755901</v>
      </c>
      <c r="AB60" s="3">
        <f t="shared" si="8"/>
        <v>0.99595805561993045</v>
      </c>
      <c r="AC60" s="22"/>
      <c r="AD60" s="95" t="s">
        <v>45</v>
      </c>
      <c r="AE60" s="5" t="s">
        <v>251</v>
      </c>
      <c r="AF60" s="86"/>
    </row>
    <row r="61" spans="1:32" ht="78.75" x14ac:dyDescent="0.2">
      <c r="A61" s="21">
        <v>118</v>
      </c>
      <c r="B61" s="7" t="s">
        <v>39</v>
      </c>
      <c r="C61" s="7" t="s">
        <v>40</v>
      </c>
      <c r="D61" s="91" t="s">
        <v>158</v>
      </c>
      <c r="E61" s="31" t="s">
        <v>167</v>
      </c>
      <c r="F61" s="27" t="s">
        <v>168</v>
      </c>
      <c r="G61" s="96">
        <v>2020680010121</v>
      </c>
      <c r="H61" s="30" t="s">
        <v>161</v>
      </c>
      <c r="I61" s="32" t="s">
        <v>162</v>
      </c>
      <c r="J61" s="6">
        <v>44562</v>
      </c>
      <c r="K61" s="6">
        <v>44926</v>
      </c>
      <c r="L61" s="63">
        <v>200</v>
      </c>
      <c r="M61" s="99">
        <v>200</v>
      </c>
      <c r="N61" s="41">
        <f t="shared" si="9"/>
        <v>1</v>
      </c>
      <c r="O61" s="48" t="s">
        <v>229</v>
      </c>
      <c r="P61" s="74">
        <f>200000000+340000000</f>
        <v>540000000</v>
      </c>
      <c r="Q61" s="37"/>
      <c r="R61" s="37"/>
      <c r="S61" s="37"/>
      <c r="T61" s="80"/>
      <c r="U61" s="72">
        <f t="shared" si="1"/>
        <v>540000000</v>
      </c>
      <c r="V61" s="74">
        <f>200000000+318598200</f>
        <v>518598200</v>
      </c>
      <c r="W61" s="43"/>
      <c r="X61" s="43"/>
      <c r="Y61" s="43"/>
      <c r="Z61" s="36"/>
      <c r="AA61" s="87">
        <f t="shared" si="2"/>
        <v>518598200</v>
      </c>
      <c r="AB61" s="3">
        <f t="shared" si="8"/>
        <v>0.96036703703703707</v>
      </c>
      <c r="AC61" s="22"/>
      <c r="AD61" s="95" t="s">
        <v>45</v>
      </c>
      <c r="AE61" s="5" t="s">
        <v>251</v>
      </c>
      <c r="AF61" s="86"/>
    </row>
    <row r="62" spans="1:32" ht="75" x14ac:dyDescent="0.2">
      <c r="A62" s="21">
        <v>119</v>
      </c>
      <c r="B62" s="7" t="s">
        <v>39</v>
      </c>
      <c r="C62" s="7" t="s">
        <v>40</v>
      </c>
      <c r="D62" s="91" t="s">
        <v>158</v>
      </c>
      <c r="E62" s="31" t="s">
        <v>169</v>
      </c>
      <c r="F62" s="27" t="s">
        <v>170</v>
      </c>
      <c r="G62" s="96">
        <v>2020680010121</v>
      </c>
      <c r="H62" s="30" t="s">
        <v>161</v>
      </c>
      <c r="I62" s="32" t="s">
        <v>162</v>
      </c>
      <c r="J62" s="6">
        <v>44562</v>
      </c>
      <c r="K62" s="6">
        <v>44926</v>
      </c>
      <c r="L62" s="63">
        <v>1</v>
      </c>
      <c r="M62" s="99">
        <v>1</v>
      </c>
      <c r="N62" s="41">
        <f t="shared" si="9"/>
        <v>1</v>
      </c>
      <c r="O62" s="48" t="s">
        <v>215</v>
      </c>
      <c r="P62" s="74">
        <f>36500000+3000000</f>
        <v>39500000</v>
      </c>
      <c r="Q62" s="37"/>
      <c r="R62" s="37"/>
      <c r="S62" s="37"/>
      <c r="T62" s="80"/>
      <c r="U62" s="72">
        <f t="shared" si="1"/>
        <v>39500000</v>
      </c>
      <c r="V62" s="74">
        <f>21000000+17616667</f>
        <v>38616667</v>
      </c>
      <c r="W62" s="43"/>
      <c r="X62" s="43"/>
      <c r="Y62" s="43"/>
      <c r="Z62" s="36"/>
      <c r="AA62" s="87">
        <f t="shared" si="2"/>
        <v>38616667</v>
      </c>
      <c r="AB62" s="3">
        <f t="shared" si="8"/>
        <v>0.97763713924050633</v>
      </c>
      <c r="AC62" s="22"/>
      <c r="AD62" s="95" t="s">
        <v>45</v>
      </c>
      <c r="AE62" s="5" t="s">
        <v>251</v>
      </c>
      <c r="AF62" s="86"/>
    </row>
    <row r="63" spans="1:32" ht="105" x14ac:dyDescent="0.2">
      <c r="A63" s="21">
        <v>202</v>
      </c>
      <c r="B63" s="7" t="s">
        <v>171</v>
      </c>
      <c r="C63" s="7" t="s">
        <v>172</v>
      </c>
      <c r="D63" s="91" t="s">
        <v>173</v>
      </c>
      <c r="E63" s="31" t="s">
        <v>176</v>
      </c>
      <c r="F63" s="27" t="s">
        <v>177</v>
      </c>
      <c r="G63" s="96">
        <v>2020680010123</v>
      </c>
      <c r="H63" s="8" t="s">
        <v>178</v>
      </c>
      <c r="I63" s="32" t="s">
        <v>179</v>
      </c>
      <c r="J63" s="6">
        <v>44562</v>
      </c>
      <c r="K63" s="6">
        <v>44926</v>
      </c>
      <c r="L63" s="63">
        <v>60</v>
      </c>
      <c r="M63" s="99">
        <v>46</v>
      </c>
      <c r="N63" s="41">
        <f t="shared" si="9"/>
        <v>0.76666666666666672</v>
      </c>
      <c r="O63" s="29" t="s">
        <v>216</v>
      </c>
      <c r="P63" s="74">
        <f>100000000+38250000+8000000</f>
        <v>146250000</v>
      </c>
      <c r="Q63" s="24"/>
      <c r="R63" s="24"/>
      <c r="S63" s="24"/>
      <c r="T63" s="79"/>
      <c r="U63" s="72">
        <f t="shared" si="1"/>
        <v>146250000</v>
      </c>
      <c r="V63" s="22">
        <v>99141776</v>
      </c>
      <c r="W63" s="34"/>
      <c r="X63" s="34"/>
      <c r="Y63" s="34"/>
      <c r="Z63" s="36"/>
      <c r="AA63" s="87">
        <f t="shared" si="2"/>
        <v>99141776</v>
      </c>
      <c r="AB63" s="3">
        <f t="shared" si="8"/>
        <v>0.67789248547008552</v>
      </c>
      <c r="AC63" s="22"/>
      <c r="AD63" s="95" t="s">
        <v>45</v>
      </c>
      <c r="AE63" s="5" t="s">
        <v>251</v>
      </c>
      <c r="AF63" s="86"/>
    </row>
    <row r="64" spans="1:32" ht="105" x14ac:dyDescent="0.2">
      <c r="A64" s="21">
        <v>203</v>
      </c>
      <c r="B64" s="7" t="s">
        <v>171</v>
      </c>
      <c r="C64" s="7" t="s">
        <v>172</v>
      </c>
      <c r="D64" s="91" t="s">
        <v>173</v>
      </c>
      <c r="E64" s="31" t="s">
        <v>174</v>
      </c>
      <c r="F64" s="27" t="s">
        <v>175</v>
      </c>
      <c r="G64" s="97">
        <v>2020680010159</v>
      </c>
      <c r="H64" s="30" t="s">
        <v>204</v>
      </c>
      <c r="I64" s="4" t="s">
        <v>231</v>
      </c>
      <c r="J64" s="6">
        <v>44562</v>
      </c>
      <c r="K64" s="6">
        <v>44926</v>
      </c>
      <c r="L64" s="63">
        <v>2</v>
      </c>
      <c r="M64" s="99">
        <v>2</v>
      </c>
      <c r="N64" s="41">
        <f t="shared" si="9"/>
        <v>1</v>
      </c>
      <c r="O64" s="29" t="s">
        <v>217</v>
      </c>
      <c r="P64" s="74">
        <v>47750000</v>
      </c>
      <c r="Q64" s="24"/>
      <c r="R64" s="24"/>
      <c r="S64" s="24"/>
      <c r="T64" s="79"/>
      <c r="U64" s="72">
        <f t="shared" si="1"/>
        <v>47750000</v>
      </c>
      <c r="V64" s="22">
        <v>47750000</v>
      </c>
      <c r="W64" s="34"/>
      <c r="X64" s="34"/>
      <c r="Y64" s="34"/>
      <c r="Z64" s="36"/>
      <c r="AA64" s="87">
        <f t="shared" si="2"/>
        <v>47750000</v>
      </c>
      <c r="AB64" s="3">
        <f t="shared" si="8"/>
        <v>1</v>
      </c>
      <c r="AC64" s="22"/>
      <c r="AD64" s="95" t="s">
        <v>45</v>
      </c>
      <c r="AE64" s="5" t="s">
        <v>251</v>
      </c>
      <c r="AF64" s="86"/>
    </row>
    <row r="65" spans="1:32" ht="105" x14ac:dyDescent="0.2">
      <c r="A65" s="21">
        <v>204</v>
      </c>
      <c r="B65" s="7" t="s">
        <v>171</v>
      </c>
      <c r="C65" s="7" t="s">
        <v>172</v>
      </c>
      <c r="D65" s="91" t="s">
        <v>173</v>
      </c>
      <c r="E65" s="31" t="s">
        <v>180</v>
      </c>
      <c r="F65" s="27" t="s">
        <v>181</v>
      </c>
      <c r="G65" s="96">
        <v>2020680010123</v>
      </c>
      <c r="H65" s="8" t="s">
        <v>178</v>
      </c>
      <c r="I65" s="32" t="s">
        <v>179</v>
      </c>
      <c r="J65" s="6">
        <v>44562</v>
      </c>
      <c r="K65" s="6">
        <v>44926</v>
      </c>
      <c r="L65" s="63">
        <v>4</v>
      </c>
      <c r="M65" s="99">
        <v>3</v>
      </c>
      <c r="N65" s="41">
        <f t="shared" si="9"/>
        <v>0.75</v>
      </c>
      <c r="O65" s="29" t="s">
        <v>218</v>
      </c>
      <c r="P65" s="74">
        <f>120000000+22000000+24000000</f>
        <v>166000000</v>
      </c>
      <c r="Q65" s="38"/>
      <c r="R65" s="24"/>
      <c r="S65" s="24"/>
      <c r="T65" s="79"/>
      <c r="U65" s="72">
        <f t="shared" si="1"/>
        <v>166000000</v>
      </c>
      <c r="V65" s="22">
        <f>21000000+115854500+28416667</f>
        <v>165271167</v>
      </c>
      <c r="W65" s="34"/>
      <c r="X65" s="34"/>
      <c r="Y65" s="34"/>
      <c r="Z65" s="36"/>
      <c r="AA65" s="87">
        <f t="shared" si="2"/>
        <v>165271167</v>
      </c>
      <c r="AB65" s="3">
        <f t="shared" si="8"/>
        <v>0.99560943975903615</v>
      </c>
      <c r="AC65" s="22"/>
      <c r="AD65" s="95" t="s">
        <v>45</v>
      </c>
      <c r="AE65" s="5" t="s">
        <v>251</v>
      </c>
      <c r="AF65" s="86"/>
    </row>
    <row r="66" spans="1:32" ht="105" x14ac:dyDescent="0.2">
      <c r="A66" s="21">
        <v>205</v>
      </c>
      <c r="B66" s="7" t="s">
        <v>171</v>
      </c>
      <c r="C66" s="7" t="s">
        <v>172</v>
      </c>
      <c r="D66" s="91" t="s">
        <v>173</v>
      </c>
      <c r="E66" s="31" t="s">
        <v>182</v>
      </c>
      <c r="F66" s="27" t="s">
        <v>183</v>
      </c>
      <c r="G66" s="96">
        <v>2020680010123</v>
      </c>
      <c r="H66" s="8" t="s">
        <v>178</v>
      </c>
      <c r="I66" s="32" t="s">
        <v>179</v>
      </c>
      <c r="J66" s="6">
        <v>44562</v>
      </c>
      <c r="K66" s="6">
        <v>44926</v>
      </c>
      <c r="L66" s="63">
        <v>4</v>
      </c>
      <c r="M66" s="99">
        <v>4</v>
      </c>
      <c r="N66" s="41">
        <f t="shared" si="9"/>
        <v>1</v>
      </c>
      <c r="O66" s="29" t="s">
        <v>284</v>
      </c>
      <c r="P66" s="74">
        <f>85000000+67000000+40000000-8000000</f>
        <v>184000000</v>
      </c>
      <c r="Q66" s="24"/>
      <c r="R66" s="24"/>
      <c r="S66" s="24"/>
      <c r="T66" s="79"/>
      <c r="U66" s="72">
        <f t="shared" si="1"/>
        <v>184000000</v>
      </c>
      <c r="V66" s="22">
        <f>50400000+46636100+40399999</f>
        <v>137436099</v>
      </c>
      <c r="W66" s="34"/>
      <c r="X66" s="34"/>
      <c r="Y66" s="34"/>
      <c r="Z66" s="36"/>
      <c r="AA66" s="87">
        <f t="shared" si="2"/>
        <v>137436099</v>
      </c>
      <c r="AB66" s="3">
        <f t="shared" si="8"/>
        <v>0.74693532065217394</v>
      </c>
      <c r="AC66" s="22"/>
      <c r="AD66" s="95" t="s">
        <v>45</v>
      </c>
      <c r="AE66" s="5" t="s">
        <v>251</v>
      </c>
      <c r="AF66" s="86"/>
    </row>
    <row r="67" spans="1:32" ht="105" x14ac:dyDescent="0.2">
      <c r="A67" s="21">
        <v>206</v>
      </c>
      <c r="B67" s="7" t="s">
        <v>171</v>
      </c>
      <c r="C67" s="7" t="s">
        <v>172</v>
      </c>
      <c r="D67" s="91" t="s">
        <v>173</v>
      </c>
      <c r="E67" s="31" t="s">
        <v>184</v>
      </c>
      <c r="F67" s="27" t="s">
        <v>185</v>
      </c>
      <c r="G67" s="96">
        <v>2020680010123</v>
      </c>
      <c r="H67" s="8" t="s">
        <v>178</v>
      </c>
      <c r="I67" s="32" t="s">
        <v>179</v>
      </c>
      <c r="J67" s="6">
        <v>44562</v>
      </c>
      <c r="K67" s="6">
        <v>44926</v>
      </c>
      <c r="L67" s="63">
        <v>1</v>
      </c>
      <c r="M67" s="100">
        <v>0.75</v>
      </c>
      <c r="N67" s="41">
        <f t="shared" si="9"/>
        <v>0.75</v>
      </c>
      <c r="O67" s="29" t="s">
        <v>248</v>
      </c>
      <c r="P67" s="74">
        <f>135000000-15000000-22000000+261000000</f>
        <v>359000000</v>
      </c>
      <c r="Q67" s="24"/>
      <c r="R67" s="24"/>
      <c r="S67" s="24"/>
      <c r="T67" s="79"/>
      <c r="U67" s="72">
        <f t="shared" si="1"/>
        <v>359000000</v>
      </c>
      <c r="V67" s="22">
        <f>66000000+16916667+12083333</f>
        <v>95000000</v>
      </c>
      <c r="W67" s="34"/>
      <c r="X67" s="34"/>
      <c r="Y67" s="34"/>
      <c r="Z67" s="36"/>
      <c r="AA67" s="87">
        <f t="shared" si="2"/>
        <v>95000000</v>
      </c>
      <c r="AB67" s="3">
        <f t="shared" si="8"/>
        <v>0.26462395543175488</v>
      </c>
      <c r="AC67" s="22"/>
      <c r="AD67" s="95" t="s">
        <v>45</v>
      </c>
      <c r="AE67" s="5" t="s">
        <v>251</v>
      </c>
      <c r="AF67" s="86"/>
    </row>
    <row r="68" spans="1:32" ht="105" x14ac:dyDescent="0.2">
      <c r="A68" s="21">
        <v>207</v>
      </c>
      <c r="B68" s="7" t="s">
        <v>171</v>
      </c>
      <c r="C68" s="7" t="s">
        <v>172</v>
      </c>
      <c r="D68" s="91" t="s">
        <v>173</v>
      </c>
      <c r="E68" s="31" t="s">
        <v>186</v>
      </c>
      <c r="F68" s="27" t="s">
        <v>187</v>
      </c>
      <c r="G68" s="96">
        <v>2020680010123</v>
      </c>
      <c r="H68" s="8" t="s">
        <v>178</v>
      </c>
      <c r="I68" s="32" t="s">
        <v>179</v>
      </c>
      <c r="J68" s="6">
        <v>44562</v>
      </c>
      <c r="K68" s="6">
        <v>44926</v>
      </c>
      <c r="L68" s="63">
        <v>6</v>
      </c>
      <c r="M68" s="99">
        <v>25</v>
      </c>
      <c r="N68" s="41">
        <f t="shared" si="9"/>
        <v>1</v>
      </c>
      <c r="O68" s="29" t="s">
        <v>285</v>
      </c>
      <c r="P68" s="74">
        <f>510000000+15000000-67000000</f>
        <v>458000000</v>
      </c>
      <c r="Q68" s="24"/>
      <c r="R68" s="24"/>
      <c r="S68" s="24"/>
      <c r="T68" s="79"/>
      <c r="U68" s="72">
        <f t="shared" si="1"/>
        <v>458000000</v>
      </c>
      <c r="V68" s="22">
        <f>15000000+29725000+68640985+12083333</f>
        <v>125449318</v>
      </c>
      <c r="W68" s="34"/>
      <c r="X68" s="34"/>
      <c r="Y68" s="34"/>
      <c r="Z68" s="36"/>
      <c r="AA68" s="87">
        <f t="shared" si="2"/>
        <v>125449318</v>
      </c>
      <c r="AB68" s="3">
        <f t="shared" si="8"/>
        <v>0.273906807860262</v>
      </c>
      <c r="AC68" s="22"/>
      <c r="AD68" s="95" t="s">
        <v>45</v>
      </c>
      <c r="AE68" s="5" t="s">
        <v>251</v>
      </c>
      <c r="AF68" s="86"/>
    </row>
    <row r="69" spans="1:32" ht="75" x14ac:dyDescent="0.2">
      <c r="A69" s="21">
        <v>234</v>
      </c>
      <c r="B69" s="7" t="s">
        <v>76</v>
      </c>
      <c r="C69" s="7" t="s">
        <v>77</v>
      </c>
      <c r="D69" s="91" t="s">
        <v>78</v>
      </c>
      <c r="E69" s="31" t="s">
        <v>79</v>
      </c>
      <c r="F69" s="27" t="s">
        <v>80</v>
      </c>
      <c r="G69" s="96">
        <v>2021680010003</v>
      </c>
      <c r="H69" s="8" t="s">
        <v>44</v>
      </c>
      <c r="I69" s="4" t="s">
        <v>237</v>
      </c>
      <c r="J69" s="6">
        <v>44562</v>
      </c>
      <c r="K69" s="6">
        <v>44926</v>
      </c>
      <c r="L69" s="63">
        <v>1</v>
      </c>
      <c r="M69" s="104">
        <v>0.6</v>
      </c>
      <c r="N69" s="41">
        <f t="shared" ref="N69:N78" si="10">IFERROR(IF(M69/L69&gt;100%,100%,M69/L69),"-")</f>
        <v>0.6</v>
      </c>
      <c r="O69" s="29" t="s">
        <v>205</v>
      </c>
      <c r="P69" s="73">
        <v>70000000</v>
      </c>
      <c r="Q69" s="61"/>
      <c r="R69" s="24"/>
      <c r="S69" s="24"/>
      <c r="T69" s="79"/>
      <c r="U69" s="72">
        <f t="shared" si="1"/>
        <v>70000000</v>
      </c>
      <c r="V69" s="22">
        <f>10200000+2791969+2470000</f>
        <v>15461969</v>
      </c>
      <c r="W69" s="34"/>
      <c r="X69" s="34"/>
      <c r="Y69" s="34"/>
      <c r="Z69" s="36"/>
      <c r="AA69" s="87">
        <f t="shared" si="2"/>
        <v>15461969</v>
      </c>
      <c r="AB69" s="3">
        <f t="shared" si="8"/>
        <v>0.22088527142857142</v>
      </c>
      <c r="AC69" s="22"/>
      <c r="AD69" s="95" t="s">
        <v>45</v>
      </c>
      <c r="AE69" s="5" t="s">
        <v>251</v>
      </c>
      <c r="AF69" s="86"/>
    </row>
    <row r="70" spans="1:32" ht="90" x14ac:dyDescent="0.2">
      <c r="A70" s="21">
        <v>283</v>
      </c>
      <c r="B70" s="7" t="s">
        <v>36</v>
      </c>
      <c r="C70" s="7" t="s">
        <v>188</v>
      </c>
      <c r="D70" s="91" t="s">
        <v>189</v>
      </c>
      <c r="E70" s="31" t="s">
        <v>190</v>
      </c>
      <c r="F70" s="27" t="s">
        <v>191</v>
      </c>
      <c r="G70" s="96">
        <v>2020680010063</v>
      </c>
      <c r="H70" s="8" t="s">
        <v>192</v>
      </c>
      <c r="I70" s="9" t="s">
        <v>225</v>
      </c>
      <c r="J70" s="6">
        <v>44562</v>
      </c>
      <c r="K70" s="6">
        <v>44926</v>
      </c>
      <c r="L70" s="107">
        <v>1</v>
      </c>
      <c r="M70" s="119">
        <v>1</v>
      </c>
      <c r="N70" s="117">
        <f t="shared" si="10"/>
        <v>1</v>
      </c>
      <c r="O70" s="29" t="s">
        <v>261</v>
      </c>
      <c r="P70" s="74">
        <f>348000000-12000000</f>
        <v>336000000</v>
      </c>
      <c r="Q70" s="24"/>
      <c r="R70" s="24"/>
      <c r="S70" s="24"/>
      <c r="T70" s="79"/>
      <c r="U70" s="109">
        <f>SUM(P70:T72)</f>
        <v>1251000000</v>
      </c>
      <c r="V70" s="36">
        <f>332460890.36+66390.14+2565084.88+63934.88+43030601.88-9000000+272793935.88+70271214.88</f>
        <v>712252052.89999998</v>
      </c>
      <c r="W70" s="34"/>
      <c r="X70" s="34"/>
      <c r="Y70" s="34"/>
      <c r="Z70" s="36"/>
      <c r="AA70" s="109">
        <f>SUM(V70:Z72)</f>
        <v>712252052.89999998</v>
      </c>
      <c r="AB70" s="111">
        <f t="shared" si="8"/>
        <v>0.56934616538768978</v>
      </c>
      <c r="AC70" s="113">
        <v>2000000</v>
      </c>
      <c r="AD70" s="115" t="s">
        <v>45</v>
      </c>
      <c r="AE70" s="105" t="s">
        <v>251</v>
      </c>
      <c r="AF70" s="86"/>
    </row>
    <row r="71" spans="1:32" ht="90" x14ac:dyDescent="0.2">
      <c r="A71" s="90">
        <v>283</v>
      </c>
      <c r="B71" s="7" t="s">
        <v>36</v>
      </c>
      <c r="C71" s="7" t="s">
        <v>188</v>
      </c>
      <c r="D71" s="91" t="s">
        <v>189</v>
      </c>
      <c r="E71" s="31" t="s">
        <v>190</v>
      </c>
      <c r="F71" s="27" t="s">
        <v>191</v>
      </c>
      <c r="G71" s="96">
        <v>2022680010029</v>
      </c>
      <c r="H71" s="8" t="s">
        <v>259</v>
      </c>
      <c r="I71" s="9"/>
      <c r="J71" s="6"/>
      <c r="K71" s="6"/>
      <c r="L71" s="133"/>
      <c r="M71" s="132"/>
      <c r="N71" s="131"/>
      <c r="O71" s="29" t="s">
        <v>262</v>
      </c>
      <c r="P71" s="74">
        <v>410000000</v>
      </c>
      <c r="Q71" s="24"/>
      <c r="R71" s="24"/>
      <c r="S71" s="24"/>
      <c r="T71" s="79"/>
      <c r="U71" s="134"/>
      <c r="V71" s="36"/>
      <c r="W71" s="34"/>
      <c r="X71" s="34"/>
      <c r="Y71" s="34"/>
      <c r="Z71" s="36"/>
      <c r="AA71" s="134"/>
      <c r="AB71" s="142"/>
      <c r="AC71" s="143"/>
      <c r="AD71" s="129"/>
      <c r="AE71" s="130"/>
      <c r="AF71" s="86"/>
    </row>
    <row r="72" spans="1:32" ht="90" x14ac:dyDescent="0.2">
      <c r="A72" s="90">
        <v>283</v>
      </c>
      <c r="B72" s="7" t="s">
        <v>36</v>
      </c>
      <c r="C72" s="7" t="s">
        <v>188</v>
      </c>
      <c r="D72" s="91" t="s">
        <v>189</v>
      </c>
      <c r="E72" s="31" t="s">
        <v>190</v>
      </c>
      <c r="F72" s="27" t="s">
        <v>191</v>
      </c>
      <c r="G72" s="96">
        <v>2022680010035</v>
      </c>
      <c r="H72" s="8" t="s">
        <v>260</v>
      </c>
      <c r="I72" s="9"/>
      <c r="J72" s="6"/>
      <c r="K72" s="6"/>
      <c r="L72" s="108"/>
      <c r="M72" s="120"/>
      <c r="N72" s="118"/>
      <c r="O72" s="29" t="s">
        <v>263</v>
      </c>
      <c r="P72" s="74">
        <v>505000000</v>
      </c>
      <c r="Q72" s="24"/>
      <c r="R72" s="24"/>
      <c r="S72" s="24"/>
      <c r="T72" s="79"/>
      <c r="U72" s="110"/>
      <c r="V72" s="36"/>
      <c r="W72" s="34"/>
      <c r="X72" s="34"/>
      <c r="Y72" s="34"/>
      <c r="Z72" s="36"/>
      <c r="AA72" s="110"/>
      <c r="AB72" s="112"/>
      <c r="AC72" s="114"/>
      <c r="AD72" s="116"/>
      <c r="AE72" s="106"/>
      <c r="AF72" s="86"/>
    </row>
    <row r="73" spans="1:32" ht="105" x14ac:dyDescent="0.2">
      <c r="A73" s="21">
        <v>284</v>
      </c>
      <c r="B73" s="7" t="s">
        <v>36</v>
      </c>
      <c r="C73" s="7" t="s">
        <v>188</v>
      </c>
      <c r="D73" s="91" t="s">
        <v>189</v>
      </c>
      <c r="E73" s="31" t="s">
        <v>196</v>
      </c>
      <c r="F73" s="27" t="s">
        <v>197</v>
      </c>
      <c r="G73" s="96">
        <v>2020680010140</v>
      </c>
      <c r="H73" s="8" t="s">
        <v>226</v>
      </c>
      <c r="I73" s="4" t="s">
        <v>232</v>
      </c>
      <c r="J73" s="6">
        <v>44562</v>
      </c>
      <c r="K73" s="6">
        <v>44926</v>
      </c>
      <c r="L73" s="64">
        <v>1</v>
      </c>
      <c r="M73" s="99">
        <v>2</v>
      </c>
      <c r="N73" s="41">
        <f t="shared" si="10"/>
        <v>1</v>
      </c>
      <c r="O73" s="29" t="s">
        <v>247</v>
      </c>
      <c r="P73" s="74">
        <f>400000000+20000000</f>
        <v>420000000</v>
      </c>
      <c r="Q73" s="24"/>
      <c r="R73" s="24"/>
      <c r="S73" s="24"/>
      <c r="T73" s="81"/>
      <c r="U73" s="72">
        <f t="shared" si="1"/>
        <v>420000000</v>
      </c>
      <c r="V73" s="22">
        <v>28800893.789999999</v>
      </c>
      <c r="W73" s="34"/>
      <c r="X73" s="34"/>
      <c r="Y73" s="34"/>
      <c r="Z73" s="36"/>
      <c r="AA73" s="87">
        <f t="shared" si="2"/>
        <v>28800893.789999999</v>
      </c>
      <c r="AB73" s="3">
        <f t="shared" si="8"/>
        <v>6.8573556642857136E-2</v>
      </c>
      <c r="AC73" s="22"/>
      <c r="AD73" s="95" t="s">
        <v>45</v>
      </c>
      <c r="AE73" s="5" t="s">
        <v>251</v>
      </c>
      <c r="AF73" s="86"/>
    </row>
    <row r="74" spans="1:32" ht="90" x14ac:dyDescent="0.2">
      <c r="A74" s="21">
        <v>285</v>
      </c>
      <c r="B74" s="7" t="s">
        <v>36</v>
      </c>
      <c r="C74" s="7" t="s">
        <v>188</v>
      </c>
      <c r="D74" s="91" t="s">
        <v>189</v>
      </c>
      <c r="E74" s="93" t="s">
        <v>194</v>
      </c>
      <c r="F74" s="27" t="s">
        <v>195</v>
      </c>
      <c r="G74" s="96">
        <v>2020680010063</v>
      </c>
      <c r="H74" s="8" t="s">
        <v>192</v>
      </c>
      <c r="I74" s="9" t="s">
        <v>224</v>
      </c>
      <c r="J74" s="6">
        <v>44562</v>
      </c>
      <c r="K74" s="6">
        <v>44926</v>
      </c>
      <c r="L74" s="123">
        <v>1</v>
      </c>
      <c r="M74" s="121">
        <v>1</v>
      </c>
      <c r="N74" s="117">
        <f t="shared" si="10"/>
        <v>1</v>
      </c>
      <c r="O74" s="29" t="s">
        <v>264</v>
      </c>
      <c r="P74" s="74">
        <f>278000000+12000000</f>
        <v>290000000</v>
      </c>
      <c r="Q74" s="25"/>
      <c r="R74" s="24"/>
      <c r="S74" s="24"/>
      <c r="T74" s="79"/>
      <c r="U74" s="109">
        <f>SUM(P74:T75)</f>
        <v>495000000</v>
      </c>
      <c r="V74" s="36">
        <f>198000000+12000000+1978428+538418+330368+292744+1648446+5000000+264660-900000+414712+964313+119350000+9000000+7150000+25656140</f>
        <v>381688229</v>
      </c>
      <c r="W74" s="25"/>
      <c r="X74" s="34"/>
      <c r="Y74" s="34"/>
      <c r="Z74" s="36"/>
      <c r="AA74" s="109">
        <f>SUM(V74:Z75)</f>
        <v>381688229</v>
      </c>
      <c r="AB74" s="111">
        <f t="shared" si="8"/>
        <v>0.77108733131313134</v>
      </c>
      <c r="AC74" s="113"/>
      <c r="AD74" s="115" t="s">
        <v>45</v>
      </c>
      <c r="AE74" s="105" t="s">
        <v>251</v>
      </c>
      <c r="AF74" s="86"/>
    </row>
    <row r="75" spans="1:32" ht="90" x14ac:dyDescent="0.2">
      <c r="A75" s="90">
        <v>285</v>
      </c>
      <c r="B75" s="7" t="s">
        <v>36</v>
      </c>
      <c r="C75" s="7" t="s">
        <v>188</v>
      </c>
      <c r="D75" s="91" t="s">
        <v>189</v>
      </c>
      <c r="E75" s="93" t="s">
        <v>194</v>
      </c>
      <c r="F75" s="27" t="s">
        <v>195</v>
      </c>
      <c r="G75" s="96">
        <v>2022680010029</v>
      </c>
      <c r="H75" s="8" t="s">
        <v>259</v>
      </c>
      <c r="I75" s="9"/>
      <c r="J75" s="6"/>
      <c r="K75" s="6"/>
      <c r="L75" s="124"/>
      <c r="M75" s="122"/>
      <c r="N75" s="118"/>
      <c r="O75" s="29" t="s">
        <v>265</v>
      </c>
      <c r="P75" s="74">
        <v>205000000</v>
      </c>
      <c r="Q75" s="25"/>
      <c r="R75" s="24"/>
      <c r="S75" s="24"/>
      <c r="T75" s="79"/>
      <c r="U75" s="110"/>
      <c r="V75" s="36"/>
      <c r="W75" s="25"/>
      <c r="X75" s="34"/>
      <c r="Y75" s="34"/>
      <c r="Z75" s="36"/>
      <c r="AA75" s="110"/>
      <c r="AB75" s="112"/>
      <c r="AC75" s="114"/>
      <c r="AD75" s="116"/>
      <c r="AE75" s="106"/>
      <c r="AF75" s="86"/>
    </row>
    <row r="76" spans="1:32" ht="90" x14ac:dyDescent="0.2">
      <c r="A76" s="21">
        <v>286</v>
      </c>
      <c r="B76" s="7" t="s">
        <v>36</v>
      </c>
      <c r="C76" s="7" t="s">
        <v>188</v>
      </c>
      <c r="D76" s="91" t="s">
        <v>189</v>
      </c>
      <c r="E76" s="31" t="s">
        <v>193</v>
      </c>
      <c r="F76" s="27" t="s">
        <v>222</v>
      </c>
      <c r="G76" s="96">
        <v>2020680010063</v>
      </c>
      <c r="H76" s="8" t="s">
        <v>192</v>
      </c>
      <c r="I76" s="9" t="s">
        <v>223</v>
      </c>
      <c r="J76" s="6">
        <v>44562</v>
      </c>
      <c r="K76" s="6">
        <v>44926</v>
      </c>
      <c r="L76" s="123">
        <v>1</v>
      </c>
      <c r="M76" s="121">
        <v>1</v>
      </c>
      <c r="N76" s="117">
        <f t="shared" ref="N76" si="11">IFERROR(IF(M76/L76&gt;100%,100%,M76/L76),"-")</f>
        <v>1</v>
      </c>
      <c r="O76" s="29" t="s">
        <v>266</v>
      </c>
      <c r="P76" s="74">
        <f>420000000</f>
        <v>420000000</v>
      </c>
      <c r="Q76" s="24"/>
      <c r="R76" s="24"/>
      <c r="S76" s="26"/>
      <c r="T76" s="79"/>
      <c r="U76" s="109">
        <f>SUM(P76:T77)</f>
        <v>950000000</v>
      </c>
      <c r="V76" s="22">
        <f>15505700+15505700+15505700+15505700+15505700+15245100+15245100+15245100+666929632</f>
        <v>790193432</v>
      </c>
      <c r="W76" s="34"/>
      <c r="X76" s="34"/>
      <c r="Y76" s="39"/>
      <c r="Z76" s="36"/>
      <c r="AA76" s="109">
        <f>SUM(V76:Z77)</f>
        <v>790193432</v>
      </c>
      <c r="AB76" s="111">
        <f t="shared" si="8"/>
        <v>0.83178255999999995</v>
      </c>
      <c r="AC76" s="113"/>
      <c r="AD76" s="115" t="s">
        <v>45</v>
      </c>
      <c r="AE76" s="105" t="s">
        <v>251</v>
      </c>
      <c r="AF76" s="86"/>
    </row>
    <row r="77" spans="1:32" ht="90" x14ac:dyDescent="0.2">
      <c r="A77" s="90">
        <v>286</v>
      </c>
      <c r="B77" s="7" t="s">
        <v>36</v>
      </c>
      <c r="C77" s="7" t="s">
        <v>188</v>
      </c>
      <c r="D77" s="91" t="s">
        <v>189</v>
      </c>
      <c r="E77" s="31" t="s">
        <v>193</v>
      </c>
      <c r="F77" s="27" t="s">
        <v>222</v>
      </c>
      <c r="G77" s="96">
        <v>2022680010029</v>
      </c>
      <c r="H77" s="8" t="s">
        <v>259</v>
      </c>
      <c r="I77" s="9"/>
      <c r="J77" s="6"/>
      <c r="K77" s="6"/>
      <c r="L77" s="124"/>
      <c r="M77" s="122"/>
      <c r="N77" s="118"/>
      <c r="O77" s="29" t="s">
        <v>267</v>
      </c>
      <c r="P77" s="74">
        <f>460000000+70000000</f>
        <v>530000000</v>
      </c>
      <c r="Q77" s="24"/>
      <c r="R77" s="24"/>
      <c r="S77" s="26"/>
      <c r="T77" s="79"/>
      <c r="U77" s="110"/>
      <c r="V77" s="22"/>
      <c r="W77" s="34"/>
      <c r="X77" s="34"/>
      <c r="Y77" s="39"/>
      <c r="Z77" s="36"/>
      <c r="AA77" s="110"/>
      <c r="AB77" s="112"/>
      <c r="AC77" s="114"/>
      <c r="AD77" s="116"/>
      <c r="AE77" s="106"/>
      <c r="AF77" s="86"/>
    </row>
    <row r="78" spans="1:32" ht="90" x14ac:dyDescent="0.2">
      <c r="A78" s="21">
        <v>300</v>
      </c>
      <c r="B78" s="7" t="s">
        <v>36</v>
      </c>
      <c r="C78" s="7" t="s">
        <v>37</v>
      </c>
      <c r="D78" s="94" t="s">
        <v>38</v>
      </c>
      <c r="E78" s="31" t="s">
        <v>198</v>
      </c>
      <c r="F78" s="27" t="s">
        <v>199</v>
      </c>
      <c r="G78" s="98">
        <v>2020680010025</v>
      </c>
      <c r="H78" s="8" t="s">
        <v>200</v>
      </c>
      <c r="I78" s="9" t="s">
        <v>201</v>
      </c>
      <c r="J78" s="6">
        <v>44562</v>
      </c>
      <c r="K78" s="6">
        <v>44926</v>
      </c>
      <c r="L78" s="42">
        <v>1</v>
      </c>
      <c r="M78" s="102">
        <v>1</v>
      </c>
      <c r="N78" s="41">
        <f t="shared" si="10"/>
        <v>1</v>
      </c>
      <c r="O78" s="29" t="s">
        <v>258</v>
      </c>
      <c r="P78" s="74">
        <f>160000000+1090951807+250000000</f>
        <v>1500951807</v>
      </c>
      <c r="Q78" s="24"/>
      <c r="R78" s="24"/>
      <c r="S78" s="26"/>
      <c r="T78" s="79"/>
      <c r="U78" s="72">
        <f t="shared" si="1"/>
        <v>1500951807</v>
      </c>
      <c r="V78" s="22">
        <f>114600000+679800000+286756667+355160000-15866666.92</f>
        <v>1420450000.0799999</v>
      </c>
      <c r="W78" s="34"/>
      <c r="X78" s="34"/>
      <c r="Y78" s="39"/>
      <c r="Z78" s="36"/>
      <c r="AA78" s="87">
        <f t="shared" si="2"/>
        <v>1420450000.0799999</v>
      </c>
      <c r="AB78" s="3">
        <f t="shared" si="8"/>
        <v>0.94636616142865937</v>
      </c>
      <c r="AC78" s="22"/>
      <c r="AD78" s="95" t="s">
        <v>45</v>
      </c>
      <c r="AE78" s="5" t="s">
        <v>251</v>
      </c>
      <c r="AF78" s="86"/>
    </row>
    <row r="79" spans="1:32" ht="15" x14ac:dyDescent="0.2">
      <c r="A79" s="12">
        <f>SUM(--(FREQUENCY(A9:A78,A9:A78)&gt;0))</f>
        <v>62</v>
      </c>
      <c r="B79" s="13"/>
      <c r="C79" s="14"/>
      <c r="D79" s="14"/>
      <c r="E79" s="14"/>
      <c r="F79" s="14"/>
      <c r="G79" s="14"/>
      <c r="H79" s="14"/>
      <c r="I79" s="14"/>
      <c r="J79" s="14"/>
      <c r="K79" s="15"/>
      <c r="L79" s="15"/>
      <c r="M79" s="16" t="s">
        <v>17</v>
      </c>
      <c r="N79" s="15">
        <f>IFERROR(AVERAGE(N9:N78),"-")</f>
        <v>0.8698521140754113</v>
      </c>
      <c r="O79" s="50"/>
      <c r="P79" s="18">
        <f t="shared" ref="P79:AA79" si="12">SUM(P9:P78)</f>
        <v>18708953842</v>
      </c>
      <c r="Q79" s="18">
        <f t="shared" si="12"/>
        <v>0</v>
      </c>
      <c r="R79" s="18">
        <f t="shared" si="12"/>
        <v>0</v>
      </c>
      <c r="S79" s="18">
        <f t="shared" si="12"/>
        <v>0</v>
      </c>
      <c r="T79" s="18">
        <f t="shared" si="12"/>
        <v>9016815042.8999996</v>
      </c>
      <c r="U79" s="54">
        <f t="shared" si="12"/>
        <v>27725768884.900002</v>
      </c>
      <c r="V79" s="18">
        <f t="shared" si="12"/>
        <v>11627770481.780001</v>
      </c>
      <c r="W79" s="18">
        <f t="shared" si="12"/>
        <v>0</v>
      </c>
      <c r="X79" s="18">
        <f t="shared" si="12"/>
        <v>0</v>
      </c>
      <c r="Y79" s="18">
        <f t="shared" si="12"/>
        <v>0</v>
      </c>
      <c r="Z79" s="18">
        <f t="shared" si="12"/>
        <v>7962922649</v>
      </c>
      <c r="AA79" s="20">
        <f t="shared" si="12"/>
        <v>19590693130.779999</v>
      </c>
      <c r="AB79" s="19">
        <f t="shared" si="8"/>
        <v>0.70658791148798317</v>
      </c>
      <c r="AC79" s="20">
        <f>SUM(AC9:AC78)</f>
        <v>34000000</v>
      </c>
      <c r="AD79" s="17"/>
      <c r="AE79" s="17"/>
    </row>
    <row r="80" spans="1:32" x14ac:dyDescent="0.2">
      <c r="P80" s="89"/>
      <c r="Q80" s="89"/>
      <c r="R80" s="89"/>
      <c r="S80" s="89"/>
    </row>
    <row r="81" spans="16:29" x14ac:dyDescent="0.2">
      <c r="P81" s="89"/>
      <c r="Q81" s="89"/>
      <c r="R81" s="89"/>
      <c r="S81" s="89"/>
      <c r="AB81" s="88"/>
      <c r="AC81" s="85"/>
    </row>
    <row r="88" spans="16:29" x14ac:dyDescent="0.2">
      <c r="U88" s="53"/>
      <c r="Z88" s="53"/>
    </row>
  </sheetData>
  <mergeCells count="81">
    <mergeCell ref="B7:F7"/>
    <mergeCell ref="G7:K7"/>
    <mergeCell ref="A1:A4"/>
    <mergeCell ref="A5:C5"/>
    <mergeCell ref="A6:C6"/>
    <mergeCell ref="B1:AB4"/>
    <mergeCell ref="D5:G5"/>
    <mergeCell ref="D6:G6"/>
    <mergeCell ref="M70:M72"/>
    <mergeCell ref="L70:L72"/>
    <mergeCell ref="U70:U72"/>
    <mergeCell ref="AA70:AA72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B7:AB8"/>
    <mergeCell ref="AB70:AB72"/>
    <mergeCell ref="AC70:AC72"/>
    <mergeCell ref="AD70:AD72"/>
    <mergeCell ref="AE70:AE72"/>
    <mergeCell ref="N74:N75"/>
    <mergeCell ref="AA74:AA75"/>
    <mergeCell ref="AD74:AD75"/>
    <mergeCell ref="AE74:AE75"/>
    <mergeCell ref="N70:N72"/>
    <mergeCell ref="AE76:AE77"/>
    <mergeCell ref="N14:N15"/>
    <mergeCell ref="M14:M15"/>
    <mergeCell ref="L14:L15"/>
    <mergeCell ref="U14:U15"/>
    <mergeCell ref="AA14:AA15"/>
    <mergeCell ref="AB14:AB15"/>
    <mergeCell ref="AC14:AC15"/>
    <mergeCell ref="AD14:AD15"/>
    <mergeCell ref="AE14:AE15"/>
    <mergeCell ref="M22:M23"/>
    <mergeCell ref="L22:L23"/>
    <mergeCell ref="U41:U42"/>
    <mergeCell ref="N41:N42"/>
    <mergeCell ref="M41:M42"/>
    <mergeCell ref="AA76:AA77"/>
    <mergeCell ref="M10:M11"/>
    <mergeCell ref="L10:L11"/>
    <mergeCell ref="U10:U11"/>
    <mergeCell ref="AA10:AA11"/>
    <mergeCell ref="AD76:AD77"/>
    <mergeCell ref="AB74:AB75"/>
    <mergeCell ref="AB76:AB77"/>
    <mergeCell ref="AC74:AC75"/>
    <mergeCell ref="AC76:AC77"/>
    <mergeCell ref="M74:M75"/>
    <mergeCell ref="L74:L75"/>
    <mergeCell ref="U74:U75"/>
    <mergeCell ref="L76:L77"/>
    <mergeCell ref="M76:M77"/>
    <mergeCell ref="N76:N77"/>
    <mergeCell ref="U76:U77"/>
    <mergeCell ref="AB10:AB11"/>
    <mergeCell ref="AC10:AC11"/>
    <mergeCell ref="AD10:AD11"/>
    <mergeCell ref="AE10:AE11"/>
    <mergeCell ref="N22:N23"/>
    <mergeCell ref="U22:U23"/>
    <mergeCell ref="AA22:AA23"/>
    <mergeCell ref="AB22:AB23"/>
    <mergeCell ref="AC22:AC23"/>
    <mergeCell ref="AD22:AD23"/>
    <mergeCell ref="AE22:AE23"/>
    <mergeCell ref="N10:N11"/>
    <mergeCell ref="AE41:AE42"/>
    <mergeCell ref="L41:L42"/>
    <mergeCell ref="AA41:AA42"/>
    <mergeCell ref="AB41:AB42"/>
    <mergeCell ref="AC41:AC42"/>
    <mergeCell ref="AD41:AD42"/>
  </mergeCells>
  <conditionalFormatting sqref="N9:N10 N73:N74 N78 N16:N22 N12:N14 N24:N41 N43:N70">
    <cfRule type="cellIs" dxfId="5" priority="16" operator="between">
      <formula>0.66</formula>
      <formula>1</formula>
    </cfRule>
    <cfRule type="cellIs" dxfId="4" priority="17" operator="between">
      <formula>0.33</formula>
      <formula>0.67</formula>
    </cfRule>
    <cfRule type="cellIs" dxfId="3" priority="18" operator="between">
      <formula>0</formula>
      <formula>0.33</formula>
    </cfRule>
  </conditionalFormatting>
  <conditionalFormatting sqref="N76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2023-01-16T16:38:12Z</dcterms:modified>
</cp:coreProperties>
</file>