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wnloads\Publicados Junio\Publicados\"/>
    </mc:Choice>
  </mc:AlternateContent>
  <xr:revisionPtr revIDLastSave="0" documentId="13_ncr:1_{01369083-E61C-4691-A171-56E2C74E3B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 " sheetId="16" r:id="rId1"/>
  </sheets>
  <definedNames>
    <definedName name="_xlnm._FilterDatabase" localSheetId="0" hidden="1">'PA 2022 '!$A$8:$AE$117</definedName>
  </definedNames>
  <calcPr calcId="181029"/>
</workbook>
</file>

<file path=xl/calcChain.xml><?xml version="1.0" encoding="utf-8"?>
<calcChain xmlns="http://schemas.openxmlformats.org/spreadsheetml/2006/main">
  <c r="Z72" i="16" l="1"/>
  <c r="U114" i="16"/>
  <c r="U112" i="16"/>
  <c r="U110" i="16"/>
  <c r="U109" i="16"/>
  <c r="U108" i="16"/>
  <c r="U106" i="16"/>
  <c r="U104" i="16"/>
  <c r="U103" i="16"/>
  <c r="U102" i="16"/>
  <c r="U100" i="16"/>
  <c r="U99" i="16"/>
  <c r="U98" i="16"/>
  <c r="U96" i="16"/>
  <c r="U93" i="16"/>
  <c r="U91" i="16"/>
  <c r="U89" i="16"/>
  <c r="U85" i="16"/>
  <c r="U83" i="16"/>
  <c r="U81" i="16"/>
  <c r="U79" i="16"/>
  <c r="U117" i="16" s="1"/>
  <c r="U77" i="16"/>
  <c r="U73" i="16"/>
  <c r="U71" i="16"/>
  <c r="U69" i="16"/>
  <c r="U67" i="16"/>
  <c r="U62" i="16"/>
  <c r="U39" i="16"/>
  <c r="U36" i="16"/>
  <c r="U34" i="16"/>
  <c r="U33" i="16"/>
  <c r="U29" i="16"/>
  <c r="U26" i="16"/>
  <c r="U24" i="16"/>
  <c r="U21" i="16"/>
  <c r="U18" i="16"/>
  <c r="U17" i="16"/>
  <c r="U16" i="16"/>
  <c r="U15" i="16"/>
  <c r="U14" i="16"/>
  <c r="U12" i="16"/>
  <c r="U11" i="16"/>
  <c r="U10" i="16"/>
  <c r="U9" i="16"/>
  <c r="AA106" i="16"/>
  <c r="P94" i="16"/>
  <c r="P90" i="16"/>
  <c r="P79" i="16"/>
  <c r="P76" i="16"/>
  <c r="T72" i="16"/>
  <c r="P65" i="16"/>
  <c r="P26" i="16"/>
  <c r="AA93" i="16"/>
  <c r="AA112" i="16"/>
  <c r="AA110" i="16"/>
  <c r="AA104" i="16"/>
  <c r="AA91" i="16"/>
  <c r="AA89" i="16"/>
  <c r="AA85" i="16"/>
  <c r="AA81" i="16"/>
  <c r="AA79" i="16"/>
  <c r="AA77" i="16"/>
  <c r="AA69" i="16"/>
  <c r="AA67" i="16"/>
  <c r="AA62" i="16"/>
  <c r="AA36" i="16"/>
  <c r="AA29" i="16"/>
  <c r="AA12" i="16"/>
  <c r="P57" i="16"/>
  <c r="P56" i="16"/>
  <c r="T43" i="16"/>
  <c r="AB106" i="16" l="1"/>
  <c r="AB81" i="16"/>
  <c r="AB69" i="16"/>
  <c r="AB104" i="16"/>
  <c r="AB79" i="16"/>
  <c r="AB112" i="16"/>
  <c r="AB91" i="16"/>
  <c r="AB77" i="16"/>
  <c r="AB89" i="16"/>
  <c r="AB110" i="16"/>
  <c r="A117" i="16" l="1"/>
  <c r="N62" i="16"/>
  <c r="P63" i="16"/>
  <c r="AA98" i="16" l="1"/>
  <c r="N112" i="16" l="1"/>
  <c r="V22" i="16" l="1"/>
  <c r="V83" i="16"/>
  <c r="V100" i="16"/>
  <c r="AA100" i="16" s="1"/>
  <c r="AA34" i="16"/>
  <c r="V56" i="16" l="1"/>
  <c r="AA39" i="16" s="1"/>
  <c r="V96" i="16"/>
  <c r="AA96" i="16" s="1"/>
  <c r="AB96" i="16" s="1"/>
  <c r="V18" i="16" l="1"/>
  <c r="AA18" i="16" s="1"/>
  <c r="AB18" i="16" s="1"/>
  <c r="V103" i="16"/>
  <c r="P24" i="16" l="1"/>
  <c r="Z73" i="16" l="1"/>
  <c r="AA73" i="16" s="1"/>
  <c r="V21" i="16"/>
  <c r="AA21" i="16" s="1"/>
  <c r="V33" i="16"/>
  <c r="P100" i="16"/>
  <c r="AB100" i="16" l="1"/>
  <c r="AA14" i="16"/>
  <c r="N18" i="16"/>
  <c r="V102" i="16" l="1"/>
  <c r="V24" i="16"/>
  <c r="AA24" i="16" s="1"/>
  <c r="AC117" i="16" l="1"/>
  <c r="Z117" i="16"/>
  <c r="Y117" i="16"/>
  <c r="X117" i="16"/>
  <c r="W117" i="16"/>
  <c r="V117" i="16"/>
  <c r="T117" i="16"/>
  <c r="S117" i="16"/>
  <c r="R117" i="16"/>
  <c r="Q117" i="16"/>
  <c r="AA114" i="16"/>
  <c r="N114" i="16"/>
  <c r="N110" i="16"/>
  <c r="AA109" i="16"/>
  <c r="N109" i="16"/>
  <c r="AA108" i="16"/>
  <c r="N108" i="16"/>
  <c r="N106" i="16"/>
  <c r="N104" i="16"/>
  <c r="AA103" i="16"/>
  <c r="N103" i="16"/>
  <c r="AA102" i="16"/>
  <c r="N102" i="16"/>
  <c r="N100" i="16"/>
  <c r="AA99" i="16"/>
  <c r="N99" i="16"/>
  <c r="N98" i="16"/>
  <c r="N96" i="16"/>
  <c r="N93" i="16"/>
  <c r="N91" i="16"/>
  <c r="N89" i="16"/>
  <c r="N85" i="16"/>
  <c r="AA71" i="16"/>
  <c r="N71" i="16"/>
  <c r="AA83" i="16"/>
  <c r="N83" i="16"/>
  <c r="N81" i="16"/>
  <c r="N79" i="16"/>
  <c r="N77" i="16"/>
  <c r="N73" i="16"/>
  <c r="N69" i="16"/>
  <c r="N67" i="16"/>
  <c r="N39" i="16"/>
  <c r="N36" i="16"/>
  <c r="N34" i="16"/>
  <c r="AA33" i="16"/>
  <c r="N33" i="16"/>
  <c r="N29" i="16"/>
  <c r="AA26" i="16"/>
  <c r="N26" i="16"/>
  <c r="N24" i="16"/>
  <c r="N21" i="16"/>
  <c r="AA17" i="16"/>
  <c r="N17" i="16"/>
  <c r="AA16" i="16"/>
  <c r="N16" i="16"/>
  <c r="AA15" i="16"/>
  <c r="N15" i="16"/>
  <c r="N14" i="16"/>
  <c r="N12" i="16"/>
  <c r="AA11" i="16"/>
  <c r="N11" i="16"/>
  <c r="AA10" i="16"/>
  <c r="N10" i="16"/>
  <c r="AA9" i="16"/>
  <c r="N9" i="16"/>
  <c r="AB83" i="16" l="1"/>
  <c r="AB85" i="16"/>
  <c r="AB71" i="16"/>
  <c r="AB102" i="16"/>
  <c r="AB108" i="16"/>
  <c r="AB114" i="16"/>
  <c r="AB73" i="16"/>
  <c r="AB26" i="16"/>
  <c r="AB36" i="16"/>
  <c r="AB16" i="16"/>
  <c r="AB11" i="16"/>
  <c r="AB21" i="16"/>
  <c r="AB10" i="16"/>
  <c r="AB15" i="16"/>
  <c r="AB34" i="16"/>
  <c r="AB67" i="16"/>
  <c r="AB93" i="16"/>
  <c r="AA117" i="16"/>
  <c r="AB14" i="16"/>
  <c r="AB33" i="16"/>
  <c r="AB62" i="16"/>
  <c r="AB99" i="16"/>
  <c r="AB12" i="16"/>
  <c r="AB17" i="16"/>
  <c r="AB29" i="16"/>
  <c r="AB39" i="16"/>
  <c r="AB98" i="16"/>
  <c r="AB103" i="16"/>
  <c r="AB109" i="16"/>
  <c r="AB9" i="16"/>
  <c r="N117" i="16"/>
  <c r="AB24" i="16"/>
  <c r="P117" i="16"/>
  <c r="AB117" i="16" l="1"/>
</calcChain>
</file>

<file path=xl/sharedStrings.xml><?xml version="1.0" encoding="utf-8"?>
<sst xmlns="http://schemas.openxmlformats.org/spreadsheetml/2006/main" count="956" uniqueCount="329">
  <si>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</si>
  <si>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</si>
  <si>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</si>
  <si>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</si>
  <si>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</si>
  <si>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</si>
  <si>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</si>
  <si>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</si>
  <si>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</si>
  <si>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</si>
  <si>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</si>
  <si>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</si>
  <si>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</si>
  <si>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</si>
  <si>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</si>
  <si>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</si>
  <si>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</si>
  <si>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</si>
  <si>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</si>
  <si>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</si>
  <si>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</si>
  <si>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</si>
  <si>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</si>
  <si>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</si>
  <si>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</si>
  <si>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</si>
  <si>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</si>
  <si>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</si>
  <si>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</si>
  <si>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</si>
  <si>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</si>
  <si>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</si>
  <si>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</si>
  <si>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</si>
  <si>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</si>
  <si>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</si>
  <si>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</si>
  <si>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</si>
  <si>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Administración Pública Moderna E Innovadora</t>
  </si>
  <si>
    <t>Gobierno Fortalecido Para Ser Y Hacer</t>
  </si>
  <si>
    <t>BUCARAMANGA EQUITATIVA E INCLUYENTE: UNA CIUDAD DE BIENESTAR</t>
  </si>
  <si>
    <t>Capacidades Y Oportunidades Para Superar Brechas Sociales</t>
  </si>
  <si>
    <t>BUCARAMANGA CIUDAD VITAL: LA VIDA ES SAGRADA</t>
  </si>
  <si>
    <t>Bucaramanga Segura</t>
  </si>
  <si>
    <t>Prevención Del Delito</t>
  </si>
  <si>
    <t>Aceleradores De Desarrollo Social</t>
  </si>
  <si>
    <t>Formular e implementar 1 estrategia para brindar asistencia social a la población afectada por las diferentes emergencias y particularmente COVID-19.</t>
  </si>
  <si>
    <t>Número de estrategias formuladas e implementadas para brindar asistencia social a la población afectada por las diferentes emergencias y particularmente COVID-19.</t>
  </si>
  <si>
    <t>Mantener el 100% de los programas que desarrolla la Administración Central.</t>
  </si>
  <si>
    <t>Porcentaje de programas que desarrolla la Administración Central mantenidos.</t>
  </si>
  <si>
    <t>Sec. Interior</t>
  </si>
  <si>
    <t>BUCARAMANGA SOSTENIBLE: UNA REGIÓN CON FUTURO</t>
  </si>
  <si>
    <t>Bucaramanga Gestiona El Riesgo De Desastre Y Se Adapta Al Proceso De Cambio Climático</t>
  </si>
  <si>
    <t>Conocimiento Del Riesgo Y Adaptación Al Cambio Climático</t>
  </si>
  <si>
    <t>Actualizar e implementar el Plan Municipal de Gestión de Riesgo y su Adaptación al Cambio Climático y la Política Pública de Gestión de Riesgo y Adaptación al Cambio Climático.</t>
  </si>
  <si>
    <t>Número de Planes Municipales de Gestión de Riesgo y su Adaptación al Cambio Político y Políticas Públicas de de Gestión de Riesgo y Adaptación al Cambio Climático actualizados e implementados.</t>
  </si>
  <si>
    <t>Mejorar la capacidad operativa de la Unidad Municipal de gestión del Riesgo y Desastre para la respuesta eficiente a los eventos de desastre natural y otros en el municipio de Bucaramanga.</t>
  </si>
  <si>
    <t>Realizar 9 estudios en áreas o zonas con situaciones de riesgo.</t>
  </si>
  <si>
    <t>Número de estudios en áreas o zonas con situaciones de riesgo realizados.</t>
  </si>
  <si>
    <t>Adquirir 5 Sistema de Alertas Tempranas e Innovación para la gestión del riesgo.</t>
  </si>
  <si>
    <t>Número de Sistemas de Alertas Tempranas e Innovación adquiridos para la gestión del riesgo.</t>
  </si>
  <si>
    <t>Reducción, Mitigación Del Riesgo Y Adaptación Al Cambio Climático</t>
  </si>
  <si>
    <t>Formular e implementar 1 estrategia de respuesta a emergencia - EMRE que contenga el protocolo de atención de emergencias por calidad del aire.</t>
  </si>
  <si>
    <t>Número de estrategias de respuesta a emergencia - EMRE que contenga el protocolo de atención de emergencias por calidad del aire formuladas e implementadas.</t>
  </si>
  <si>
    <t xml:space="preserve">Fortalecer 30 instancias sociales del Sistema Municipal de Gestión de Riesgo. </t>
  </si>
  <si>
    <t>Número instancias sociales fortalecidas del Sistema Municipal de Gestión de Riesgo.</t>
  </si>
  <si>
    <t>Intervenir estratégicamente 6 zonas de riesgo de desastre.</t>
  </si>
  <si>
    <t>Número de zonas de riesgo de desastre intervenidas estratégicamente.</t>
  </si>
  <si>
    <t>Realizar 1 inventario municipal de asentamientos humanos localizados en zonas de alto riesgo no mitigable.</t>
  </si>
  <si>
    <t>Número de inventarios municipales de asentamientos humanos localizados en zonas de alto riesgo no mitigable realizados.</t>
  </si>
  <si>
    <t>Mantener la atención al 100% de las familias en emergencias naturales y antrópicas.</t>
  </si>
  <si>
    <t>Porcentaje de familias atendidas en emergencias naturales y antrópicas.</t>
  </si>
  <si>
    <t>Manejo Del Riesgo Y Adaptación Al Cambio Climático</t>
  </si>
  <si>
    <t>Mantener la atención integral al 100% de las emergencias y desastres ocurridas en el municipio.</t>
  </si>
  <si>
    <t>Porcentaje de emergencias y desastres ocurridas en el municipio atendidas integralmente.</t>
  </si>
  <si>
    <t>SUBSIDIO Y ASIGNACIÓN DE RECURSOS COMPLEMENTARIOS PARA ATENDER EMERGENCIAS Y EVENTOS NATURALES EN EL MUNICIPIO DE BUCARAMANGA</t>
  </si>
  <si>
    <t>Espacio Público Vital</t>
  </si>
  <si>
    <t>Equipamiento Comunitario</t>
  </si>
  <si>
    <t>Mantener las 4 Plazas de Mercado administradas por el Municipio.</t>
  </si>
  <si>
    <t>Número de plazas de mercado administradas por el Municipio mantenidas.</t>
  </si>
  <si>
    <t>FORTALECIMIENTO A LA OPERATIVIDAD DE LOS CENTROS DE ACOPIO A CARGO DEL MUNICIPIO DE BUCARAMANGA</t>
  </si>
  <si>
    <t>Garantizar una eficaz gestión y funcionamiento de las plazas de mercado que se encuentran bajo la administración de la Alcaldía de Bucaramanga.</t>
  </si>
  <si>
    <t>Formular e implementar 1 programa de gestores de convivencia.</t>
  </si>
  <si>
    <t>Número de programas de gestores de convivencia formulados e implementados.</t>
  </si>
  <si>
    <t>Reducir la invasión y el uso inadecuado del espacio público en la ciudad de Bucaramanga.</t>
  </si>
  <si>
    <t xml:space="preserve">Promover la resolución pacífica de conflictos sociales  a través de acciones para la sana convivencia de las diferentes comunas y corregimientos de la ciudad de Bucaramanga. </t>
  </si>
  <si>
    <t>Disminuir la prevalencia de conflictos sociales derivados de la frágil convivencia ciudadana en el municipio de Bucaramanga.</t>
  </si>
  <si>
    <t>Intervenir 10 puntos críticos de criminalidad con acciones integrales.</t>
  </si>
  <si>
    <t>Número de puntos críticos de criminalidad intervenidos con acciones integrales.</t>
  </si>
  <si>
    <t>Promoción De La Seguridad Ciudadana, El Orden Público Y La Convivencia</t>
  </si>
  <si>
    <t>Desarrollar e implementar 1 protocolo para la coordinación de acciones de respeto y garantía a la protesta pacífica.</t>
  </si>
  <si>
    <t>Número de protocolos desarrollados e implementados para la coordinación de acciones de respeto y garantía a la protesta pacífica.</t>
  </si>
  <si>
    <t>Fortalecimiento Institucional A Los Organismos De Seguridad</t>
  </si>
  <si>
    <t>Formular e implementar el Plan Integral de Seguridad y Convivencia Ciudadana (PISCC) en conjunto con las entidades pertinentes.</t>
  </si>
  <si>
    <t>Número de Planes Integral de Seguridad y Convivencia Ciudadana (PISCC) formulados e implementados en conjunto con las entidades pertinentes.</t>
  </si>
  <si>
    <t xml:space="preserve">Mejorar la infraestructura física de algunas instalaciones donde opera y presta el servicio la Fiscalía General de la Nación en el municipio de Bucaramanga, buscando una eficiente prestación del servicio en el marco del orden público. </t>
  </si>
  <si>
    <t>Adquisición de vehículos para el transporte de tropa del batallón de servicios n° 5 “Mercedes Abrego” del municipio de Bucaramanga.</t>
  </si>
  <si>
    <t>Mejorar la prestación del servicio del usuario y ciudadano del CFSM de Bucaramanga, a través de la adecuación de las condiciones físicas del CFSM para la atención de trámites migratorios y retención temporal de ciudadanos extranjeros por parte de Migración Colombia en el Municipio de Bucaramanga.</t>
  </si>
  <si>
    <t xml:space="preserve">Aumentar el nivel de protección y seguridad de la integridad física de los miembros de la policía metropolitana de Bucaramanga </t>
  </si>
  <si>
    <t>FORTALECIMIENTO A LAS ESTRATEGIAS DE ORDEN PÚBLICO EN EL MARCO DEL PLAN INTEGRAL DE SEGURIDAD Y CONVIVENCIA CIUDADANA PISCC DEL MUNICIPIO DE BUCARAMANGA.</t>
  </si>
  <si>
    <t>Mejorar la operatividad de los sistemas de información para el desarrollo de las acciones encaminadas a la vigilancia, seguridad y convivencia ciudadana de los centros de información estratégica policial seccional CIEPS de la metropolitana de Bucaramanga.</t>
  </si>
  <si>
    <t>IMPLEMENTACIÓN DE ACCIONES PARA EL MEJORAMIENTO DE LA CONSOLIDACIÓN Y MANEJO DE DATOS DEL OBSERVATORIO DE LA INFORMACIÓN ASOCIADA A LA SEGURIDAD Y CONVIVENCIA CIUDADANA EN EL MUNICIPIO DE BUCARAMANGA</t>
  </si>
  <si>
    <t>Mejorar la capacidad operativa para la consolidación y reporte de los datos de criminalidad del observatorio de seguridad y convivencia ciudadana del municipio de Bucaramanga.</t>
  </si>
  <si>
    <t>Reducir los índices de inseguridad ciudadana e intolerancia social en el municipio de Bucaramanga.</t>
  </si>
  <si>
    <t>Mantener el Programa de Tolerancia en Movimiento con el objetivo de fortalecer la convivencia y seguridad ciudadana.</t>
  </si>
  <si>
    <t>Número de Programas de Tolerancia en Movimiento mantenidos con el objetivo de fortalecer la convivencia y seguridad ciudadana.</t>
  </si>
  <si>
    <t>Promoción De Los Métodos De Resolución De Conflictos, Acceso A La Justicia Y Aplicación De La Justicia Restaurativa</t>
  </si>
  <si>
    <t>Mantener la casa de justicia como espacio de atención y descongestión de los servicios de justicia garantizando la asesoría de las personas que solicitan el servicio.</t>
  </si>
  <si>
    <t>Número de casas de justicia mantenidas como espacio de atención y descongestión de los servicios de justicia garantizando la asesoría de las personas que solicitan el servicio.</t>
  </si>
  <si>
    <t xml:space="preserve">Formular e implementar 1 estrategia de promoción y efectividad del Código Nacional de Seguridad y Convivencia Ciudadana. </t>
  </si>
  <si>
    <t xml:space="preserve">Número de estrategias formuladas e implementadas de promoción y efectividad del Código Nacional de Seguridad y Convivencia Ciudadana. </t>
  </si>
  <si>
    <t>Formular e implementar 1 estrategia orientada a erradicar la violencia y fortalecer la protección en niños, niñas y adolescentes, mujeres, líderes sociales y personas mayores en entornos de violencia.</t>
  </si>
  <si>
    <t>Número de estrategias formuladas e implementadas orientadas a erradicar la violencia y fortalecer la protección en niños, niñas y adolescentes, mujeres, líderes sociales y personas mayores en entornos de violencia.</t>
  </si>
  <si>
    <t>Mantener 1 hogar de paso para la protección de niños y niñas en riesgo y/o vulnerabilidad.</t>
  </si>
  <si>
    <t>Número de hogares de paso para las niñas y niños en riesgo y/o vulnerabilidad mantenidos.</t>
  </si>
  <si>
    <t>FORTALECIMIENTO DEL HOGAR DE PASO PARA PROTECCIÓN DE NIÑOS, NIÑAS Y ADOLESCENTES DEL MUNICIPIO DE BUCARAMANGA</t>
  </si>
  <si>
    <t>Garantizar la prestación del servicio mediante la modalidad de hogar de paso como medida de protección provisional de niñas, niños y adolescente con derechos amenazados y/o vulnerados y en estado de inobservancia del municipio de Bucaramanga.</t>
  </si>
  <si>
    <t>Mantener la adquisición del 100% las herramientas de innovación, ciencia y tecnología aprobadas a los organismos de orden público en marco de una ciudad inteligente.</t>
  </si>
  <si>
    <t>Porcentaje de herramientas de innovación, ciencia y tecnología adquiridas aprobadas a los organismos de orden público en marco de una ciudad inteligente.</t>
  </si>
  <si>
    <t>Mantener en funcionamiento el Circuito Cerrado de Televisión.</t>
  </si>
  <si>
    <t>Número de Circuitos Cerrados de Televisión en funcionamiento.</t>
  </si>
  <si>
    <t>MANTENIMIENTO AL CIRCUITO CERRADO DE TELEVISIÓN CCTV PARA LAS ACCIONES DE VIGILANCIA EN EL MUNICIPIO DE BUCARAMANGA</t>
  </si>
  <si>
    <t>Mantener en óptimas condiciones el CCTV para la vigilancia, control y seguimiento de la inseguridad en el municipio de Bucaramanga.</t>
  </si>
  <si>
    <t>Formular e implementar 1 estrategia para mejorar la prestación del servicio de las inspecciones de policía y el seguimiento a los procesos policivos.</t>
  </si>
  <si>
    <t>Número de estrategias formuladas e implementadas para mejorar la prestación del servicio de las inspecciones de policía y el seguimiento a los procesos policivos.</t>
  </si>
  <si>
    <t>FORTALECIMIENTO DE LA CAPACIDAD INSTITUCIONAL A INSPECCIONES Y COMISARIAS DEL MUNICIPIO DE BUCARAMANGA</t>
  </si>
  <si>
    <t>Mejorar la capacidad operativa para la descongestión y atención de los procesos policivo de las Inspecciones y Comisarías del municipio de Bucaramanga.</t>
  </si>
  <si>
    <t>Mantener y fortalecer la prestación integral del servicio en las 3 comisarías de familia para prevenir la violencia intrafamiliar.</t>
  </si>
  <si>
    <t>Número de comisarías de familia mantenidas con la prestación integral del servicio para prevenir la violencia intrafamiliar.</t>
  </si>
  <si>
    <t>Crear y mantener 1 observatorio de convivencia y seguridad ciudadana.</t>
  </si>
  <si>
    <t>Número de observatorios de convivencia y seguridad ciudadana creados y mantenidos.</t>
  </si>
  <si>
    <t>Formular 1 estrategia de diagnóstico y abordaje de las conflictividades sociales.</t>
  </si>
  <si>
    <t>Número de estrategias de diagnóstico y abordaje de las conflictividades sociales formuladas e implementadas.</t>
  </si>
  <si>
    <t>En Bucaramanga Construimos Un Territorio De Paz</t>
  </si>
  <si>
    <t>Transformando Vidas</t>
  </si>
  <si>
    <t>Formular e implementar 1 plan de acción con la Agencia para la Reincorporación y la Normalización - ARN.</t>
  </si>
  <si>
    <t xml:space="preserve">Número de planes de acción formulados e implementados concon la Agencia para la Reincorporación y la Normalización - ARN. </t>
  </si>
  <si>
    <t xml:space="preserve">Mantener la atención integral al 100% de la población adolescente en conflicto con la ley penal. </t>
  </si>
  <si>
    <t>Porcentaje de población adolescente en conflicto con la ley penal mantenidos con atención integal.</t>
  </si>
  <si>
    <t>Desarrollar 4 iniciativas para la prevención de la trata de personas y explotación sexual comercial de niñas, niños y adolescentes.</t>
  </si>
  <si>
    <t>Número de iniciativas desarrolladas para la prevención de la trata de personas y explotación sexual comercial en niñas, niños y adolescentes.</t>
  </si>
  <si>
    <t>Atención A Víctimas Del Conflicto Armado</t>
  </si>
  <si>
    <t>Formular e implementar el Plan de Acción Territorial.</t>
  </si>
  <si>
    <t>Número de Planes de Acción Territorial formulados e implementados.</t>
  </si>
  <si>
    <t>FORTALECIMIENTO A LA ATENCIÓN INTEGRAL DE LA POBLACIÓN VICTIMA DEL CONFLICTO ARMADO EN EL MUNICIPIO DE BUCARAMANGA</t>
  </si>
  <si>
    <t xml:space="preserve">Alcanzar en el CAIV altos niveles de atención, asistencia y reparación integral  a la población víctima del conflicto armado reubicadas en el municipio de Bucaramanga. </t>
  </si>
  <si>
    <t>Formular e implementar el Plan Integral de prevención de violaciones a derechos humanos e infracciones al derecho internacional humanitario.</t>
  </si>
  <si>
    <t>Número de Planes Integrales de prevención de violaciones a derechos humanos e infracciones al derecho internacional humanitario formulados e implementados.</t>
  </si>
  <si>
    <t>Mantener la ayuda y atención humanitaria de emergencia y en transición al 100% de la población víctima del conflicto interno armado que cumpla con los requisitos de ley.</t>
  </si>
  <si>
    <t>Porcentaje de población víctima del conflicto interno armado que cumpla con los requisitos de ley con ayuda humanitaria de emergencia y en transición .</t>
  </si>
  <si>
    <t>Mantener la asistencia funeraria al 100% de la población víctima del conflicto que cumpla con los requisitos de ley.</t>
  </si>
  <si>
    <t>Porcentaje de población víctima del conflicto que cumpla con los requisitos de ley con asistencia funeraria.</t>
  </si>
  <si>
    <t>Mantener las medidas de protección para prevenir riesgos y proteger a víctimas del conflicto interno armado al 100% de las solicitudes que cumplan con los requisitos de ley.</t>
  </si>
  <si>
    <t>Porcentaje de solicitudes que cumplan con los requisitos de ley con medidas de protección mantenidas para prevenir riesgos y proteger a víctimas del conflicto interno armado.</t>
  </si>
  <si>
    <t>Mantener el Centro de Atención Integral a Víctimas del conflicto interno - CAIV.</t>
  </si>
  <si>
    <t>Número de Centros de Atención Integral para las Víctimas del conflicto interno mantenidos.</t>
  </si>
  <si>
    <t>Realizar 4 iniciativas encaminadas a generar garantías de no repetición, memoria histórica y medidas de satisfacción a víctimas del conflicto interno armado.</t>
  </si>
  <si>
    <t>Número de iniciativas realizadas encaminadas a generar garantías de no repetición, memoria histórica y medidas de satisfacción a víctimas del conflicto interno armado.</t>
  </si>
  <si>
    <t>Mantener el 100% de los espacios de participación de las víctimas del conflicto establecidos por la ley en la implementación de la política pública de víctimas.</t>
  </si>
  <si>
    <t>Porcentaje de espacios de participación de las víctimas del conflicto establecidos por la ley en la implementación de la política pública de víctimas mantenidos.</t>
  </si>
  <si>
    <t>Sistema Penitenciario Carcelario En El Marco De Los Derechos Humanos</t>
  </si>
  <si>
    <t>Formular e implementar 1 plan de acción con el Instituto Nacional Penitenciario y Carcelario - INPEC para construir la red de apoyo intersectorial de la casa de libertad.</t>
  </si>
  <si>
    <t>Número de planes de acción formulados e implementados con el Instituto Nacional Penitenciario y Carcelario - INPEC para construir la red de apoyo intersectorial de la casa de libertad.</t>
  </si>
  <si>
    <t>Desarrollar 4 jornadas tendientes a garantizar los derechos humanos para la población carcelaria.</t>
  </si>
  <si>
    <t>Número de jornadas desarrolladas tendientes a garantizar los derechos humanos para la población carcelaria.</t>
  </si>
  <si>
    <t>APOYO A LA POBLACIÓN CARCELARIA DEL MUNICIPIO DE BUCARAMANGA</t>
  </si>
  <si>
    <t>Fortalecer los servicios de apoyo psicosocial, jurídico y educativo de la población privada de la libertad en el municipio de Bucaramanga.</t>
  </si>
  <si>
    <t>Asuntos Religiosos</t>
  </si>
  <si>
    <t>Diseñar e implementar 1 programa que promuevan las acciones para el reconocimiento y participación de las formas asociativas de la sociedad civil basadas en los principios de libertad religiosa de cultos y conciencia.</t>
  </si>
  <si>
    <t>Número de programas diseñados e implementados que promuevan las acciones para el reconocimiento y participación de las formas asociativas de la sociedad civil basadas en los principios de libertad religiosa de cultos y conciencia.</t>
  </si>
  <si>
    <t>FORTALECIMIENTO A LA GESTIÓN OPERATIVA PARA LA EFICIENCIA DE LA PRESTACIÓN DE SERVICIOS DE LA SECRETARÍA DEL INTERIOR DIRIGIDOS A LA CIUDADANÍA DEL MUNICIPIO DE BUCARAMANGA</t>
  </si>
  <si>
    <t>Mejorar la capacidad y eficiencia en la prestación de los servicios ofertados por la Secretaría del Interior para la ciudadanía del municipio de Bucaramanga.</t>
  </si>
  <si>
    <t xml:space="preserve"> PLAN DE ACCIÓN - PLAN DE DESARROLLO MUNICIPAL
SECRETARÍA DEL INTERIOR</t>
  </si>
  <si>
    <t>Jenny Melissa Franco</t>
  </si>
  <si>
    <t>2.3.2.02.02.008.4503019.83143.201 - $ 874.739.959</t>
  </si>
  <si>
    <t>2.3.2.02.02.006.4102037.63290.201 - $ 460.000.000</t>
  </si>
  <si>
    <t>APOYO AL SISTEMA DE RESPONSABILIDAD PENAL ADOLESCENTE EN EL MUNICIPIO DE BUCARAMANGA</t>
  </si>
  <si>
    <t>2.3.2.02.02.006.4102046.63290.201 - $ 1.129.266.166</t>
  </si>
  <si>
    <t>2.3.2.02.02.008.1206007.82199.201 - $ 54.000.000
2.3.2.02.02.008.1206007.83990.201 - $ 110.000.000
2.3.2.02.02.008.1206007.88215.201 - $ 20.000.000
2.3.2.02.02.008.1206007.64119.201 - $ 10.000.000
2.3.2.02.01.003.1206007.3899711.201 - $ 5.000.000
2.3.2.02.01.003.1206007.3899998.201 - $ 1.000.000</t>
  </si>
  <si>
    <t>SUBSIDIO PARA LA ATENCION DE DAMNIFICADOS DE EMERGENCIAS Y EVENTOS NATURALES EN EL MUNICIPIO DE BUCARMANGA</t>
  </si>
  <si>
    <t>2.3.2.02.02.009.4503028.97990.201 - $ 115.500.000</t>
  </si>
  <si>
    <t xml:space="preserve">FORTALECIMIENTO PROGRAMA CASA DE JUSTICIA EN EL MUNICIPIO DE BUCARAMANGA </t>
  </si>
  <si>
    <t>IMPLEMENTACION DE ACCIONES DE ASISTENCIA, PROTECCION Y PREVENCION A VICTIMAS DEL DELITO DE TRATA DE PERSONAS DEL MUNICIPIO DE BUCARAMANGA</t>
  </si>
  <si>
    <t>2.3.2.02.02.008.4501029.83619.201 - $ 4.000.000
2.3.2.02.02.006.4501029.64220.201 - $ 16.000.000</t>
  </si>
  <si>
    <t xml:space="preserve">APOYO INSTITUCIONAL PARA LA REINCORPORACIÓN Y REINTEGRACIÓN DE DESMOVILIZADOS Y PERSONAS EN DEJACIÓN DE ARMAS EN LA CIUDAD DE BUCARAMANGA. </t>
  </si>
  <si>
    <t>2.3.2.02.02.008.4501029.83990.201 - $ 10.000.000</t>
  </si>
  <si>
    <t>APOYO A LA OPERATIVIDAD Y CAPACIDAD DE RESPUESTA DE LAS INSPECCIONES Y COMISARIAS PERTENECIENTES A LA SECRETARÍA DE INTERIOR DEL MUNICIPIO DE BUCARAMANGA</t>
  </si>
  <si>
    <t>2.3.2.02.02.008.4503003.83990.201 - $ 21.000.000</t>
  </si>
  <si>
    <t>2.3.2.02.02.009.4101031.97321.201 - $ 80.000.000</t>
  </si>
  <si>
    <t>2.3.2.02.02.009.4101031.97990.201 - $ 20.000.000</t>
  </si>
  <si>
    <t>2.3.2.02.02.009.4101031.97990.201 - $ 80.000.000
2.3.2.02.02.008.4101031.83990.201 - $ 30.000.000</t>
  </si>
  <si>
    <t>DOTACIÓN DE VEHICULO DE CARGA PARA REALIZAR INTERVENCIONES DEL ESPACIO PUBLICO EN LA CIUDAD DE BUCARAMANGA.</t>
  </si>
  <si>
    <t>MEJORAMIENTO A LAS ACCIONES REALIZADAS POR EL COMITÉ DE DISCAPACIDAD, COMITÉ DE BIENESTAR ANIMAL Y CONSEJO DE PAZ DEL MUNICIPIO DE BUCARAMANGA</t>
  </si>
  <si>
    <t xml:space="preserve">DESARROLLO DE ACCIONES PARA LA IDENTIFICACIÓN Y PREVENCIÓN DE CASOS DE NIÑOS, NIÑAS Y ADOLESCENTES VINCULADOS A DELITOS Y CONTRAVENCIONES  DENTRO Y FUERA DE LAS INSTITUCIONES EDUCATIVAS DEL MUNICIPIO DE BUCARAMANGA </t>
  </si>
  <si>
    <t xml:space="preserve">DESARROLLO DE ESTRATEGIAS PARA LA PREVENCION DE DELITOS EN NIÑOS, NIÑAS, ADOLESCENTES Y JOVENES EN LA CIUDAD DE BUCAMANGA </t>
  </si>
  <si>
    <t>APOYO FINANCIERO PARA LA ENTREGA DE RECOMPENSAS A INFORMANTES DE LA POLICÍA METROPOLITANA DE BUCARAMANGA.</t>
  </si>
  <si>
    <t>APOYO FINANCIERO PARA GASTOS DE BIENESTAR DE LA POLICIA METROPOLITANA DE BUCARAMANGA</t>
  </si>
  <si>
    <t xml:space="preserve">FORTALECIMIENTO DE LOS ORGANISMOS DE SEGURIDAD CON LOS ELEMENTOS NECESARIOS PARA LA REALIZACION DE LAS FUNCIONES EN EL MUNICIPIO DE BUCARAMANGA  </t>
  </si>
  <si>
    <t>DESARROLLO DEL PROGRAMA CASA LIBERTAD EN LA CIUDAD DE BUCARAMANGA</t>
  </si>
  <si>
    <t>FORTALECIMIENTO INSTITUCIONAL DEL EJERCITO NACIONAL EN LA CIUDAD DE BUCARAMANGA</t>
  </si>
  <si>
    <t>CONSOLIDACIÓN DE LA RUTA DE ATENCIÓN DE PREVENCIÓN Y PROTECCION DE LIDERES SOCIALES EN LA CIUDAD DE BUCARAMANGA.</t>
  </si>
  <si>
    <t>2.3.2.02.02.008.4501029.83990.201 - $ 20.000.000</t>
  </si>
  <si>
    <t>MEJORAMIENTO DE LOS SISTEMAS DE SEGURIDAD DE LA CIUDAD DE BUCARAMANGA</t>
  </si>
  <si>
    <t>Formular e implementar el plan de acción para la habilitación  del Centro de Traslado por Protección - CTP en cumplimiento por el Código Nacional de Seguridad y Convicencia Ciudadana.</t>
  </si>
  <si>
    <t>Número de planes de acción formulados e implementados para la habilitación  del Centro de Traslado por Protección - CTP en cumplimiento por el Código Nacional de Seguridad y Convicencia Ciudadana.</t>
  </si>
  <si>
    <t>Formular e implementar 1 estrategia de promoción comunitaria de los mecanismos alternativos de solución de conflictos y  aplicación de la justicia restaurativa.</t>
  </si>
  <si>
    <t>Número de estrategias de  promoción comunitaria de los mecanismos alternativos de solución de conflictos y de aplicación de la justicia restaurativa formuladas e implementadas.</t>
  </si>
  <si>
    <t>Implementación y puesta en marcha del sistema de alertas tempranas para la prevención y atencion  de los eventos naturales asociados a la gestión del riesgo y desastre en el municipio de Bucaramanga  Bucaramanga</t>
  </si>
  <si>
    <t>IMPLEMENTACIÓN Y PUESTA EN MARCHA DEL SISTEMA DE ALERTAS TEMPRANAS PARA LA PREVENCIÓN Y ATENCION  DE LOS EVENTOS NATURALES ASOCIADOS A LA GESTIÓN DEL RIESGO Y DESASTRE EN EL MUNICIPIO DE BUCARAMANGA  BUCARAMANGA</t>
  </si>
  <si>
    <t>MEJORAMIENTO A LA ATENCIÓN Y PRESTACIÓN DEL SERVICIO A LA POBLACIÓN VÍCTIMA.</t>
  </si>
  <si>
    <r>
      <t xml:space="preserve">Código:  </t>
    </r>
    <r>
      <rPr>
        <sz val="11"/>
        <rFont val="Arial"/>
        <family val="2"/>
      </rPr>
      <t>F-DPM-1210-238,37-030</t>
    </r>
  </si>
  <si>
    <t>APOYO A LAS ACCIONES OPERATIVAS E INCREMENTO AL PIE DE FUERZA DE LA POLICÍA METROPOLITANA DE BUCARAMANGA</t>
  </si>
  <si>
    <t>IMPLEMENTACIÓN DE ACCIONES E INICIATIVAS SOCIALES PARA LA CONSERVACIÓN DE LA SANA CONVIVENCIA, GESTIÓN DE CONFLICTOS COMUNITARIOS Y USO ADECUADO DEL ESPACIO PÚBLICO EN EL MUNICIPIO DE BUCARAMANGA</t>
  </si>
  <si>
    <t>MEJORAMIENTO DE LAS ESTRATEGIAS ORIENTADAS A LA PROTECCIÓN, PREVENCIÓN Y MITIGACIÓN DE LA VIOLENCIA INTRAFAMILIAR Y DE GÉNERO PARA POBLACIÓN VULNERABLE EN EL MUNICIPIO DE BUCARAMANGA</t>
  </si>
  <si>
    <t>CONSOLIDACIÓN DE LA ESTRATEGIA DENOMINADA "AGUANTE LA BARRA: BARRISMO TOLERANTE, APORTAR, CONVIVIR Y ALENTAR"</t>
  </si>
  <si>
    <t>IMPLEMENTACIÓN DE ACCIONES PARA EL CONOCIMIENTO E IDENTIFICACIÓN DEL RIESGO A TRAVÉS DE LA UNIDAD MUNICIPAL DE GESTIÓN DEL RIESGO DEL MUNICIPIO DE BUCARAMANGA</t>
  </si>
  <si>
    <t>MEJORAMIENTO EN LA PRESTACIÓN DEL SERVICIO PARA LA ATENCIÓN AL CIUDADANO EN LAS COMISARÍAS E INSPECCIONES DEL MUNICIPIO DE BUCARAMANGA</t>
  </si>
  <si>
    <t>IMPLEMENTACIÓN DE ACCIONES DE FORTALECIMIENTO A LA GESTIÓN DEL RIESGO DE DESASTRES EN EL MUNICIPIO DE BUCARAMANGA</t>
  </si>
  <si>
    <t>Código BPIN</t>
  </si>
  <si>
    <t>2.3.2.02.02.008.4502017.82199.201 - $ 364.200.000 - CPS
2.3.2.02.02.008.4502022.83990.201 - $ 256.200.000 - CPS</t>
  </si>
  <si>
    <t>2.3.2.01.01.004.01.01.04.4501004.4911402.201 - $ 184.000.000</t>
  </si>
  <si>
    <t>2.3.2.02.02.008.4501004.83990.204 - $ 274.741.412</t>
  </si>
  <si>
    <t>2.3.2.02.02.008.4501004.83990.204 - $ 150.000.000</t>
  </si>
  <si>
    <t>2.3.2.02.02.008.4501004.83990.204 - $ 400.000.000</t>
  </si>
  <si>
    <t>2.3.2.02.02.008.4501004.83990.204 - $ 187.000.000</t>
  </si>
  <si>
    <t>2.3.2.02.02.008.4501004.83990.204 - $ 252.000.000</t>
  </si>
  <si>
    <t>2.3.2.02.02.008.4501004.83990.204 - $ 15.000.000</t>
  </si>
  <si>
    <t>2.3.2.02.02.008.4503003.83990.201 - $ 24.000.000</t>
  </si>
  <si>
    <t>2.3.2.02.02.008.4503003.83990.201 - $ 45.000.000</t>
  </si>
  <si>
    <t>2.3.2.02.02.008.4501004.83990.204 - $ 267.119.538</t>
  </si>
  <si>
    <t>2.3.2.02.02.008.4501004.83990.204 - $ 267.119.537</t>
  </si>
  <si>
    <t>2.3.2.02.01.003.4503028.3815099.201 - $ 394.935.041
2.3.2.02.01.003.4503004.3899997.201 - $ 250.000.000
2.3.2.02.01.003.4503004.3899997.201 - $ 150.000.000</t>
  </si>
  <si>
    <r>
      <rPr>
        <sz val="11"/>
        <color theme="1"/>
        <rFont val="Arial"/>
        <family val="2"/>
      </rPr>
      <t>2.3.2.02.02.006.4101031.63391.201 - $ 40.000.000
2.3.2.02.02.008.4101031.83990.201 - $ 50.000.000</t>
    </r>
  </si>
  <si>
    <t>2.3.2.02.02.008.4503003.83990.201 - $ 75.000.000
2.3.2.01.01.004.01.01.04.4503032.45269.201 - $ 120.000.000</t>
  </si>
  <si>
    <t>2.3.2.01.01.004.01.01.04.4503003.4299911.201 - $ 363.825.000
2.3.2.02.02.008.4503003.83990.201 - $ 21.000.000</t>
  </si>
  <si>
    <t>2.3.2.01.01.004.01.01.04.4501004.45150.204 - $ 44.950.840
2.3.2.01.01.004.01.01.04.4501004.45250.204 - $ 5.753.215
2.3.2.01.01.004.01.01.04.4501004.3899998.204 - $ 8.033.629
2.3.2.02.02.008.4501004.83990.204 - $ 550.589.041</t>
  </si>
  <si>
    <t>2.3.2.02.02.008.4501004.83990.204 - $ 33.000.000</t>
  </si>
  <si>
    <t>2.3.2.02.02.008.4501004.83990.201 - $ 107.400.000
2.3.2.02.02.008.4501004.82199.201 - $ 21.000.000</t>
  </si>
  <si>
    <t>2.3.2.02.02.008.4501004.82199.201 - $ 21.000.000</t>
  </si>
  <si>
    <t>2.3.2.02.02.008.4501004.83990.201 - $ 54.000.000</t>
  </si>
  <si>
    <t>2.3.2.02.02.008.1202034.82199.201 - $ 60.000.000</t>
  </si>
  <si>
    <t>2.3.2.02.02.008.4501004.83990.201 - $ 99.000.000</t>
  </si>
  <si>
    <t>CONSTRUCCIÓN DE OBRAS DE MITIGACIÓN Y RECUPERACIÓN VIAL DE LOS SECTORES AFECTADOS EN EL MARCO DE LA DECLARATORIA DE CALAMIDAD PUBLICA EN EL MUNICIPIO DE BUCARAMANGA, SANTANDER</t>
  </si>
  <si>
    <t>2.3.2.02.01.003.4002031.3529901.201 - $ 2.000.000
2.3.2.02.01.003.4002031.3649098.201 - $ 70.000.000
2.3.2.02.02.008.4002017.83990.201 - $ 124.200.000
2.3.2.02.02.008.4002017.82199.201 - $ 21.000.000
2.3.2.02.02.008.4002031.85330.201 - $ 400.000.000 
2.3.2.02.02.008.4002031.8715999.201 - $ 10.000.000
2.3.2.02.02.008.4002031.85250.201 - $ 364.746.543</t>
  </si>
  <si>
    <t>2.3.2.02.02.008.3205018.83990.201 - $ 6.567.148.637</t>
  </si>
  <si>
    <t>2.3.2.02.01.003.4501029.3824004.201 - $ 11.259.724
2.3.2.02.02.008.4501029.83990.201 - $ 7.013.803
2.3.2.02.02.008.4501029.83990.261 - $ 7.986.197</t>
  </si>
  <si>
    <t>2.3.2.02.02.008.4501056.8715999.204 - $ 400.000.000</t>
  </si>
  <si>
    <t>2.3.2.02.02.008.4599016.83990.204 - $ 196.811.537,16</t>
  </si>
  <si>
    <t>2.3.2.02.02.008.4599016.83990.204 - $ 163.509.429</t>
  </si>
  <si>
    <t>2.3.2.02.02.008.4502021.83990.204 - $ 116.750.898,20</t>
  </si>
  <si>
    <t>2.3.2.02.02.008.4501004.83990.201 - $ 1.282.200.000
2.3.2.02.02.008.4501004.82199.201 - $ 45.000.000
2.3.2.02.01.003.4002017.3899997.201 - $ 50.000.000</t>
  </si>
  <si>
    <t>2.3.2.02.01.003.4501004.3899997.201 - $ 16.200.000</t>
  </si>
  <si>
    <t xml:space="preserve">MEJORAMIENTO Y OBRAS COMPLEMENTARIAS A LAS INSTALACIONES DE LA SEDE FUERTE NORTE PERTENECIENTE AL DISTRITO DE LA POLICIA METROPOLITANA DEL MUNICIPIO DE BUCARAMANGA </t>
  </si>
  <si>
    <t xml:space="preserve">MANTENIMIENTO Y MEJORAMIENTO DE LA INFRAESTRUCTURA EXISTENTE DE LA COMISARIA DE LA FAMILIA LA JOYA EN EL MUNICIPIO DE BUCARAMANGA </t>
  </si>
  <si>
    <t xml:space="preserve">MEJORAMIENTO Y OBRAS COMPLEMENTARIAS PARA ALOJAMIENTO DEL BATALLON DE INGENIEROS NO. 5 CORONEL FRANCISCO JOSÉ DE CALDAS DEL MUNICIPIO DE BUCARAMANGA </t>
  </si>
  <si>
    <t>FORTALECIMIENTO A LA OPERATIVIDAD DE LAS ACCIONES Y ESTRATEGIAS DE SEGURIDAD Y CONVIVENCIA CIUDADANA EJERCIDAS POR LA POLICIA METROPOLITANA DE BUCARAMANGA</t>
  </si>
  <si>
    <t>2.3.2.02.02.009.4101031.97990.201 - $ 270.000.000
2.3.2.02.02.009.4101031.97990.201 - $ 284.206.076</t>
  </si>
  <si>
    <t>2.3.2.02.02.008.4502001.83990.201 - $ 10.000.000</t>
  </si>
  <si>
    <t>2.3.2.02.02.008.4502001.83990.201 - $ 25.000.000</t>
  </si>
  <si>
    <t>2.3.2.02.02.008.4502038.83990.201 - $ 93.500.000
2.3.2.01.01.003.03.01.4502038.3814091.201 - $ 11.250.000
2.3.2.01.01.004.01.01.02.4502038.3812299.201 - $ 31.077.435
2.3.2.01.01.004.01.01.04.4502038.45250.201 - $ 14.172.565</t>
  </si>
  <si>
    <t>CONSTRUCCIÓN DE OBRAS DE MITIGACION Y ESTABILIZACION EN EL BARRIO GAITAN, ESCARPA NORTE, SECCIONES 1-2-3 DEL MUNICIPIO DE BUCARAMANGA, DEPARTAMENTO DE SANTANDER</t>
  </si>
  <si>
    <t>2.3.2.02.02.008.4501004.8715999.204 - $ 54.519.766,64
2.3.2.02.02.008.4501004.83990.204 - $ 195.480.233.36
2.3.2.02.02.008.4501004.83990.204 - $ 510.559.360
2.3.2.02.02.008.4501004.83990.204 - $ 4.709.483</t>
  </si>
  <si>
    <t>2.3.2.02.02.005.3205018.53290.200 - $ 14.553.552.351</t>
  </si>
  <si>
    <t>ADECUACIÓN DE LAS SALAS DE PASO, ATENCIÓN AL USUARIO Y UNIDAD DE REACCIÓN INMEDIATA DE LA SEDE PRINCIPAL DE LA FISCALÍA GENERAL DE LA NACIÓN EN BUCARAMANGA</t>
  </si>
  <si>
    <t>2.3.2.02.02.008.4501056.83990.204 - $ 10.143.921</t>
  </si>
  <si>
    <t>DOTACIÓN DE MOBILIARIO Y ELEMENTOS PARA MEJORAR LA CAPACIDAD OPERATIVA EN INSTALACIONES DE LOS ORGANISMOS DE SEGURIDAD DEL MUNICIPIO DE BUCARAMANGA</t>
  </si>
  <si>
    <t>2.3.2.01.01.004.01.01.02.4599034.3812299.204 - $ 267.119.536</t>
  </si>
  <si>
    <t>2.3.2.02.02.008.1206007.83990.501 - $ 110.000.000</t>
  </si>
  <si>
    <t>2.3.2.02.02.009.4101031.97990.501 - $ 381.000.000</t>
  </si>
  <si>
    <t>2.3.2.02.02.008.4002031.82199.501 - $ 15.870.000
2.3.2.02.02.008.4002031.83990.501 - $ 97.130.000</t>
  </si>
  <si>
    <t>2.3.2.02.02.008.4502017.82199.501 - $ 337.820.000
2.3.2.02.02.008.4502022.83990.501 - $ 308.680.000</t>
  </si>
  <si>
    <t>2.3.2.02.02.006.4501029.64220.501 - $ 30.000.000</t>
  </si>
  <si>
    <t>2.3.2.02.02.008.4501029.83990.501 - $ 10.000.000</t>
  </si>
  <si>
    <t>2.3.2.02.02.008.4501029.83990.501 - $ 20.000.000</t>
  </si>
  <si>
    <t>2.3.2.02.02.008.4503003.83990.501 - $ 1.596.149.243,49</t>
  </si>
  <si>
    <t>2.3.2.02.02.008.4503019.83162.588 - $ 3.000.000</t>
  </si>
  <si>
    <t xml:space="preserve">PENDIENTE JUNTA DIRECTIVA DEL FONDO </t>
  </si>
  <si>
    <t>2.3.2.02.02.008.4501004.83990.501 - $ 1.160.140.000</t>
  </si>
  <si>
    <t>2.3.2.02.02.008.4501004.83990.501 - $ 83.610.000</t>
  </si>
  <si>
    <t>2.3.2.02.02.008.4501004.83990.501 - $ 98.906.667</t>
  </si>
  <si>
    <t>2.3.2.02.02.008.4501004.82199.501 $ 48.533.333</t>
  </si>
  <si>
    <t>2.3.2.02.02.008.4501004.83990.501 - $ 28.800.000</t>
  </si>
  <si>
    <t>2.3.2.02.02.008.4501004.83990.501 - $ 13.140.000</t>
  </si>
  <si>
    <t>2.3.2.02.02.008.1202002.83990.501 $ 50.000.000</t>
  </si>
  <si>
    <t>2.3.2.02.02.008.4501056.8715999.501 - $ 200.000.000</t>
  </si>
  <si>
    <t xml:space="preserve">CAMARAS PARA RECONOCIMIENTO FACIAL </t>
  </si>
  <si>
    <t xml:space="preserve">DOTACIÓN Y MANTENIMIENTO DE LOS SISTEMAS DE ALARMA COMUNITARIAS EN EL MUNICIPIO DE BUCARAMANGA </t>
  </si>
  <si>
    <t>2.3.2.01.01.003.03.02.4599007.45250.501 - $ 1.213.316.976</t>
  </si>
  <si>
    <t>2.3.2.02.02.008.4501029.83990.536 - $ 86.800.000</t>
  </si>
  <si>
    <t>2.3.2.01.01.003.03.02.4599007.45250.501 - $ 80.000.000</t>
  </si>
  <si>
    <t>2.3.2.01.01.003.03.02.4599007.45250.501 - $ 575.406.991</t>
  </si>
  <si>
    <t xml:space="preserve">ESTACIONES DE EXPERTOS ABIS </t>
  </si>
  <si>
    <t>2.3.2.01.01.003.03.02.4501052.45250.504 - $ 900.000.000</t>
  </si>
  <si>
    <t xml:space="preserve">IMPLEMENTACIÓN DE ACCIONES PARA LA RENOVACIÓN DE LOS EQUIPOS TECNOLOGICOS Y SISTEMAS DE INFORMACIÓN PARA LAS DIFERENTES AREAS DE INVESTIGACIÓN DE LA FISCALIA GENERAL DE LA NACIÓN - SEDE BUCARAMANGA </t>
  </si>
  <si>
    <t>2.3.2.01.01.003.03.02.4501052.45250.504 - $ 446.000.000</t>
  </si>
  <si>
    <t>2.3.2.02.02.008.4501004.83990.501 - $ 205.000.000</t>
  </si>
  <si>
    <t>2.3.2.01.01.003.03.02.4501052.45250.504 - $ 3.180.233,90
2.3.2.02.01.003.4501029.3899997.504 - $ 130.524.904
2.3.2.02.02.008.4501029.83990.536 - $ 1.073.459.472</t>
  </si>
  <si>
    <t>2.3.2.01.01.003.03.02.4501052.45250.504 - $ 121.000.000</t>
  </si>
  <si>
    <t xml:space="preserve">Salas SIES </t>
  </si>
  <si>
    <t>2.3.2.02.02.008.1202034.82199.201 - $ 42.600.000
2.3.2.02.02.008.1202002.83990.201 - $ 161.400.000</t>
  </si>
  <si>
    <t>2.3.2.02.02.008.1202034.82199.201 - $ 418.200.000
2.3.2.02.02.008.1202002.83990.201 - $ 180.600.000
2.3.2.02.02.008.1202002.8715999.201 - $ 7.792.000</t>
  </si>
  <si>
    <t>2.3.2.02.02.008.1202002.83990.501 - $110.821.667
2.3.2.02.02.008.1202034.82199.501 - $ 98.845.000</t>
  </si>
  <si>
    <t>2.3.2.02.02.008.4101031.82199.201 - $ 33.000.000
2.3.2.02.02.008.4101031.83990.201 - $ 44.000.000</t>
  </si>
  <si>
    <t>2.3.2.02.02.008.4101031.83990.201 - $ 55.000.000</t>
  </si>
  <si>
    <t>2.3.2.02.02.008.4101031.83990.201 - $ 198.000.000</t>
  </si>
  <si>
    <t xml:space="preserve">IMPLEMENTAR ACCIÓN PARA DISMINUIR FACTORES DE RIESGO PSICOSOCIAL O RETIROS EN LA POLICIA NACIONAL DEL MUNICIPIO DE BUCARAMANGA </t>
  </si>
  <si>
    <t>2.3.2.02.02.008.4501004.83990.204 - $ 70.000.000</t>
  </si>
  <si>
    <t>2.3.2.01.01.003.05.03.4501052.4731101.501 - $ 269.427.102
2.3.2.01.01.003.03.02.4599007.45250.501 - $ 2.000.000.000</t>
  </si>
  <si>
    <t>2.3.2.01.01.003.03.02.4599007.45250.501 - $ 76.000.000</t>
  </si>
  <si>
    <t xml:space="preserve">MEJORAR LA CAPACIDAD PARA ATENDER INTERVENCIONES DEL ESPACIO PÚBLICO EN EL MUNICIPIO DE BUCARAMANGA </t>
  </si>
  <si>
    <t xml:space="preserve">2.3.2.01.01.003.03.02.4599007.45250.501 - $ 265.000.000
</t>
  </si>
  <si>
    <t>Pendiente por incluir en proyecto</t>
  </si>
  <si>
    <t>2.3.2.02.02.008.1202034.82199.501 - $ 471.783.333
2.3.7.06.02.4599025.82199.601 - $ 8.249.999,99
2.3.2.02.02.008.1202002.8715999.598 - $ 58.383.667,46</t>
  </si>
  <si>
    <t>2.3.2.02.01.003.4501029.3899997.204 - $ 609.343.202
2.3.2.02.01.003.4501029.3899997.236 - $ 523.655.898
2.3.2.02.02.009.4501053.97990.204 - $ 213.524.004
2.3.2.02.02.009.4501053.97990.504 - $ 350.000.000
2.3.2.02.01.003.4501029.3899997.504 - $ 869.475.096</t>
  </si>
  <si>
    <t>2.3.2.02.02.006.4501029.63399.201 - $ 296.726.473
2.3.2.01.01.003.05.03.4501052.4731101.201  - $ 435.000.000
2.3.2.01.01.003.07.01.4501029.4911301.201 - $ 555.000.000</t>
  </si>
  <si>
    <t>2.3.2.02.02.006.4501029.63399.501 - $ 148.066.510,03
2.3.2.01.01.003.05.03.4501052.4731101.501 - $ 395.312.303,63</t>
  </si>
  <si>
    <t>PROYECTO NUEVO</t>
  </si>
  <si>
    <t>2.3.2.01.01.003.03.02.4599007.45250.501 - $ 119.558.494
2.3.2.02.02.008.4501004.83990.501 - $ 19.800.000
2.3.2.02.02.008.4501004.83990.204 - $ 86.757.348
2.3.2.02.02.008.4501004.83990.204 - $ 139.751.964</t>
  </si>
  <si>
    <t>2.3.2.02.02.008.4501004.83990.501 - $ 13.300.000</t>
  </si>
  <si>
    <t>2.3.2.02.02.008.4501004.83990.204 - $ 332.653.997
2.3.2.02.02.008.4501029.83990.536 - $ 86.800.000</t>
  </si>
  <si>
    <t>2.3.2.01.01.004.01.01.04.1299065.45269.201 - $ 3.458.000
2.3.2.01.01.004.01.01.04.1299065.45250.201 - $ 20.343.169</t>
  </si>
  <si>
    <t>2.3.2.02.02.008.4501004.83990.201 - $ 58.800.000
2.3.2.02.02.008.4501004.82199.201 - $ 21.000.000</t>
  </si>
  <si>
    <t>2.3.2.02.02.008.4501004.83990.201 - $ 33.200.000</t>
  </si>
  <si>
    <t>2.3.2.02.02.008.4501004.83990.204 - $ 18.481.865</t>
  </si>
  <si>
    <t>2.3.2.01.01.004.01.01.04.1299065.45269.201 - $ 3.458.000
2.3.2.01.01.004.01.01.04.1299065.45250.201 - $ 37.061.431</t>
  </si>
  <si>
    <t>2.3.2.02.02.008.4501004.82199.501 - $ 35.930.000
2.3.2.02.02.008.4501004.83990.501 - $ 9.386.667</t>
  </si>
  <si>
    <t>2.3.2.02.02.006.4102046.63290.501 - $ 3.422.667.539
2.3.2.02.02.008.4102046.53290.501 - $ 6.000.000</t>
  </si>
  <si>
    <t>2.3.2.02.02.008.4101021.83990.201 - $ 225.000.000</t>
  </si>
  <si>
    <t>2.3.2.02.02.008.4102046.53290.501 - $ 134.000.000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</si>
</sst>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_-&quot;$&quot;\ * #,##0_-;\-&quot;$&quot;\ * #,##0_-;_-&quot;$&quot;\ * &quot;-&quot;??_-;_-@_-"/>
    <numFmt numFmtId="167" formatCode="#,##0.0"/>
    <numFmt numFmtId="168" formatCode="0.0"/>
    <numFmt numFmtId="169" formatCode="&quot;$&quot;\ #,##0"/>
    <numFmt numFmtId="170" formatCode="&quot;$&quot;\ #,##0.00"/>
    <numFmt numFmtId="171" formatCode="&quot;$&quot;\ #,##0.000"/>
    <numFmt numFmtId="172" formatCode="&quot;$&quot;\ #,##0.000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</cellStyleXfs>
  <cellXfs count="228">
    <xf numFmtId="0" fontId="0" fillId="0" borderId="0" xfId="0"/>
    <xf numFmtId="0" fontId="6" fillId="2" borderId="4" xfId="0" applyFont="1" applyFill="1" applyBorder="1" applyAlignment="1">
      <alignment horizontal="justify"/>
    </xf>
    <xf numFmtId="0" fontId="6" fillId="2" borderId="3" xfId="0" applyFont="1" applyFill="1" applyBorder="1"/>
    <xf numFmtId="9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66" fontId="6" fillId="2" borderId="3" xfId="108" applyNumberFormat="1" applyFont="1" applyFill="1" applyBorder="1" applyAlignment="1">
      <alignment vertical="center"/>
    </xf>
    <xf numFmtId="9" fontId="7" fillId="2" borderId="3" xfId="107" applyFont="1" applyFill="1" applyBorder="1" applyAlignment="1">
      <alignment horizontal="center" vertical="center" wrapText="1"/>
    </xf>
    <xf numFmtId="166" fontId="7" fillId="2" borderId="3" xfId="108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justify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/>
    </xf>
    <xf numFmtId="166" fontId="7" fillId="2" borderId="3" xfId="108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justify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4" fontId="3" fillId="3" borderId="0" xfId="0" applyNumberFormat="1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164" fontId="3" fillId="0" borderId="0" xfId="110" applyFont="1"/>
    <xf numFmtId="0" fontId="3" fillId="0" borderId="0" xfId="0" applyFont="1" applyAlignment="1">
      <alignment horizontal="center" vertical="center"/>
    </xf>
    <xf numFmtId="164" fontId="3" fillId="0" borderId="0" xfId="0" applyNumberFormat="1" applyFont="1"/>
    <xf numFmtId="166" fontId="3" fillId="0" borderId="0" xfId="0" applyNumberFormat="1" applyFont="1"/>
    <xf numFmtId="169" fontId="6" fillId="0" borderId="2" xfId="108" applyNumberFormat="1" applyFont="1" applyFill="1" applyBorder="1" applyAlignment="1">
      <alignment horizontal="right" vertical="center" wrapText="1"/>
    </xf>
    <xf numFmtId="169" fontId="6" fillId="0" borderId="3" xfId="108" applyNumberFormat="1" applyFont="1" applyFill="1" applyBorder="1" applyAlignment="1">
      <alignment horizontal="right" vertical="center" wrapText="1"/>
    </xf>
    <xf numFmtId="169" fontId="3" fillId="0" borderId="2" xfId="108" applyNumberFormat="1" applyFont="1" applyFill="1" applyBorder="1" applyAlignment="1">
      <alignment horizontal="right" vertical="center" wrapText="1"/>
    </xf>
    <xf numFmtId="169" fontId="3" fillId="0" borderId="2" xfId="0" applyNumberFormat="1" applyFont="1" applyBorder="1" applyAlignment="1">
      <alignment horizontal="right"/>
    </xf>
    <xf numFmtId="169" fontId="3" fillId="0" borderId="2" xfId="0" applyNumberFormat="1" applyFont="1" applyFill="1" applyBorder="1" applyAlignment="1">
      <alignment horizontal="right"/>
    </xf>
    <xf numFmtId="169" fontId="8" fillId="0" borderId="2" xfId="108" applyNumberFormat="1" applyFont="1" applyFill="1" applyBorder="1" applyAlignment="1">
      <alignment horizontal="right" vertical="center" wrapText="1"/>
    </xf>
    <xf numFmtId="169" fontId="8" fillId="0" borderId="2" xfId="0" applyNumberFormat="1" applyFont="1" applyBorder="1" applyAlignment="1">
      <alignment horizontal="right"/>
    </xf>
    <xf numFmtId="169" fontId="3" fillId="0" borderId="3" xfId="108" applyNumberFormat="1" applyFont="1" applyFill="1" applyBorder="1" applyAlignment="1">
      <alignment horizontal="right" vertical="center" wrapText="1"/>
    </xf>
    <xf numFmtId="169" fontId="3" fillId="0" borderId="3" xfId="0" applyNumberFormat="1" applyFont="1" applyBorder="1" applyAlignment="1">
      <alignment horizontal="right"/>
    </xf>
    <xf numFmtId="169" fontId="7" fillId="2" borderId="2" xfId="108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center" vertical="top"/>
    </xf>
    <xf numFmtId="165" fontId="0" fillId="0" borderId="2" xfId="0" applyNumberFormat="1" applyFont="1" applyFill="1" applyBorder="1" applyAlignment="1">
      <alignment vertical="center" wrapText="1"/>
    </xf>
    <xf numFmtId="165" fontId="0" fillId="0" borderId="2" xfId="0" applyNumberFormat="1" applyFont="1" applyFill="1" applyBorder="1" applyAlignment="1">
      <alignment horizontal="justify" vertical="center" wrapText="1"/>
    </xf>
    <xf numFmtId="43" fontId="3" fillId="0" borderId="0" xfId="0" applyNumberFormat="1" applyFont="1"/>
    <xf numFmtId="165" fontId="3" fillId="0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169" fontId="6" fillId="0" borderId="2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justify" vertical="center" wrapText="1"/>
    </xf>
    <xf numFmtId="165" fontId="0" fillId="0" borderId="3" xfId="0" applyNumberFormat="1" applyFont="1" applyFill="1" applyBorder="1" applyAlignment="1">
      <alignment vertical="center" wrapText="1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69" fontId="6" fillId="0" borderId="3" xfId="0" applyNumberFormat="1" applyFont="1" applyFill="1" applyBorder="1" applyAlignment="1">
      <alignment horizontal="right"/>
    </xf>
    <xf numFmtId="166" fontId="0" fillId="0" borderId="0" xfId="0" applyNumberFormat="1" applyFont="1"/>
    <xf numFmtId="0" fontId="3" fillId="4" borderId="0" xfId="0" applyFont="1" applyFill="1"/>
    <xf numFmtId="0" fontId="3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justify" wrapText="1"/>
    </xf>
    <xf numFmtId="165" fontId="3" fillId="3" borderId="2" xfId="0" applyNumberFormat="1" applyFont="1" applyFill="1" applyBorder="1" applyAlignment="1">
      <alignment horizontal="center" vertical="center" wrapText="1"/>
    </xf>
    <xf numFmtId="165" fontId="0" fillId="3" borderId="2" xfId="0" applyNumberFormat="1" applyFont="1" applyFill="1" applyBorder="1" applyAlignment="1">
      <alignment horizontal="justify" vertical="center" wrapText="1"/>
    </xf>
    <xf numFmtId="169" fontId="6" fillId="3" borderId="2" xfId="108" applyNumberFormat="1" applyFont="1" applyFill="1" applyBorder="1" applyAlignment="1">
      <alignment horizontal="right" vertical="center" wrapText="1"/>
    </xf>
    <xf numFmtId="169" fontId="3" fillId="3" borderId="2" xfId="108" applyNumberFormat="1" applyFont="1" applyFill="1" applyBorder="1" applyAlignment="1">
      <alignment horizontal="right" vertical="center" wrapText="1"/>
    </xf>
    <xf numFmtId="165" fontId="0" fillId="3" borderId="2" xfId="0" applyNumberFormat="1" applyFont="1" applyFill="1" applyBorder="1" applyAlignment="1">
      <alignment vertical="center" wrapText="1"/>
    </xf>
    <xf numFmtId="165" fontId="0" fillId="3" borderId="3" xfId="0" applyNumberFormat="1" applyFont="1" applyFill="1" applyBorder="1" applyAlignment="1">
      <alignment vertical="center" wrapText="1"/>
    </xf>
    <xf numFmtId="165" fontId="0" fillId="3" borderId="1" xfId="0" applyNumberFormat="1" applyFont="1" applyFill="1" applyBorder="1" applyAlignment="1">
      <alignment vertical="center" wrapText="1"/>
    </xf>
    <xf numFmtId="165" fontId="6" fillId="3" borderId="3" xfId="0" applyNumberFormat="1" applyFont="1" applyFill="1" applyBorder="1" applyAlignment="1">
      <alignment vertical="center" wrapText="1"/>
    </xf>
    <xf numFmtId="165" fontId="6" fillId="3" borderId="2" xfId="0" applyNumberFormat="1" applyFont="1" applyFill="1" applyBorder="1" applyAlignment="1">
      <alignment vertical="center" wrapText="1"/>
    </xf>
    <xf numFmtId="165" fontId="0" fillId="3" borderId="1" xfId="0" quotePrefix="1" applyNumberFormat="1" applyFont="1" applyFill="1" applyBorder="1" applyAlignment="1">
      <alignment vertical="center" wrapText="1"/>
    </xf>
    <xf numFmtId="165" fontId="0" fillId="3" borderId="1" xfId="0" applyNumberFormat="1" applyFont="1" applyFill="1" applyBorder="1" applyAlignment="1">
      <alignment horizontal="left" vertical="center" wrapText="1"/>
    </xf>
    <xf numFmtId="165" fontId="0" fillId="3" borderId="3" xfId="0" applyNumberFormat="1" applyFont="1" applyFill="1" applyBorder="1" applyAlignment="1">
      <alignment horizontal="justify" vertical="center" wrapText="1"/>
    </xf>
    <xf numFmtId="165" fontId="0" fillId="3" borderId="2" xfId="0" applyNumberFormat="1" applyFont="1" applyFill="1" applyBorder="1" applyAlignment="1">
      <alignment horizontal="left" vertical="center" wrapText="1"/>
    </xf>
    <xf numFmtId="165" fontId="0" fillId="3" borderId="2" xfId="0" quotePrefix="1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justify" vertical="center" wrapText="1"/>
    </xf>
    <xf numFmtId="3" fontId="6" fillId="3" borderId="2" xfId="0" applyNumberFormat="1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horizontal="justify" vertical="center"/>
    </xf>
    <xf numFmtId="0" fontId="6" fillId="3" borderId="2" xfId="0" applyFont="1" applyFill="1" applyBorder="1" applyAlignment="1">
      <alignment horizontal="justify" vertical="center"/>
    </xf>
    <xf numFmtId="0" fontId="10" fillId="3" borderId="3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165" fontId="0" fillId="0" borderId="1" xfId="0" applyNumberFormat="1" applyFont="1" applyFill="1" applyBorder="1" applyAlignment="1">
      <alignment horizontal="justify" vertical="center" wrapText="1"/>
    </xf>
    <xf numFmtId="165" fontId="6" fillId="0" borderId="2" xfId="0" applyNumberFormat="1" applyFont="1" applyFill="1" applyBorder="1" applyAlignment="1">
      <alignment horizontal="justify" vertical="center" wrapText="1"/>
    </xf>
    <xf numFmtId="165" fontId="6" fillId="0" borderId="2" xfId="0" applyNumberFormat="1" applyFont="1" applyFill="1" applyBorder="1" applyAlignment="1">
      <alignment vertical="center" wrapText="1"/>
    </xf>
    <xf numFmtId="166" fontId="3" fillId="0" borderId="0" xfId="0" applyNumberFormat="1" applyFont="1" applyAlignment="1">
      <alignment horizontal="center" vertical="center"/>
    </xf>
    <xf numFmtId="165" fontId="6" fillId="3" borderId="1" xfId="0" applyNumberFormat="1" applyFont="1" applyFill="1" applyBorder="1" applyAlignment="1">
      <alignment vertical="center" wrapText="1"/>
    </xf>
    <xf numFmtId="165" fontId="0" fillId="0" borderId="3" xfId="0" applyNumberFormat="1" applyFont="1" applyFill="1" applyBorder="1" applyAlignment="1">
      <alignment horizontal="justify" vertical="center" wrapText="1"/>
    </xf>
    <xf numFmtId="169" fontId="6" fillId="0" borderId="2" xfId="0" applyNumberFormat="1" applyFont="1" applyFill="1" applyBorder="1" applyAlignment="1">
      <alignment horizontal="right" vertical="center"/>
    </xf>
    <xf numFmtId="169" fontId="7" fillId="2" borderId="1" xfId="108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165" fontId="0" fillId="0" borderId="5" xfId="0" applyNumberFormat="1" applyFont="1" applyFill="1" applyBorder="1" applyAlignment="1">
      <alignment horizontal="justify" vertical="center" wrapText="1"/>
    </xf>
    <xf numFmtId="169" fontId="6" fillId="0" borderId="5" xfId="108" applyNumberFormat="1" applyFont="1" applyFill="1" applyBorder="1" applyAlignment="1">
      <alignment horizontal="right" vertical="center" wrapText="1"/>
    </xf>
    <xf numFmtId="1" fontId="3" fillId="0" borderId="2" xfId="0" applyNumberFormat="1" applyFont="1" applyFill="1" applyBorder="1" applyAlignment="1">
      <alignment horizontal="right" vertical="center" wrapText="1"/>
    </xf>
    <xf numFmtId="1" fontId="6" fillId="0" borderId="2" xfId="0" applyNumberFormat="1" applyFont="1" applyFill="1" applyBorder="1" applyAlignment="1">
      <alignment horizontal="right" vertical="center" wrapText="1"/>
    </xf>
    <xf numFmtId="1" fontId="10" fillId="0" borderId="2" xfId="0" applyNumberFormat="1" applyFont="1" applyFill="1" applyBorder="1" applyAlignment="1">
      <alignment horizontal="right" vertical="center" wrapText="1"/>
    </xf>
    <xf numFmtId="1" fontId="10" fillId="0" borderId="3" xfId="0" applyNumberFormat="1" applyFont="1" applyFill="1" applyBorder="1" applyAlignment="1">
      <alignment horizontal="right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168" fontId="6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167" fontId="6" fillId="2" borderId="2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170" fontId="3" fillId="0" borderId="2" xfId="108" applyNumberFormat="1" applyFont="1" applyFill="1" applyBorder="1" applyAlignment="1">
      <alignment horizontal="right" vertical="center" wrapText="1"/>
    </xf>
    <xf numFmtId="170" fontId="6" fillId="0" borderId="2" xfId="108" applyNumberFormat="1" applyFont="1" applyFill="1" applyBorder="1" applyAlignment="1">
      <alignment horizontal="right" vertical="center" wrapText="1"/>
    </xf>
    <xf numFmtId="165" fontId="0" fillId="0" borderId="1" xfId="0" applyNumberFormat="1" applyFill="1" applyBorder="1" applyAlignment="1">
      <alignment vertical="center" wrapText="1"/>
    </xf>
    <xf numFmtId="165" fontId="0" fillId="3" borderId="2" xfId="0" applyNumberFormat="1" applyFill="1" applyBorder="1" applyAlignment="1">
      <alignment horizontal="justify" vertical="center" wrapText="1"/>
    </xf>
    <xf numFmtId="165" fontId="0" fillId="3" borderId="2" xfId="0" applyNumberFormat="1" applyFill="1" applyBorder="1" applyAlignment="1">
      <alignment vertical="center" wrapText="1"/>
    </xf>
    <xf numFmtId="165" fontId="0" fillId="0" borderId="2" xfId="0" applyNumberFormat="1" applyBorder="1" applyAlignment="1">
      <alignment vertical="center" wrapText="1"/>
    </xf>
    <xf numFmtId="165" fontId="0" fillId="3" borderId="3" xfId="0" applyNumberFormat="1" applyFill="1" applyBorder="1" applyAlignment="1">
      <alignment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5" xfId="107" applyFont="1" applyFill="1" applyBorder="1" applyAlignment="1">
      <alignment horizontal="center" vertical="center" wrapText="1"/>
    </xf>
    <xf numFmtId="9" fontId="6" fillId="0" borderId="3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5" xfId="108" applyNumberFormat="1" applyFont="1" applyFill="1" applyBorder="1" applyAlignment="1">
      <alignment horizontal="center" vertical="center" wrapText="1"/>
    </xf>
    <xf numFmtId="5" fontId="6" fillId="0" borderId="3" xfId="108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9" fontId="7" fillId="2" borderId="1" xfId="108" applyNumberFormat="1" applyFont="1" applyFill="1" applyBorder="1" applyAlignment="1">
      <alignment horizontal="right" vertical="center" wrapText="1"/>
    </xf>
    <xf numFmtId="169" fontId="7" fillId="2" borderId="5" xfId="108" applyNumberFormat="1" applyFont="1" applyFill="1" applyBorder="1" applyAlignment="1">
      <alignment horizontal="right" vertical="center" wrapText="1"/>
    </xf>
    <xf numFmtId="169" fontId="7" fillId="2" borderId="3" xfId="108" applyNumberFormat="1" applyFont="1" applyFill="1" applyBorder="1" applyAlignment="1">
      <alignment horizontal="right" vertical="center" wrapText="1"/>
    </xf>
    <xf numFmtId="172" fontId="7" fillId="2" borderId="1" xfId="108" applyNumberFormat="1" applyFont="1" applyFill="1" applyBorder="1" applyAlignment="1">
      <alignment horizontal="right" vertical="center" wrapText="1"/>
    </xf>
    <xf numFmtId="172" fontId="7" fillId="2" borderId="5" xfId="108" applyNumberFormat="1" applyFont="1" applyFill="1" applyBorder="1" applyAlignment="1">
      <alignment horizontal="right" vertical="center" wrapText="1"/>
    </xf>
    <xf numFmtId="172" fontId="7" fillId="2" borderId="3" xfId="108" applyNumberFormat="1" applyFont="1" applyFill="1" applyBorder="1" applyAlignment="1">
      <alignment horizontal="right" vertical="center" wrapText="1"/>
    </xf>
    <xf numFmtId="171" fontId="7" fillId="2" borderId="1" xfId="108" applyNumberFormat="1" applyFont="1" applyFill="1" applyBorder="1" applyAlignment="1">
      <alignment horizontal="right" vertical="center" wrapText="1"/>
    </xf>
    <xf numFmtId="171" fontId="7" fillId="2" borderId="5" xfId="108" applyNumberFormat="1" applyFont="1" applyFill="1" applyBorder="1" applyAlignment="1">
      <alignment horizontal="right" vertical="center" wrapText="1"/>
    </xf>
    <xf numFmtId="171" fontId="7" fillId="2" borderId="3" xfId="108" applyNumberFormat="1" applyFont="1" applyFill="1" applyBorder="1" applyAlignment="1">
      <alignment horizontal="righ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7" fontId="6" fillId="2" borderId="3" xfId="0" applyNumberFormat="1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9" fontId="3" fillId="3" borderId="5" xfId="0" applyNumberFormat="1" applyFont="1" applyFill="1" applyBorder="1" applyAlignment="1">
      <alignment horizontal="center" vertical="center" wrapText="1"/>
    </xf>
    <xf numFmtId="9" fontId="3" fillId="3" borderId="3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9" fontId="6" fillId="2" borderId="5" xfId="0" applyNumberFormat="1" applyFont="1" applyFill="1" applyBorder="1" applyAlignment="1">
      <alignment horizontal="center" vertical="center" wrapText="1"/>
    </xf>
    <xf numFmtId="9" fontId="6" fillId="2" borderId="3" xfId="0" applyNumberFormat="1" applyFont="1" applyFill="1" applyBorder="1" applyAlignment="1">
      <alignment horizontal="center" vertical="center" wrapText="1"/>
    </xf>
    <xf numFmtId="9" fontId="10" fillId="3" borderId="1" xfId="0" applyNumberFormat="1" applyFont="1" applyFill="1" applyBorder="1" applyAlignment="1">
      <alignment horizontal="center" vertical="center" wrapText="1"/>
    </xf>
    <xf numFmtId="9" fontId="10" fillId="3" borderId="5" xfId="0" applyNumberFormat="1" applyFont="1" applyFill="1" applyBorder="1" applyAlignment="1">
      <alignment horizontal="center" vertical="center" wrapText="1"/>
    </xf>
    <xf numFmtId="9" fontId="10" fillId="3" borderId="3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9" fontId="10" fillId="0" borderId="1" xfId="107" applyFont="1" applyFill="1" applyBorder="1" applyAlignment="1">
      <alignment horizontal="center" vertical="center" wrapText="1"/>
    </xf>
    <xf numFmtId="9" fontId="10" fillId="0" borderId="5" xfId="107" applyFont="1" applyFill="1" applyBorder="1" applyAlignment="1">
      <alignment horizontal="center" vertical="center" wrapText="1"/>
    </xf>
    <xf numFmtId="9" fontId="6" fillId="2" borderId="1" xfId="107" applyFont="1" applyFill="1" applyBorder="1" applyAlignment="1">
      <alignment horizontal="center" vertical="center" wrapText="1"/>
    </xf>
    <xf numFmtId="9" fontId="6" fillId="2" borderId="5" xfId="107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167" fontId="6" fillId="2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9" fontId="10" fillId="0" borderId="5" xfId="0" applyNumberFormat="1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 wrapText="1"/>
    </xf>
    <xf numFmtId="10" fontId="3" fillId="0" borderId="3" xfId="0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10" fontId="6" fillId="2" borderId="5" xfId="0" applyNumberFormat="1" applyFont="1" applyFill="1" applyBorder="1" applyAlignment="1">
      <alignment horizontal="center" vertical="center" wrapText="1"/>
    </xf>
    <xf numFmtId="10" fontId="6" fillId="2" borderId="3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2" fontId="6" fillId="0" borderId="1" xfId="109" applyNumberFormat="1" applyFont="1" applyFill="1" applyBorder="1" applyAlignment="1">
      <alignment horizontal="center" vertical="center" wrapText="1"/>
    </xf>
    <xf numFmtId="2" fontId="6" fillId="0" borderId="5" xfId="109" applyNumberFormat="1" applyFont="1" applyFill="1" applyBorder="1" applyAlignment="1">
      <alignment horizontal="center" vertical="center" wrapText="1"/>
    </xf>
    <xf numFmtId="2" fontId="6" fillId="0" borderId="3" xfId="109" applyNumberFormat="1" applyFont="1" applyFill="1" applyBorder="1" applyAlignment="1">
      <alignment horizontal="center" vertical="center" wrapText="1"/>
    </xf>
    <xf numFmtId="2" fontId="7" fillId="0" borderId="9" xfId="109" applyNumberFormat="1" applyFont="1" applyBorder="1" applyAlignment="1">
      <alignment horizontal="center" vertical="center" wrapText="1"/>
    </xf>
    <xf numFmtId="2" fontId="7" fillId="0" borderId="10" xfId="109" applyNumberFormat="1" applyFont="1" applyBorder="1" applyAlignment="1">
      <alignment horizontal="center" vertical="center" wrapText="1"/>
    </xf>
    <xf numFmtId="2" fontId="7" fillId="0" borderId="11" xfId="109" applyNumberFormat="1" applyFont="1" applyBorder="1" applyAlignment="1">
      <alignment horizontal="center" vertical="center" wrapText="1"/>
    </xf>
    <xf numFmtId="2" fontId="7" fillId="0" borderId="12" xfId="109" applyNumberFormat="1" applyFont="1" applyBorder="1" applyAlignment="1">
      <alignment horizontal="center" vertical="center" wrapText="1"/>
    </xf>
    <xf numFmtId="2" fontId="7" fillId="0" borderId="0" xfId="109" applyNumberFormat="1" applyFont="1" applyBorder="1" applyAlignment="1">
      <alignment horizontal="center" vertical="center" wrapText="1"/>
    </xf>
    <xf numFmtId="2" fontId="7" fillId="0" borderId="13" xfId="109" applyNumberFormat="1" applyFont="1" applyBorder="1" applyAlignment="1">
      <alignment horizontal="center" vertical="center" wrapText="1"/>
    </xf>
    <xf numFmtId="2" fontId="7" fillId="0" borderId="4" xfId="109" applyNumberFormat="1" applyFont="1" applyBorder="1" applyAlignment="1">
      <alignment horizontal="center" vertical="center" wrapText="1"/>
    </xf>
    <xf numFmtId="2" fontId="7" fillId="0" borderId="14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476085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38100"/>
          <a:ext cx="620735" cy="66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4"/>
  <sheetViews>
    <sheetView tabSelected="1" topLeftCell="D89" zoomScale="60" zoomScaleNormal="60" workbookViewId="0">
      <selection activeCell="I96" sqref="I96"/>
    </sheetView>
  </sheetViews>
  <sheetFormatPr baseColWidth="10" defaultColWidth="11.19921875" defaultRowHeight="13.8" x14ac:dyDescent="0.25"/>
  <cols>
    <col min="1" max="1" width="7.69921875" style="79" customWidth="1"/>
    <col min="2" max="3" width="21.09765625" style="28" customWidth="1"/>
    <col min="4" max="4" width="24.8984375" style="28" customWidth="1"/>
    <col min="5" max="6" width="50.59765625" style="38" customWidth="1"/>
    <col min="7" max="7" width="17.8984375" style="39" customWidth="1"/>
    <col min="8" max="8" width="51.69921875" style="40" customWidth="1"/>
    <col min="9" max="9" width="43.09765625" style="28" customWidth="1"/>
    <col min="10" max="11" width="13.8984375" style="28" customWidth="1"/>
    <col min="12" max="13" width="14.8984375" style="28" customWidth="1"/>
    <col min="14" max="14" width="11.19921875" style="32" customWidth="1"/>
    <col min="15" max="15" width="60.3984375" style="28" customWidth="1"/>
    <col min="16" max="16" width="20.69921875" style="28" customWidth="1"/>
    <col min="17" max="19" width="16" style="28" customWidth="1"/>
    <col min="20" max="21" width="23.5" style="28" customWidth="1"/>
    <col min="22" max="22" width="18.5" style="28" customWidth="1"/>
    <col min="23" max="26" width="16.69921875" style="28" customWidth="1"/>
    <col min="27" max="27" width="23.5" style="28" customWidth="1"/>
    <col min="28" max="28" width="16.19921875" style="42" customWidth="1"/>
    <col min="29" max="29" width="19.19921875" style="42" customWidth="1"/>
    <col min="30" max="31" width="22" style="42" customWidth="1"/>
    <col min="32" max="16384" width="11.19921875" style="28"/>
  </cols>
  <sheetData>
    <row r="1" spans="1:31" x14ac:dyDescent="0.25">
      <c r="A1" s="211"/>
      <c r="B1" s="214" t="s">
        <v>172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6"/>
      <c r="AC1" s="222" t="s">
        <v>210</v>
      </c>
      <c r="AD1" s="222"/>
      <c r="AE1" s="222"/>
    </row>
    <row r="2" spans="1:31" x14ac:dyDescent="0.25">
      <c r="A2" s="212"/>
      <c r="B2" s="217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9"/>
      <c r="AC2" s="223" t="s">
        <v>36</v>
      </c>
      <c r="AD2" s="223"/>
      <c r="AE2" s="223"/>
    </row>
    <row r="3" spans="1:31" x14ac:dyDescent="0.25">
      <c r="A3" s="212"/>
      <c r="B3" s="217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9"/>
      <c r="AC3" s="223" t="s">
        <v>33</v>
      </c>
      <c r="AD3" s="223"/>
      <c r="AE3" s="223"/>
    </row>
    <row r="4" spans="1:31" x14ac:dyDescent="0.25">
      <c r="A4" s="213"/>
      <c r="B4" s="220"/>
      <c r="C4" s="221"/>
      <c r="D4" s="221"/>
      <c r="E4" s="221"/>
      <c r="F4" s="221"/>
      <c r="G4" s="221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9"/>
      <c r="AC4" s="223" t="s">
        <v>32</v>
      </c>
      <c r="AD4" s="223"/>
      <c r="AE4" s="223"/>
    </row>
    <row r="5" spans="1:31" x14ac:dyDescent="0.25">
      <c r="A5" s="204" t="s">
        <v>30</v>
      </c>
      <c r="B5" s="205"/>
      <c r="C5" s="206"/>
      <c r="D5" s="207">
        <v>44755</v>
      </c>
      <c r="E5" s="207"/>
      <c r="F5" s="207"/>
      <c r="G5" s="207"/>
      <c r="H5" s="29"/>
      <c r="I5" s="29"/>
      <c r="J5" s="29"/>
      <c r="K5" s="29"/>
      <c r="L5" s="29"/>
      <c r="M5" s="30"/>
      <c r="N5" s="55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1"/>
      <c r="AC5" s="31"/>
      <c r="AD5" s="31"/>
      <c r="AE5" s="31"/>
    </row>
    <row r="6" spans="1:31" x14ac:dyDescent="0.25">
      <c r="A6" s="204" t="s">
        <v>31</v>
      </c>
      <c r="B6" s="205"/>
      <c r="C6" s="206"/>
      <c r="D6" s="207">
        <v>44742</v>
      </c>
      <c r="E6" s="207"/>
      <c r="F6" s="207"/>
      <c r="G6" s="207"/>
      <c r="H6" s="29"/>
      <c r="I6" s="29"/>
      <c r="J6" s="29"/>
      <c r="K6" s="29"/>
      <c r="L6" s="29"/>
      <c r="M6" s="30"/>
      <c r="N6" s="55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1"/>
      <c r="AC6" s="31"/>
      <c r="AD6" s="31"/>
      <c r="AE6" s="31"/>
    </row>
    <row r="7" spans="1:31" x14ac:dyDescent="0.25">
      <c r="A7" s="117"/>
      <c r="B7" s="208" t="s">
        <v>10</v>
      </c>
      <c r="C7" s="209"/>
      <c r="D7" s="209"/>
      <c r="E7" s="209"/>
      <c r="F7" s="210"/>
      <c r="G7" s="208" t="s">
        <v>11</v>
      </c>
      <c r="H7" s="209"/>
      <c r="I7" s="210"/>
      <c r="J7" s="208" t="s">
        <v>25</v>
      </c>
      <c r="K7" s="209"/>
      <c r="L7" s="209"/>
      <c r="M7" s="209"/>
      <c r="N7" s="210"/>
      <c r="O7" s="208" t="s">
        <v>23</v>
      </c>
      <c r="P7" s="209"/>
      <c r="Q7" s="209"/>
      <c r="R7" s="209"/>
      <c r="S7" s="209"/>
      <c r="T7" s="209"/>
      <c r="U7" s="210"/>
      <c r="V7" s="208" t="s">
        <v>17</v>
      </c>
      <c r="W7" s="209"/>
      <c r="X7" s="209"/>
      <c r="Y7" s="209"/>
      <c r="Z7" s="209"/>
      <c r="AA7" s="210"/>
      <c r="AB7" s="224" t="s">
        <v>18</v>
      </c>
      <c r="AC7" s="224" t="s">
        <v>26</v>
      </c>
      <c r="AD7" s="26" t="s">
        <v>24</v>
      </c>
      <c r="AE7" s="26"/>
    </row>
    <row r="8" spans="1:31" s="32" customFormat="1" ht="41.4" x14ac:dyDescent="0.25">
      <c r="A8" s="10" t="s">
        <v>29</v>
      </c>
      <c r="B8" s="11" t="s">
        <v>1</v>
      </c>
      <c r="C8" s="10" t="s">
        <v>6</v>
      </c>
      <c r="D8" s="10" t="s">
        <v>2</v>
      </c>
      <c r="E8" s="73" t="s">
        <v>7</v>
      </c>
      <c r="F8" s="11" t="s">
        <v>19</v>
      </c>
      <c r="G8" s="11" t="s">
        <v>218</v>
      </c>
      <c r="H8" s="11" t="s">
        <v>3</v>
      </c>
      <c r="I8" s="11" t="s">
        <v>15</v>
      </c>
      <c r="J8" s="11" t="s">
        <v>21</v>
      </c>
      <c r="K8" s="11" t="s">
        <v>22</v>
      </c>
      <c r="L8" s="11" t="s">
        <v>4</v>
      </c>
      <c r="M8" s="11" t="s">
        <v>5</v>
      </c>
      <c r="N8" s="11" t="s">
        <v>0</v>
      </c>
      <c r="O8" s="10" t="s">
        <v>9</v>
      </c>
      <c r="P8" s="11" t="s">
        <v>35</v>
      </c>
      <c r="Q8" s="11" t="s">
        <v>8</v>
      </c>
      <c r="R8" s="11" t="s">
        <v>27</v>
      </c>
      <c r="S8" s="11" t="s">
        <v>34</v>
      </c>
      <c r="T8" s="11" t="s">
        <v>12</v>
      </c>
      <c r="U8" s="11" t="s">
        <v>20</v>
      </c>
      <c r="V8" s="11" t="s">
        <v>35</v>
      </c>
      <c r="W8" s="11" t="s">
        <v>8</v>
      </c>
      <c r="X8" s="11" t="s">
        <v>27</v>
      </c>
      <c r="Y8" s="11" t="s">
        <v>34</v>
      </c>
      <c r="Z8" s="11" t="s">
        <v>12</v>
      </c>
      <c r="AA8" s="11" t="s">
        <v>28</v>
      </c>
      <c r="AB8" s="225"/>
      <c r="AC8" s="225"/>
      <c r="AD8" s="11" t="s">
        <v>13</v>
      </c>
      <c r="AE8" s="11" t="s">
        <v>14</v>
      </c>
    </row>
    <row r="9" spans="1:31" ht="69" x14ac:dyDescent="0.25">
      <c r="A9" s="10">
        <v>99</v>
      </c>
      <c r="B9" s="33" t="s">
        <v>40</v>
      </c>
      <c r="C9" s="33" t="s">
        <v>41</v>
      </c>
      <c r="D9" s="15" t="s">
        <v>45</v>
      </c>
      <c r="E9" s="25" t="s">
        <v>46</v>
      </c>
      <c r="F9" s="82" t="s">
        <v>47</v>
      </c>
      <c r="G9" s="120">
        <v>2021680010086</v>
      </c>
      <c r="H9" s="83" t="s">
        <v>194</v>
      </c>
      <c r="I9" s="84"/>
      <c r="J9" s="59">
        <v>44562</v>
      </c>
      <c r="K9" s="59">
        <v>44926</v>
      </c>
      <c r="L9" s="60">
        <v>1</v>
      </c>
      <c r="M9" s="124">
        <v>0.6</v>
      </c>
      <c r="N9" s="76">
        <f>IFERROR(IF(M9/L9&gt;100%,100%,M9/L9),"-")</f>
        <v>0.6</v>
      </c>
      <c r="O9" s="57" t="s">
        <v>226</v>
      </c>
      <c r="P9" s="45"/>
      <c r="Q9" s="47"/>
      <c r="R9" s="47"/>
      <c r="S9" s="47"/>
      <c r="T9" s="88">
        <v>27416675</v>
      </c>
      <c r="U9" s="54">
        <f>SUM(P9:T9)</f>
        <v>27416675</v>
      </c>
      <c r="V9" s="47"/>
      <c r="W9" s="47"/>
      <c r="X9" s="47"/>
      <c r="Y9" s="47"/>
      <c r="Z9" s="45">
        <v>15000000</v>
      </c>
      <c r="AA9" s="54">
        <f t="shared" ref="AA9:AA17" si="0">SUM(V9:Z9)</f>
        <v>15000000</v>
      </c>
      <c r="AB9" s="17">
        <f>IFERROR(AA9/U9,"-")</f>
        <v>0.54711229571054842</v>
      </c>
      <c r="AC9" s="18"/>
      <c r="AD9" s="27" t="s">
        <v>50</v>
      </c>
      <c r="AE9" s="34" t="s">
        <v>173</v>
      </c>
    </row>
    <row r="10" spans="1:31" ht="55.2" x14ac:dyDescent="0.25">
      <c r="A10" s="10">
        <v>169</v>
      </c>
      <c r="B10" s="35" t="s">
        <v>51</v>
      </c>
      <c r="C10" s="35" t="s">
        <v>52</v>
      </c>
      <c r="D10" s="19" t="s">
        <v>53</v>
      </c>
      <c r="E10" s="25" t="s">
        <v>54</v>
      </c>
      <c r="F10" s="82" t="s">
        <v>55</v>
      </c>
      <c r="G10" s="121">
        <v>2021680010146</v>
      </c>
      <c r="H10" s="83" t="s">
        <v>215</v>
      </c>
      <c r="I10" s="82" t="s">
        <v>56</v>
      </c>
      <c r="J10" s="59">
        <v>44562</v>
      </c>
      <c r="K10" s="59">
        <v>44926</v>
      </c>
      <c r="L10" s="75">
        <v>1</v>
      </c>
      <c r="M10" s="125">
        <v>0.4</v>
      </c>
      <c r="N10" s="76">
        <f>IFERROR(IF(M10/L10&gt;100%,100%,M10/L10),"-")</f>
        <v>0.4</v>
      </c>
      <c r="O10" s="56" t="s">
        <v>233</v>
      </c>
      <c r="P10" s="45">
        <v>195000000</v>
      </c>
      <c r="Q10" s="47"/>
      <c r="R10" s="47"/>
      <c r="S10" s="47"/>
      <c r="T10" s="45"/>
      <c r="U10" s="54">
        <f>SUM(P10:T10)</f>
        <v>195000000</v>
      </c>
      <c r="V10" s="47">
        <v>75000000</v>
      </c>
      <c r="W10" s="47"/>
      <c r="X10" s="47"/>
      <c r="Y10" s="47"/>
      <c r="Z10" s="45"/>
      <c r="AA10" s="54">
        <f t="shared" si="0"/>
        <v>75000000</v>
      </c>
      <c r="AB10" s="17">
        <f>IFERROR(AA10/U10,"-")</f>
        <v>0.38461538461538464</v>
      </c>
      <c r="AC10" s="18"/>
      <c r="AD10" s="27" t="s">
        <v>50</v>
      </c>
      <c r="AE10" s="34" t="s">
        <v>173</v>
      </c>
    </row>
    <row r="11" spans="1:31" ht="55.2" x14ac:dyDescent="0.25">
      <c r="A11" s="10">
        <v>170</v>
      </c>
      <c r="B11" s="33" t="s">
        <v>51</v>
      </c>
      <c r="C11" s="33" t="s">
        <v>52</v>
      </c>
      <c r="D11" s="20" t="s">
        <v>53</v>
      </c>
      <c r="E11" s="25" t="s">
        <v>57</v>
      </c>
      <c r="F11" s="82" t="s">
        <v>58</v>
      </c>
      <c r="G11" s="121">
        <v>2021680010146</v>
      </c>
      <c r="H11" s="83" t="s">
        <v>215</v>
      </c>
      <c r="I11" s="84"/>
      <c r="J11" s="59">
        <v>44562</v>
      </c>
      <c r="K11" s="59">
        <v>44926</v>
      </c>
      <c r="L11" s="75">
        <v>3</v>
      </c>
      <c r="M11" s="126">
        <v>3</v>
      </c>
      <c r="N11" s="76">
        <f t="shared" ref="N11:N21" si="1">IFERROR(IF(M11/L11&gt;100%,100%,M11/L11),"-")</f>
        <v>1</v>
      </c>
      <c r="O11" s="57" t="s">
        <v>227</v>
      </c>
      <c r="P11" s="45">
        <v>24000000</v>
      </c>
      <c r="Q11" s="47"/>
      <c r="R11" s="47"/>
      <c r="S11" s="47"/>
      <c r="T11" s="45"/>
      <c r="U11" s="54">
        <f>SUM(P11:T11)</f>
        <v>24000000</v>
      </c>
      <c r="V11" s="47">
        <v>24000000</v>
      </c>
      <c r="W11" s="47"/>
      <c r="X11" s="47"/>
      <c r="Y11" s="47"/>
      <c r="Z11" s="45"/>
      <c r="AA11" s="54">
        <f t="shared" si="0"/>
        <v>24000000</v>
      </c>
      <c r="AB11" s="17">
        <f t="shared" ref="AB11:AB21" si="2">IFERROR(AA11/U11,"-")</f>
        <v>1</v>
      </c>
      <c r="AC11" s="18"/>
      <c r="AD11" s="27" t="s">
        <v>50</v>
      </c>
      <c r="AE11" s="34" t="s">
        <v>173</v>
      </c>
    </row>
    <row r="12" spans="1:31" ht="69" x14ac:dyDescent="0.25">
      <c r="A12" s="10">
        <v>171</v>
      </c>
      <c r="B12" s="33" t="s">
        <v>51</v>
      </c>
      <c r="C12" s="33" t="s">
        <v>52</v>
      </c>
      <c r="D12" s="20" t="s">
        <v>53</v>
      </c>
      <c r="E12" s="16" t="s">
        <v>59</v>
      </c>
      <c r="F12" s="82" t="s">
        <v>60</v>
      </c>
      <c r="G12" s="120">
        <v>2021680010156</v>
      </c>
      <c r="H12" s="83" t="s">
        <v>208</v>
      </c>
      <c r="I12" s="99" t="s">
        <v>207</v>
      </c>
      <c r="J12" s="59">
        <v>44562</v>
      </c>
      <c r="K12" s="59">
        <v>44926</v>
      </c>
      <c r="L12" s="163">
        <v>4</v>
      </c>
      <c r="M12" s="161">
        <v>0</v>
      </c>
      <c r="N12" s="159">
        <f t="shared" si="1"/>
        <v>0</v>
      </c>
      <c r="O12" s="57" t="s">
        <v>174</v>
      </c>
      <c r="P12" s="45">
        <v>874739959</v>
      </c>
      <c r="Q12" s="47"/>
      <c r="R12" s="47"/>
      <c r="S12" s="47"/>
      <c r="T12" s="45"/>
      <c r="U12" s="150">
        <f>SUM(P12:T13)</f>
        <v>877739959</v>
      </c>
      <c r="V12" s="45"/>
      <c r="W12" s="45"/>
      <c r="X12" s="45"/>
      <c r="Y12" s="45"/>
      <c r="Z12" s="45"/>
      <c r="AA12" s="150">
        <f>SUM(V12:Z13)</f>
        <v>0</v>
      </c>
      <c r="AB12" s="138">
        <f t="shared" si="2"/>
        <v>0</v>
      </c>
      <c r="AC12" s="141"/>
      <c r="AD12" s="144" t="s">
        <v>50</v>
      </c>
      <c r="AE12" s="147" t="s">
        <v>173</v>
      </c>
    </row>
    <row r="13" spans="1:31" ht="69" x14ac:dyDescent="0.25">
      <c r="A13" s="10">
        <v>171</v>
      </c>
      <c r="B13" s="33" t="s">
        <v>51</v>
      </c>
      <c r="C13" s="33" t="s">
        <v>52</v>
      </c>
      <c r="D13" s="20" t="s">
        <v>53</v>
      </c>
      <c r="E13" s="16" t="s">
        <v>59</v>
      </c>
      <c r="F13" s="82" t="s">
        <v>60</v>
      </c>
      <c r="G13" s="120">
        <v>2021680010156</v>
      </c>
      <c r="H13" s="83" t="s">
        <v>208</v>
      </c>
      <c r="I13" s="99" t="s">
        <v>311</v>
      </c>
      <c r="J13" s="59">
        <v>44562</v>
      </c>
      <c r="K13" s="59">
        <v>44926</v>
      </c>
      <c r="L13" s="164"/>
      <c r="M13" s="162"/>
      <c r="N13" s="160"/>
      <c r="O13" s="57" t="s">
        <v>275</v>
      </c>
      <c r="P13" s="45">
        <v>3000000</v>
      </c>
      <c r="Q13" s="47"/>
      <c r="R13" s="47"/>
      <c r="S13" s="47"/>
      <c r="T13" s="45"/>
      <c r="U13" s="152"/>
      <c r="V13" s="45"/>
      <c r="W13" s="45"/>
      <c r="X13" s="45"/>
      <c r="Y13" s="45"/>
      <c r="Z13" s="45"/>
      <c r="AA13" s="152"/>
      <c r="AB13" s="140"/>
      <c r="AC13" s="143"/>
      <c r="AD13" s="146"/>
      <c r="AE13" s="149"/>
    </row>
    <row r="14" spans="1:31" ht="55.2" x14ac:dyDescent="0.25">
      <c r="A14" s="10">
        <v>172</v>
      </c>
      <c r="B14" s="33" t="s">
        <v>51</v>
      </c>
      <c r="C14" s="33" t="s">
        <v>52</v>
      </c>
      <c r="D14" s="20" t="s">
        <v>61</v>
      </c>
      <c r="E14" s="16" t="s">
        <v>62</v>
      </c>
      <c r="F14" s="82" t="s">
        <v>63</v>
      </c>
      <c r="G14" s="120">
        <v>2021680010159</v>
      </c>
      <c r="H14" s="83" t="s">
        <v>217</v>
      </c>
      <c r="I14" s="84"/>
      <c r="J14" s="59">
        <v>44562</v>
      </c>
      <c r="K14" s="59">
        <v>44926</v>
      </c>
      <c r="L14" s="75">
        <v>1</v>
      </c>
      <c r="M14" s="127">
        <v>0.4</v>
      </c>
      <c r="N14" s="76">
        <f t="shared" si="1"/>
        <v>0.4</v>
      </c>
      <c r="O14" s="57" t="s">
        <v>187</v>
      </c>
      <c r="P14" s="45">
        <v>21000000</v>
      </c>
      <c r="Q14" s="47"/>
      <c r="R14" s="47"/>
      <c r="S14" s="47"/>
      <c r="T14" s="45"/>
      <c r="U14" s="54">
        <f>SUM(P14:T14)</f>
        <v>21000000</v>
      </c>
      <c r="V14" s="47">
        <v>21000000</v>
      </c>
      <c r="W14" s="47"/>
      <c r="X14" s="47"/>
      <c r="Y14" s="47"/>
      <c r="Z14" s="45"/>
      <c r="AA14" s="54">
        <f>SUM(V14:Z14)</f>
        <v>21000000</v>
      </c>
      <c r="AB14" s="17">
        <f t="shared" si="2"/>
        <v>1</v>
      </c>
      <c r="AC14" s="18"/>
      <c r="AD14" s="27" t="s">
        <v>50</v>
      </c>
      <c r="AE14" s="34" t="s">
        <v>173</v>
      </c>
    </row>
    <row r="15" spans="1:31" ht="55.2" x14ac:dyDescent="0.25">
      <c r="A15" s="10">
        <v>173</v>
      </c>
      <c r="B15" s="33" t="s">
        <v>51</v>
      </c>
      <c r="C15" s="33" t="s">
        <v>52</v>
      </c>
      <c r="D15" s="20" t="s">
        <v>61</v>
      </c>
      <c r="E15" s="16" t="s">
        <v>64</v>
      </c>
      <c r="F15" s="82" t="s">
        <v>65</v>
      </c>
      <c r="G15" s="120">
        <v>2021680010159</v>
      </c>
      <c r="H15" s="83" t="s">
        <v>217</v>
      </c>
      <c r="I15" s="84"/>
      <c r="J15" s="59">
        <v>44562</v>
      </c>
      <c r="K15" s="59">
        <v>44926</v>
      </c>
      <c r="L15" s="75">
        <v>10</v>
      </c>
      <c r="M15" s="127">
        <v>0.1</v>
      </c>
      <c r="N15" s="76">
        <f t="shared" si="1"/>
        <v>0.01</v>
      </c>
      <c r="O15" s="57" t="s">
        <v>228</v>
      </c>
      <c r="P15" s="45">
        <v>45000000</v>
      </c>
      <c r="Q15" s="47"/>
      <c r="R15" s="47"/>
      <c r="S15" s="47"/>
      <c r="T15" s="45"/>
      <c r="U15" s="54">
        <f>SUM(P15:T15)</f>
        <v>45000000</v>
      </c>
      <c r="V15" s="47">
        <v>45000000</v>
      </c>
      <c r="W15" s="47"/>
      <c r="X15" s="47"/>
      <c r="Y15" s="47"/>
      <c r="Z15" s="45"/>
      <c r="AA15" s="54">
        <f t="shared" si="0"/>
        <v>45000000</v>
      </c>
      <c r="AB15" s="17">
        <f t="shared" si="2"/>
        <v>1</v>
      </c>
      <c r="AC15" s="18"/>
      <c r="AD15" s="27" t="s">
        <v>50</v>
      </c>
      <c r="AE15" s="34" t="s">
        <v>173</v>
      </c>
    </row>
    <row r="16" spans="1:31" ht="55.2" x14ac:dyDescent="0.25">
      <c r="A16" s="10">
        <v>174</v>
      </c>
      <c r="B16" s="33" t="s">
        <v>51</v>
      </c>
      <c r="C16" s="33" t="s">
        <v>52</v>
      </c>
      <c r="D16" s="20" t="s">
        <v>61</v>
      </c>
      <c r="E16" s="16" t="s">
        <v>66</v>
      </c>
      <c r="F16" s="82" t="s">
        <v>67</v>
      </c>
      <c r="G16" s="120">
        <v>2021680010159</v>
      </c>
      <c r="H16" s="83" t="s">
        <v>217</v>
      </c>
      <c r="I16" s="84"/>
      <c r="J16" s="59">
        <v>44562</v>
      </c>
      <c r="K16" s="59">
        <v>44926</v>
      </c>
      <c r="L16" s="75">
        <v>1</v>
      </c>
      <c r="M16" s="127">
        <v>0.6</v>
      </c>
      <c r="N16" s="76">
        <f t="shared" si="1"/>
        <v>0.6</v>
      </c>
      <c r="O16" s="57" t="s">
        <v>227</v>
      </c>
      <c r="P16" s="45">
        <v>24000000</v>
      </c>
      <c r="Q16" s="47"/>
      <c r="R16" s="47"/>
      <c r="S16" s="47"/>
      <c r="T16" s="45"/>
      <c r="U16" s="54">
        <f>SUM(P16:T16)</f>
        <v>24000000</v>
      </c>
      <c r="V16" s="47">
        <v>24000000</v>
      </c>
      <c r="W16" s="47"/>
      <c r="X16" s="47"/>
      <c r="Y16" s="47"/>
      <c r="Z16" s="45"/>
      <c r="AA16" s="54">
        <f t="shared" si="0"/>
        <v>24000000</v>
      </c>
      <c r="AB16" s="17">
        <f t="shared" si="2"/>
        <v>1</v>
      </c>
      <c r="AC16" s="18"/>
      <c r="AD16" s="27" t="s">
        <v>50</v>
      </c>
      <c r="AE16" s="34" t="s">
        <v>173</v>
      </c>
    </row>
    <row r="17" spans="1:31" ht="55.2" x14ac:dyDescent="0.25">
      <c r="A17" s="10">
        <v>175</v>
      </c>
      <c r="B17" s="33" t="s">
        <v>51</v>
      </c>
      <c r="C17" s="33" t="s">
        <v>52</v>
      </c>
      <c r="D17" s="20" t="s">
        <v>61</v>
      </c>
      <c r="E17" s="16" t="s">
        <v>68</v>
      </c>
      <c r="F17" s="82" t="s">
        <v>69</v>
      </c>
      <c r="G17" s="120">
        <v>2021680010159</v>
      </c>
      <c r="H17" s="83" t="s">
        <v>217</v>
      </c>
      <c r="I17" s="84"/>
      <c r="J17" s="59">
        <v>44562</v>
      </c>
      <c r="K17" s="59">
        <v>44926</v>
      </c>
      <c r="L17" s="75">
        <v>0</v>
      </c>
      <c r="M17" s="127">
        <v>0</v>
      </c>
      <c r="N17" s="76" t="str">
        <f t="shared" si="1"/>
        <v>-</v>
      </c>
      <c r="O17" s="63" t="s">
        <v>187</v>
      </c>
      <c r="P17" s="45">
        <v>21000000</v>
      </c>
      <c r="Q17" s="47"/>
      <c r="R17" s="47"/>
      <c r="S17" s="47"/>
      <c r="T17" s="45"/>
      <c r="U17" s="54">
        <f>SUM(P17:T17)</f>
        <v>21000000</v>
      </c>
      <c r="V17" s="47">
        <v>21000000</v>
      </c>
      <c r="W17" s="47"/>
      <c r="X17" s="47"/>
      <c r="Y17" s="47"/>
      <c r="Z17" s="45"/>
      <c r="AA17" s="54">
        <f t="shared" si="0"/>
        <v>21000000</v>
      </c>
      <c r="AB17" s="17">
        <f t="shared" si="2"/>
        <v>1</v>
      </c>
      <c r="AC17" s="18"/>
      <c r="AD17" s="27" t="s">
        <v>50</v>
      </c>
      <c r="AE17" s="34" t="s">
        <v>173</v>
      </c>
    </row>
    <row r="18" spans="1:31" ht="55.2" x14ac:dyDescent="0.25">
      <c r="A18" s="10">
        <v>176</v>
      </c>
      <c r="B18" s="33" t="s">
        <v>51</v>
      </c>
      <c r="C18" s="33" t="s">
        <v>52</v>
      </c>
      <c r="D18" s="20" t="s">
        <v>61</v>
      </c>
      <c r="E18" s="16" t="s">
        <v>70</v>
      </c>
      <c r="F18" s="82" t="s">
        <v>71</v>
      </c>
      <c r="G18" s="120">
        <v>2021680010159</v>
      </c>
      <c r="H18" s="83" t="s">
        <v>217</v>
      </c>
      <c r="I18" s="84"/>
      <c r="J18" s="85">
        <v>44562</v>
      </c>
      <c r="K18" s="85">
        <v>44926</v>
      </c>
      <c r="L18" s="175">
        <v>1</v>
      </c>
      <c r="M18" s="172">
        <v>1</v>
      </c>
      <c r="N18" s="169">
        <f>IFERROR(IF(M18/L18&gt;100%,100%,M18/L18),"-")</f>
        <v>1</v>
      </c>
      <c r="O18" s="86" t="s">
        <v>234</v>
      </c>
      <c r="P18" s="87">
        <v>384825000</v>
      </c>
      <c r="Q18" s="88"/>
      <c r="R18" s="88"/>
      <c r="S18" s="88"/>
      <c r="T18" s="87"/>
      <c r="U18" s="150">
        <f>SUM(P18:T20)</f>
        <v>21505525988</v>
      </c>
      <c r="V18" s="47">
        <f>21000000+294000000</f>
        <v>315000000</v>
      </c>
      <c r="W18" s="47"/>
      <c r="X18" s="47"/>
      <c r="Y18" s="47"/>
      <c r="Z18" s="45"/>
      <c r="AA18" s="150">
        <f>SUM(V18:Z20)</f>
        <v>315000000</v>
      </c>
      <c r="AB18" s="138">
        <f>IFERROR(AA18/U18,"-")</f>
        <v>1.4647398076930031E-2</v>
      </c>
      <c r="AC18" s="141"/>
      <c r="AD18" s="144" t="s">
        <v>50</v>
      </c>
      <c r="AE18" s="147" t="s">
        <v>173</v>
      </c>
    </row>
    <row r="19" spans="1:31" ht="69" x14ac:dyDescent="0.25">
      <c r="A19" s="10">
        <v>176</v>
      </c>
      <c r="B19" s="80" t="s">
        <v>51</v>
      </c>
      <c r="C19" s="80" t="s">
        <v>52</v>
      </c>
      <c r="D19" s="81" t="s">
        <v>61</v>
      </c>
      <c r="E19" s="16" t="s">
        <v>70</v>
      </c>
      <c r="F19" s="82" t="s">
        <v>71</v>
      </c>
      <c r="G19" s="120">
        <v>2022680010003</v>
      </c>
      <c r="H19" s="83" t="s">
        <v>242</v>
      </c>
      <c r="I19" s="84"/>
      <c r="J19" s="85"/>
      <c r="K19" s="85"/>
      <c r="L19" s="176"/>
      <c r="M19" s="173"/>
      <c r="N19" s="170"/>
      <c r="O19" s="86" t="s">
        <v>244</v>
      </c>
      <c r="P19" s="87">
        <v>6567148637</v>
      </c>
      <c r="Q19" s="88"/>
      <c r="R19" s="88"/>
      <c r="S19" s="88"/>
      <c r="T19" s="87"/>
      <c r="U19" s="151"/>
      <c r="V19" s="88"/>
      <c r="W19" s="88"/>
      <c r="X19" s="88"/>
      <c r="Y19" s="88"/>
      <c r="Z19" s="87"/>
      <c r="AA19" s="151"/>
      <c r="AB19" s="139"/>
      <c r="AC19" s="142"/>
      <c r="AD19" s="145"/>
      <c r="AE19" s="148"/>
    </row>
    <row r="20" spans="1:31" ht="55.2" x14ac:dyDescent="0.25">
      <c r="A20" s="10">
        <v>176</v>
      </c>
      <c r="B20" s="80" t="s">
        <v>51</v>
      </c>
      <c r="C20" s="80" t="s">
        <v>52</v>
      </c>
      <c r="D20" s="81" t="s">
        <v>61</v>
      </c>
      <c r="E20" s="16" t="s">
        <v>70</v>
      </c>
      <c r="F20" s="82" t="s">
        <v>71</v>
      </c>
      <c r="G20" s="226">
        <v>2021680010202</v>
      </c>
      <c r="H20" s="83" t="s">
        <v>260</v>
      </c>
      <c r="I20" s="84"/>
      <c r="J20" s="85"/>
      <c r="K20" s="85"/>
      <c r="L20" s="177"/>
      <c r="M20" s="174"/>
      <c r="N20" s="171"/>
      <c r="O20" s="109" t="s">
        <v>262</v>
      </c>
      <c r="P20" s="87"/>
      <c r="Q20" s="88"/>
      <c r="R20" s="88"/>
      <c r="S20" s="88"/>
      <c r="T20" s="87">
        <v>14553552351</v>
      </c>
      <c r="U20" s="152"/>
      <c r="V20" s="88"/>
      <c r="W20" s="88"/>
      <c r="X20" s="88"/>
      <c r="Y20" s="88"/>
      <c r="Z20" s="87"/>
      <c r="AA20" s="152"/>
      <c r="AB20" s="140"/>
      <c r="AC20" s="143"/>
      <c r="AD20" s="146"/>
      <c r="AE20" s="149"/>
    </row>
    <row r="21" spans="1:31" ht="55.2" x14ac:dyDescent="0.25">
      <c r="A21" s="10">
        <v>177</v>
      </c>
      <c r="B21" s="35" t="s">
        <v>51</v>
      </c>
      <c r="C21" s="35" t="s">
        <v>52</v>
      </c>
      <c r="D21" s="19" t="s">
        <v>72</v>
      </c>
      <c r="E21" s="21" t="s">
        <v>73</v>
      </c>
      <c r="F21" s="100" t="s">
        <v>74</v>
      </c>
      <c r="G21" s="122">
        <v>2020680010079</v>
      </c>
      <c r="H21" s="83" t="s">
        <v>75</v>
      </c>
      <c r="I21" s="84"/>
      <c r="J21" s="59">
        <v>44562</v>
      </c>
      <c r="K21" s="59">
        <v>44926</v>
      </c>
      <c r="L21" s="181">
        <v>1</v>
      </c>
      <c r="M21" s="183">
        <v>1</v>
      </c>
      <c r="N21" s="159">
        <f t="shared" si="1"/>
        <v>1</v>
      </c>
      <c r="O21" s="56" t="s">
        <v>231</v>
      </c>
      <c r="P21" s="45">
        <v>794935041</v>
      </c>
      <c r="Q21" s="47"/>
      <c r="R21" s="47"/>
      <c r="S21" s="47"/>
      <c r="T21" s="45"/>
      <c r="U21" s="150">
        <f>SUM(P21:T23)</f>
        <v>2506584284.4899998</v>
      </c>
      <c r="V21" s="87">
        <f>149023913+202058000+3000</f>
        <v>351084913</v>
      </c>
      <c r="W21" s="45"/>
      <c r="X21" s="45"/>
      <c r="Y21" s="45"/>
      <c r="Z21" s="45"/>
      <c r="AA21" s="150">
        <f>SUM(V21:Z23)</f>
        <v>391484913</v>
      </c>
      <c r="AB21" s="138">
        <f t="shared" si="2"/>
        <v>0.15618262486619441</v>
      </c>
      <c r="AC21" s="141"/>
      <c r="AD21" s="144" t="s">
        <v>50</v>
      </c>
      <c r="AE21" s="147" t="s">
        <v>173</v>
      </c>
    </row>
    <row r="22" spans="1:31" ht="55.2" x14ac:dyDescent="0.25">
      <c r="A22" s="10">
        <v>177</v>
      </c>
      <c r="B22" s="35" t="s">
        <v>51</v>
      </c>
      <c r="C22" s="35" t="s">
        <v>52</v>
      </c>
      <c r="D22" s="19" t="s">
        <v>72</v>
      </c>
      <c r="E22" s="21" t="s">
        <v>73</v>
      </c>
      <c r="F22" s="100" t="s">
        <v>74</v>
      </c>
      <c r="G22" s="122">
        <v>2021680010162</v>
      </c>
      <c r="H22" s="83" t="s">
        <v>179</v>
      </c>
      <c r="I22" s="84"/>
      <c r="J22" s="59">
        <v>44562</v>
      </c>
      <c r="K22" s="59">
        <v>44926</v>
      </c>
      <c r="L22" s="182"/>
      <c r="M22" s="184"/>
      <c r="N22" s="180"/>
      <c r="O22" s="64" t="s">
        <v>180</v>
      </c>
      <c r="P22" s="45">
        <v>115500000</v>
      </c>
      <c r="Q22" s="47"/>
      <c r="R22" s="47"/>
      <c r="S22" s="47"/>
      <c r="T22" s="45"/>
      <c r="U22" s="151"/>
      <c r="V22" s="88">
        <f>6400000+10600000+7800000+7800000+7800000</f>
        <v>40400000</v>
      </c>
      <c r="W22" s="47"/>
      <c r="X22" s="47"/>
      <c r="Y22" s="47"/>
      <c r="Z22" s="45"/>
      <c r="AA22" s="151"/>
      <c r="AB22" s="139"/>
      <c r="AC22" s="142"/>
      <c r="AD22" s="145"/>
      <c r="AE22" s="148"/>
    </row>
    <row r="23" spans="1:31" ht="55.2" x14ac:dyDescent="0.25">
      <c r="A23" s="10">
        <v>177</v>
      </c>
      <c r="B23" s="35" t="s">
        <v>51</v>
      </c>
      <c r="C23" s="35" t="s">
        <v>52</v>
      </c>
      <c r="D23" s="19" t="s">
        <v>72</v>
      </c>
      <c r="E23" s="21" t="s">
        <v>73</v>
      </c>
      <c r="F23" s="100" t="s">
        <v>74</v>
      </c>
      <c r="G23" s="122"/>
      <c r="H23" s="83" t="s">
        <v>276</v>
      </c>
      <c r="I23" s="99" t="s">
        <v>311</v>
      </c>
      <c r="J23" s="59"/>
      <c r="K23" s="59"/>
      <c r="L23" s="182"/>
      <c r="M23" s="184"/>
      <c r="N23" s="180"/>
      <c r="O23" s="56" t="s">
        <v>274</v>
      </c>
      <c r="P23" s="45">
        <v>1596149243.49</v>
      </c>
      <c r="Q23" s="47"/>
      <c r="R23" s="47"/>
      <c r="S23" s="47"/>
      <c r="T23" s="45"/>
      <c r="U23" s="152"/>
      <c r="V23" s="47"/>
      <c r="W23" s="47"/>
      <c r="X23" s="47"/>
      <c r="Y23" s="47"/>
      <c r="Z23" s="45"/>
      <c r="AA23" s="152"/>
      <c r="AB23" s="140"/>
      <c r="AC23" s="143"/>
      <c r="AD23" s="146"/>
      <c r="AE23" s="149"/>
    </row>
    <row r="24" spans="1:31" ht="96.6" x14ac:dyDescent="0.25">
      <c r="A24" s="10">
        <v>217</v>
      </c>
      <c r="B24" s="35" t="s">
        <v>42</v>
      </c>
      <c r="C24" s="35" t="s">
        <v>76</v>
      </c>
      <c r="D24" s="23" t="s">
        <v>77</v>
      </c>
      <c r="E24" s="21" t="s">
        <v>78</v>
      </c>
      <c r="F24" s="100" t="s">
        <v>79</v>
      </c>
      <c r="G24" s="122">
        <v>2020680010110</v>
      </c>
      <c r="H24" s="83" t="s">
        <v>80</v>
      </c>
      <c r="I24" s="82" t="s">
        <v>81</v>
      </c>
      <c r="J24" s="59">
        <v>44562</v>
      </c>
      <c r="K24" s="59">
        <v>44926</v>
      </c>
      <c r="L24" s="165">
        <v>4</v>
      </c>
      <c r="M24" s="161">
        <v>4</v>
      </c>
      <c r="N24" s="159">
        <f>IFERROR(IF(M24/L24&gt;100%,100%,M24/L24),"-")</f>
        <v>1</v>
      </c>
      <c r="O24" s="56" t="s">
        <v>243</v>
      </c>
      <c r="P24" s="45">
        <f>627200000+364746543</f>
        <v>991946543</v>
      </c>
      <c r="Q24" s="47"/>
      <c r="R24" s="47"/>
      <c r="S24" s="47"/>
      <c r="T24" s="45"/>
      <c r="U24" s="150">
        <f>SUM(P24:T25)</f>
        <v>1104946543</v>
      </c>
      <c r="V24" s="88">
        <f>222884853.58+40642000+364740890+296120362.26</f>
        <v>924388105.84000003</v>
      </c>
      <c r="W24" s="47"/>
      <c r="X24" s="47"/>
      <c r="Y24" s="47"/>
      <c r="Z24" s="45"/>
      <c r="AA24" s="150">
        <f>SUM(V24:Z25)</f>
        <v>924388105.84000003</v>
      </c>
      <c r="AB24" s="138">
        <f>IFERROR(AA24/U24,"-")</f>
        <v>0.83659079409419002</v>
      </c>
      <c r="AC24" s="141"/>
      <c r="AD24" s="144" t="s">
        <v>50</v>
      </c>
      <c r="AE24" s="147" t="s">
        <v>173</v>
      </c>
    </row>
    <row r="25" spans="1:31" ht="41.4" x14ac:dyDescent="0.25">
      <c r="A25" s="10">
        <v>217</v>
      </c>
      <c r="B25" s="35" t="s">
        <v>42</v>
      </c>
      <c r="C25" s="35" t="s">
        <v>76</v>
      </c>
      <c r="D25" s="23" t="s">
        <v>77</v>
      </c>
      <c r="E25" s="21" t="s">
        <v>78</v>
      </c>
      <c r="F25" s="100" t="s">
        <v>79</v>
      </c>
      <c r="G25" s="122">
        <v>2020680010110</v>
      </c>
      <c r="H25" s="83" t="s">
        <v>80</v>
      </c>
      <c r="I25" s="82" t="s">
        <v>311</v>
      </c>
      <c r="J25" s="59">
        <v>44562</v>
      </c>
      <c r="K25" s="59">
        <v>44926</v>
      </c>
      <c r="L25" s="166"/>
      <c r="M25" s="162"/>
      <c r="N25" s="160"/>
      <c r="O25" s="56" t="s">
        <v>269</v>
      </c>
      <c r="P25" s="45">
        <v>113000000</v>
      </c>
      <c r="Q25" s="47"/>
      <c r="R25" s="47"/>
      <c r="S25" s="47"/>
      <c r="T25" s="45"/>
      <c r="U25" s="152"/>
      <c r="V25" s="88"/>
      <c r="W25" s="47"/>
      <c r="X25" s="47"/>
      <c r="Y25" s="47"/>
      <c r="Z25" s="45"/>
      <c r="AA25" s="152"/>
      <c r="AB25" s="140"/>
      <c r="AC25" s="143"/>
      <c r="AD25" s="146"/>
      <c r="AE25" s="149"/>
    </row>
    <row r="26" spans="1:31" ht="69" x14ac:dyDescent="0.25">
      <c r="A26" s="10">
        <v>229</v>
      </c>
      <c r="B26" s="24" t="s">
        <v>42</v>
      </c>
      <c r="C26" s="22" t="s">
        <v>43</v>
      </c>
      <c r="D26" s="24" t="s">
        <v>44</v>
      </c>
      <c r="E26" s="21" t="s">
        <v>82</v>
      </c>
      <c r="F26" s="100" t="s">
        <v>83</v>
      </c>
      <c r="G26" s="122">
        <v>2021680010160</v>
      </c>
      <c r="H26" s="83" t="s">
        <v>212</v>
      </c>
      <c r="I26" s="82" t="s">
        <v>84</v>
      </c>
      <c r="J26" s="59">
        <v>44562</v>
      </c>
      <c r="K26" s="59">
        <v>44926</v>
      </c>
      <c r="L26" s="165">
        <v>1</v>
      </c>
      <c r="M26" s="161">
        <v>1</v>
      </c>
      <c r="N26" s="159">
        <f>IFERROR(IF(M26/L26&gt;100%,100%,M26/L26),"-")</f>
        <v>1</v>
      </c>
      <c r="O26" s="89" t="s">
        <v>250</v>
      </c>
      <c r="P26" s="87">
        <f>1251400000+45000000+50000000</f>
        <v>1346400000</v>
      </c>
      <c r="Q26" s="47"/>
      <c r="R26" s="47"/>
      <c r="S26" s="47"/>
      <c r="T26" s="45"/>
      <c r="U26" s="150">
        <f>SUM(P26:T28)</f>
        <v>2689773334</v>
      </c>
      <c r="V26" s="88">
        <v>1326100000</v>
      </c>
      <c r="W26" s="47"/>
      <c r="X26" s="47"/>
      <c r="Y26" s="47"/>
      <c r="Z26" s="45"/>
      <c r="AA26" s="150">
        <f>SUM(V26:Z28)</f>
        <v>1468291531</v>
      </c>
      <c r="AB26" s="138">
        <f>IFERROR(AA26/U26,"-")</f>
        <v>0.5458792800270954</v>
      </c>
      <c r="AC26" s="141"/>
      <c r="AD26" s="144" t="s">
        <v>50</v>
      </c>
      <c r="AE26" s="147" t="s">
        <v>173</v>
      </c>
    </row>
    <row r="27" spans="1:31" ht="69" x14ac:dyDescent="0.25">
      <c r="A27" s="10">
        <v>229</v>
      </c>
      <c r="B27" s="24" t="s">
        <v>42</v>
      </c>
      <c r="C27" s="22" t="s">
        <v>43</v>
      </c>
      <c r="D27" s="24" t="s">
        <v>44</v>
      </c>
      <c r="E27" s="21" t="s">
        <v>82</v>
      </c>
      <c r="F27" s="100" t="s">
        <v>83</v>
      </c>
      <c r="G27" s="122">
        <v>2021680010160</v>
      </c>
      <c r="H27" s="83" t="s">
        <v>212</v>
      </c>
      <c r="I27" s="82" t="s">
        <v>311</v>
      </c>
      <c r="J27" s="59"/>
      <c r="K27" s="59"/>
      <c r="L27" s="178"/>
      <c r="M27" s="179"/>
      <c r="N27" s="180"/>
      <c r="O27" s="90" t="s">
        <v>277</v>
      </c>
      <c r="P27" s="87">
        <v>1159373334</v>
      </c>
      <c r="Q27" s="47"/>
      <c r="R27" s="47"/>
      <c r="S27" s="47"/>
      <c r="T27" s="45"/>
      <c r="U27" s="151"/>
      <c r="V27" s="88"/>
      <c r="W27" s="47"/>
      <c r="X27" s="47"/>
      <c r="Y27" s="47"/>
      <c r="Z27" s="45"/>
      <c r="AA27" s="151"/>
      <c r="AB27" s="139"/>
      <c r="AC27" s="142"/>
      <c r="AD27" s="145"/>
      <c r="AE27" s="148"/>
    </row>
    <row r="28" spans="1:31" ht="41.4" x14ac:dyDescent="0.25">
      <c r="A28" s="10">
        <v>229</v>
      </c>
      <c r="B28" s="22" t="s">
        <v>42</v>
      </c>
      <c r="C28" s="22" t="s">
        <v>43</v>
      </c>
      <c r="D28" s="24" t="s">
        <v>44</v>
      </c>
      <c r="E28" s="21" t="s">
        <v>82</v>
      </c>
      <c r="F28" s="100" t="s">
        <v>83</v>
      </c>
      <c r="G28" s="122">
        <v>2021680010161</v>
      </c>
      <c r="H28" s="83" t="s">
        <v>191</v>
      </c>
      <c r="I28" s="83" t="s">
        <v>309</v>
      </c>
      <c r="J28" s="59">
        <v>44562</v>
      </c>
      <c r="K28" s="59">
        <v>44926</v>
      </c>
      <c r="L28" s="178"/>
      <c r="M28" s="179"/>
      <c r="N28" s="180"/>
      <c r="O28" s="90" t="s">
        <v>220</v>
      </c>
      <c r="P28" s="45">
        <v>184000000</v>
      </c>
      <c r="Q28" s="47"/>
      <c r="R28" s="47"/>
      <c r="S28" s="47"/>
      <c r="T28" s="47"/>
      <c r="U28" s="151"/>
      <c r="V28" s="88">
        <v>142191531</v>
      </c>
      <c r="W28" s="47"/>
      <c r="X28" s="47"/>
      <c r="Y28" s="47"/>
      <c r="Z28" s="45"/>
      <c r="AA28" s="151"/>
      <c r="AB28" s="139"/>
      <c r="AC28" s="142"/>
      <c r="AD28" s="145"/>
      <c r="AE28" s="148"/>
    </row>
    <row r="29" spans="1:31" ht="69" x14ac:dyDescent="0.25">
      <c r="A29" s="10">
        <v>230</v>
      </c>
      <c r="B29" s="33" t="s">
        <v>42</v>
      </c>
      <c r="C29" s="33" t="s">
        <v>43</v>
      </c>
      <c r="D29" s="20" t="s">
        <v>44</v>
      </c>
      <c r="E29" s="21" t="s">
        <v>111</v>
      </c>
      <c r="F29" s="82" t="s">
        <v>112</v>
      </c>
      <c r="G29" s="122">
        <v>2021680010166</v>
      </c>
      <c r="H29" s="83" t="s">
        <v>213</v>
      </c>
      <c r="I29" s="84"/>
      <c r="J29" s="59">
        <v>44562</v>
      </c>
      <c r="K29" s="59">
        <v>44926</v>
      </c>
      <c r="L29" s="165">
        <v>1</v>
      </c>
      <c r="M29" s="194">
        <v>0.5</v>
      </c>
      <c r="N29" s="159">
        <f>IFERROR(IF(M29/L29&gt;100%,100%,M29/L29),"-")</f>
        <v>0.5</v>
      </c>
      <c r="O29" s="86" t="s">
        <v>240</v>
      </c>
      <c r="P29" s="45">
        <v>60000000</v>
      </c>
      <c r="Q29" s="47"/>
      <c r="R29" s="47"/>
      <c r="S29" s="48"/>
      <c r="T29" s="47"/>
      <c r="U29" s="150">
        <f>SUM(P29:T32)</f>
        <v>150000000</v>
      </c>
      <c r="V29" s="47">
        <v>60000000</v>
      </c>
      <c r="W29" s="47"/>
      <c r="X29" s="47"/>
      <c r="Y29" s="49"/>
      <c r="Z29" s="47"/>
      <c r="AA29" s="150">
        <f>SUM(V29:Z32)</f>
        <v>60000000</v>
      </c>
      <c r="AB29" s="138">
        <f>IFERROR(AA29/U29,"-")</f>
        <v>0.4</v>
      </c>
      <c r="AC29" s="141"/>
      <c r="AD29" s="144" t="s">
        <v>50</v>
      </c>
      <c r="AE29" s="147" t="s">
        <v>173</v>
      </c>
    </row>
    <row r="30" spans="1:31" ht="69" x14ac:dyDescent="0.25">
      <c r="A30" s="10">
        <v>230</v>
      </c>
      <c r="B30" s="33" t="s">
        <v>42</v>
      </c>
      <c r="C30" s="33" t="s">
        <v>43</v>
      </c>
      <c r="D30" s="20" t="s">
        <v>44</v>
      </c>
      <c r="E30" s="21" t="s">
        <v>111</v>
      </c>
      <c r="F30" s="82" t="s">
        <v>112</v>
      </c>
      <c r="G30" s="122">
        <v>2021680010166</v>
      </c>
      <c r="H30" s="83" t="s">
        <v>213</v>
      </c>
      <c r="I30" s="99" t="s">
        <v>311</v>
      </c>
      <c r="J30" s="59"/>
      <c r="K30" s="59"/>
      <c r="L30" s="178"/>
      <c r="M30" s="195"/>
      <c r="N30" s="180"/>
      <c r="O30" s="86" t="s">
        <v>283</v>
      </c>
      <c r="P30" s="45">
        <v>50000000</v>
      </c>
      <c r="Q30" s="47"/>
      <c r="R30" s="47"/>
      <c r="S30" s="48"/>
      <c r="T30" s="47"/>
      <c r="U30" s="151"/>
      <c r="V30" s="47"/>
      <c r="W30" s="47"/>
      <c r="X30" s="47"/>
      <c r="Y30" s="49"/>
      <c r="Z30" s="47"/>
      <c r="AA30" s="151"/>
      <c r="AB30" s="139"/>
      <c r="AC30" s="142"/>
      <c r="AD30" s="145"/>
      <c r="AE30" s="148"/>
    </row>
    <row r="31" spans="1:31" ht="55.2" x14ac:dyDescent="0.25">
      <c r="A31" s="10">
        <v>230</v>
      </c>
      <c r="B31" s="33" t="s">
        <v>42</v>
      </c>
      <c r="C31" s="33" t="s">
        <v>43</v>
      </c>
      <c r="D31" s="20" t="s">
        <v>44</v>
      </c>
      <c r="E31" s="21" t="s">
        <v>111</v>
      </c>
      <c r="F31" s="82" t="s">
        <v>112</v>
      </c>
      <c r="G31" s="122">
        <v>2021680010150</v>
      </c>
      <c r="H31" s="83" t="s">
        <v>200</v>
      </c>
      <c r="I31" s="84"/>
      <c r="J31" s="59">
        <v>44562</v>
      </c>
      <c r="K31" s="59">
        <v>44926</v>
      </c>
      <c r="L31" s="178"/>
      <c r="M31" s="195"/>
      <c r="N31" s="180"/>
      <c r="O31" s="86" t="s">
        <v>201</v>
      </c>
      <c r="P31" s="45">
        <v>20000000</v>
      </c>
      <c r="Q31" s="47"/>
      <c r="R31" s="47"/>
      <c r="S31" s="48"/>
      <c r="T31" s="47"/>
      <c r="U31" s="151"/>
      <c r="V31" s="45"/>
      <c r="W31" s="45"/>
      <c r="X31" s="45"/>
      <c r="Y31" s="62"/>
      <c r="Z31" s="45"/>
      <c r="AA31" s="151"/>
      <c r="AB31" s="139"/>
      <c r="AC31" s="142"/>
      <c r="AD31" s="145"/>
      <c r="AE31" s="148"/>
    </row>
    <row r="32" spans="1:31" ht="55.2" x14ac:dyDescent="0.25">
      <c r="A32" s="10">
        <v>230</v>
      </c>
      <c r="B32" s="33" t="s">
        <v>42</v>
      </c>
      <c r="C32" s="33" t="s">
        <v>43</v>
      </c>
      <c r="D32" s="20" t="s">
        <v>44</v>
      </c>
      <c r="E32" s="21" t="s">
        <v>111</v>
      </c>
      <c r="F32" s="82" t="s">
        <v>112</v>
      </c>
      <c r="G32" s="122">
        <v>2021680010150</v>
      </c>
      <c r="H32" s="83" t="s">
        <v>200</v>
      </c>
      <c r="I32" s="99" t="s">
        <v>311</v>
      </c>
      <c r="J32" s="59"/>
      <c r="K32" s="59"/>
      <c r="L32" s="166"/>
      <c r="M32" s="196"/>
      <c r="N32" s="160"/>
      <c r="O32" s="108" t="s">
        <v>273</v>
      </c>
      <c r="P32" s="45">
        <v>20000000</v>
      </c>
      <c r="Q32" s="47"/>
      <c r="R32" s="47"/>
      <c r="S32" s="48"/>
      <c r="T32" s="47"/>
      <c r="U32" s="152"/>
      <c r="V32" s="45"/>
      <c r="W32" s="45"/>
      <c r="X32" s="45"/>
      <c r="Y32" s="62"/>
      <c r="Z32" s="45"/>
      <c r="AA32" s="152"/>
      <c r="AB32" s="140"/>
      <c r="AC32" s="143"/>
      <c r="AD32" s="146"/>
      <c r="AE32" s="149"/>
    </row>
    <row r="33" spans="1:31" ht="82.8" x14ac:dyDescent="0.25">
      <c r="A33" s="10">
        <v>231</v>
      </c>
      <c r="B33" s="35" t="s">
        <v>42</v>
      </c>
      <c r="C33" s="35" t="s">
        <v>43</v>
      </c>
      <c r="D33" s="19" t="s">
        <v>44</v>
      </c>
      <c r="E33" s="21" t="s">
        <v>113</v>
      </c>
      <c r="F33" s="100" t="s">
        <v>114</v>
      </c>
      <c r="G33" s="120">
        <v>2021680010009</v>
      </c>
      <c r="H33" s="83" t="s">
        <v>115</v>
      </c>
      <c r="I33" s="82" t="s">
        <v>116</v>
      </c>
      <c r="J33" s="59">
        <v>44562</v>
      </c>
      <c r="K33" s="59">
        <v>44926</v>
      </c>
      <c r="L33" s="71">
        <v>1</v>
      </c>
      <c r="M33" s="128">
        <v>1</v>
      </c>
      <c r="N33" s="69">
        <f>IFERROR(IF(M33/L33&gt;100%,100%,M33/L33),"-")</f>
        <v>1</v>
      </c>
      <c r="O33" s="91" t="s">
        <v>175</v>
      </c>
      <c r="P33" s="45">
        <v>460000000</v>
      </c>
      <c r="Q33" s="47"/>
      <c r="R33" s="47"/>
      <c r="S33" s="47"/>
      <c r="T33" s="47"/>
      <c r="U33" s="115">
        <f>SUM(P33:T33)</f>
        <v>460000000</v>
      </c>
      <c r="V33" s="47">
        <f>106735701+293221240</f>
        <v>399956941</v>
      </c>
      <c r="W33" s="47"/>
      <c r="X33" s="47"/>
      <c r="Y33" s="47"/>
      <c r="Z33" s="47"/>
      <c r="AA33" s="115">
        <f>SUM(V33:Z33)</f>
        <v>399956941</v>
      </c>
      <c r="AB33" s="70">
        <f>IFERROR(AA33/U33,"-")</f>
        <v>0.86947161086956526</v>
      </c>
      <c r="AC33" s="68"/>
      <c r="AD33" s="66" t="s">
        <v>50</v>
      </c>
      <c r="AE33" s="67" t="s">
        <v>173</v>
      </c>
    </row>
    <row r="34" spans="1:31" ht="55.2" x14ac:dyDescent="0.25">
      <c r="A34" s="10">
        <v>232</v>
      </c>
      <c r="B34" s="36" t="s">
        <v>42</v>
      </c>
      <c r="C34" s="35" t="s">
        <v>43</v>
      </c>
      <c r="D34" s="19" t="s">
        <v>44</v>
      </c>
      <c r="E34" s="21" t="s">
        <v>104</v>
      </c>
      <c r="F34" s="100" t="s">
        <v>105</v>
      </c>
      <c r="G34" s="120">
        <v>2021680010086</v>
      </c>
      <c r="H34" s="101" t="s">
        <v>194</v>
      </c>
      <c r="I34" s="102" t="s">
        <v>103</v>
      </c>
      <c r="J34" s="59">
        <v>44562</v>
      </c>
      <c r="K34" s="59">
        <v>44926</v>
      </c>
      <c r="L34" s="185">
        <v>1</v>
      </c>
      <c r="M34" s="197">
        <v>0.5</v>
      </c>
      <c r="N34" s="187">
        <f>IFERROR(IF(M34/L34&gt;100%,100%,M34/L34),"-")</f>
        <v>0.5</v>
      </c>
      <c r="O34" s="89" t="s">
        <v>261</v>
      </c>
      <c r="P34" s="45"/>
      <c r="Q34" s="47"/>
      <c r="R34" s="47"/>
      <c r="S34" s="88"/>
      <c r="T34" s="47">
        <v>765268843</v>
      </c>
      <c r="U34" s="150">
        <f>SUM(P34:T35)</f>
        <v>878007551</v>
      </c>
      <c r="V34" s="47"/>
      <c r="W34" s="47"/>
      <c r="X34" s="47"/>
      <c r="Y34" s="49"/>
      <c r="Z34" s="88">
        <v>748359079</v>
      </c>
      <c r="AA34" s="150">
        <f>SUM(V34:Z35)</f>
        <v>748359079</v>
      </c>
      <c r="AB34" s="138">
        <f>IFERROR(AA34/U34,"-")</f>
        <v>0.85233786218314656</v>
      </c>
      <c r="AC34" s="141"/>
      <c r="AD34" s="144" t="s">
        <v>50</v>
      </c>
      <c r="AE34" s="147" t="s">
        <v>173</v>
      </c>
    </row>
    <row r="35" spans="1:31" ht="41.4" x14ac:dyDescent="0.25">
      <c r="A35" s="10">
        <v>232</v>
      </c>
      <c r="B35" s="36" t="s">
        <v>42</v>
      </c>
      <c r="C35" s="35" t="s">
        <v>43</v>
      </c>
      <c r="D35" s="19" t="s">
        <v>44</v>
      </c>
      <c r="E35" s="21" t="s">
        <v>104</v>
      </c>
      <c r="F35" s="100" t="s">
        <v>105</v>
      </c>
      <c r="G35" s="120">
        <v>2021680010086</v>
      </c>
      <c r="H35" s="101" t="s">
        <v>194</v>
      </c>
      <c r="I35" s="102" t="s">
        <v>311</v>
      </c>
      <c r="J35" s="59"/>
      <c r="K35" s="59"/>
      <c r="L35" s="185"/>
      <c r="M35" s="197"/>
      <c r="N35" s="187"/>
      <c r="O35" s="90" t="s">
        <v>288</v>
      </c>
      <c r="P35" s="45"/>
      <c r="Q35" s="47"/>
      <c r="R35" s="47"/>
      <c r="S35" s="48"/>
      <c r="T35" s="47">
        <v>112738708</v>
      </c>
      <c r="U35" s="152"/>
      <c r="V35" s="47"/>
      <c r="W35" s="47"/>
      <c r="X35" s="47"/>
      <c r="Y35" s="49"/>
      <c r="Z35" s="47"/>
      <c r="AA35" s="152"/>
      <c r="AB35" s="140"/>
      <c r="AC35" s="143"/>
      <c r="AD35" s="146"/>
      <c r="AE35" s="149"/>
    </row>
    <row r="36" spans="1:31" ht="69" x14ac:dyDescent="0.25">
      <c r="A36" s="10">
        <v>233</v>
      </c>
      <c r="B36" s="36" t="s">
        <v>42</v>
      </c>
      <c r="C36" s="35" t="s">
        <v>43</v>
      </c>
      <c r="D36" s="19" t="s">
        <v>44</v>
      </c>
      <c r="E36" s="21" t="s">
        <v>87</v>
      </c>
      <c r="F36" s="100" t="s">
        <v>88</v>
      </c>
      <c r="G36" s="122">
        <v>2021680010160</v>
      </c>
      <c r="H36" s="83" t="s">
        <v>212</v>
      </c>
      <c r="I36" s="83" t="s">
        <v>86</v>
      </c>
      <c r="J36" s="59">
        <v>44562</v>
      </c>
      <c r="K36" s="59">
        <v>44926</v>
      </c>
      <c r="L36" s="165">
        <v>3</v>
      </c>
      <c r="M36" s="161">
        <v>3</v>
      </c>
      <c r="N36" s="159">
        <f>IFERROR(IF(M36/L36&gt;100%,100%,M36/L36),"-")</f>
        <v>1</v>
      </c>
      <c r="O36" s="92" t="s">
        <v>241</v>
      </c>
      <c r="P36" s="87">
        <v>123000000</v>
      </c>
      <c r="Q36" s="47"/>
      <c r="R36" s="47"/>
      <c r="S36" s="49"/>
      <c r="T36" s="47"/>
      <c r="U36" s="150">
        <f>SUM(P36:T38)</f>
        <v>286610000</v>
      </c>
      <c r="V36" s="87">
        <v>123000000</v>
      </c>
      <c r="W36" s="47"/>
      <c r="X36" s="47"/>
      <c r="Y36" s="49"/>
      <c r="Z36" s="47"/>
      <c r="AA36" s="150">
        <f>SUM(V36:Z38)</f>
        <v>123000000</v>
      </c>
      <c r="AB36" s="138">
        <f>IFERROR(AA36/U36,"-")</f>
        <v>0.42915460032797181</v>
      </c>
      <c r="AC36" s="141"/>
      <c r="AD36" s="144" t="s">
        <v>50</v>
      </c>
      <c r="AE36" s="147" t="s">
        <v>173</v>
      </c>
    </row>
    <row r="37" spans="1:31" ht="69" x14ac:dyDescent="0.25">
      <c r="A37" s="10">
        <v>233</v>
      </c>
      <c r="B37" s="36" t="s">
        <v>42</v>
      </c>
      <c r="C37" s="35" t="s">
        <v>43</v>
      </c>
      <c r="D37" s="19" t="s">
        <v>44</v>
      </c>
      <c r="E37" s="21" t="s">
        <v>87</v>
      </c>
      <c r="F37" s="100" t="s">
        <v>88</v>
      </c>
      <c r="G37" s="122">
        <v>2021680010160</v>
      </c>
      <c r="H37" s="83" t="s">
        <v>212</v>
      </c>
      <c r="I37" s="82" t="s">
        <v>311</v>
      </c>
      <c r="J37" s="59"/>
      <c r="K37" s="59"/>
      <c r="L37" s="178"/>
      <c r="M37" s="179"/>
      <c r="N37" s="180"/>
      <c r="O37" s="92" t="s">
        <v>278</v>
      </c>
      <c r="P37" s="45">
        <v>83610000</v>
      </c>
      <c r="Q37" s="47"/>
      <c r="R37" s="47"/>
      <c r="S37" s="49"/>
      <c r="T37" s="47"/>
      <c r="U37" s="151"/>
      <c r="V37" s="47"/>
      <c r="W37" s="47"/>
      <c r="X37" s="47"/>
      <c r="Y37" s="49"/>
      <c r="Z37" s="47"/>
      <c r="AA37" s="151"/>
      <c r="AB37" s="139"/>
      <c r="AC37" s="142"/>
      <c r="AD37" s="145"/>
      <c r="AE37" s="148"/>
    </row>
    <row r="38" spans="1:31" ht="82.8" x14ac:dyDescent="0.25">
      <c r="A38" s="10">
        <v>233</v>
      </c>
      <c r="B38" s="35" t="s">
        <v>42</v>
      </c>
      <c r="C38" s="35" t="s">
        <v>43</v>
      </c>
      <c r="D38" s="19" t="s">
        <v>44</v>
      </c>
      <c r="E38" s="21" t="s">
        <v>87</v>
      </c>
      <c r="F38" s="100" t="s">
        <v>88</v>
      </c>
      <c r="G38" s="122">
        <v>2021680010126</v>
      </c>
      <c r="H38" s="83" t="s">
        <v>193</v>
      </c>
      <c r="I38" s="82" t="s">
        <v>311</v>
      </c>
      <c r="J38" s="59"/>
      <c r="K38" s="59"/>
      <c r="L38" s="166"/>
      <c r="M38" s="162"/>
      <c r="N38" s="160"/>
      <c r="O38" s="93" t="s">
        <v>289</v>
      </c>
      <c r="P38" s="45">
        <v>80000000</v>
      </c>
      <c r="Q38" s="47"/>
      <c r="R38" s="47"/>
      <c r="S38" s="49"/>
      <c r="T38" s="45"/>
      <c r="U38" s="152"/>
      <c r="V38" s="45"/>
      <c r="W38" s="45"/>
      <c r="X38" s="45"/>
      <c r="Y38" s="62"/>
      <c r="Z38" s="45"/>
      <c r="AA38" s="152"/>
      <c r="AB38" s="140"/>
      <c r="AC38" s="143"/>
      <c r="AD38" s="146"/>
      <c r="AE38" s="149"/>
    </row>
    <row r="39" spans="1:31" ht="69" x14ac:dyDescent="0.25">
      <c r="A39" s="10">
        <v>235</v>
      </c>
      <c r="B39" s="24" t="s">
        <v>42</v>
      </c>
      <c r="C39" s="22" t="s">
        <v>43</v>
      </c>
      <c r="D39" s="24" t="s">
        <v>92</v>
      </c>
      <c r="E39" s="21" t="s">
        <v>93</v>
      </c>
      <c r="F39" s="100" t="s">
        <v>94</v>
      </c>
      <c r="G39" s="122">
        <v>2021680010160</v>
      </c>
      <c r="H39" s="83" t="s">
        <v>212</v>
      </c>
      <c r="I39" s="83" t="s">
        <v>86</v>
      </c>
      <c r="J39" s="59">
        <v>44562</v>
      </c>
      <c r="K39" s="59">
        <v>44926</v>
      </c>
      <c r="L39" s="165">
        <v>1</v>
      </c>
      <c r="M39" s="194">
        <v>0.5</v>
      </c>
      <c r="N39" s="159">
        <f>IFERROR(IF(M39/L39&gt;100%,100%,M39/L39),"-")</f>
        <v>0.5</v>
      </c>
      <c r="O39" s="94" t="s">
        <v>237</v>
      </c>
      <c r="P39" s="45">
        <v>128400000</v>
      </c>
      <c r="Q39" s="47"/>
      <c r="R39" s="47"/>
      <c r="S39" s="48"/>
      <c r="T39" s="131"/>
      <c r="U39" s="153">
        <f>SUM(P39:T61)</f>
        <v>10080958756.16</v>
      </c>
      <c r="V39" s="131">
        <v>128400000</v>
      </c>
      <c r="W39" s="47"/>
      <c r="X39" s="47"/>
      <c r="Y39" s="49"/>
      <c r="Z39" s="131"/>
      <c r="AA39" s="156">
        <f>SUM(V39:Z61)</f>
        <v>1971923051.1599998</v>
      </c>
      <c r="AB39" s="138">
        <f>IFERROR(AA39/U39,"-")</f>
        <v>0.19560868156067501</v>
      </c>
      <c r="AC39" s="141"/>
      <c r="AD39" s="144" t="s">
        <v>50</v>
      </c>
      <c r="AE39" s="147" t="s">
        <v>173</v>
      </c>
    </row>
    <row r="40" spans="1:31" ht="69" x14ac:dyDescent="0.25">
      <c r="A40" s="10">
        <v>235</v>
      </c>
      <c r="B40" s="24" t="s">
        <v>42</v>
      </c>
      <c r="C40" s="22" t="s">
        <v>43</v>
      </c>
      <c r="D40" s="24" t="s">
        <v>92</v>
      </c>
      <c r="E40" s="21" t="s">
        <v>93</v>
      </c>
      <c r="F40" s="100" t="s">
        <v>94</v>
      </c>
      <c r="G40" s="122">
        <v>2021680010160</v>
      </c>
      <c r="H40" s="83" t="s">
        <v>212</v>
      </c>
      <c r="I40" s="82" t="s">
        <v>311</v>
      </c>
      <c r="J40" s="59"/>
      <c r="K40" s="59"/>
      <c r="L40" s="178"/>
      <c r="M40" s="195"/>
      <c r="N40" s="180"/>
      <c r="O40" s="94" t="s">
        <v>279</v>
      </c>
      <c r="P40" s="45">
        <v>98906667</v>
      </c>
      <c r="Q40" s="47"/>
      <c r="R40" s="47"/>
      <c r="S40" s="48"/>
      <c r="T40" s="131"/>
      <c r="U40" s="154"/>
      <c r="V40" s="131"/>
      <c r="W40" s="47"/>
      <c r="X40" s="47"/>
      <c r="Y40" s="49"/>
      <c r="Z40" s="131"/>
      <c r="AA40" s="157"/>
      <c r="AB40" s="139"/>
      <c r="AC40" s="142"/>
      <c r="AD40" s="145"/>
      <c r="AE40" s="148"/>
    </row>
    <row r="41" spans="1:31" ht="69" x14ac:dyDescent="0.25">
      <c r="A41" s="10">
        <v>235</v>
      </c>
      <c r="B41" s="22" t="s">
        <v>42</v>
      </c>
      <c r="C41" s="22" t="s">
        <v>43</v>
      </c>
      <c r="D41" s="22" t="s">
        <v>92</v>
      </c>
      <c r="E41" s="21" t="s">
        <v>93</v>
      </c>
      <c r="F41" s="100" t="s">
        <v>94</v>
      </c>
      <c r="G41" s="120">
        <v>2021680010086</v>
      </c>
      <c r="H41" s="83" t="s">
        <v>194</v>
      </c>
      <c r="I41" s="82" t="s">
        <v>95</v>
      </c>
      <c r="J41" s="59">
        <v>44562</v>
      </c>
      <c r="K41" s="59">
        <v>44926</v>
      </c>
      <c r="L41" s="178"/>
      <c r="M41" s="195"/>
      <c r="N41" s="180"/>
      <c r="O41" s="89" t="s">
        <v>236</v>
      </c>
      <c r="P41" s="132"/>
      <c r="Q41" s="47"/>
      <c r="R41" s="47"/>
      <c r="S41" s="48"/>
      <c r="T41" s="47">
        <v>33000000</v>
      </c>
      <c r="U41" s="154"/>
      <c r="V41" s="131"/>
      <c r="W41" s="47"/>
      <c r="X41" s="47"/>
      <c r="Y41" s="49"/>
      <c r="Z41" s="131">
        <v>33000000</v>
      </c>
      <c r="AA41" s="157"/>
      <c r="AB41" s="139"/>
      <c r="AC41" s="142"/>
      <c r="AD41" s="145"/>
      <c r="AE41" s="148"/>
    </row>
    <row r="42" spans="1:31" ht="55.2" x14ac:dyDescent="0.25">
      <c r="A42" s="10">
        <v>235</v>
      </c>
      <c r="B42" s="22" t="s">
        <v>42</v>
      </c>
      <c r="C42" s="22" t="s">
        <v>43</v>
      </c>
      <c r="D42" s="22" t="s">
        <v>92</v>
      </c>
      <c r="E42" s="21" t="s">
        <v>93</v>
      </c>
      <c r="F42" s="100" t="s">
        <v>94</v>
      </c>
      <c r="G42" s="122">
        <v>2020680010136</v>
      </c>
      <c r="H42" s="103" t="s">
        <v>99</v>
      </c>
      <c r="I42" s="82" t="s">
        <v>96</v>
      </c>
      <c r="J42" s="59">
        <v>44562</v>
      </c>
      <c r="K42" s="59">
        <v>44926</v>
      </c>
      <c r="L42" s="178"/>
      <c r="M42" s="195"/>
      <c r="N42" s="180"/>
      <c r="O42" s="89" t="s">
        <v>221</v>
      </c>
      <c r="P42" s="132"/>
      <c r="Q42" s="47"/>
      <c r="R42" s="47"/>
      <c r="S42" s="48"/>
      <c r="T42" s="47">
        <v>274741412</v>
      </c>
      <c r="U42" s="154"/>
      <c r="V42" s="132"/>
      <c r="W42" s="45"/>
      <c r="X42" s="45"/>
      <c r="Y42" s="62"/>
      <c r="Z42" s="132"/>
      <c r="AA42" s="157"/>
      <c r="AB42" s="139"/>
      <c r="AC42" s="142"/>
      <c r="AD42" s="145"/>
      <c r="AE42" s="148"/>
    </row>
    <row r="43" spans="1:31" ht="69" x14ac:dyDescent="0.25">
      <c r="A43" s="10">
        <v>235</v>
      </c>
      <c r="B43" s="22" t="s">
        <v>42</v>
      </c>
      <c r="C43" s="22" t="s">
        <v>43</v>
      </c>
      <c r="D43" s="22" t="s">
        <v>92</v>
      </c>
      <c r="E43" s="21" t="s">
        <v>93</v>
      </c>
      <c r="F43" s="100" t="s">
        <v>94</v>
      </c>
      <c r="G43" s="122">
        <v>2021680010180</v>
      </c>
      <c r="H43" s="103" t="s">
        <v>211</v>
      </c>
      <c r="I43" s="82"/>
      <c r="J43" s="59">
        <v>44562</v>
      </c>
      <c r="K43" s="59">
        <v>44926</v>
      </c>
      <c r="L43" s="166"/>
      <c r="M43" s="196"/>
      <c r="N43" s="160"/>
      <c r="O43" s="90" t="s">
        <v>313</v>
      </c>
      <c r="P43" s="132"/>
      <c r="Q43" s="47"/>
      <c r="R43" s="47"/>
      <c r="S43" s="48"/>
      <c r="T43" s="131">
        <f>1346523104+350000000+869475096</f>
        <v>2565998200</v>
      </c>
      <c r="U43" s="154"/>
      <c r="V43" s="132"/>
      <c r="W43" s="45"/>
      <c r="X43" s="45"/>
      <c r="Y43" s="62"/>
      <c r="Z43" s="132"/>
      <c r="AA43" s="157"/>
      <c r="AB43" s="139"/>
      <c r="AC43" s="142"/>
      <c r="AD43" s="145"/>
      <c r="AE43" s="148"/>
    </row>
    <row r="44" spans="1:31" ht="96.6" x14ac:dyDescent="0.25">
      <c r="A44" s="10">
        <v>235</v>
      </c>
      <c r="B44" s="22" t="s">
        <v>42</v>
      </c>
      <c r="C44" s="22" t="s">
        <v>43</v>
      </c>
      <c r="D44" s="22" t="s">
        <v>92</v>
      </c>
      <c r="E44" s="21" t="s">
        <v>93</v>
      </c>
      <c r="F44" s="100" t="s">
        <v>94</v>
      </c>
      <c r="G44" s="122">
        <v>2021680010107</v>
      </c>
      <c r="H44" s="103" t="s">
        <v>195</v>
      </c>
      <c r="I44" s="106" t="s">
        <v>97</v>
      </c>
      <c r="J44" s="74">
        <v>44562</v>
      </c>
      <c r="K44" s="74">
        <v>44926</v>
      </c>
      <c r="L44" s="178"/>
      <c r="M44" s="195"/>
      <c r="N44" s="180"/>
      <c r="O44" s="89" t="s">
        <v>222</v>
      </c>
      <c r="P44" s="132"/>
      <c r="Q44" s="47"/>
      <c r="R44" s="47"/>
      <c r="S44" s="48"/>
      <c r="T44" s="47">
        <v>150000000</v>
      </c>
      <c r="U44" s="154"/>
      <c r="V44" s="132"/>
      <c r="W44" s="45"/>
      <c r="X44" s="45"/>
      <c r="Y44" s="62"/>
      <c r="Z44" s="132"/>
      <c r="AA44" s="157"/>
      <c r="AB44" s="139"/>
      <c r="AC44" s="142"/>
      <c r="AD44" s="145"/>
      <c r="AE44" s="148"/>
    </row>
    <row r="45" spans="1:31" ht="55.2" x14ac:dyDescent="0.25">
      <c r="A45" s="10">
        <v>235</v>
      </c>
      <c r="B45" s="22" t="s">
        <v>42</v>
      </c>
      <c r="C45" s="22" t="s">
        <v>43</v>
      </c>
      <c r="D45" s="22" t="s">
        <v>92</v>
      </c>
      <c r="E45" s="21" t="s">
        <v>93</v>
      </c>
      <c r="F45" s="100" t="s">
        <v>94</v>
      </c>
      <c r="G45" s="122">
        <v>2021680010163</v>
      </c>
      <c r="H45" s="83" t="s">
        <v>196</v>
      </c>
      <c r="I45" s="82" t="s">
        <v>305</v>
      </c>
      <c r="J45" s="59">
        <v>44562</v>
      </c>
      <c r="K45" s="59">
        <v>44926</v>
      </c>
      <c r="L45" s="178"/>
      <c r="M45" s="195"/>
      <c r="N45" s="180"/>
      <c r="O45" s="90" t="s">
        <v>245</v>
      </c>
      <c r="P45" s="45">
        <v>18273527</v>
      </c>
      <c r="Q45" s="47"/>
      <c r="R45" s="47"/>
      <c r="S45" s="48"/>
      <c r="T45" s="47">
        <v>7986197</v>
      </c>
      <c r="U45" s="154"/>
      <c r="V45" s="132">
        <v>18273527</v>
      </c>
      <c r="W45" s="45"/>
      <c r="X45" s="45"/>
      <c r="Y45" s="62"/>
      <c r="Z45" s="132">
        <v>7986197</v>
      </c>
      <c r="AA45" s="157"/>
      <c r="AB45" s="139"/>
      <c r="AC45" s="142"/>
      <c r="AD45" s="145"/>
      <c r="AE45" s="148"/>
    </row>
    <row r="46" spans="1:31" ht="55.2" x14ac:dyDescent="0.25">
      <c r="A46" s="10">
        <v>235</v>
      </c>
      <c r="B46" s="22" t="s">
        <v>42</v>
      </c>
      <c r="C46" s="22" t="s">
        <v>43</v>
      </c>
      <c r="D46" s="22" t="s">
        <v>92</v>
      </c>
      <c r="E46" s="21" t="s">
        <v>93</v>
      </c>
      <c r="F46" s="100" t="s">
        <v>94</v>
      </c>
      <c r="G46" s="122">
        <v>2021680010155</v>
      </c>
      <c r="H46" s="83" t="s">
        <v>197</v>
      </c>
      <c r="I46" s="82" t="s">
        <v>85</v>
      </c>
      <c r="J46" s="59">
        <v>44562</v>
      </c>
      <c r="K46" s="59">
        <v>44926</v>
      </c>
      <c r="L46" s="178"/>
      <c r="M46" s="195"/>
      <c r="N46" s="180"/>
      <c r="O46" s="110" t="s">
        <v>306</v>
      </c>
      <c r="P46" s="45"/>
      <c r="Q46" s="47"/>
      <c r="R46" s="47"/>
      <c r="S46" s="48"/>
      <c r="T46" s="47">
        <v>70000000</v>
      </c>
      <c r="U46" s="154"/>
      <c r="V46" s="132"/>
      <c r="W46" s="45"/>
      <c r="X46" s="45"/>
      <c r="Y46" s="62"/>
      <c r="Z46" s="132"/>
      <c r="AA46" s="157"/>
      <c r="AB46" s="139"/>
      <c r="AC46" s="142"/>
      <c r="AD46" s="145"/>
      <c r="AE46" s="148"/>
    </row>
    <row r="47" spans="1:31" ht="55.2" x14ac:dyDescent="0.25">
      <c r="A47" s="10">
        <v>235</v>
      </c>
      <c r="B47" s="22" t="s">
        <v>42</v>
      </c>
      <c r="C47" s="22" t="s">
        <v>43</v>
      </c>
      <c r="D47" s="22" t="s">
        <v>92</v>
      </c>
      <c r="E47" s="21" t="s">
        <v>93</v>
      </c>
      <c r="F47" s="100" t="s">
        <v>94</v>
      </c>
      <c r="G47" s="122">
        <v>2021680010155</v>
      </c>
      <c r="H47" s="83" t="s">
        <v>197</v>
      </c>
      <c r="I47" s="82" t="s">
        <v>311</v>
      </c>
      <c r="J47" s="59"/>
      <c r="K47" s="59"/>
      <c r="L47" s="178"/>
      <c r="M47" s="195"/>
      <c r="N47" s="180"/>
      <c r="O47" s="110" t="s">
        <v>290</v>
      </c>
      <c r="P47" s="45">
        <v>575406991</v>
      </c>
      <c r="Q47" s="47"/>
      <c r="R47" s="47"/>
      <c r="S47" s="48"/>
      <c r="T47" s="47"/>
      <c r="U47" s="154"/>
      <c r="V47" s="132"/>
      <c r="W47" s="45"/>
      <c r="X47" s="45"/>
      <c r="Y47" s="62"/>
      <c r="Z47" s="132"/>
      <c r="AA47" s="157"/>
      <c r="AB47" s="139"/>
      <c r="AC47" s="142"/>
      <c r="AD47" s="145"/>
      <c r="AE47" s="148"/>
    </row>
    <row r="48" spans="1:31" ht="55.2" x14ac:dyDescent="0.25">
      <c r="A48" s="10">
        <v>235</v>
      </c>
      <c r="B48" s="22" t="s">
        <v>42</v>
      </c>
      <c r="C48" s="22" t="s">
        <v>43</v>
      </c>
      <c r="D48" s="22" t="s">
        <v>92</v>
      </c>
      <c r="E48" s="21" t="s">
        <v>93</v>
      </c>
      <c r="F48" s="100" t="s">
        <v>94</v>
      </c>
      <c r="G48" s="122">
        <v>2020680010131</v>
      </c>
      <c r="H48" s="83" t="s">
        <v>263</v>
      </c>
      <c r="I48" s="82"/>
      <c r="J48" s="59"/>
      <c r="K48" s="59"/>
      <c r="L48" s="178"/>
      <c r="M48" s="195"/>
      <c r="N48" s="180"/>
      <c r="O48" s="110" t="s">
        <v>264</v>
      </c>
      <c r="P48" s="45"/>
      <c r="Q48" s="47"/>
      <c r="R48" s="47"/>
      <c r="S48" s="48"/>
      <c r="T48" s="47">
        <v>10143921</v>
      </c>
      <c r="U48" s="154"/>
      <c r="V48" s="132"/>
      <c r="W48" s="45"/>
      <c r="X48" s="45"/>
      <c r="Y48" s="62"/>
      <c r="Z48" s="132"/>
      <c r="AA48" s="157"/>
      <c r="AB48" s="139"/>
      <c r="AC48" s="142"/>
      <c r="AD48" s="145"/>
      <c r="AE48" s="148"/>
    </row>
    <row r="49" spans="1:31" ht="55.2" x14ac:dyDescent="0.25">
      <c r="A49" s="10">
        <v>235</v>
      </c>
      <c r="B49" s="22" t="s">
        <v>42</v>
      </c>
      <c r="C49" s="22" t="s">
        <v>43</v>
      </c>
      <c r="D49" s="22" t="s">
        <v>92</v>
      </c>
      <c r="E49" s="21" t="s">
        <v>93</v>
      </c>
      <c r="F49" s="100" t="s">
        <v>94</v>
      </c>
      <c r="G49" s="122">
        <v>2020680010131</v>
      </c>
      <c r="H49" s="83" t="s">
        <v>263</v>
      </c>
      <c r="I49" s="99" t="s">
        <v>311</v>
      </c>
      <c r="J49" s="59"/>
      <c r="K49" s="59"/>
      <c r="L49" s="178"/>
      <c r="M49" s="195"/>
      <c r="N49" s="180"/>
      <c r="O49" s="110" t="s">
        <v>297</v>
      </c>
      <c r="P49" s="45"/>
      <c r="Q49" s="47"/>
      <c r="R49" s="47"/>
      <c r="S49" s="48"/>
      <c r="T49" s="47">
        <v>121000000</v>
      </c>
      <c r="U49" s="154"/>
      <c r="V49" s="132"/>
      <c r="W49" s="45"/>
      <c r="X49" s="45"/>
      <c r="Y49" s="62"/>
      <c r="Z49" s="132"/>
      <c r="AA49" s="157"/>
      <c r="AB49" s="139"/>
      <c r="AC49" s="142"/>
      <c r="AD49" s="145"/>
      <c r="AE49" s="148"/>
    </row>
    <row r="50" spans="1:31" ht="55.2" x14ac:dyDescent="0.25">
      <c r="A50" s="10">
        <v>235</v>
      </c>
      <c r="B50" s="22" t="s">
        <v>42</v>
      </c>
      <c r="C50" s="22" t="s">
        <v>43</v>
      </c>
      <c r="D50" s="22" t="s">
        <v>92</v>
      </c>
      <c r="E50" s="21" t="s">
        <v>93</v>
      </c>
      <c r="F50" s="100" t="s">
        <v>94</v>
      </c>
      <c r="G50" s="122">
        <v>2021680010179</v>
      </c>
      <c r="H50" s="83" t="s">
        <v>252</v>
      </c>
      <c r="I50" s="82"/>
      <c r="J50" s="59"/>
      <c r="K50" s="59"/>
      <c r="L50" s="178"/>
      <c r="M50" s="195"/>
      <c r="N50" s="180"/>
      <c r="O50" s="93" t="s">
        <v>247</v>
      </c>
      <c r="P50" s="132"/>
      <c r="Q50" s="47"/>
      <c r="R50" s="47"/>
      <c r="S50" s="48"/>
      <c r="T50" s="47">
        <v>196811537.16</v>
      </c>
      <c r="U50" s="154"/>
      <c r="V50" s="132"/>
      <c r="W50" s="45"/>
      <c r="X50" s="45"/>
      <c r="Y50" s="62"/>
      <c r="Z50" s="132">
        <v>196811537.16</v>
      </c>
      <c r="AA50" s="157"/>
      <c r="AB50" s="139"/>
      <c r="AC50" s="142"/>
      <c r="AD50" s="145"/>
      <c r="AE50" s="148"/>
    </row>
    <row r="51" spans="1:31" ht="55.2" x14ac:dyDescent="0.25">
      <c r="A51" s="10">
        <v>235</v>
      </c>
      <c r="B51" s="22" t="s">
        <v>42</v>
      </c>
      <c r="C51" s="22" t="s">
        <v>43</v>
      </c>
      <c r="D51" s="22" t="s">
        <v>92</v>
      </c>
      <c r="E51" s="21" t="s">
        <v>93</v>
      </c>
      <c r="F51" s="100" t="s">
        <v>94</v>
      </c>
      <c r="G51" s="122">
        <v>2021680010095</v>
      </c>
      <c r="H51" s="83" t="s">
        <v>254</v>
      </c>
      <c r="I51" s="82"/>
      <c r="J51" s="59"/>
      <c r="K51" s="59"/>
      <c r="L51" s="178"/>
      <c r="M51" s="195"/>
      <c r="N51" s="180"/>
      <c r="O51" s="93" t="s">
        <v>248</v>
      </c>
      <c r="P51" s="132"/>
      <c r="Q51" s="47"/>
      <c r="R51" s="47"/>
      <c r="S51" s="48"/>
      <c r="T51" s="47">
        <v>163509429</v>
      </c>
      <c r="U51" s="154"/>
      <c r="V51" s="132"/>
      <c r="W51" s="45"/>
      <c r="X51" s="45"/>
      <c r="Y51" s="62"/>
      <c r="Z51" s="132">
        <v>163509428</v>
      </c>
      <c r="AA51" s="157"/>
      <c r="AB51" s="139"/>
      <c r="AC51" s="142"/>
      <c r="AD51" s="145"/>
      <c r="AE51" s="148"/>
    </row>
    <row r="52" spans="1:31" ht="41.4" x14ac:dyDescent="0.25">
      <c r="A52" s="10">
        <v>235</v>
      </c>
      <c r="B52" s="22" t="s">
        <v>42</v>
      </c>
      <c r="C52" s="22" t="s">
        <v>43</v>
      </c>
      <c r="D52" s="22" t="s">
        <v>92</v>
      </c>
      <c r="E52" s="21" t="s">
        <v>93</v>
      </c>
      <c r="F52" s="100" t="s">
        <v>94</v>
      </c>
      <c r="G52" s="122">
        <v>2021680010172</v>
      </c>
      <c r="H52" s="103" t="s">
        <v>214</v>
      </c>
      <c r="I52" s="82"/>
      <c r="J52" s="59">
        <v>44562</v>
      </c>
      <c r="K52" s="59">
        <v>44926</v>
      </c>
      <c r="L52" s="178"/>
      <c r="M52" s="195"/>
      <c r="N52" s="180"/>
      <c r="O52" s="89" t="s">
        <v>229</v>
      </c>
      <c r="P52" s="132"/>
      <c r="Q52" s="47"/>
      <c r="R52" s="47"/>
      <c r="S52" s="48"/>
      <c r="T52" s="47">
        <v>267119538</v>
      </c>
      <c r="U52" s="154"/>
      <c r="V52" s="131"/>
      <c r="W52" s="47"/>
      <c r="X52" s="47"/>
      <c r="Y52" s="49"/>
      <c r="Z52" s="131">
        <v>177600000</v>
      </c>
      <c r="AA52" s="157"/>
      <c r="AB52" s="139"/>
      <c r="AC52" s="142"/>
      <c r="AD52" s="145"/>
      <c r="AE52" s="148"/>
    </row>
    <row r="53" spans="1:31" ht="41.4" x14ac:dyDescent="0.25">
      <c r="A53" s="10">
        <v>235</v>
      </c>
      <c r="B53" s="22" t="s">
        <v>42</v>
      </c>
      <c r="C53" s="22" t="s">
        <v>43</v>
      </c>
      <c r="D53" s="22" t="s">
        <v>92</v>
      </c>
      <c r="E53" s="21" t="s">
        <v>93</v>
      </c>
      <c r="F53" s="100" t="s">
        <v>94</v>
      </c>
      <c r="G53" s="122">
        <v>2021680010172</v>
      </c>
      <c r="H53" s="103" t="s">
        <v>214</v>
      </c>
      <c r="I53" s="82" t="s">
        <v>311</v>
      </c>
      <c r="J53" s="59"/>
      <c r="K53" s="59"/>
      <c r="L53" s="178"/>
      <c r="M53" s="195"/>
      <c r="N53" s="180"/>
      <c r="O53" s="91" t="s">
        <v>294</v>
      </c>
      <c r="P53" s="132"/>
      <c r="Q53" s="47"/>
      <c r="R53" s="47"/>
      <c r="S53" s="48"/>
      <c r="T53" s="47">
        <v>446000000</v>
      </c>
      <c r="U53" s="154"/>
      <c r="V53" s="131"/>
      <c r="W53" s="47"/>
      <c r="X53" s="47"/>
      <c r="Y53" s="49"/>
      <c r="Z53" s="131"/>
      <c r="AA53" s="157"/>
      <c r="AB53" s="139"/>
      <c r="AC53" s="142"/>
      <c r="AD53" s="145"/>
      <c r="AE53" s="148"/>
    </row>
    <row r="54" spans="1:31" ht="55.2" x14ac:dyDescent="0.25">
      <c r="A54" s="10">
        <v>235</v>
      </c>
      <c r="B54" s="22" t="s">
        <v>42</v>
      </c>
      <c r="C54" s="22" t="s">
        <v>43</v>
      </c>
      <c r="D54" s="22" t="s">
        <v>92</v>
      </c>
      <c r="E54" s="21" t="s">
        <v>93</v>
      </c>
      <c r="F54" s="100" t="s">
        <v>94</v>
      </c>
      <c r="G54" s="122">
        <v>2021680010170</v>
      </c>
      <c r="H54" s="83" t="s">
        <v>265</v>
      </c>
      <c r="I54" s="82" t="s">
        <v>98</v>
      </c>
      <c r="J54" s="59">
        <v>44562</v>
      </c>
      <c r="K54" s="59">
        <v>44926</v>
      </c>
      <c r="L54" s="178"/>
      <c r="M54" s="195"/>
      <c r="N54" s="180"/>
      <c r="O54" s="91" t="s">
        <v>266</v>
      </c>
      <c r="P54" s="132"/>
      <c r="Q54" s="47"/>
      <c r="R54" s="47"/>
      <c r="S54" s="48"/>
      <c r="T54" s="47">
        <v>267119536</v>
      </c>
      <c r="U54" s="154"/>
      <c r="V54" s="132"/>
      <c r="W54" s="45"/>
      <c r="X54" s="45"/>
      <c r="Y54" s="62"/>
      <c r="Z54" s="132">
        <v>22255000</v>
      </c>
      <c r="AA54" s="157"/>
      <c r="AB54" s="139"/>
      <c r="AC54" s="142"/>
      <c r="AD54" s="145"/>
      <c r="AE54" s="148"/>
    </row>
    <row r="55" spans="1:31" ht="41.4" x14ac:dyDescent="0.25">
      <c r="A55" s="10">
        <v>235</v>
      </c>
      <c r="B55" s="22" t="s">
        <v>42</v>
      </c>
      <c r="C55" s="22" t="s">
        <v>43</v>
      </c>
      <c r="D55" s="22" t="s">
        <v>92</v>
      </c>
      <c r="E55" s="21" t="s">
        <v>93</v>
      </c>
      <c r="F55" s="100" t="s">
        <v>94</v>
      </c>
      <c r="G55" s="122">
        <v>2021680010169</v>
      </c>
      <c r="H55" s="83" t="s">
        <v>199</v>
      </c>
      <c r="I55" s="82"/>
      <c r="J55" s="59">
        <v>44562</v>
      </c>
      <c r="K55" s="59">
        <v>44926</v>
      </c>
      <c r="L55" s="178"/>
      <c r="M55" s="195"/>
      <c r="N55" s="180"/>
      <c r="O55" s="90" t="s">
        <v>230</v>
      </c>
      <c r="P55" s="132"/>
      <c r="Q55" s="47"/>
      <c r="R55" s="47"/>
      <c r="S55" s="48"/>
      <c r="T55" s="47">
        <v>267119537</v>
      </c>
      <c r="U55" s="154"/>
      <c r="V55" s="132"/>
      <c r="W55" s="45"/>
      <c r="X55" s="45"/>
      <c r="Y55" s="62"/>
      <c r="Z55" s="132"/>
      <c r="AA55" s="157"/>
      <c r="AB55" s="139"/>
      <c r="AC55" s="142"/>
      <c r="AD55" s="145"/>
      <c r="AE55" s="148"/>
    </row>
    <row r="56" spans="1:31" ht="55.2" x14ac:dyDescent="0.25">
      <c r="A56" s="10">
        <v>235</v>
      </c>
      <c r="B56" s="22" t="s">
        <v>42</v>
      </c>
      <c r="C56" s="22" t="s">
        <v>43</v>
      </c>
      <c r="D56" s="22" t="s">
        <v>92</v>
      </c>
      <c r="E56" s="21" t="s">
        <v>93</v>
      </c>
      <c r="F56" s="100" t="s">
        <v>94</v>
      </c>
      <c r="G56" s="122">
        <v>2021680010167</v>
      </c>
      <c r="H56" s="103" t="s">
        <v>255</v>
      </c>
      <c r="I56" s="82"/>
      <c r="J56" s="59"/>
      <c r="K56" s="59"/>
      <c r="L56" s="178"/>
      <c r="M56" s="195"/>
      <c r="N56" s="180"/>
      <c r="O56" s="93" t="s">
        <v>314</v>
      </c>
      <c r="P56" s="132">
        <f>1286726473</f>
        <v>1286726473</v>
      </c>
      <c r="Q56" s="47"/>
      <c r="R56" s="47"/>
      <c r="S56" s="48"/>
      <c r="T56" s="131"/>
      <c r="U56" s="154"/>
      <c r="V56" s="132">
        <f>296395848+496051514+431640000</f>
        <v>1224087362</v>
      </c>
      <c r="W56" s="45"/>
      <c r="X56" s="45"/>
      <c r="Y56" s="62"/>
      <c r="Z56" s="132"/>
      <c r="AA56" s="157"/>
      <c r="AB56" s="139"/>
      <c r="AC56" s="142"/>
      <c r="AD56" s="145"/>
      <c r="AE56" s="148"/>
    </row>
    <row r="57" spans="1:31" ht="55.2" x14ac:dyDescent="0.25">
      <c r="A57" s="10">
        <v>235</v>
      </c>
      <c r="B57" s="22" t="s">
        <v>42</v>
      </c>
      <c r="C57" s="22" t="s">
        <v>43</v>
      </c>
      <c r="D57" s="22" t="s">
        <v>92</v>
      </c>
      <c r="E57" s="21" t="s">
        <v>93</v>
      </c>
      <c r="F57" s="100" t="s">
        <v>94</v>
      </c>
      <c r="G57" s="122">
        <v>2021680010167</v>
      </c>
      <c r="H57" s="103" t="s">
        <v>255</v>
      </c>
      <c r="I57" s="82" t="s">
        <v>311</v>
      </c>
      <c r="J57" s="59"/>
      <c r="K57" s="59"/>
      <c r="L57" s="178"/>
      <c r="M57" s="195"/>
      <c r="N57" s="180"/>
      <c r="O57" s="93" t="s">
        <v>315</v>
      </c>
      <c r="P57" s="132">
        <f>148066511+395312304</f>
        <v>543378815</v>
      </c>
      <c r="Q57" s="47"/>
      <c r="R57" s="47"/>
      <c r="S57" s="48"/>
      <c r="T57" s="131"/>
      <c r="U57" s="154"/>
      <c r="V57" s="132"/>
      <c r="W57" s="45"/>
      <c r="X57" s="45"/>
      <c r="Y57" s="62"/>
      <c r="Z57" s="132"/>
      <c r="AA57" s="157"/>
      <c r="AB57" s="139"/>
      <c r="AC57" s="142"/>
      <c r="AD57" s="145"/>
      <c r="AE57" s="148"/>
    </row>
    <row r="58" spans="1:31" ht="41.4" x14ac:dyDescent="0.25">
      <c r="A58" s="10">
        <v>235</v>
      </c>
      <c r="B58" s="22" t="s">
        <v>42</v>
      </c>
      <c r="C58" s="22" t="s">
        <v>43</v>
      </c>
      <c r="D58" s="22" t="s">
        <v>92</v>
      </c>
      <c r="E58" s="21" t="s">
        <v>93</v>
      </c>
      <c r="F58" s="100" t="s">
        <v>94</v>
      </c>
      <c r="G58" s="122">
        <v>2021680010149</v>
      </c>
      <c r="H58" s="103" t="s">
        <v>202</v>
      </c>
      <c r="I58" s="82"/>
      <c r="J58" s="59">
        <v>44562</v>
      </c>
      <c r="K58" s="59">
        <v>44926</v>
      </c>
      <c r="L58" s="178"/>
      <c r="M58" s="195"/>
      <c r="N58" s="180"/>
      <c r="O58" s="89" t="s">
        <v>223</v>
      </c>
      <c r="P58" s="132"/>
      <c r="Q58" s="47"/>
      <c r="R58" s="47"/>
      <c r="S58" s="48"/>
      <c r="T58" s="131">
        <v>400000000</v>
      </c>
      <c r="U58" s="154"/>
      <c r="V58" s="132"/>
      <c r="W58" s="45"/>
      <c r="X58" s="45"/>
      <c r="Y58" s="62"/>
      <c r="Z58" s="132"/>
      <c r="AA58" s="157"/>
      <c r="AB58" s="139"/>
      <c r="AC58" s="142"/>
      <c r="AD58" s="145"/>
      <c r="AE58" s="148"/>
    </row>
    <row r="59" spans="1:31" ht="41.4" x14ac:dyDescent="0.25">
      <c r="A59" s="10">
        <v>235</v>
      </c>
      <c r="B59" s="22" t="s">
        <v>42</v>
      </c>
      <c r="C59" s="22" t="s">
        <v>43</v>
      </c>
      <c r="D59" s="22" t="s">
        <v>92</v>
      </c>
      <c r="E59" s="21" t="s">
        <v>93</v>
      </c>
      <c r="F59" s="100" t="s">
        <v>94</v>
      </c>
      <c r="G59" s="122">
        <v>2022680010020</v>
      </c>
      <c r="H59" s="103" t="s">
        <v>286</v>
      </c>
      <c r="I59" s="82"/>
      <c r="J59" s="59"/>
      <c r="K59" s="59"/>
      <c r="L59" s="178"/>
      <c r="M59" s="195"/>
      <c r="N59" s="180"/>
      <c r="O59" s="91" t="s">
        <v>287</v>
      </c>
      <c r="P59" s="132">
        <v>1213316976</v>
      </c>
      <c r="Q59" s="47"/>
      <c r="R59" s="47"/>
      <c r="S59" s="48"/>
      <c r="T59" s="131"/>
      <c r="U59" s="154"/>
      <c r="V59" s="132"/>
      <c r="W59" s="45"/>
      <c r="X59" s="45"/>
      <c r="Y59" s="62"/>
      <c r="Z59" s="132"/>
      <c r="AA59" s="157"/>
      <c r="AB59" s="139"/>
      <c r="AC59" s="142"/>
      <c r="AD59" s="145"/>
      <c r="AE59" s="148"/>
    </row>
    <row r="60" spans="1:31" ht="69" x14ac:dyDescent="0.25">
      <c r="A60" s="10">
        <v>235</v>
      </c>
      <c r="B60" s="22" t="s">
        <v>42</v>
      </c>
      <c r="C60" s="22" t="s">
        <v>43</v>
      </c>
      <c r="D60" s="22" t="s">
        <v>92</v>
      </c>
      <c r="E60" s="21" t="s">
        <v>93</v>
      </c>
      <c r="F60" s="100" t="s">
        <v>94</v>
      </c>
      <c r="G60" s="122">
        <v>2021680010085</v>
      </c>
      <c r="H60" s="103" t="s">
        <v>293</v>
      </c>
      <c r="I60" s="99" t="s">
        <v>311</v>
      </c>
      <c r="J60" s="59"/>
      <c r="K60" s="59"/>
      <c r="L60" s="178"/>
      <c r="M60" s="195"/>
      <c r="N60" s="180"/>
      <c r="O60" s="89" t="s">
        <v>308</v>
      </c>
      <c r="P60" s="132">
        <v>76000000</v>
      </c>
      <c r="Q60" s="47"/>
      <c r="R60" s="47"/>
      <c r="S60" s="48"/>
      <c r="T60" s="131"/>
      <c r="U60" s="154"/>
      <c r="V60" s="132"/>
      <c r="W60" s="45"/>
      <c r="X60" s="45"/>
      <c r="Y60" s="62"/>
      <c r="Z60" s="132"/>
      <c r="AA60" s="157"/>
      <c r="AB60" s="139"/>
      <c r="AC60" s="142"/>
      <c r="AD60" s="145"/>
      <c r="AE60" s="148"/>
    </row>
    <row r="61" spans="1:31" ht="55.2" x14ac:dyDescent="0.25">
      <c r="A61" s="10">
        <v>236</v>
      </c>
      <c r="B61" s="36" t="s">
        <v>42</v>
      </c>
      <c r="C61" s="35" t="s">
        <v>43</v>
      </c>
      <c r="D61" s="19" t="s">
        <v>92</v>
      </c>
      <c r="E61" s="21" t="s">
        <v>117</v>
      </c>
      <c r="F61" s="100" t="s">
        <v>118</v>
      </c>
      <c r="G61" s="227"/>
      <c r="H61" s="103" t="s">
        <v>291</v>
      </c>
      <c r="I61" s="99" t="s">
        <v>311</v>
      </c>
      <c r="J61" s="59"/>
      <c r="K61" s="59"/>
      <c r="L61" s="166"/>
      <c r="M61" s="196"/>
      <c r="N61" s="160"/>
      <c r="O61" s="56" t="s">
        <v>292</v>
      </c>
      <c r="P61" s="132"/>
      <c r="Q61" s="47"/>
      <c r="R61" s="47"/>
      <c r="S61" s="48"/>
      <c r="T61" s="131">
        <v>900000000</v>
      </c>
      <c r="U61" s="155"/>
      <c r="V61" s="132"/>
      <c r="W61" s="45"/>
      <c r="X61" s="45"/>
      <c r="Y61" s="62"/>
      <c r="Z61" s="132"/>
      <c r="AA61" s="158"/>
      <c r="AB61" s="140"/>
      <c r="AC61" s="143"/>
      <c r="AD61" s="146"/>
      <c r="AE61" s="149"/>
    </row>
    <row r="62" spans="1:31" ht="82.8" x14ac:dyDescent="0.25">
      <c r="A62" s="10">
        <v>236</v>
      </c>
      <c r="B62" s="36" t="s">
        <v>42</v>
      </c>
      <c r="C62" s="35" t="s">
        <v>43</v>
      </c>
      <c r="D62" s="19" t="s">
        <v>92</v>
      </c>
      <c r="E62" s="21" t="s">
        <v>117</v>
      </c>
      <c r="F62" s="100" t="s">
        <v>118</v>
      </c>
      <c r="G62" s="122">
        <v>2021680010149</v>
      </c>
      <c r="H62" s="83" t="s">
        <v>202</v>
      </c>
      <c r="I62" s="82" t="s">
        <v>100</v>
      </c>
      <c r="J62" s="59">
        <v>44562</v>
      </c>
      <c r="K62" s="59">
        <v>44926</v>
      </c>
      <c r="L62" s="188">
        <v>1</v>
      </c>
      <c r="M62" s="201">
        <v>3.0000000000000001E-3</v>
      </c>
      <c r="N62" s="198">
        <f>IFERROR(IF(M62/L62&gt;100%,100%,M62/L62),"-")</f>
        <v>3.0000000000000001E-3</v>
      </c>
      <c r="O62" s="91" t="s">
        <v>223</v>
      </c>
      <c r="P62" s="62"/>
      <c r="Q62" s="47"/>
      <c r="R62" s="47"/>
      <c r="S62" s="48"/>
      <c r="T62" s="131">
        <v>400000000</v>
      </c>
      <c r="U62" s="150">
        <f>SUM(P62:T66)</f>
        <v>4507459518</v>
      </c>
      <c r="V62" s="45"/>
      <c r="W62" s="45"/>
      <c r="X62" s="45"/>
      <c r="Y62" s="62"/>
      <c r="Z62" s="45"/>
      <c r="AA62" s="150">
        <f>SUM(V62:Z66)</f>
        <v>0</v>
      </c>
      <c r="AB62" s="138">
        <f t="shared" ref="AB62:AB73" si="3">IFERROR(AA62/U62,"-")</f>
        <v>0</v>
      </c>
      <c r="AC62" s="141"/>
      <c r="AD62" s="144" t="s">
        <v>50</v>
      </c>
      <c r="AE62" s="147" t="s">
        <v>173</v>
      </c>
    </row>
    <row r="63" spans="1:31" ht="55.2" x14ac:dyDescent="0.25">
      <c r="A63" s="10">
        <v>236</v>
      </c>
      <c r="B63" s="36" t="s">
        <v>42</v>
      </c>
      <c r="C63" s="35" t="s">
        <v>43</v>
      </c>
      <c r="D63" s="19" t="s">
        <v>92</v>
      </c>
      <c r="E63" s="21" t="s">
        <v>117</v>
      </c>
      <c r="F63" s="100" t="s">
        <v>118</v>
      </c>
      <c r="G63" s="122"/>
      <c r="H63" s="83" t="s">
        <v>298</v>
      </c>
      <c r="I63" s="99" t="s">
        <v>311</v>
      </c>
      <c r="J63" s="59"/>
      <c r="K63" s="59"/>
      <c r="L63" s="191"/>
      <c r="M63" s="202"/>
      <c r="N63" s="199"/>
      <c r="O63" s="89" t="s">
        <v>307</v>
      </c>
      <c r="P63" s="114">
        <f>269427102+2000000000</f>
        <v>2269427102</v>
      </c>
      <c r="Q63" s="47"/>
      <c r="R63" s="47"/>
      <c r="S63" s="48"/>
      <c r="T63" s="131"/>
      <c r="U63" s="151"/>
      <c r="V63" s="45"/>
      <c r="W63" s="45"/>
      <c r="X63" s="45"/>
      <c r="Y63" s="62"/>
      <c r="Z63" s="45"/>
      <c r="AA63" s="151"/>
      <c r="AB63" s="139"/>
      <c r="AC63" s="142"/>
      <c r="AD63" s="145"/>
      <c r="AE63" s="148"/>
    </row>
    <row r="64" spans="1:31" ht="55.2" x14ac:dyDescent="0.25">
      <c r="A64" s="10">
        <v>236</v>
      </c>
      <c r="B64" s="36" t="s">
        <v>42</v>
      </c>
      <c r="C64" s="35" t="s">
        <v>43</v>
      </c>
      <c r="D64" s="19" t="s">
        <v>92</v>
      </c>
      <c r="E64" s="21" t="s">
        <v>117</v>
      </c>
      <c r="F64" s="100" t="s">
        <v>118</v>
      </c>
      <c r="G64" s="122"/>
      <c r="H64" s="83" t="s">
        <v>285</v>
      </c>
      <c r="I64" s="99" t="s">
        <v>311</v>
      </c>
      <c r="J64" s="59"/>
      <c r="K64" s="59"/>
      <c r="L64" s="191"/>
      <c r="M64" s="202"/>
      <c r="N64" s="199"/>
      <c r="O64" s="91" t="s">
        <v>296</v>
      </c>
      <c r="P64" s="114"/>
      <c r="Q64" s="47"/>
      <c r="R64" s="47"/>
      <c r="S64" s="48"/>
      <c r="T64" s="131">
        <v>1207164610</v>
      </c>
      <c r="U64" s="151"/>
      <c r="V64" s="45"/>
      <c r="W64" s="45"/>
      <c r="X64" s="45"/>
      <c r="Y64" s="62"/>
      <c r="Z64" s="45"/>
      <c r="AA64" s="151"/>
      <c r="AB64" s="139"/>
      <c r="AC64" s="142"/>
      <c r="AD64" s="145"/>
      <c r="AE64" s="148"/>
    </row>
    <row r="65" spans="1:31" ht="55.2" x14ac:dyDescent="0.25">
      <c r="A65" s="10">
        <v>236</v>
      </c>
      <c r="B65" s="36" t="s">
        <v>42</v>
      </c>
      <c r="C65" s="35" t="s">
        <v>43</v>
      </c>
      <c r="D65" s="19" t="s">
        <v>92</v>
      </c>
      <c r="E65" s="21" t="s">
        <v>117</v>
      </c>
      <c r="F65" s="100" t="s">
        <v>118</v>
      </c>
      <c r="G65" s="122"/>
      <c r="H65" s="83" t="s">
        <v>285</v>
      </c>
      <c r="I65" s="99" t="s">
        <v>311</v>
      </c>
      <c r="J65" s="59"/>
      <c r="K65" s="59"/>
      <c r="L65" s="191"/>
      <c r="M65" s="202"/>
      <c r="N65" s="199"/>
      <c r="O65" s="133" t="s">
        <v>317</v>
      </c>
      <c r="P65" s="45">
        <f>139358494+139751964</f>
        <v>279110458</v>
      </c>
      <c r="Q65" s="47"/>
      <c r="R65" s="47"/>
      <c r="S65" s="48"/>
      <c r="T65" s="45">
        <v>86757348</v>
      </c>
      <c r="U65" s="151"/>
      <c r="V65" s="45"/>
      <c r="W65" s="45"/>
      <c r="X65" s="45"/>
      <c r="Y65" s="62"/>
      <c r="Z65" s="45"/>
      <c r="AA65" s="151"/>
      <c r="AB65" s="139"/>
      <c r="AC65" s="142"/>
      <c r="AD65" s="145"/>
      <c r="AE65" s="148"/>
    </row>
    <row r="66" spans="1:31" ht="69" x14ac:dyDescent="0.25">
      <c r="A66" s="10">
        <v>236</v>
      </c>
      <c r="B66" s="36" t="s">
        <v>42</v>
      </c>
      <c r="C66" s="35" t="s">
        <v>43</v>
      </c>
      <c r="D66" s="19" t="s">
        <v>92</v>
      </c>
      <c r="E66" s="21" t="s">
        <v>117</v>
      </c>
      <c r="F66" s="100" t="s">
        <v>118</v>
      </c>
      <c r="G66" s="122">
        <v>2021680010085</v>
      </c>
      <c r="H66" s="103" t="s">
        <v>293</v>
      </c>
      <c r="I66" s="99" t="s">
        <v>311</v>
      </c>
      <c r="J66" s="59"/>
      <c r="K66" s="59"/>
      <c r="L66" s="189"/>
      <c r="M66" s="203"/>
      <c r="N66" s="200"/>
      <c r="O66" s="91" t="s">
        <v>310</v>
      </c>
      <c r="P66" s="114">
        <v>265000000</v>
      </c>
      <c r="Q66" s="47"/>
      <c r="R66" s="47"/>
      <c r="S66" s="48"/>
      <c r="T66" s="131"/>
      <c r="U66" s="152"/>
      <c r="V66" s="45"/>
      <c r="W66" s="45"/>
      <c r="X66" s="45"/>
      <c r="Y66" s="62"/>
      <c r="Z66" s="45"/>
      <c r="AA66" s="152"/>
      <c r="AB66" s="140"/>
      <c r="AC66" s="143"/>
      <c r="AD66" s="146"/>
      <c r="AE66" s="149"/>
    </row>
    <row r="67" spans="1:31" ht="41.4" x14ac:dyDescent="0.25">
      <c r="A67" s="10">
        <v>237</v>
      </c>
      <c r="B67" s="37" t="s">
        <v>42</v>
      </c>
      <c r="C67" s="33" t="s">
        <v>43</v>
      </c>
      <c r="D67" s="37" t="s">
        <v>92</v>
      </c>
      <c r="E67" s="16" t="s">
        <v>119</v>
      </c>
      <c r="F67" s="99" t="s">
        <v>120</v>
      </c>
      <c r="G67" s="122">
        <v>2020680010176</v>
      </c>
      <c r="H67" s="83" t="s">
        <v>121</v>
      </c>
      <c r="I67" s="82" t="s">
        <v>122</v>
      </c>
      <c r="J67" s="59">
        <v>44562</v>
      </c>
      <c r="K67" s="59">
        <v>44926</v>
      </c>
      <c r="L67" s="165">
        <v>1</v>
      </c>
      <c r="M67" s="167">
        <v>1</v>
      </c>
      <c r="N67" s="159">
        <f>IFERROR(IF(M67/L67&gt;100%,100%,M67/L67),"-")</f>
        <v>1</v>
      </c>
      <c r="O67" s="86" t="s">
        <v>246</v>
      </c>
      <c r="P67" s="45"/>
      <c r="Q67" s="47"/>
      <c r="R67" s="47"/>
      <c r="S67" s="48"/>
      <c r="T67" s="47">
        <v>400000000</v>
      </c>
      <c r="U67" s="150">
        <f>SUM(P67:T68)</f>
        <v>600000000</v>
      </c>
      <c r="V67" s="45"/>
      <c r="W67" s="45"/>
      <c r="X67" s="45"/>
      <c r="Y67" s="62"/>
      <c r="Z67" s="45">
        <v>400000000</v>
      </c>
      <c r="AA67" s="150">
        <f>SUM(V67:Z68)</f>
        <v>400000000</v>
      </c>
      <c r="AB67" s="138">
        <f t="shared" si="3"/>
        <v>0.66666666666666663</v>
      </c>
      <c r="AC67" s="141"/>
      <c r="AD67" s="144" t="s">
        <v>50</v>
      </c>
      <c r="AE67" s="147" t="s">
        <v>173</v>
      </c>
    </row>
    <row r="68" spans="1:31" ht="41.4" x14ac:dyDescent="0.25">
      <c r="A68" s="10">
        <v>237</v>
      </c>
      <c r="B68" s="37" t="s">
        <v>42</v>
      </c>
      <c r="C68" s="33" t="s">
        <v>43</v>
      </c>
      <c r="D68" s="37" t="s">
        <v>92</v>
      </c>
      <c r="E68" s="16" t="s">
        <v>119</v>
      </c>
      <c r="F68" s="99" t="s">
        <v>120</v>
      </c>
      <c r="G68" s="122">
        <v>2020680010176</v>
      </c>
      <c r="H68" s="83" t="s">
        <v>121</v>
      </c>
      <c r="I68" s="82" t="s">
        <v>311</v>
      </c>
      <c r="J68" s="59"/>
      <c r="K68" s="59"/>
      <c r="L68" s="166"/>
      <c r="M68" s="168"/>
      <c r="N68" s="160"/>
      <c r="O68" s="86" t="s">
        <v>284</v>
      </c>
      <c r="P68" s="45">
        <v>200000000</v>
      </c>
      <c r="Q68" s="47"/>
      <c r="R68" s="47"/>
      <c r="S68" s="48"/>
      <c r="T68" s="47"/>
      <c r="U68" s="152"/>
      <c r="V68" s="45"/>
      <c r="W68" s="45"/>
      <c r="X68" s="45"/>
      <c r="Y68" s="62"/>
      <c r="Z68" s="45"/>
      <c r="AA68" s="152"/>
      <c r="AB68" s="140"/>
      <c r="AC68" s="143"/>
      <c r="AD68" s="146"/>
      <c r="AE68" s="149"/>
    </row>
    <row r="69" spans="1:31" ht="69" x14ac:dyDescent="0.25">
      <c r="A69" s="10">
        <v>238</v>
      </c>
      <c r="B69" s="33" t="s">
        <v>42</v>
      </c>
      <c r="C69" s="33" t="s">
        <v>43</v>
      </c>
      <c r="D69" s="15" t="s">
        <v>92</v>
      </c>
      <c r="E69" s="16" t="s">
        <v>203</v>
      </c>
      <c r="F69" s="82" t="s">
        <v>204</v>
      </c>
      <c r="G69" s="122">
        <v>2021680010160</v>
      </c>
      <c r="H69" s="83" t="s">
        <v>212</v>
      </c>
      <c r="I69" s="82"/>
      <c r="J69" s="59">
        <v>44562</v>
      </c>
      <c r="K69" s="59">
        <v>44926</v>
      </c>
      <c r="L69" s="163">
        <v>1</v>
      </c>
      <c r="M69" s="167">
        <v>0.4</v>
      </c>
      <c r="N69" s="159">
        <f>IFERROR(IF(M69/L69&gt;100%,100%,M69/L69),"-")</f>
        <v>0.4</v>
      </c>
      <c r="O69" s="86" t="s">
        <v>238</v>
      </c>
      <c r="P69" s="45">
        <v>21000000</v>
      </c>
      <c r="Q69" s="47"/>
      <c r="R69" s="47"/>
      <c r="S69" s="48"/>
      <c r="T69" s="47"/>
      <c r="U69" s="150">
        <f>SUM(P69:T70)</f>
        <v>34300000</v>
      </c>
      <c r="V69" s="47">
        <v>21000000</v>
      </c>
      <c r="W69" s="47"/>
      <c r="X69" s="47"/>
      <c r="Y69" s="49"/>
      <c r="Z69" s="47"/>
      <c r="AA69" s="150">
        <f>SUM(V69:Z70)</f>
        <v>21000000</v>
      </c>
      <c r="AB69" s="138">
        <f t="shared" ref="AB69" si="4">IFERROR(AA69/U69,"-")</f>
        <v>0.61224489795918369</v>
      </c>
      <c r="AC69" s="141"/>
      <c r="AD69" s="144" t="s">
        <v>50</v>
      </c>
      <c r="AE69" s="147" t="s">
        <v>173</v>
      </c>
    </row>
    <row r="70" spans="1:31" ht="69" x14ac:dyDescent="0.25">
      <c r="A70" s="10">
        <v>238</v>
      </c>
      <c r="B70" s="33" t="s">
        <v>42</v>
      </c>
      <c r="C70" s="33" t="s">
        <v>43</v>
      </c>
      <c r="D70" s="15" t="s">
        <v>92</v>
      </c>
      <c r="E70" s="16" t="s">
        <v>203</v>
      </c>
      <c r="F70" s="82" t="s">
        <v>204</v>
      </c>
      <c r="G70" s="122">
        <v>2021680010160</v>
      </c>
      <c r="H70" s="83" t="s">
        <v>212</v>
      </c>
      <c r="I70" s="82" t="s">
        <v>311</v>
      </c>
      <c r="J70" s="59"/>
      <c r="K70" s="59"/>
      <c r="L70" s="164"/>
      <c r="M70" s="168"/>
      <c r="N70" s="160"/>
      <c r="O70" s="134" t="s">
        <v>318</v>
      </c>
      <c r="P70" s="87">
        <v>13300000</v>
      </c>
      <c r="Q70" s="47"/>
      <c r="R70" s="47"/>
      <c r="S70" s="48"/>
      <c r="T70" s="47"/>
      <c r="U70" s="152"/>
      <c r="V70" s="47"/>
      <c r="W70" s="47"/>
      <c r="X70" s="47"/>
      <c r="Y70" s="49"/>
      <c r="Z70" s="47"/>
      <c r="AA70" s="152"/>
      <c r="AB70" s="140"/>
      <c r="AC70" s="143"/>
      <c r="AD70" s="146"/>
      <c r="AE70" s="149"/>
    </row>
    <row r="71" spans="1:31" ht="55.2" x14ac:dyDescent="0.25">
      <c r="A71" s="10">
        <v>239</v>
      </c>
      <c r="B71" s="36" t="s">
        <v>42</v>
      </c>
      <c r="C71" s="35" t="s">
        <v>43</v>
      </c>
      <c r="D71" s="36" t="s">
        <v>89</v>
      </c>
      <c r="E71" s="21" t="s">
        <v>109</v>
      </c>
      <c r="F71" s="100" t="s">
        <v>110</v>
      </c>
      <c r="G71" s="122">
        <v>2021680010153</v>
      </c>
      <c r="H71" s="83" t="s">
        <v>192</v>
      </c>
      <c r="I71" s="82" t="s">
        <v>103</v>
      </c>
      <c r="J71" s="59">
        <v>44562</v>
      </c>
      <c r="K71" s="59">
        <v>44926</v>
      </c>
      <c r="L71" s="185">
        <v>1</v>
      </c>
      <c r="M71" s="186">
        <v>0.6</v>
      </c>
      <c r="N71" s="187">
        <f>IFERROR(IF(M71/L71&gt;100%,100%,M71/L71),"-")</f>
        <v>0.6</v>
      </c>
      <c r="O71" s="86" t="s">
        <v>258</v>
      </c>
      <c r="P71" s="45">
        <v>25000000</v>
      </c>
      <c r="Q71" s="47"/>
      <c r="R71" s="47"/>
      <c r="S71" s="48"/>
      <c r="T71" s="47"/>
      <c r="U71" s="150">
        <f>SUM(P71:T72)</f>
        <v>444453997</v>
      </c>
      <c r="V71" s="45">
        <v>25000000</v>
      </c>
      <c r="W71" s="45"/>
      <c r="X71" s="45"/>
      <c r="Y71" s="62"/>
      <c r="Z71" s="45"/>
      <c r="AA71" s="150">
        <f>SUM(V71:Z72)</f>
        <v>185843500</v>
      </c>
      <c r="AB71" s="138">
        <f>IFERROR(AA71/U71,"-")</f>
        <v>0.418138887836349</v>
      </c>
      <c r="AC71" s="141"/>
      <c r="AD71" s="144" t="s">
        <v>50</v>
      </c>
      <c r="AE71" s="147" t="s">
        <v>173</v>
      </c>
    </row>
    <row r="72" spans="1:31" ht="41.4" x14ac:dyDescent="0.25">
      <c r="A72" s="10">
        <v>239</v>
      </c>
      <c r="B72" s="35" t="s">
        <v>42</v>
      </c>
      <c r="C72" s="35" t="s">
        <v>43</v>
      </c>
      <c r="D72" s="35" t="s">
        <v>89</v>
      </c>
      <c r="E72" s="21" t="s">
        <v>109</v>
      </c>
      <c r="F72" s="100" t="s">
        <v>110</v>
      </c>
      <c r="G72" s="120">
        <v>2021680010086</v>
      </c>
      <c r="H72" s="83" t="s">
        <v>194</v>
      </c>
      <c r="I72" s="82"/>
      <c r="J72" s="59">
        <v>44562</v>
      </c>
      <c r="K72" s="59">
        <v>44926</v>
      </c>
      <c r="L72" s="185"/>
      <c r="M72" s="186"/>
      <c r="N72" s="187"/>
      <c r="O72" s="134" t="s">
        <v>319</v>
      </c>
      <c r="P72" s="45"/>
      <c r="Q72" s="47"/>
      <c r="R72" s="47"/>
      <c r="S72" s="48"/>
      <c r="T72" s="88">
        <f>332653997+86800000</f>
        <v>419453997</v>
      </c>
      <c r="U72" s="151"/>
      <c r="V72" s="47"/>
      <c r="W72" s="47"/>
      <c r="X72" s="47"/>
      <c r="Y72" s="49"/>
      <c r="Z72" s="47">
        <f>112200000+48643500</f>
        <v>160843500</v>
      </c>
      <c r="AA72" s="151"/>
      <c r="AB72" s="139"/>
      <c r="AC72" s="142"/>
      <c r="AD72" s="145"/>
      <c r="AE72" s="148"/>
    </row>
    <row r="73" spans="1:31" ht="55.2" x14ac:dyDescent="0.25">
      <c r="A73" s="10">
        <v>240</v>
      </c>
      <c r="B73" s="35" t="s">
        <v>42</v>
      </c>
      <c r="C73" s="35" t="s">
        <v>43</v>
      </c>
      <c r="D73" s="23" t="s">
        <v>89</v>
      </c>
      <c r="E73" s="21" t="s">
        <v>123</v>
      </c>
      <c r="F73" s="100" t="s">
        <v>124</v>
      </c>
      <c r="G73" s="122">
        <v>2021680010081</v>
      </c>
      <c r="H73" s="83" t="s">
        <v>216</v>
      </c>
      <c r="I73" s="84"/>
      <c r="J73" s="59">
        <v>44562</v>
      </c>
      <c r="K73" s="59">
        <v>44926</v>
      </c>
      <c r="L73" s="165">
        <v>1</v>
      </c>
      <c r="M73" s="194">
        <v>0.5</v>
      </c>
      <c r="N73" s="159">
        <f>IFERROR(IF(M73/L73&gt;100%,100%,M73/L73),"-")</f>
        <v>0.5</v>
      </c>
      <c r="O73" s="86" t="s">
        <v>235</v>
      </c>
      <c r="P73" s="45"/>
      <c r="Q73" s="47"/>
      <c r="R73" s="47"/>
      <c r="S73" s="48"/>
      <c r="T73" s="47">
        <v>609326724</v>
      </c>
      <c r="U73" s="150">
        <f>SUM(P73:T76)</f>
        <v>1778136893.45</v>
      </c>
      <c r="V73" s="47"/>
      <c r="W73" s="47"/>
      <c r="X73" s="47"/>
      <c r="Y73" s="49"/>
      <c r="Z73" s="47">
        <f>325800000+6664000</f>
        <v>332464000</v>
      </c>
      <c r="AA73" s="150">
        <f>SUM(V73:Z76)</f>
        <v>931264000</v>
      </c>
      <c r="AB73" s="138">
        <f t="shared" si="3"/>
        <v>0.52373020515486335</v>
      </c>
      <c r="AC73" s="141"/>
      <c r="AD73" s="144" t="s">
        <v>50</v>
      </c>
      <c r="AE73" s="147" t="s">
        <v>173</v>
      </c>
    </row>
    <row r="74" spans="1:31" ht="55.2" x14ac:dyDescent="0.25">
      <c r="A74" s="10">
        <v>240</v>
      </c>
      <c r="B74" s="35" t="s">
        <v>42</v>
      </c>
      <c r="C74" s="35" t="s">
        <v>43</v>
      </c>
      <c r="D74" s="23" t="s">
        <v>89</v>
      </c>
      <c r="E74" s="21" t="s">
        <v>123</v>
      </c>
      <c r="F74" s="100" t="s">
        <v>124</v>
      </c>
      <c r="G74" s="122">
        <v>2021680010147</v>
      </c>
      <c r="H74" s="83" t="s">
        <v>186</v>
      </c>
      <c r="I74" s="84"/>
      <c r="J74" s="59">
        <v>44562</v>
      </c>
      <c r="K74" s="59">
        <v>44926</v>
      </c>
      <c r="L74" s="178"/>
      <c r="M74" s="195"/>
      <c r="N74" s="180"/>
      <c r="O74" s="135" t="s">
        <v>320</v>
      </c>
      <c r="P74" s="45">
        <v>23801169</v>
      </c>
      <c r="Q74" s="47"/>
      <c r="R74" s="47"/>
      <c r="S74" s="48"/>
      <c r="T74" s="47"/>
      <c r="U74" s="151"/>
      <c r="V74" s="45"/>
      <c r="W74" s="45"/>
      <c r="X74" s="45"/>
      <c r="Y74" s="62"/>
      <c r="Z74" s="45"/>
      <c r="AA74" s="151"/>
      <c r="AB74" s="139"/>
      <c r="AC74" s="142"/>
      <c r="AD74" s="145"/>
      <c r="AE74" s="148"/>
    </row>
    <row r="75" spans="1:31" ht="55.2" x14ac:dyDescent="0.25">
      <c r="A75" s="10">
        <v>240</v>
      </c>
      <c r="B75" s="35" t="s">
        <v>42</v>
      </c>
      <c r="C75" s="35" t="s">
        <v>43</v>
      </c>
      <c r="D75" s="23" t="s">
        <v>89</v>
      </c>
      <c r="E75" s="21" t="s">
        <v>123</v>
      </c>
      <c r="F75" s="100" t="s">
        <v>124</v>
      </c>
      <c r="G75" s="122">
        <v>2020680010034</v>
      </c>
      <c r="H75" s="83" t="s">
        <v>125</v>
      </c>
      <c r="I75" s="82" t="s">
        <v>126</v>
      </c>
      <c r="J75" s="59"/>
      <c r="K75" s="59"/>
      <c r="L75" s="178"/>
      <c r="M75" s="195"/>
      <c r="N75" s="180"/>
      <c r="O75" s="137" t="s">
        <v>300</v>
      </c>
      <c r="P75" s="45">
        <v>606592000</v>
      </c>
      <c r="Q75" s="47"/>
      <c r="R75" s="47"/>
      <c r="S75" s="48"/>
      <c r="T75" s="47"/>
      <c r="U75" s="151"/>
      <c r="V75" s="47">
        <v>598800000</v>
      </c>
      <c r="W75" s="45"/>
      <c r="X75" s="45"/>
      <c r="Y75" s="62"/>
      <c r="Z75" s="45"/>
      <c r="AA75" s="151"/>
      <c r="AB75" s="139"/>
      <c r="AC75" s="142"/>
      <c r="AD75" s="145"/>
      <c r="AE75" s="148"/>
    </row>
    <row r="76" spans="1:31" ht="41.4" x14ac:dyDescent="0.25">
      <c r="A76" s="10">
        <v>240</v>
      </c>
      <c r="B76" s="35" t="s">
        <v>42</v>
      </c>
      <c r="C76" s="35" t="s">
        <v>43</v>
      </c>
      <c r="D76" s="23" t="s">
        <v>89</v>
      </c>
      <c r="E76" s="21" t="s">
        <v>123</v>
      </c>
      <c r="F76" s="100" t="s">
        <v>124</v>
      </c>
      <c r="G76" s="122">
        <v>2020680010034</v>
      </c>
      <c r="H76" s="83" t="s">
        <v>125</v>
      </c>
      <c r="I76" s="82" t="s">
        <v>311</v>
      </c>
      <c r="J76" s="59">
        <v>44562</v>
      </c>
      <c r="K76" s="59">
        <v>44926</v>
      </c>
      <c r="L76" s="178"/>
      <c r="M76" s="195"/>
      <c r="N76" s="180"/>
      <c r="O76" s="136" t="s">
        <v>312</v>
      </c>
      <c r="P76" s="45">
        <f>471783333+8249999.99+58383667.46</f>
        <v>538417000.45000005</v>
      </c>
      <c r="Q76" s="50"/>
      <c r="R76" s="50"/>
      <c r="S76" s="51"/>
      <c r="T76" s="50"/>
      <c r="U76" s="151"/>
      <c r="V76" s="47"/>
      <c r="W76" s="47"/>
      <c r="X76" s="47"/>
      <c r="Y76" s="49"/>
      <c r="Z76" s="47"/>
      <c r="AA76" s="151"/>
      <c r="AB76" s="139"/>
      <c r="AC76" s="142"/>
      <c r="AD76" s="145"/>
      <c r="AE76" s="148"/>
    </row>
    <row r="77" spans="1:31" ht="69" x14ac:dyDescent="0.25">
      <c r="A77" s="10">
        <v>241</v>
      </c>
      <c r="B77" s="36" t="s">
        <v>42</v>
      </c>
      <c r="C77" s="35" t="s">
        <v>43</v>
      </c>
      <c r="D77" s="19" t="s">
        <v>89</v>
      </c>
      <c r="E77" s="21" t="s">
        <v>129</v>
      </c>
      <c r="F77" s="100" t="s">
        <v>130</v>
      </c>
      <c r="G77" s="122">
        <v>2021680010056</v>
      </c>
      <c r="H77" s="83" t="s">
        <v>101</v>
      </c>
      <c r="I77" s="104" t="s">
        <v>102</v>
      </c>
      <c r="J77" s="59">
        <v>44562</v>
      </c>
      <c r="K77" s="59">
        <v>44926</v>
      </c>
      <c r="L77" s="165">
        <v>1</v>
      </c>
      <c r="M77" s="161">
        <v>1</v>
      </c>
      <c r="N77" s="159">
        <f>IFERROR(IF(M77/L77&gt;100%,100%,M77/L77),"-")</f>
        <v>1</v>
      </c>
      <c r="O77" s="95" t="s">
        <v>224</v>
      </c>
      <c r="P77" s="62"/>
      <c r="Q77" s="47"/>
      <c r="R77" s="47"/>
      <c r="S77" s="48"/>
      <c r="T77" s="45">
        <v>187000000</v>
      </c>
      <c r="U77" s="150">
        <f>SUM(P77:T78)</f>
        <v>392000000</v>
      </c>
      <c r="V77" s="47"/>
      <c r="W77" s="47"/>
      <c r="X77" s="47"/>
      <c r="Y77" s="49"/>
      <c r="Z77" s="47">
        <v>102000000</v>
      </c>
      <c r="AA77" s="150">
        <f>SUM(V77:Z78)</f>
        <v>102000000</v>
      </c>
      <c r="AB77" s="138">
        <f t="shared" ref="AB77" si="5">IFERROR(AA77/U77,"-")</f>
        <v>0.26020408163265307</v>
      </c>
      <c r="AC77" s="141"/>
      <c r="AD77" s="144" t="s">
        <v>50</v>
      </c>
      <c r="AE77" s="147" t="s">
        <v>173</v>
      </c>
    </row>
    <row r="78" spans="1:31" ht="69" x14ac:dyDescent="0.25">
      <c r="A78" s="10">
        <v>241</v>
      </c>
      <c r="B78" s="36" t="s">
        <v>42</v>
      </c>
      <c r="C78" s="35" t="s">
        <v>43</v>
      </c>
      <c r="D78" s="19" t="s">
        <v>89</v>
      </c>
      <c r="E78" s="21" t="s">
        <v>129</v>
      </c>
      <c r="F78" s="100" t="s">
        <v>130</v>
      </c>
      <c r="G78" s="122">
        <v>2021680010056</v>
      </c>
      <c r="H78" s="83" t="s">
        <v>101</v>
      </c>
      <c r="I78" s="104" t="s">
        <v>311</v>
      </c>
      <c r="J78" s="59"/>
      <c r="K78" s="59"/>
      <c r="L78" s="166"/>
      <c r="M78" s="162"/>
      <c r="N78" s="160"/>
      <c r="O78" s="95" t="s">
        <v>295</v>
      </c>
      <c r="P78" s="114">
        <v>205000000</v>
      </c>
      <c r="Q78" s="47"/>
      <c r="R78" s="47"/>
      <c r="S78" s="48"/>
      <c r="T78" s="45"/>
      <c r="U78" s="152"/>
      <c r="V78" s="47"/>
      <c r="W78" s="47"/>
      <c r="X78" s="47"/>
      <c r="Y78" s="49"/>
      <c r="Z78" s="47"/>
      <c r="AA78" s="152"/>
      <c r="AB78" s="140"/>
      <c r="AC78" s="143"/>
      <c r="AD78" s="146"/>
      <c r="AE78" s="149"/>
    </row>
    <row r="79" spans="1:31" ht="69" x14ac:dyDescent="0.25">
      <c r="A79" s="10">
        <v>242</v>
      </c>
      <c r="B79" s="36" t="s">
        <v>42</v>
      </c>
      <c r="C79" s="35" t="s">
        <v>43</v>
      </c>
      <c r="D79" s="19" t="s">
        <v>89</v>
      </c>
      <c r="E79" s="21" t="s">
        <v>90</v>
      </c>
      <c r="F79" s="100" t="s">
        <v>91</v>
      </c>
      <c r="G79" s="122">
        <v>2021680010160</v>
      </c>
      <c r="H79" s="83" t="s">
        <v>212</v>
      </c>
      <c r="I79" s="83"/>
      <c r="J79" s="59">
        <v>44562</v>
      </c>
      <c r="K79" s="59">
        <v>44926</v>
      </c>
      <c r="L79" s="165">
        <v>1</v>
      </c>
      <c r="M79" s="161">
        <v>0.7</v>
      </c>
      <c r="N79" s="159">
        <f>IFERROR(IF(M79/L79&gt;100%,100%,M79/L79),"-")</f>
        <v>0.7</v>
      </c>
      <c r="O79" s="93" t="s">
        <v>321</v>
      </c>
      <c r="P79" s="87">
        <f>58800000+21000000</f>
        <v>79800000</v>
      </c>
      <c r="Q79" s="47"/>
      <c r="R79" s="47"/>
      <c r="S79" s="48"/>
      <c r="T79" s="47"/>
      <c r="U79" s="150">
        <f>SUM(P79:T80)</f>
        <v>128653332</v>
      </c>
      <c r="V79" s="47">
        <v>79800000</v>
      </c>
      <c r="W79" s="47"/>
      <c r="X79" s="47"/>
      <c r="Y79" s="49"/>
      <c r="Z79" s="47"/>
      <c r="AA79" s="150">
        <f>SUM(V79:Z80)</f>
        <v>79800000</v>
      </c>
      <c r="AB79" s="138">
        <f t="shared" ref="AB79" si="6">IFERROR(AA79/U79,"-")</f>
        <v>0.6202715371569234</v>
      </c>
      <c r="AC79" s="141"/>
      <c r="AD79" s="144" t="s">
        <v>50</v>
      </c>
      <c r="AE79" s="147" t="s">
        <v>173</v>
      </c>
    </row>
    <row r="80" spans="1:31" ht="69" x14ac:dyDescent="0.25">
      <c r="A80" s="10">
        <v>242</v>
      </c>
      <c r="B80" s="36" t="s">
        <v>42</v>
      </c>
      <c r="C80" s="35" t="s">
        <v>43</v>
      </c>
      <c r="D80" s="19" t="s">
        <v>89</v>
      </c>
      <c r="E80" s="21" t="s">
        <v>90</v>
      </c>
      <c r="F80" s="100" t="s">
        <v>91</v>
      </c>
      <c r="G80" s="122">
        <v>2021680010160</v>
      </c>
      <c r="H80" s="83" t="s">
        <v>212</v>
      </c>
      <c r="I80" s="82" t="s">
        <v>311</v>
      </c>
      <c r="J80" s="59"/>
      <c r="K80" s="59"/>
      <c r="L80" s="166"/>
      <c r="M80" s="162"/>
      <c r="N80" s="160"/>
      <c r="O80" s="93" t="s">
        <v>280</v>
      </c>
      <c r="P80" s="87">
        <v>48853332</v>
      </c>
      <c r="Q80" s="47"/>
      <c r="R80" s="47"/>
      <c r="S80" s="48"/>
      <c r="T80" s="47"/>
      <c r="U80" s="152"/>
      <c r="V80" s="47"/>
      <c r="W80" s="47"/>
      <c r="X80" s="47"/>
      <c r="Y80" s="49"/>
      <c r="Z80" s="47"/>
      <c r="AA80" s="152"/>
      <c r="AB80" s="140"/>
      <c r="AC80" s="143"/>
      <c r="AD80" s="146"/>
      <c r="AE80" s="149"/>
    </row>
    <row r="81" spans="1:31" ht="69" x14ac:dyDescent="0.25">
      <c r="A81" s="10">
        <v>243</v>
      </c>
      <c r="B81" s="35" t="s">
        <v>42</v>
      </c>
      <c r="C81" s="35" t="s">
        <v>43</v>
      </c>
      <c r="D81" s="23" t="s">
        <v>89</v>
      </c>
      <c r="E81" s="21" t="s">
        <v>131</v>
      </c>
      <c r="F81" s="100" t="s">
        <v>132</v>
      </c>
      <c r="G81" s="122">
        <v>2021680010160</v>
      </c>
      <c r="H81" s="83" t="s">
        <v>212</v>
      </c>
      <c r="I81" s="84"/>
      <c r="J81" s="59">
        <v>44562</v>
      </c>
      <c r="K81" s="59">
        <v>44926</v>
      </c>
      <c r="L81" s="165">
        <v>1</v>
      </c>
      <c r="M81" s="167">
        <v>0.6</v>
      </c>
      <c r="N81" s="159">
        <f>IFERROR(IF(M81/L81&gt;100%,100%,M81/L81),"-")</f>
        <v>0.6</v>
      </c>
      <c r="O81" s="93" t="s">
        <v>322</v>
      </c>
      <c r="P81" s="87">
        <v>33200000</v>
      </c>
      <c r="Q81" s="47"/>
      <c r="R81" s="47"/>
      <c r="S81" s="48"/>
      <c r="T81" s="47"/>
      <c r="U81" s="150">
        <f>SUM(P81:T82)</f>
        <v>62000000</v>
      </c>
      <c r="V81" s="47">
        <v>33200000</v>
      </c>
      <c r="W81" s="47"/>
      <c r="X81" s="47"/>
      <c r="Y81" s="49"/>
      <c r="Z81" s="47"/>
      <c r="AA81" s="150">
        <f>SUM(V81:Z82)</f>
        <v>33200000</v>
      </c>
      <c r="AB81" s="138">
        <f t="shared" ref="AB81" si="7">IFERROR(AA81/U81,"-")</f>
        <v>0.53548387096774197</v>
      </c>
      <c r="AC81" s="141"/>
      <c r="AD81" s="144" t="s">
        <v>50</v>
      </c>
      <c r="AE81" s="147" t="s">
        <v>173</v>
      </c>
    </row>
    <row r="82" spans="1:31" ht="69" x14ac:dyDescent="0.25">
      <c r="A82" s="10">
        <v>243</v>
      </c>
      <c r="B82" s="35" t="s">
        <v>42</v>
      </c>
      <c r="C82" s="35" t="s">
        <v>43</v>
      </c>
      <c r="D82" s="23" t="s">
        <v>89</v>
      </c>
      <c r="E82" s="21" t="s">
        <v>131</v>
      </c>
      <c r="F82" s="100" t="s">
        <v>132</v>
      </c>
      <c r="G82" s="122">
        <v>2021680010160</v>
      </c>
      <c r="H82" s="83" t="s">
        <v>212</v>
      </c>
      <c r="I82" s="82" t="s">
        <v>311</v>
      </c>
      <c r="J82" s="59"/>
      <c r="K82" s="59"/>
      <c r="L82" s="166"/>
      <c r="M82" s="168"/>
      <c r="N82" s="160"/>
      <c r="O82" s="112" t="s">
        <v>281</v>
      </c>
      <c r="P82" s="45">
        <v>28800000</v>
      </c>
      <c r="Q82" s="47"/>
      <c r="R82" s="47"/>
      <c r="S82" s="48"/>
      <c r="T82" s="47"/>
      <c r="U82" s="152"/>
      <c r="V82" s="47"/>
      <c r="W82" s="47"/>
      <c r="X82" s="47"/>
      <c r="Y82" s="49"/>
      <c r="Z82" s="47"/>
      <c r="AA82" s="152"/>
      <c r="AB82" s="140"/>
      <c r="AC82" s="143"/>
      <c r="AD82" s="146"/>
      <c r="AE82" s="149"/>
    </row>
    <row r="83" spans="1:31" ht="69" x14ac:dyDescent="0.25">
      <c r="A83" s="10">
        <v>244</v>
      </c>
      <c r="B83" s="36" t="s">
        <v>42</v>
      </c>
      <c r="C83" s="35" t="s">
        <v>43</v>
      </c>
      <c r="D83" s="19" t="s">
        <v>106</v>
      </c>
      <c r="E83" s="21" t="s">
        <v>107</v>
      </c>
      <c r="F83" s="100" t="s">
        <v>108</v>
      </c>
      <c r="G83" s="122">
        <v>2021680010157</v>
      </c>
      <c r="H83" s="83" t="s">
        <v>181</v>
      </c>
      <c r="I83" s="82"/>
      <c r="J83" s="59">
        <v>44562</v>
      </c>
      <c r="K83" s="59">
        <v>44926</v>
      </c>
      <c r="L83" s="165">
        <v>1</v>
      </c>
      <c r="M83" s="161">
        <v>1</v>
      </c>
      <c r="N83" s="159">
        <f>IFERROR(IF(M83/L83&gt;100%,100%,M83/L83),"-")</f>
        <v>1</v>
      </c>
      <c r="O83" s="108" t="s">
        <v>259</v>
      </c>
      <c r="P83" s="45">
        <v>150000000</v>
      </c>
      <c r="Q83" s="47"/>
      <c r="R83" s="47"/>
      <c r="S83" s="47"/>
      <c r="T83" s="47"/>
      <c r="U83" s="150">
        <f>SUM(P83:T84)</f>
        <v>168481865</v>
      </c>
      <c r="V83" s="47">
        <f>51000000+17723503</f>
        <v>68723503</v>
      </c>
      <c r="W83" s="47"/>
      <c r="X83" s="47"/>
      <c r="Y83" s="47"/>
      <c r="Z83" s="47"/>
      <c r="AA83" s="150">
        <f>SUM(V83:Z84)</f>
        <v>87205368</v>
      </c>
      <c r="AB83" s="138">
        <f t="shared" ref="AB83" si="8">IFERROR(AA83/U83,"-")</f>
        <v>0.51759498270036364</v>
      </c>
      <c r="AC83" s="141"/>
      <c r="AD83" s="144" t="s">
        <v>50</v>
      </c>
      <c r="AE83" s="147" t="s">
        <v>173</v>
      </c>
    </row>
    <row r="84" spans="1:31" ht="69" x14ac:dyDescent="0.25">
      <c r="A84" s="10">
        <v>244</v>
      </c>
      <c r="B84" s="35" t="s">
        <v>42</v>
      </c>
      <c r="C84" s="35" t="s">
        <v>43</v>
      </c>
      <c r="D84" s="23" t="s">
        <v>106</v>
      </c>
      <c r="E84" s="21" t="s">
        <v>107</v>
      </c>
      <c r="F84" s="100" t="s">
        <v>108</v>
      </c>
      <c r="G84" s="120">
        <v>2021680010086</v>
      </c>
      <c r="H84" s="83" t="s">
        <v>194</v>
      </c>
      <c r="I84" s="82"/>
      <c r="J84" s="59">
        <v>44562</v>
      </c>
      <c r="K84" s="59">
        <v>44926</v>
      </c>
      <c r="L84" s="165"/>
      <c r="M84" s="161"/>
      <c r="N84" s="159"/>
      <c r="O84" s="134" t="s">
        <v>323</v>
      </c>
      <c r="P84" s="45"/>
      <c r="Q84" s="47"/>
      <c r="R84" s="47"/>
      <c r="S84" s="48"/>
      <c r="T84" s="88">
        <v>18481865</v>
      </c>
      <c r="U84" s="151"/>
      <c r="V84" s="47"/>
      <c r="W84" s="47"/>
      <c r="X84" s="47"/>
      <c r="Y84" s="49"/>
      <c r="Z84" s="47">
        <v>18481865</v>
      </c>
      <c r="AA84" s="151"/>
      <c r="AB84" s="139"/>
      <c r="AC84" s="142"/>
      <c r="AD84" s="145"/>
      <c r="AE84" s="148"/>
    </row>
    <row r="85" spans="1:31" ht="69" x14ac:dyDescent="0.25">
      <c r="A85" s="10">
        <v>245</v>
      </c>
      <c r="B85" s="35" t="s">
        <v>42</v>
      </c>
      <c r="C85" s="35" t="s">
        <v>43</v>
      </c>
      <c r="D85" s="19" t="s">
        <v>106</v>
      </c>
      <c r="E85" s="21" t="s">
        <v>127</v>
      </c>
      <c r="F85" s="100" t="s">
        <v>128</v>
      </c>
      <c r="G85" s="122">
        <v>2020680010034</v>
      </c>
      <c r="H85" s="83" t="s">
        <v>125</v>
      </c>
      <c r="I85" s="82" t="s">
        <v>126</v>
      </c>
      <c r="J85" s="59">
        <v>44562</v>
      </c>
      <c r="K85" s="59">
        <v>44926</v>
      </c>
      <c r="L85" s="185">
        <v>3</v>
      </c>
      <c r="M85" s="190">
        <v>3</v>
      </c>
      <c r="N85" s="159">
        <f>IFERROR(IF(M85/L85&gt;100%,100%,M85/L85),"-")</f>
        <v>1</v>
      </c>
      <c r="O85" s="96" t="s">
        <v>299</v>
      </c>
      <c r="P85" s="132">
        <v>204000000</v>
      </c>
      <c r="Q85" s="50"/>
      <c r="R85" s="50"/>
      <c r="S85" s="51"/>
      <c r="T85" s="50"/>
      <c r="U85" s="150">
        <f>SUM(P85:T88)</f>
        <v>570936996.20000005</v>
      </c>
      <c r="V85" s="47">
        <v>204000000</v>
      </c>
      <c r="W85" s="47"/>
      <c r="X85" s="47"/>
      <c r="Y85" s="49"/>
      <c r="Z85" s="47"/>
      <c r="AA85" s="150">
        <f>SUM(V85:Z88)</f>
        <v>320750896.84000003</v>
      </c>
      <c r="AB85" s="138">
        <f>IFERROR(AA85/U85,"-")</f>
        <v>0.56179735938436282</v>
      </c>
      <c r="AC85" s="141"/>
      <c r="AD85" s="144" t="s">
        <v>50</v>
      </c>
      <c r="AE85" s="147" t="s">
        <v>173</v>
      </c>
    </row>
    <row r="86" spans="1:31" ht="69" x14ac:dyDescent="0.25">
      <c r="A86" s="10">
        <v>245</v>
      </c>
      <c r="B86" s="35" t="s">
        <v>42</v>
      </c>
      <c r="C86" s="35" t="s">
        <v>43</v>
      </c>
      <c r="D86" s="19" t="s">
        <v>106</v>
      </c>
      <c r="E86" s="21" t="s">
        <v>127</v>
      </c>
      <c r="F86" s="100" t="s">
        <v>128</v>
      </c>
      <c r="G86" s="122">
        <v>2020680010034</v>
      </c>
      <c r="H86" s="83" t="s">
        <v>125</v>
      </c>
      <c r="I86" s="82" t="s">
        <v>311</v>
      </c>
      <c r="J86" s="74"/>
      <c r="K86" s="74"/>
      <c r="L86" s="185"/>
      <c r="M86" s="190"/>
      <c r="N86" s="180"/>
      <c r="O86" s="96" t="s">
        <v>301</v>
      </c>
      <c r="P86" s="132">
        <v>209666667</v>
      </c>
      <c r="Q86" s="50"/>
      <c r="R86" s="50"/>
      <c r="S86" s="51"/>
      <c r="T86" s="50"/>
      <c r="U86" s="151"/>
      <c r="V86" s="47"/>
      <c r="W86" s="47"/>
      <c r="X86" s="47"/>
      <c r="Y86" s="49"/>
      <c r="Z86" s="47"/>
      <c r="AA86" s="151"/>
      <c r="AB86" s="139"/>
      <c r="AC86" s="142"/>
      <c r="AD86" s="145"/>
      <c r="AE86" s="148"/>
    </row>
    <row r="87" spans="1:31" ht="69" x14ac:dyDescent="0.25">
      <c r="A87" s="10">
        <v>245</v>
      </c>
      <c r="B87" s="35" t="s">
        <v>42</v>
      </c>
      <c r="C87" s="35" t="s">
        <v>43</v>
      </c>
      <c r="D87" s="23" t="s">
        <v>106</v>
      </c>
      <c r="E87" s="21" t="s">
        <v>127</v>
      </c>
      <c r="F87" s="100" t="s">
        <v>128</v>
      </c>
      <c r="G87" s="122">
        <v>2021680010147</v>
      </c>
      <c r="H87" s="105" t="s">
        <v>186</v>
      </c>
      <c r="I87" s="106"/>
      <c r="J87" s="74">
        <v>44562</v>
      </c>
      <c r="K87" s="74">
        <v>44926</v>
      </c>
      <c r="L87" s="178"/>
      <c r="M87" s="179"/>
      <c r="N87" s="180"/>
      <c r="O87" s="137" t="s">
        <v>324</v>
      </c>
      <c r="P87" s="45">
        <v>40519431</v>
      </c>
      <c r="Q87" s="47"/>
      <c r="R87" s="47"/>
      <c r="S87" s="48"/>
      <c r="T87" s="47"/>
      <c r="U87" s="151"/>
      <c r="V87" s="45"/>
      <c r="W87" s="45"/>
      <c r="X87" s="45"/>
      <c r="Y87" s="62"/>
      <c r="Z87" s="45"/>
      <c r="AA87" s="151"/>
      <c r="AB87" s="139"/>
      <c r="AC87" s="142"/>
      <c r="AD87" s="145"/>
      <c r="AE87" s="148"/>
    </row>
    <row r="88" spans="1:31" ht="69" x14ac:dyDescent="0.25">
      <c r="A88" s="10">
        <v>245</v>
      </c>
      <c r="B88" s="35" t="s">
        <v>42</v>
      </c>
      <c r="C88" s="35" t="s">
        <v>43</v>
      </c>
      <c r="D88" s="23" t="s">
        <v>106</v>
      </c>
      <c r="E88" s="21" t="s">
        <v>127</v>
      </c>
      <c r="F88" s="100" t="s">
        <v>128</v>
      </c>
      <c r="G88" s="122">
        <v>2021680010175</v>
      </c>
      <c r="H88" s="83" t="s">
        <v>253</v>
      </c>
      <c r="I88" s="82"/>
      <c r="J88" s="59"/>
      <c r="K88" s="59"/>
      <c r="L88" s="166"/>
      <c r="M88" s="162"/>
      <c r="N88" s="160"/>
      <c r="O88" s="93" t="s">
        <v>249</v>
      </c>
      <c r="P88" s="45"/>
      <c r="Q88" s="47"/>
      <c r="R88" s="47"/>
      <c r="S88" s="48"/>
      <c r="T88" s="47">
        <v>116750898.2</v>
      </c>
      <c r="U88" s="152"/>
      <c r="V88" s="45"/>
      <c r="W88" s="45"/>
      <c r="X88" s="45"/>
      <c r="Y88" s="62"/>
      <c r="Z88" s="45">
        <v>116750896.84</v>
      </c>
      <c r="AA88" s="152"/>
      <c r="AB88" s="140"/>
      <c r="AC88" s="143"/>
      <c r="AD88" s="146"/>
      <c r="AE88" s="149"/>
    </row>
    <row r="89" spans="1:31" ht="69" x14ac:dyDescent="0.25">
      <c r="A89" s="10">
        <v>246</v>
      </c>
      <c r="B89" s="37" t="s">
        <v>42</v>
      </c>
      <c r="C89" s="33" t="s">
        <v>43</v>
      </c>
      <c r="D89" s="15" t="s">
        <v>106</v>
      </c>
      <c r="E89" s="16" t="s">
        <v>205</v>
      </c>
      <c r="F89" s="82" t="s">
        <v>206</v>
      </c>
      <c r="G89" s="122">
        <v>2021680010160</v>
      </c>
      <c r="H89" s="105" t="s">
        <v>212</v>
      </c>
      <c r="I89" s="84"/>
      <c r="J89" s="59">
        <v>44562</v>
      </c>
      <c r="K89" s="59">
        <v>44926</v>
      </c>
      <c r="L89" s="163">
        <v>1</v>
      </c>
      <c r="M89" s="167">
        <v>0.6</v>
      </c>
      <c r="N89" s="159">
        <f t="shared" ref="N89:N104" si="9">IFERROR(IF(M89/L89&gt;100%,100%,M89/L89),"-")</f>
        <v>0.6</v>
      </c>
      <c r="O89" s="89" t="s">
        <v>239</v>
      </c>
      <c r="P89" s="45">
        <v>54000000</v>
      </c>
      <c r="Q89" s="47"/>
      <c r="R89" s="47"/>
      <c r="S89" s="48"/>
      <c r="T89" s="47"/>
      <c r="U89" s="150">
        <f>SUM(P89:T90)</f>
        <v>99316667</v>
      </c>
      <c r="V89" s="45">
        <v>54000000</v>
      </c>
      <c r="W89" s="47"/>
      <c r="X89" s="47"/>
      <c r="Y89" s="49"/>
      <c r="Z89" s="47"/>
      <c r="AA89" s="150">
        <f>SUM(V89:Z90)</f>
        <v>54000000</v>
      </c>
      <c r="AB89" s="138">
        <f>IFERROR(AA89/U89,"-")</f>
        <v>0.54371538666314689</v>
      </c>
      <c r="AC89" s="141"/>
      <c r="AD89" s="144" t="s">
        <v>50</v>
      </c>
      <c r="AE89" s="147" t="s">
        <v>173</v>
      </c>
    </row>
    <row r="90" spans="1:31" ht="69" x14ac:dyDescent="0.25">
      <c r="A90" s="10">
        <v>246</v>
      </c>
      <c r="B90" s="37" t="s">
        <v>42</v>
      </c>
      <c r="C90" s="33" t="s">
        <v>43</v>
      </c>
      <c r="D90" s="15" t="s">
        <v>106</v>
      </c>
      <c r="E90" s="16" t="s">
        <v>205</v>
      </c>
      <c r="F90" s="82" t="s">
        <v>206</v>
      </c>
      <c r="G90" s="122">
        <v>2021680010160</v>
      </c>
      <c r="H90" s="105" t="s">
        <v>212</v>
      </c>
      <c r="I90" s="82" t="s">
        <v>311</v>
      </c>
      <c r="J90" s="59"/>
      <c r="K90" s="59"/>
      <c r="L90" s="164"/>
      <c r="M90" s="168"/>
      <c r="N90" s="160"/>
      <c r="O90" s="135" t="s">
        <v>325</v>
      </c>
      <c r="P90" s="87">
        <f>35930000+9386667</f>
        <v>45316667</v>
      </c>
      <c r="Q90" s="47"/>
      <c r="R90" s="47"/>
      <c r="S90" s="48"/>
      <c r="T90" s="47"/>
      <c r="U90" s="151"/>
      <c r="V90" s="45"/>
      <c r="W90" s="47"/>
      <c r="X90" s="47"/>
      <c r="Y90" s="49"/>
      <c r="Z90" s="47"/>
      <c r="AA90" s="151"/>
      <c r="AB90" s="139"/>
      <c r="AC90" s="142"/>
      <c r="AD90" s="145"/>
      <c r="AE90" s="148"/>
    </row>
    <row r="91" spans="1:31" ht="41.4" x14ac:dyDescent="0.25">
      <c r="A91" s="10">
        <v>262</v>
      </c>
      <c r="B91" s="33" t="s">
        <v>42</v>
      </c>
      <c r="C91" s="33" t="s">
        <v>133</v>
      </c>
      <c r="D91" s="20" t="s">
        <v>134</v>
      </c>
      <c r="E91" s="16" t="s">
        <v>135</v>
      </c>
      <c r="F91" s="82" t="s">
        <v>136</v>
      </c>
      <c r="G91" s="122">
        <v>2021680010154</v>
      </c>
      <c r="H91" s="83" t="s">
        <v>184</v>
      </c>
      <c r="I91" s="84"/>
      <c r="J91" s="59">
        <v>44562</v>
      </c>
      <c r="K91" s="59">
        <v>44926</v>
      </c>
      <c r="L91" s="165">
        <v>1</v>
      </c>
      <c r="M91" s="167">
        <v>0.6</v>
      </c>
      <c r="N91" s="159">
        <f t="shared" si="9"/>
        <v>0.6</v>
      </c>
      <c r="O91" s="86" t="s">
        <v>185</v>
      </c>
      <c r="P91" s="45">
        <v>10000000</v>
      </c>
      <c r="Q91" s="47"/>
      <c r="R91" s="47"/>
      <c r="S91" s="48"/>
      <c r="T91" s="47"/>
      <c r="U91" s="150">
        <f>SUM(P91:T92)</f>
        <v>20000000</v>
      </c>
      <c r="V91" s="45">
        <v>9999000</v>
      </c>
      <c r="W91" s="45"/>
      <c r="X91" s="45"/>
      <c r="Y91" s="62"/>
      <c r="Z91" s="45"/>
      <c r="AA91" s="150">
        <f>SUM(V91:Z92)</f>
        <v>9999000</v>
      </c>
      <c r="AB91" s="138">
        <f>IFERROR(AA91/U91,"-")</f>
        <v>0.49995000000000001</v>
      </c>
      <c r="AC91" s="141"/>
      <c r="AD91" s="144" t="s">
        <v>50</v>
      </c>
      <c r="AE91" s="147" t="s">
        <v>173</v>
      </c>
    </row>
    <row r="92" spans="1:31" ht="41.4" x14ac:dyDescent="0.25">
      <c r="A92" s="10">
        <v>262</v>
      </c>
      <c r="B92" s="33" t="s">
        <v>42</v>
      </c>
      <c r="C92" s="33" t="s">
        <v>133</v>
      </c>
      <c r="D92" s="20" t="s">
        <v>134</v>
      </c>
      <c r="E92" s="16" t="s">
        <v>135</v>
      </c>
      <c r="F92" s="82" t="s">
        <v>136</v>
      </c>
      <c r="G92" s="122">
        <v>2021680010154</v>
      </c>
      <c r="H92" s="83" t="s">
        <v>184</v>
      </c>
      <c r="I92" s="99" t="s">
        <v>311</v>
      </c>
      <c r="J92" s="59"/>
      <c r="K92" s="59"/>
      <c r="L92" s="166"/>
      <c r="M92" s="168"/>
      <c r="N92" s="160"/>
      <c r="O92" s="57" t="s">
        <v>272</v>
      </c>
      <c r="P92" s="45">
        <v>10000000</v>
      </c>
      <c r="Q92" s="47"/>
      <c r="R92" s="47"/>
      <c r="S92" s="48"/>
      <c r="T92" s="47"/>
      <c r="U92" s="151"/>
      <c r="V92" s="45"/>
      <c r="W92" s="45"/>
      <c r="X92" s="45"/>
      <c r="Y92" s="62"/>
      <c r="Z92" s="45"/>
      <c r="AA92" s="151"/>
      <c r="AB92" s="139"/>
      <c r="AC92" s="142"/>
      <c r="AD92" s="145"/>
      <c r="AE92" s="148"/>
    </row>
    <row r="93" spans="1:31" ht="41.4" x14ac:dyDescent="0.25">
      <c r="A93" s="10">
        <v>263</v>
      </c>
      <c r="B93" s="33" t="s">
        <v>42</v>
      </c>
      <c r="C93" s="33" t="s">
        <v>133</v>
      </c>
      <c r="D93" s="20" t="s">
        <v>134</v>
      </c>
      <c r="E93" s="16" t="s">
        <v>137</v>
      </c>
      <c r="F93" s="82" t="s">
        <v>138</v>
      </c>
      <c r="G93" s="122">
        <v>2021680010165</v>
      </c>
      <c r="H93" s="83" t="s">
        <v>176</v>
      </c>
      <c r="I93" s="84"/>
      <c r="J93" s="59">
        <v>44562</v>
      </c>
      <c r="K93" s="59">
        <v>44926</v>
      </c>
      <c r="L93" s="188">
        <v>1</v>
      </c>
      <c r="M93" s="172">
        <v>0</v>
      </c>
      <c r="N93" s="159">
        <f t="shared" si="9"/>
        <v>0</v>
      </c>
      <c r="O93" s="89" t="s">
        <v>177</v>
      </c>
      <c r="P93" s="45">
        <v>1129266166</v>
      </c>
      <c r="Q93" s="47"/>
      <c r="R93" s="47"/>
      <c r="S93" s="48"/>
      <c r="T93" s="47"/>
      <c r="U93" s="150">
        <f>SUM(P93:T95)</f>
        <v>4691933705</v>
      </c>
      <c r="V93" s="45"/>
      <c r="W93" s="45"/>
      <c r="X93" s="45"/>
      <c r="Y93" s="62"/>
      <c r="Z93" s="45"/>
      <c r="AA93" s="150">
        <f>SUM(V93:Z95)</f>
        <v>0</v>
      </c>
      <c r="AB93" s="138">
        <f t="shared" ref="AB93:AB104" si="10">IFERROR(AA93/U93,"-")</f>
        <v>0</v>
      </c>
      <c r="AC93" s="141"/>
      <c r="AD93" s="144" t="s">
        <v>50</v>
      </c>
      <c r="AE93" s="147" t="s">
        <v>173</v>
      </c>
    </row>
    <row r="94" spans="1:31" ht="41.4" x14ac:dyDescent="0.25">
      <c r="A94" s="10">
        <v>263</v>
      </c>
      <c r="B94" s="33" t="s">
        <v>42</v>
      </c>
      <c r="C94" s="33" t="s">
        <v>133</v>
      </c>
      <c r="D94" s="20" t="s">
        <v>134</v>
      </c>
      <c r="E94" s="16" t="s">
        <v>137</v>
      </c>
      <c r="F94" s="82" t="s">
        <v>138</v>
      </c>
      <c r="G94" s="122"/>
      <c r="H94" s="83" t="s">
        <v>316</v>
      </c>
      <c r="I94" s="99" t="s">
        <v>311</v>
      </c>
      <c r="J94" s="59"/>
      <c r="K94" s="59"/>
      <c r="L94" s="191"/>
      <c r="M94" s="173"/>
      <c r="N94" s="180"/>
      <c r="O94" s="136" t="s">
        <v>326</v>
      </c>
      <c r="P94" s="45">
        <f>3422667539+6000000</f>
        <v>3428667539</v>
      </c>
      <c r="Q94" s="47"/>
      <c r="R94" s="47"/>
      <c r="S94" s="48"/>
      <c r="T94" s="47"/>
      <c r="U94" s="151"/>
      <c r="V94" s="45"/>
      <c r="W94" s="45"/>
      <c r="X94" s="45"/>
      <c r="Y94" s="62"/>
      <c r="Z94" s="45"/>
      <c r="AA94" s="151"/>
      <c r="AB94" s="139"/>
      <c r="AC94" s="142"/>
      <c r="AD94" s="145"/>
      <c r="AE94" s="148"/>
    </row>
    <row r="95" spans="1:31" ht="41.4" x14ac:dyDescent="0.25">
      <c r="A95" s="10">
        <v>263</v>
      </c>
      <c r="B95" s="33" t="s">
        <v>42</v>
      </c>
      <c r="C95" s="33" t="s">
        <v>133</v>
      </c>
      <c r="D95" s="20" t="s">
        <v>134</v>
      </c>
      <c r="E95" s="16" t="s">
        <v>137</v>
      </c>
      <c r="F95" s="82" t="s">
        <v>138</v>
      </c>
      <c r="G95" s="122">
        <v>2021680010077</v>
      </c>
      <c r="H95" s="83" t="s">
        <v>176</v>
      </c>
      <c r="I95" s="99" t="s">
        <v>311</v>
      </c>
      <c r="J95" s="59"/>
      <c r="K95" s="59"/>
      <c r="L95" s="189"/>
      <c r="M95" s="174"/>
      <c r="N95" s="160"/>
      <c r="O95" s="136" t="s">
        <v>328</v>
      </c>
      <c r="P95" s="45">
        <v>134000000</v>
      </c>
      <c r="Q95" s="47"/>
      <c r="R95" s="47"/>
      <c r="S95" s="48"/>
      <c r="T95" s="47"/>
      <c r="U95" s="152"/>
      <c r="V95" s="45"/>
      <c r="W95" s="45"/>
      <c r="X95" s="45"/>
      <c r="Y95" s="62"/>
      <c r="Z95" s="45"/>
      <c r="AA95" s="152"/>
      <c r="AB95" s="140"/>
      <c r="AC95" s="143"/>
      <c r="AD95" s="146"/>
      <c r="AE95" s="149"/>
    </row>
    <row r="96" spans="1:31" ht="55.2" x14ac:dyDescent="0.25">
      <c r="A96" s="10">
        <v>264</v>
      </c>
      <c r="B96" s="33" t="s">
        <v>42</v>
      </c>
      <c r="C96" s="33" t="s">
        <v>133</v>
      </c>
      <c r="D96" s="20" t="s">
        <v>134</v>
      </c>
      <c r="E96" s="16" t="s">
        <v>139</v>
      </c>
      <c r="F96" s="82" t="s">
        <v>140</v>
      </c>
      <c r="G96" s="122">
        <v>2021680010127</v>
      </c>
      <c r="H96" s="83" t="s">
        <v>182</v>
      </c>
      <c r="I96" s="84"/>
      <c r="J96" s="59">
        <v>44562</v>
      </c>
      <c r="K96" s="59">
        <v>44926</v>
      </c>
      <c r="L96" s="165">
        <v>1</v>
      </c>
      <c r="M96" s="167">
        <v>0.5</v>
      </c>
      <c r="N96" s="159">
        <f t="shared" si="9"/>
        <v>0.5</v>
      </c>
      <c r="O96" s="86" t="s">
        <v>183</v>
      </c>
      <c r="P96" s="45">
        <v>20000000</v>
      </c>
      <c r="Q96" s="47"/>
      <c r="R96" s="47"/>
      <c r="S96" s="48"/>
      <c r="T96" s="47"/>
      <c r="U96" s="150">
        <f>SUM(P96:T97)</f>
        <v>50000000</v>
      </c>
      <c r="V96" s="45">
        <f>16000000+1199930+1676000+837712</f>
        <v>19713642</v>
      </c>
      <c r="W96" s="45"/>
      <c r="X96" s="45"/>
      <c r="Y96" s="62"/>
      <c r="Z96" s="45"/>
      <c r="AA96" s="150">
        <f>SUM(V96:Z97)</f>
        <v>19713642</v>
      </c>
      <c r="AB96" s="138">
        <f>IFERROR(AA96/U96,"-")</f>
        <v>0.39427284000000001</v>
      </c>
      <c r="AC96" s="141"/>
      <c r="AD96" s="144" t="s">
        <v>50</v>
      </c>
      <c r="AE96" s="147" t="s">
        <v>173</v>
      </c>
    </row>
    <row r="97" spans="1:31" ht="55.2" x14ac:dyDescent="0.25">
      <c r="A97" s="10">
        <v>264</v>
      </c>
      <c r="B97" s="33" t="s">
        <v>42</v>
      </c>
      <c r="C97" s="33" t="s">
        <v>133</v>
      </c>
      <c r="D97" s="20" t="s">
        <v>134</v>
      </c>
      <c r="E97" s="16" t="s">
        <v>139</v>
      </c>
      <c r="F97" s="82" t="s">
        <v>140</v>
      </c>
      <c r="G97" s="122">
        <v>2021680010127</v>
      </c>
      <c r="H97" s="83" t="s">
        <v>182</v>
      </c>
      <c r="I97" s="99" t="s">
        <v>311</v>
      </c>
      <c r="J97" s="59"/>
      <c r="K97" s="59"/>
      <c r="L97" s="166"/>
      <c r="M97" s="168"/>
      <c r="N97" s="160"/>
      <c r="O97" s="113" t="s">
        <v>271</v>
      </c>
      <c r="P97" s="45">
        <v>30000000</v>
      </c>
      <c r="Q97" s="47"/>
      <c r="R97" s="47"/>
      <c r="S97" s="48"/>
      <c r="T97" s="47"/>
      <c r="U97" s="151"/>
      <c r="V97" s="45"/>
      <c r="W97" s="45"/>
      <c r="X97" s="45"/>
      <c r="Y97" s="62"/>
      <c r="Z97" s="45"/>
      <c r="AA97" s="151"/>
      <c r="AB97" s="139"/>
      <c r="AC97" s="142"/>
      <c r="AD97" s="145"/>
      <c r="AE97" s="148"/>
    </row>
    <row r="98" spans="1:31" ht="55.2" x14ac:dyDescent="0.25">
      <c r="A98" s="10">
        <v>265</v>
      </c>
      <c r="B98" s="35" t="s">
        <v>42</v>
      </c>
      <c r="C98" s="35" t="s">
        <v>133</v>
      </c>
      <c r="D98" s="19" t="s">
        <v>141</v>
      </c>
      <c r="E98" s="21" t="s">
        <v>142</v>
      </c>
      <c r="F98" s="100" t="s">
        <v>143</v>
      </c>
      <c r="G98" s="122">
        <v>2020680010052</v>
      </c>
      <c r="H98" s="83" t="s">
        <v>144</v>
      </c>
      <c r="I98" s="82" t="s">
        <v>145</v>
      </c>
      <c r="J98" s="59">
        <v>44562</v>
      </c>
      <c r="K98" s="59">
        <v>44926</v>
      </c>
      <c r="L98" s="72">
        <v>1</v>
      </c>
      <c r="M98" s="129">
        <v>1</v>
      </c>
      <c r="N98" s="76">
        <f t="shared" si="9"/>
        <v>1</v>
      </c>
      <c r="O98" s="90" t="s">
        <v>302</v>
      </c>
      <c r="P98" s="45">
        <v>77000000</v>
      </c>
      <c r="Q98" s="47"/>
      <c r="R98" s="47"/>
      <c r="S98" s="48"/>
      <c r="T98" s="47"/>
      <c r="U98" s="54">
        <f>SUM(P98:T98)</f>
        <v>77000000</v>
      </c>
      <c r="V98" s="47">
        <v>42000000</v>
      </c>
      <c r="W98" s="47"/>
      <c r="X98" s="47"/>
      <c r="Y98" s="49"/>
      <c r="Z98" s="47"/>
      <c r="AA98" s="54">
        <f t="shared" ref="AA98:AA103" si="11">SUM(V98:Z98)</f>
        <v>42000000</v>
      </c>
      <c r="AB98" s="17">
        <f t="shared" si="10"/>
        <v>0.54545454545454541</v>
      </c>
      <c r="AC98" s="18"/>
      <c r="AD98" s="27" t="s">
        <v>50</v>
      </c>
      <c r="AE98" s="34" t="s">
        <v>173</v>
      </c>
    </row>
    <row r="99" spans="1:31" ht="55.2" x14ac:dyDescent="0.25">
      <c r="A99" s="10">
        <v>266</v>
      </c>
      <c r="B99" s="33" t="s">
        <v>42</v>
      </c>
      <c r="C99" s="33" t="s">
        <v>133</v>
      </c>
      <c r="D99" s="20" t="s">
        <v>141</v>
      </c>
      <c r="E99" s="16" t="s">
        <v>146</v>
      </c>
      <c r="F99" s="82" t="s">
        <v>147</v>
      </c>
      <c r="G99" s="122">
        <v>2020680010052</v>
      </c>
      <c r="H99" s="83" t="s">
        <v>144</v>
      </c>
      <c r="I99" s="82" t="s">
        <v>145</v>
      </c>
      <c r="J99" s="59">
        <v>44562</v>
      </c>
      <c r="K99" s="59">
        <v>44926</v>
      </c>
      <c r="L99" s="75">
        <v>1</v>
      </c>
      <c r="M99" s="127">
        <v>1</v>
      </c>
      <c r="N99" s="76">
        <f t="shared" si="9"/>
        <v>1</v>
      </c>
      <c r="O99" s="97" t="s">
        <v>303</v>
      </c>
      <c r="P99" s="45">
        <v>55000000</v>
      </c>
      <c r="Q99" s="47"/>
      <c r="R99" s="47"/>
      <c r="S99" s="48"/>
      <c r="T99" s="47"/>
      <c r="U99" s="54">
        <f>SUM(P99:T99)</f>
        <v>55000000</v>
      </c>
      <c r="V99" s="47">
        <v>30000000</v>
      </c>
      <c r="W99" s="47"/>
      <c r="X99" s="47"/>
      <c r="Y99" s="49"/>
      <c r="Z99" s="47"/>
      <c r="AA99" s="54">
        <f t="shared" si="11"/>
        <v>30000000</v>
      </c>
      <c r="AB99" s="17">
        <f t="shared" si="10"/>
        <v>0.54545454545454541</v>
      </c>
      <c r="AC99" s="18"/>
      <c r="AD99" s="27" t="s">
        <v>50</v>
      </c>
      <c r="AE99" s="34" t="s">
        <v>173</v>
      </c>
    </row>
    <row r="100" spans="1:31" ht="55.2" x14ac:dyDescent="0.25">
      <c r="A100" s="10">
        <v>267</v>
      </c>
      <c r="B100" s="33" t="s">
        <v>42</v>
      </c>
      <c r="C100" s="33" t="s">
        <v>133</v>
      </c>
      <c r="D100" s="20" t="s">
        <v>141</v>
      </c>
      <c r="E100" s="16" t="s">
        <v>148</v>
      </c>
      <c r="F100" s="82" t="s">
        <v>149</v>
      </c>
      <c r="G100" s="122">
        <v>2020680010052</v>
      </c>
      <c r="H100" s="83" t="s">
        <v>144</v>
      </c>
      <c r="I100" s="82" t="s">
        <v>145</v>
      </c>
      <c r="J100" s="59">
        <v>44562</v>
      </c>
      <c r="K100" s="59">
        <v>44926</v>
      </c>
      <c r="L100" s="188">
        <v>1</v>
      </c>
      <c r="M100" s="172">
        <v>1</v>
      </c>
      <c r="N100" s="159">
        <f t="shared" si="9"/>
        <v>1</v>
      </c>
      <c r="O100" s="86" t="s">
        <v>256</v>
      </c>
      <c r="P100" s="87">
        <f>270000000+284206076</f>
        <v>554206076</v>
      </c>
      <c r="Q100" s="47"/>
      <c r="R100" s="47"/>
      <c r="S100" s="48"/>
      <c r="T100" s="47"/>
      <c r="U100" s="150">
        <f>SUM(P100:T101)</f>
        <v>935206076</v>
      </c>
      <c r="V100" s="47">
        <f>82365610+111149280+51114774+24039120+33654782</f>
        <v>302323566</v>
      </c>
      <c r="W100" s="47"/>
      <c r="X100" s="47"/>
      <c r="Y100" s="49"/>
      <c r="Z100" s="47"/>
      <c r="AA100" s="150">
        <f>SUM(V100:Z101)</f>
        <v>302323566</v>
      </c>
      <c r="AB100" s="138">
        <f>IFERROR(AA100/U100,"-")</f>
        <v>0.32326946301833054</v>
      </c>
      <c r="AC100" s="141"/>
      <c r="AD100" s="144" t="s">
        <v>50</v>
      </c>
      <c r="AE100" s="147" t="s">
        <v>173</v>
      </c>
    </row>
    <row r="101" spans="1:31" ht="55.2" x14ac:dyDescent="0.25">
      <c r="A101" s="10">
        <v>267</v>
      </c>
      <c r="B101" s="33" t="s">
        <v>42</v>
      </c>
      <c r="C101" s="33" t="s">
        <v>133</v>
      </c>
      <c r="D101" s="20" t="s">
        <v>141</v>
      </c>
      <c r="E101" s="16" t="s">
        <v>148</v>
      </c>
      <c r="F101" s="82" t="s">
        <v>149</v>
      </c>
      <c r="G101" s="122">
        <v>2020680010052</v>
      </c>
      <c r="H101" s="83" t="s">
        <v>144</v>
      </c>
      <c r="I101" s="82" t="s">
        <v>311</v>
      </c>
      <c r="J101" s="59">
        <v>44562</v>
      </c>
      <c r="K101" s="59">
        <v>44926</v>
      </c>
      <c r="L101" s="189"/>
      <c r="M101" s="174"/>
      <c r="N101" s="160"/>
      <c r="O101" s="57" t="s">
        <v>268</v>
      </c>
      <c r="P101" s="45">
        <v>381000000</v>
      </c>
      <c r="Q101" s="47"/>
      <c r="R101" s="47"/>
      <c r="S101" s="48"/>
      <c r="T101" s="47"/>
      <c r="U101" s="151"/>
      <c r="V101" s="47"/>
      <c r="W101" s="47"/>
      <c r="X101" s="47"/>
      <c r="Y101" s="49"/>
      <c r="Z101" s="47"/>
      <c r="AA101" s="151"/>
      <c r="AB101" s="139"/>
      <c r="AC101" s="142"/>
      <c r="AD101" s="145"/>
      <c r="AE101" s="148"/>
    </row>
    <row r="102" spans="1:31" ht="55.2" x14ac:dyDescent="0.25">
      <c r="A102" s="10">
        <v>268</v>
      </c>
      <c r="B102" s="33" t="s">
        <v>42</v>
      </c>
      <c r="C102" s="33" t="s">
        <v>133</v>
      </c>
      <c r="D102" s="20" t="s">
        <v>141</v>
      </c>
      <c r="E102" s="16" t="s">
        <v>150</v>
      </c>
      <c r="F102" s="82" t="s">
        <v>151</v>
      </c>
      <c r="G102" s="122">
        <v>2020680010052</v>
      </c>
      <c r="H102" s="83" t="s">
        <v>144</v>
      </c>
      <c r="I102" s="82" t="s">
        <v>145</v>
      </c>
      <c r="J102" s="59">
        <v>44562</v>
      </c>
      <c r="K102" s="59">
        <v>44926</v>
      </c>
      <c r="L102" s="61">
        <v>1</v>
      </c>
      <c r="M102" s="130">
        <v>1</v>
      </c>
      <c r="N102" s="76">
        <f t="shared" si="9"/>
        <v>1</v>
      </c>
      <c r="O102" s="86" t="s">
        <v>188</v>
      </c>
      <c r="P102" s="45">
        <v>80000000</v>
      </c>
      <c r="Q102" s="47"/>
      <c r="R102" s="47"/>
      <c r="S102" s="48"/>
      <c r="T102" s="47"/>
      <c r="U102" s="54">
        <f>SUM(P102:T102)</f>
        <v>80000000</v>
      </c>
      <c r="V102" s="47">
        <f>35000000+45000000</f>
        <v>80000000</v>
      </c>
      <c r="W102" s="47"/>
      <c r="X102" s="47"/>
      <c r="Y102" s="49"/>
      <c r="Z102" s="47"/>
      <c r="AA102" s="54">
        <f t="shared" si="11"/>
        <v>80000000</v>
      </c>
      <c r="AB102" s="17">
        <f t="shared" si="10"/>
        <v>1</v>
      </c>
      <c r="AC102" s="18"/>
      <c r="AD102" s="27" t="s">
        <v>50</v>
      </c>
      <c r="AE102" s="34" t="s">
        <v>173</v>
      </c>
    </row>
    <row r="103" spans="1:31" ht="55.2" x14ac:dyDescent="0.25">
      <c r="A103" s="10">
        <v>269</v>
      </c>
      <c r="B103" s="33" t="s">
        <v>42</v>
      </c>
      <c r="C103" s="33" t="s">
        <v>133</v>
      </c>
      <c r="D103" s="20" t="s">
        <v>141</v>
      </c>
      <c r="E103" s="16" t="s">
        <v>152</v>
      </c>
      <c r="F103" s="82" t="s">
        <v>153</v>
      </c>
      <c r="G103" s="122">
        <v>2020680010052</v>
      </c>
      <c r="H103" s="83" t="s">
        <v>144</v>
      </c>
      <c r="I103" s="82" t="s">
        <v>145</v>
      </c>
      <c r="J103" s="59">
        <v>44562</v>
      </c>
      <c r="K103" s="59">
        <v>44926</v>
      </c>
      <c r="L103" s="61">
        <v>1</v>
      </c>
      <c r="M103" s="130">
        <v>1</v>
      </c>
      <c r="N103" s="76">
        <f t="shared" si="9"/>
        <v>1</v>
      </c>
      <c r="O103" s="86" t="s">
        <v>189</v>
      </c>
      <c r="P103" s="45">
        <v>20000000</v>
      </c>
      <c r="Q103" s="47"/>
      <c r="R103" s="47"/>
      <c r="S103" s="48"/>
      <c r="T103" s="47"/>
      <c r="U103" s="54">
        <f>SUM(P103:T103)</f>
        <v>20000000</v>
      </c>
      <c r="V103" s="47">
        <f>1075434+1075434</f>
        <v>2150868</v>
      </c>
      <c r="W103" s="47"/>
      <c r="X103" s="47"/>
      <c r="Y103" s="49"/>
      <c r="Z103" s="47"/>
      <c r="AA103" s="54">
        <f t="shared" si="11"/>
        <v>2150868</v>
      </c>
      <c r="AB103" s="17">
        <f t="shared" si="10"/>
        <v>0.1075434</v>
      </c>
      <c r="AC103" s="18"/>
      <c r="AD103" s="27" t="s">
        <v>50</v>
      </c>
      <c r="AE103" s="34" t="s">
        <v>173</v>
      </c>
    </row>
    <row r="104" spans="1:31" ht="55.2" x14ac:dyDescent="0.25">
      <c r="A104" s="10">
        <v>270</v>
      </c>
      <c r="B104" s="35" t="s">
        <v>42</v>
      </c>
      <c r="C104" s="35" t="s">
        <v>133</v>
      </c>
      <c r="D104" s="19" t="s">
        <v>141</v>
      </c>
      <c r="E104" s="21" t="s">
        <v>154</v>
      </c>
      <c r="F104" s="100" t="s">
        <v>155</v>
      </c>
      <c r="G104" s="122">
        <v>2020680010052</v>
      </c>
      <c r="H104" s="83" t="s">
        <v>144</v>
      </c>
      <c r="I104" s="82" t="s">
        <v>145</v>
      </c>
      <c r="J104" s="59">
        <v>44562</v>
      </c>
      <c r="K104" s="59">
        <v>44926</v>
      </c>
      <c r="L104" s="165">
        <v>1</v>
      </c>
      <c r="M104" s="161">
        <v>1</v>
      </c>
      <c r="N104" s="159">
        <f t="shared" si="9"/>
        <v>1</v>
      </c>
      <c r="O104" s="98" t="s">
        <v>304</v>
      </c>
      <c r="P104" s="45">
        <v>198000000</v>
      </c>
      <c r="Q104" s="47"/>
      <c r="R104" s="47"/>
      <c r="S104" s="48"/>
      <c r="T104" s="47"/>
      <c r="U104" s="150">
        <f>SUM(P104:T105)</f>
        <v>423000000</v>
      </c>
      <c r="V104" s="47">
        <v>108000000</v>
      </c>
      <c r="W104" s="47"/>
      <c r="X104" s="47"/>
      <c r="Y104" s="49"/>
      <c r="Z104" s="47"/>
      <c r="AA104" s="150">
        <f>SUM(V104:Z105)</f>
        <v>108000000</v>
      </c>
      <c r="AB104" s="138">
        <f t="shared" si="10"/>
        <v>0.25531914893617019</v>
      </c>
      <c r="AC104" s="141"/>
      <c r="AD104" s="144" t="s">
        <v>50</v>
      </c>
      <c r="AE104" s="147" t="s">
        <v>173</v>
      </c>
    </row>
    <row r="105" spans="1:31" ht="41.4" x14ac:dyDescent="0.25">
      <c r="A105" s="10">
        <v>270</v>
      </c>
      <c r="B105" s="35" t="s">
        <v>42</v>
      </c>
      <c r="C105" s="35" t="s">
        <v>133</v>
      </c>
      <c r="D105" s="19" t="s">
        <v>141</v>
      </c>
      <c r="E105" s="21" t="s">
        <v>154</v>
      </c>
      <c r="F105" s="100" t="s">
        <v>155</v>
      </c>
      <c r="G105" s="122">
        <v>2021680010164</v>
      </c>
      <c r="H105" s="83" t="s">
        <v>209</v>
      </c>
      <c r="I105" s="82"/>
      <c r="J105" s="59">
        <v>44562</v>
      </c>
      <c r="K105" s="59">
        <v>44926</v>
      </c>
      <c r="L105" s="178"/>
      <c r="M105" s="179"/>
      <c r="N105" s="180"/>
      <c r="O105" s="137" t="s">
        <v>327</v>
      </c>
      <c r="P105" s="45">
        <v>225000000</v>
      </c>
      <c r="Q105" s="47"/>
      <c r="R105" s="47"/>
      <c r="S105" s="48"/>
      <c r="T105" s="47"/>
      <c r="U105" s="151"/>
      <c r="V105" s="45"/>
      <c r="W105" s="45"/>
      <c r="X105" s="45"/>
      <c r="Y105" s="62"/>
      <c r="Z105" s="45"/>
      <c r="AA105" s="151"/>
      <c r="AB105" s="139"/>
      <c r="AC105" s="142"/>
      <c r="AD105" s="145"/>
      <c r="AE105" s="148"/>
    </row>
    <row r="106" spans="1:31" ht="55.2" x14ac:dyDescent="0.25">
      <c r="A106" s="10">
        <v>271</v>
      </c>
      <c r="B106" s="35" t="s">
        <v>42</v>
      </c>
      <c r="C106" s="35" t="s">
        <v>133</v>
      </c>
      <c r="D106" s="19" t="s">
        <v>141</v>
      </c>
      <c r="E106" s="21" t="s">
        <v>158</v>
      </c>
      <c r="F106" s="100" t="s">
        <v>159</v>
      </c>
      <c r="G106" s="122">
        <v>2020680010052</v>
      </c>
      <c r="H106" s="83" t="s">
        <v>144</v>
      </c>
      <c r="I106" s="82" t="s">
        <v>145</v>
      </c>
      <c r="J106" s="59">
        <v>44562</v>
      </c>
      <c r="K106" s="59">
        <v>44926</v>
      </c>
      <c r="L106" s="188">
        <v>1</v>
      </c>
      <c r="M106" s="172">
        <v>1</v>
      </c>
      <c r="N106" s="159">
        <f t="shared" ref="N106:N114" si="12">IFERROR(IF(M106/L106&gt;100%,100%,M106/L106),"-")</f>
        <v>1</v>
      </c>
      <c r="O106" s="135" t="s">
        <v>190</v>
      </c>
      <c r="P106" s="45">
        <v>110000000</v>
      </c>
      <c r="Q106" s="47"/>
      <c r="R106" s="47"/>
      <c r="S106" s="48"/>
      <c r="T106" s="47"/>
      <c r="U106" s="150">
        <f>SUM(P106:T107)</f>
        <v>335000000</v>
      </c>
      <c r="V106" s="47">
        <v>1850000</v>
      </c>
      <c r="W106" s="47"/>
      <c r="X106" s="47"/>
      <c r="Y106" s="49"/>
      <c r="Z106" s="47"/>
      <c r="AA106" s="150">
        <f>SUM(V106:Z107)</f>
        <v>1850000</v>
      </c>
      <c r="AB106" s="138">
        <f>IFERROR(AA106/U106,"-")</f>
        <v>5.5223880597014925E-3</v>
      </c>
      <c r="AC106" s="141"/>
      <c r="AD106" s="144" t="s">
        <v>50</v>
      </c>
      <c r="AE106" s="147" t="s">
        <v>173</v>
      </c>
    </row>
    <row r="107" spans="1:31" ht="41.4" x14ac:dyDescent="0.25">
      <c r="A107" s="10">
        <v>271</v>
      </c>
      <c r="B107" s="35" t="s">
        <v>42</v>
      </c>
      <c r="C107" s="35" t="s">
        <v>133</v>
      </c>
      <c r="D107" s="19" t="s">
        <v>141</v>
      </c>
      <c r="E107" s="21" t="s">
        <v>158</v>
      </c>
      <c r="F107" s="100" t="s">
        <v>159</v>
      </c>
      <c r="G107" s="122">
        <v>2020680010052</v>
      </c>
      <c r="H107" s="83" t="s">
        <v>144</v>
      </c>
      <c r="I107" s="82" t="s">
        <v>311</v>
      </c>
      <c r="J107" s="59"/>
      <c r="K107" s="59"/>
      <c r="L107" s="189"/>
      <c r="M107" s="174"/>
      <c r="N107" s="160"/>
      <c r="O107" s="137" t="s">
        <v>327</v>
      </c>
      <c r="P107" s="45">
        <v>225000000</v>
      </c>
      <c r="Q107" s="47"/>
      <c r="R107" s="47"/>
      <c r="S107" s="48"/>
      <c r="T107" s="47"/>
      <c r="U107" s="152"/>
      <c r="V107" s="47"/>
      <c r="W107" s="47"/>
      <c r="X107" s="47"/>
      <c r="Y107" s="49"/>
      <c r="Z107" s="47"/>
      <c r="AA107" s="152"/>
      <c r="AB107" s="140"/>
      <c r="AC107" s="143"/>
      <c r="AD107" s="146"/>
      <c r="AE107" s="149"/>
    </row>
    <row r="108" spans="1:31" ht="55.2" x14ac:dyDescent="0.25">
      <c r="A108" s="10">
        <v>272</v>
      </c>
      <c r="B108" s="35" t="s">
        <v>42</v>
      </c>
      <c r="C108" s="35" t="s">
        <v>133</v>
      </c>
      <c r="D108" s="19" t="s">
        <v>141</v>
      </c>
      <c r="E108" s="21" t="s">
        <v>156</v>
      </c>
      <c r="F108" s="100" t="s">
        <v>157</v>
      </c>
      <c r="G108" s="122">
        <v>2020680010052</v>
      </c>
      <c r="H108" s="83" t="s">
        <v>144</v>
      </c>
      <c r="I108" s="82" t="s">
        <v>145</v>
      </c>
      <c r="J108" s="59">
        <v>44562</v>
      </c>
      <c r="K108" s="59">
        <v>44926</v>
      </c>
      <c r="L108" s="71">
        <v>1</v>
      </c>
      <c r="M108" s="128">
        <v>1</v>
      </c>
      <c r="N108" s="69">
        <f t="shared" si="12"/>
        <v>1</v>
      </c>
      <c r="O108" s="98" t="s">
        <v>232</v>
      </c>
      <c r="P108" s="45">
        <v>90000000</v>
      </c>
      <c r="Q108" s="47"/>
      <c r="R108" s="47"/>
      <c r="S108" s="48"/>
      <c r="T108" s="47"/>
      <c r="U108" s="115">
        <f>SUM(P108:T108)</f>
        <v>90000000</v>
      </c>
      <c r="V108" s="47"/>
      <c r="W108" s="47"/>
      <c r="X108" s="47"/>
      <c r="Y108" s="49"/>
      <c r="Z108" s="47"/>
      <c r="AA108" s="115">
        <f t="shared" ref="AA108:AA109" si="13">SUM(V108:Z108)</f>
        <v>0</v>
      </c>
      <c r="AB108" s="70">
        <f t="shared" ref="AB108:AB114" si="14">IFERROR(AA108/U108,"-")</f>
        <v>0</v>
      </c>
      <c r="AC108" s="68"/>
      <c r="AD108" s="66" t="s">
        <v>50</v>
      </c>
      <c r="AE108" s="67" t="s">
        <v>173</v>
      </c>
    </row>
    <row r="109" spans="1:31" ht="55.2" x14ac:dyDescent="0.25">
      <c r="A109" s="10">
        <v>273</v>
      </c>
      <c r="B109" s="33" t="s">
        <v>42</v>
      </c>
      <c r="C109" s="33" t="s">
        <v>133</v>
      </c>
      <c r="D109" s="20" t="s">
        <v>160</v>
      </c>
      <c r="E109" s="16" t="s">
        <v>161</v>
      </c>
      <c r="F109" s="82" t="s">
        <v>162</v>
      </c>
      <c r="G109" s="122">
        <v>2021680010152</v>
      </c>
      <c r="H109" s="83" t="s">
        <v>198</v>
      </c>
      <c r="I109" s="82"/>
      <c r="J109" s="59">
        <v>44562</v>
      </c>
      <c r="K109" s="59">
        <v>44926</v>
      </c>
      <c r="L109" s="75">
        <v>1</v>
      </c>
      <c r="M109" s="127">
        <v>0.6</v>
      </c>
      <c r="N109" s="76">
        <f t="shared" si="12"/>
        <v>0.6</v>
      </c>
      <c r="O109" s="86" t="s">
        <v>225</v>
      </c>
      <c r="P109" s="45"/>
      <c r="Q109" s="47"/>
      <c r="R109" s="47"/>
      <c r="S109" s="48"/>
      <c r="T109" s="47">
        <v>252000000</v>
      </c>
      <c r="U109" s="54">
        <f>SUM(P109:T109)</f>
        <v>252000000</v>
      </c>
      <c r="V109" s="45"/>
      <c r="W109" s="45"/>
      <c r="X109" s="45"/>
      <c r="Y109" s="62"/>
      <c r="Z109" s="45"/>
      <c r="AA109" s="54">
        <f t="shared" si="13"/>
        <v>0</v>
      </c>
      <c r="AB109" s="17">
        <f t="shared" si="14"/>
        <v>0</v>
      </c>
      <c r="AC109" s="18"/>
      <c r="AD109" s="27" t="s">
        <v>50</v>
      </c>
      <c r="AE109" s="34" t="s">
        <v>173</v>
      </c>
    </row>
    <row r="110" spans="1:31" ht="82.8" x14ac:dyDescent="0.25">
      <c r="A110" s="10">
        <v>274</v>
      </c>
      <c r="B110" s="33" t="s">
        <v>42</v>
      </c>
      <c r="C110" s="33" t="s">
        <v>133</v>
      </c>
      <c r="D110" s="20" t="s">
        <v>160</v>
      </c>
      <c r="E110" s="16" t="s">
        <v>163</v>
      </c>
      <c r="F110" s="82" t="s">
        <v>164</v>
      </c>
      <c r="G110" s="122">
        <v>2020680010164</v>
      </c>
      <c r="H110" s="83" t="s">
        <v>165</v>
      </c>
      <c r="I110" s="82" t="s">
        <v>166</v>
      </c>
      <c r="J110" s="59">
        <v>44562</v>
      </c>
      <c r="K110" s="59">
        <v>44926</v>
      </c>
      <c r="L110" s="165">
        <v>1</v>
      </c>
      <c r="M110" s="167">
        <v>1</v>
      </c>
      <c r="N110" s="159">
        <f t="shared" si="12"/>
        <v>1</v>
      </c>
      <c r="O110" s="86" t="s">
        <v>178</v>
      </c>
      <c r="P110" s="45">
        <v>200000000</v>
      </c>
      <c r="Q110" s="47"/>
      <c r="R110" s="47"/>
      <c r="S110" s="47"/>
      <c r="T110" s="47"/>
      <c r="U110" s="150">
        <f>SUM(P110:T111)</f>
        <v>310000000</v>
      </c>
      <c r="V110" s="47">
        <v>60000000</v>
      </c>
      <c r="W110" s="47"/>
      <c r="X110" s="47"/>
      <c r="Y110" s="47"/>
      <c r="Z110" s="47"/>
      <c r="AA110" s="150">
        <f>SUM(V110:Z111)</f>
        <v>60000000</v>
      </c>
      <c r="AB110" s="138">
        <f>IFERROR(AA110/U110,"-")</f>
        <v>0.19354838709677419</v>
      </c>
      <c r="AC110" s="141"/>
      <c r="AD110" s="144" t="s">
        <v>50</v>
      </c>
      <c r="AE110" s="147" t="s">
        <v>173</v>
      </c>
    </row>
    <row r="111" spans="1:31" ht="41.4" x14ac:dyDescent="0.25">
      <c r="A111" s="10">
        <v>274</v>
      </c>
      <c r="B111" s="33" t="s">
        <v>42</v>
      </c>
      <c r="C111" s="33" t="s">
        <v>133</v>
      </c>
      <c r="D111" s="20" t="s">
        <v>160</v>
      </c>
      <c r="E111" s="16" t="s">
        <v>163</v>
      </c>
      <c r="F111" s="82" t="s">
        <v>164</v>
      </c>
      <c r="G111" s="122">
        <v>2020680010164</v>
      </c>
      <c r="H111" s="83" t="s">
        <v>165</v>
      </c>
      <c r="I111" s="82" t="s">
        <v>311</v>
      </c>
      <c r="J111" s="59"/>
      <c r="K111" s="59"/>
      <c r="L111" s="166"/>
      <c r="M111" s="168"/>
      <c r="N111" s="160"/>
      <c r="O111" s="57" t="s">
        <v>267</v>
      </c>
      <c r="P111" s="45">
        <v>110000000</v>
      </c>
      <c r="Q111" s="47"/>
      <c r="R111" s="47"/>
      <c r="S111" s="47"/>
      <c r="T111" s="47"/>
      <c r="U111" s="151"/>
      <c r="V111" s="47"/>
      <c r="W111" s="47"/>
      <c r="X111" s="47"/>
      <c r="Y111" s="47"/>
      <c r="Z111" s="47"/>
      <c r="AA111" s="151"/>
      <c r="AB111" s="139"/>
      <c r="AC111" s="142"/>
      <c r="AD111" s="145"/>
      <c r="AE111" s="148"/>
    </row>
    <row r="112" spans="1:31" ht="69" x14ac:dyDescent="0.25">
      <c r="A112" s="10">
        <v>275</v>
      </c>
      <c r="B112" s="33" t="s">
        <v>42</v>
      </c>
      <c r="C112" s="33" t="s">
        <v>133</v>
      </c>
      <c r="D112" s="20" t="s">
        <v>167</v>
      </c>
      <c r="E112" s="16" t="s">
        <v>168</v>
      </c>
      <c r="F112" s="82" t="s">
        <v>169</v>
      </c>
      <c r="G112" s="122">
        <v>2021680010160</v>
      </c>
      <c r="H112" s="83" t="s">
        <v>212</v>
      </c>
      <c r="I112" s="82" t="s">
        <v>85</v>
      </c>
      <c r="J112" s="59">
        <v>44562</v>
      </c>
      <c r="K112" s="59">
        <v>44926</v>
      </c>
      <c r="L112" s="165">
        <v>1</v>
      </c>
      <c r="M112" s="167">
        <v>0.6</v>
      </c>
      <c r="N112" s="159">
        <f>IFERROR(IF(M112/L112&gt;100%,100%,M112/L112),"-")</f>
        <v>0.6</v>
      </c>
      <c r="O112" s="86" t="s">
        <v>251</v>
      </c>
      <c r="P112" s="45">
        <v>16200000</v>
      </c>
      <c r="Q112" s="47"/>
      <c r="R112" s="47"/>
      <c r="S112" s="48"/>
      <c r="T112" s="47"/>
      <c r="U112" s="150">
        <f>SUM(P112:T113)</f>
        <v>29340000</v>
      </c>
      <c r="V112" s="47">
        <v>16200000</v>
      </c>
      <c r="W112" s="47"/>
      <c r="X112" s="47"/>
      <c r="Y112" s="49"/>
      <c r="Z112" s="47"/>
      <c r="AA112" s="150">
        <f>SUM(V112:Z113)</f>
        <v>16200000</v>
      </c>
      <c r="AB112" s="138">
        <f>IFERROR(AA112/U112,"-")</f>
        <v>0.55214723926380371</v>
      </c>
      <c r="AC112" s="141"/>
      <c r="AD112" s="144" t="s">
        <v>50</v>
      </c>
      <c r="AE112" s="147" t="s">
        <v>173</v>
      </c>
    </row>
    <row r="113" spans="1:31" ht="69" x14ac:dyDescent="0.25">
      <c r="A113" s="10">
        <v>275</v>
      </c>
      <c r="B113" s="33" t="s">
        <v>42</v>
      </c>
      <c r="C113" s="33" t="s">
        <v>133</v>
      </c>
      <c r="D113" s="20" t="s">
        <v>167</v>
      </c>
      <c r="E113" s="16" t="s">
        <v>168</v>
      </c>
      <c r="F113" s="82" t="s">
        <v>169</v>
      </c>
      <c r="G113" s="122">
        <v>2021680010160</v>
      </c>
      <c r="H113" s="83" t="s">
        <v>212</v>
      </c>
      <c r="I113" s="82" t="s">
        <v>311</v>
      </c>
      <c r="J113" s="59"/>
      <c r="K113" s="59"/>
      <c r="L113" s="166"/>
      <c r="M113" s="168"/>
      <c r="N113" s="160"/>
      <c r="O113" s="86" t="s">
        <v>282</v>
      </c>
      <c r="P113" s="45">
        <v>13140000</v>
      </c>
      <c r="Q113" s="47"/>
      <c r="R113" s="47"/>
      <c r="S113" s="48"/>
      <c r="T113" s="47"/>
      <c r="U113" s="151"/>
      <c r="V113" s="47"/>
      <c r="W113" s="47"/>
      <c r="X113" s="47"/>
      <c r="Y113" s="49"/>
      <c r="Z113" s="47"/>
      <c r="AA113" s="151"/>
      <c r="AB113" s="139"/>
      <c r="AC113" s="142"/>
      <c r="AD113" s="145"/>
      <c r="AE113" s="148"/>
    </row>
    <row r="114" spans="1:31" ht="82.8" x14ac:dyDescent="0.25">
      <c r="A114" s="10">
        <v>300</v>
      </c>
      <c r="B114" s="33" t="s">
        <v>37</v>
      </c>
      <c r="C114" s="33" t="s">
        <v>38</v>
      </c>
      <c r="D114" s="15" t="s">
        <v>39</v>
      </c>
      <c r="E114" s="16" t="s">
        <v>48</v>
      </c>
      <c r="F114" s="82" t="s">
        <v>49</v>
      </c>
      <c r="G114" s="122">
        <v>2020680010035</v>
      </c>
      <c r="H114" s="83" t="s">
        <v>170</v>
      </c>
      <c r="I114" s="82" t="s">
        <v>171</v>
      </c>
      <c r="J114" s="59">
        <v>44562</v>
      </c>
      <c r="K114" s="59">
        <v>44926</v>
      </c>
      <c r="L114" s="188">
        <v>1</v>
      </c>
      <c r="M114" s="172">
        <v>0.9</v>
      </c>
      <c r="N114" s="159">
        <f t="shared" si="12"/>
        <v>0.9</v>
      </c>
      <c r="O114" s="86" t="s">
        <v>219</v>
      </c>
      <c r="P114" s="45">
        <v>620400000</v>
      </c>
      <c r="Q114" s="47"/>
      <c r="R114" s="47"/>
      <c r="S114" s="47"/>
      <c r="T114" s="47"/>
      <c r="U114" s="150">
        <f>SUM(P114:T116)</f>
        <v>1276900000</v>
      </c>
      <c r="V114" s="47">
        <v>620400000</v>
      </c>
      <c r="W114" s="47"/>
      <c r="X114" s="47"/>
      <c r="Y114" s="47"/>
      <c r="Z114" s="47"/>
      <c r="AA114" s="150">
        <f>SUM(V114:Z116)</f>
        <v>630399400</v>
      </c>
      <c r="AB114" s="138">
        <f t="shared" si="14"/>
        <v>0.49369519931083095</v>
      </c>
      <c r="AC114" s="141"/>
      <c r="AD114" s="144" t="s">
        <v>50</v>
      </c>
      <c r="AE114" s="147" t="s">
        <v>173</v>
      </c>
    </row>
    <row r="115" spans="1:31" ht="82.8" x14ac:dyDescent="0.25">
      <c r="A115" s="10">
        <v>300</v>
      </c>
      <c r="B115" s="33" t="s">
        <v>37</v>
      </c>
      <c r="C115" s="33" t="s">
        <v>38</v>
      </c>
      <c r="D115" s="15" t="s">
        <v>39</v>
      </c>
      <c r="E115" s="16" t="s">
        <v>48</v>
      </c>
      <c r="F115" s="82" t="s">
        <v>49</v>
      </c>
      <c r="G115" s="122">
        <v>2020680010035</v>
      </c>
      <c r="H115" s="83" t="s">
        <v>170</v>
      </c>
      <c r="I115" s="82" t="s">
        <v>311</v>
      </c>
      <c r="J115" s="59">
        <v>44562</v>
      </c>
      <c r="K115" s="59">
        <v>44926</v>
      </c>
      <c r="L115" s="191"/>
      <c r="M115" s="173"/>
      <c r="N115" s="180"/>
      <c r="O115" s="118" t="s">
        <v>270</v>
      </c>
      <c r="P115" s="119">
        <v>646500000</v>
      </c>
      <c r="Q115" s="52"/>
      <c r="R115" s="52"/>
      <c r="S115" s="52"/>
      <c r="T115" s="52"/>
      <c r="U115" s="151"/>
      <c r="V115" s="52"/>
      <c r="W115" s="52"/>
      <c r="X115" s="52"/>
      <c r="Y115" s="52"/>
      <c r="Z115" s="52"/>
      <c r="AA115" s="151"/>
      <c r="AB115" s="139"/>
      <c r="AC115" s="142"/>
      <c r="AD115" s="145"/>
      <c r="AE115" s="148"/>
    </row>
    <row r="116" spans="1:31" ht="82.8" x14ac:dyDescent="0.25">
      <c r="A116" s="10">
        <v>300</v>
      </c>
      <c r="B116" s="33" t="s">
        <v>37</v>
      </c>
      <c r="C116" s="33" t="s">
        <v>38</v>
      </c>
      <c r="D116" s="15" t="s">
        <v>39</v>
      </c>
      <c r="E116" s="16" t="s">
        <v>48</v>
      </c>
      <c r="F116" s="82" t="s">
        <v>49</v>
      </c>
      <c r="G116" s="123">
        <v>2021680010153</v>
      </c>
      <c r="H116" s="107" t="s">
        <v>192</v>
      </c>
      <c r="I116" s="106"/>
      <c r="J116" s="59">
        <v>44562</v>
      </c>
      <c r="K116" s="59">
        <v>44926</v>
      </c>
      <c r="L116" s="192"/>
      <c r="M116" s="193"/>
      <c r="N116" s="187"/>
      <c r="O116" s="86" t="s">
        <v>257</v>
      </c>
      <c r="P116" s="45">
        <v>10000000</v>
      </c>
      <c r="Q116" s="52"/>
      <c r="R116" s="52"/>
      <c r="S116" s="53"/>
      <c r="T116" s="52"/>
      <c r="U116" s="152"/>
      <c r="V116" s="46"/>
      <c r="W116" s="46"/>
      <c r="X116" s="46"/>
      <c r="Y116" s="77"/>
      <c r="Z116" s="46">
        <v>9999400</v>
      </c>
      <c r="AA116" s="152"/>
      <c r="AB116" s="140"/>
      <c r="AC116" s="143"/>
      <c r="AD116" s="146"/>
      <c r="AE116" s="149"/>
    </row>
    <row r="117" spans="1:31" x14ac:dyDescent="0.25">
      <c r="A117" s="116">
        <f>SUM(--(FREQUENCY(A9:A116,A9:A116)&gt;0))</f>
        <v>43</v>
      </c>
      <c r="B117" s="1"/>
      <c r="C117" s="2"/>
      <c r="D117" s="2"/>
      <c r="E117" s="9"/>
      <c r="F117" s="9"/>
      <c r="G117" s="12"/>
      <c r="H117" s="5"/>
      <c r="I117" s="2"/>
      <c r="J117" s="2"/>
      <c r="K117" s="3"/>
      <c r="L117" s="3"/>
      <c r="M117" s="4" t="s">
        <v>16</v>
      </c>
      <c r="N117" s="3">
        <f>IFERROR(AVERAGE(N9:N116),"-")</f>
        <v>0.71697619047619054</v>
      </c>
      <c r="O117" s="5"/>
      <c r="P117" s="6">
        <f>SUM(P9:P116)</f>
        <v>33032220813.939999</v>
      </c>
      <c r="Q117" s="6">
        <f>SUM(Q9:Q114)</f>
        <v>0</v>
      </c>
      <c r="R117" s="6">
        <f>SUM(R9:R114)</f>
        <v>0</v>
      </c>
      <c r="S117" s="6">
        <f>SUM(S9:S114)</f>
        <v>0</v>
      </c>
      <c r="T117" s="6">
        <f>SUM(T9:T116)</f>
        <v>25296461326.360001</v>
      </c>
      <c r="U117" s="8">
        <f>SUM(U9:U116)</f>
        <v>58328682140.299988</v>
      </c>
      <c r="V117" s="6">
        <f>SUM(V9:V114)</f>
        <v>7640042958.8400002</v>
      </c>
      <c r="W117" s="6">
        <f>SUM(W9:W114)</f>
        <v>0</v>
      </c>
      <c r="X117" s="6">
        <f>SUM(X9:X114)</f>
        <v>0</v>
      </c>
      <c r="Y117" s="6">
        <f>SUM(Y9:Y114)</f>
        <v>0</v>
      </c>
      <c r="Z117" s="6">
        <f>SUM(Z9:Z114)</f>
        <v>2495061503</v>
      </c>
      <c r="AA117" s="8">
        <f>SUM(AA9:AA116)</f>
        <v>10145103861.84</v>
      </c>
      <c r="AB117" s="7">
        <f>IFERROR(AA117/U117,"-")</f>
        <v>0.17392993446067634</v>
      </c>
      <c r="AC117" s="13">
        <f>SUM(AC9:AC114)</f>
        <v>0</v>
      </c>
      <c r="AD117" s="14"/>
      <c r="AE117" s="14"/>
    </row>
    <row r="118" spans="1:31" x14ac:dyDescent="0.25">
      <c r="P118" s="41"/>
      <c r="U118" s="41"/>
      <c r="AA118" s="41"/>
    </row>
    <row r="119" spans="1:31" x14ac:dyDescent="0.25">
      <c r="P119" s="43"/>
      <c r="Q119" s="65"/>
      <c r="T119" s="65"/>
      <c r="U119" s="44"/>
      <c r="V119" s="65"/>
      <c r="W119" s="44"/>
      <c r="Z119" s="65"/>
      <c r="AA119" s="44"/>
      <c r="AB119" s="28"/>
      <c r="AC119" s="111"/>
    </row>
    <row r="120" spans="1:31" x14ac:dyDescent="0.25">
      <c r="P120" s="58"/>
      <c r="Q120" s="65"/>
      <c r="T120" s="78"/>
      <c r="U120" s="44"/>
      <c r="Z120" s="65"/>
      <c r="AA120" s="44"/>
    </row>
    <row r="121" spans="1:31" x14ac:dyDescent="0.25">
      <c r="T121" s="78"/>
      <c r="U121" s="41"/>
    </row>
    <row r="122" spans="1:31" x14ac:dyDescent="0.25">
      <c r="T122" s="78"/>
      <c r="U122" s="41"/>
      <c r="AA122" s="41"/>
    </row>
    <row r="123" spans="1:31" x14ac:dyDescent="0.25">
      <c r="T123" s="78"/>
      <c r="U123" s="41"/>
    </row>
    <row r="124" spans="1:31" x14ac:dyDescent="0.25">
      <c r="T124" s="78"/>
      <c r="U124" s="44"/>
    </row>
  </sheetData>
  <mergeCells count="278">
    <mergeCell ref="A5:C5"/>
    <mergeCell ref="D5:G5"/>
    <mergeCell ref="A6:C6"/>
    <mergeCell ref="D6:G6"/>
    <mergeCell ref="B7:F7"/>
    <mergeCell ref="G7:I7"/>
    <mergeCell ref="A1:A4"/>
    <mergeCell ref="B1:AB4"/>
    <mergeCell ref="AC1:AE1"/>
    <mergeCell ref="AC2:AE2"/>
    <mergeCell ref="AC3:AE3"/>
    <mergeCell ref="AC4:AE4"/>
    <mergeCell ref="J7:N7"/>
    <mergeCell ref="O7:U7"/>
    <mergeCell ref="V7:AA7"/>
    <mergeCell ref="AB7:AB8"/>
    <mergeCell ref="AC7:AC8"/>
    <mergeCell ref="U26:U28"/>
    <mergeCell ref="AA26:AA28"/>
    <mergeCell ref="AB26:AB28"/>
    <mergeCell ref="AC26:AC28"/>
    <mergeCell ref="AD26:AD28"/>
    <mergeCell ref="AE26:AE28"/>
    <mergeCell ref="M24:M25"/>
    <mergeCell ref="L24:L25"/>
    <mergeCell ref="N24:N25"/>
    <mergeCell ref="M34:M35"/>
    <mergeCell ref="L34:L35"/>
    <mergeCell ref="N34:N35"/>
    <mergeCell ref="M36:M38"/>
    <mergeCell ref="L36:L38"/>
    <mergeCell ref="N36:N38"/>
    <mergeCell ref="N62:N66"/>
    <mergeCell ref="M62:M66"/>
    <mergeCell ref="L62:L66"/>
    <mergeCell ref="AD114:AD116"/>
    <mergeCell ref="AE114:AE116"/>
    <mergeCell ref="L114:L116"/>
    <mergeCell ref="M114:M116"/>
    <mergeCell ref="N114:N116"/>
    <mergeCell ref="U114:U116"/>
    <mergeCell ref="AA114:AA116"/>
    <mergeCell ref="AB114:AB116"/>
    <mergeCell ref="AC114:AC116"/>
    <mergeCell ref="L112:L113"/>
    <mergeCell ref="M112:M113"/>
    <mergeCell ref="N112:N113"/>
    <mergeCell ref="L79:L80"/>
    <mergeCell ref="M79:M80"/>
    <mergeCell ref="N79:N80"/>
    <mergeCell ref="L81:L82"/>
    <mergeCell ref="M81:M82"/>
    <mergeCell ref="N81:N82"/>
    <mergeCell ref="L89:L90"/>
    <mergeCell ref="M89:M90"/>
    <mergeCell ref="N89:N90"/>
    <mergeCell ref="L85:L88"/>
    <mergeCell ref="M85:M88"/>
    <mergeCell ref="N85:N88"/>
    <mergeCell ref="M93:M95"/>
    <mergeCell ref="N93:N95"/>
    <mergeCell ref="L93:L95"/>
    <mergeCell ref="N96:N97"/>
    <mergeCell ref="M96:M97"/>
    <mergeCell ref="L96:L97"/>
    <mergeCell ref="M100:M101"/>
    <mergeCell ref="N100:N101"/>
    <mergeCell ref="L100:L101"/>
    <mergeCell ref="L71:L72"/>
    <mergeCell ref="M71:M72"/>
    <mergeCell ref="N71:N72"/>
    <mergeCell ref="M104:M105"/>
    <mergeCell ref="N104:N105"/>
    <mergeCell ref="L104:L105"/>
    <mergeCell ref="N110:N111"/>
    <mergeCell ref="M110:M111"/>
    <mergeCell ref="L110:L111"/>
    <mergeCell ref="L83:L84"/>
    <mergeCell ref="M83:M84"/>
    <mergeCell ref="N83:N84"/>
    <mergeCell ref="M91:M92"/>
    <mergeCell ref="L91:L92"/>
    <mergeCell ref="N91:N92"/>
    <mergeCell ref="N106:N107"/>
    <mergeCell ref="M106:M107"/>
    <mergeCell ref="L106:L107"/>
    <mergeCell ref="M73:M76"/>
    <mergeCell ref="L73:L76"/>
    <mergeCell ref="N73:N76"/>
    <mergeCell ref="L77:L78"/>
    <mergeCell ref="M77:M78"/>
    <mergeCell ref="N77:N78"/>
    <mergeCell ref="N12:N13"/>
    <mergeCell ref="M12:M13"/>
    <mergeCell ref="L12:L13"/>
    <mergeCell ref="L67:L68"/>
    <mergeCell ref="M67:M68"/>
    <mergeCell ref="N67:N68"/>
    <mergeCell ref="M69:M70"/>
    <mergeCell ref="N69:N70"/>
    <mergeCell ref="L69:L70"/>
    <mergeCell ref="N18:N20"/>
    <mergeCell ref="M18:M20"/>
    <mergeCell ref="L18:L20"/>
    <mergeCell ref="L26:L28"/>
    <mergeCell ref="M26:M28"/>
    <mergeCell ref="N26:N28"/>
    <mergeCell ref="L21:L23"/>
    <mergeCell ref="M21:M23"/>
    <mergeCell ref="N21:N23"/>
    <mergeCell ref="L39:L61"/>
    <mergeCell ref="M39:M61"/>
    <mergeCell ref="N39:N61"/>
    <mergeCell ref="N29:N32"/>
    <mergeCell ref="M29:M32"/>
    <mergeCell ref="L29:L32"/>
    <mergeCell ref="U12:U13"/>
    <mergeCell ref="AA12:AA13"/>
    <mergeCell ref="AB12:AB13"/>
    <mergeCell ref="AC12:AC13"/>
    <mergeCell ref="AD12:AD13"/>
    <mergeCell ref="AE12:AE13"/>
    <mergeCell ref="U18:U20"/>
    <mergeCell ref="AA18:AA20"/>
    <mergeCell ref="AB18:AB20"/>
    <mergeCell ref="AC18:AC20"/>
    <mergeCell ref="AD18:AD20"/>
    <mergeCell ref="AE18:AE20"/>
    <mergeCell ref="U21:U23"/>
    <mergeCell ref="AA21:AA23"/>
    <mergeCell ref="AB21:AB23"/>
    <mergeCell ref="AC21:AC23"/>
    <mergeCell ref="AD21:AD23"/>
    <mergeCell ref="AE21:AE23"/>
    <mergeCell ref="U24:U25"/>
    <mergeCell ref="AA24:AA25"/>
    <mergeCell ref="AB24:AB25"/>
    <mergeCell ref="AC24:AC25"/>
    <mergeCell ref="AD24:AD25"/>
    <mergeCell ref="AE24:AE25"/>
    <mergeCell ref="U29:U32"/>
    <mergeCell ref="AA29:AA32"/>
    <mergeCell ref="AB29:AB32"/>
    <mergeCell ref="AC29:AC32"/>
    <mergeCell ref="AD29:AD32"/>
    <mergeCell ref="AE29:AE32"/>
    <mergeCell ref="U34:U35"/>
    <mergeCell ref="AA34:AA35"/>
    <mergeCell ref="AB34:AB35"/>
    <mergeCell ref="AC34:AC35"/>
    <mergeCell ref="AD34:AD35"/>
    <mergeCell ref="AE34:AE35"/>
    <mergeCell ref="U36:U38"/>
    <mergeCell ref="AA36:AA38"/>
    <mergeCell ref="AB36:AB38"/>
    <mergeCell ref="AC36:AC38"/>
    <mergeCell ref="AD36:AD38"/>
    <mergeCell ref="AE36:AE38"/>
    <mergeCell ref="U39:U61"/>
    <mergeCell ref="AA39:AA61"/>
    <mergeCell ref="AB39:AB61"/>
    <mergeCell ref="AC39:AC61"/>
    <mergeCell ref="AD39:AD61"/>
    <mergeCell ref="AE39:AE61"/>
    <mergeCell ref="AC62:AC66"/>
    <mergeCell ref="AD62:AD66"/>
    <mergeCell ref="AE62:AE66"/>
    <mergeCell ref="U67:U68"/>
    <mergeCell ref="AA67:AA68"/>
    <mergeCell ref="AB67:AB68"/>
    <mergeCell ref="AC67:AC68"/>
    <mergeCell ref="AD67:AD68"/>
    <mergeCell ref="AE67:AE68"/>
    <mergeCell ref="U62:U66"/>
    <mergeCell ref="AA62:AA66"/>
    <mergeCell ref="AB62:AB66"/>
    <mergeCell ref="U69:U70"/>
    <mergeCell ref="AA69:AA70"/>
    <mergeCell ref="AB69:AB70"/>
    <mergeCell ref="AC69:AC70"/>
    <mergeCell ref="AD69:AD70"/>
    <mergeCell ref="AE69:AE70"/>
    <mergeCell ref="U73:U76"/>
    <mergeCell ref="AA73:AA76"/>
    <mergeCell ref="AB73:AB76"/>
    <mergeCell ref="AC73:AC76"/>
    <mergeCell ref="AD73:AD76"/>
    <mergeCell ref="AE73:AE76"/>
    <mergeCell ref="U71:U72"/>
    <mergeCell ref="AA71:AA72"/>
    <mergeCell ref="AB71:AB72"/>
    <mergeCell ref="AC71:AC72"/>
    <mergeCell ref="AD71:AD72"/>
    <mergeCell ref="AE71:AE72"/>
    <mergeCell ref="U77:U78"/>
    <mergeCell ref="AA77:AA78"/>
    <mergeCell ref="AB77:AB78"/>
    <mergeCell ref="AC77:AC78"/>
    <mergeCell ref="AD77:AD78"/>
    <mergeCell ref="AE77:AE78"/>
    <mergeCell ref="U79:U80"/>
    <mergeCell ref="AA79:AA80"/>
    <mergeCell ref="AC79:AC80"/>
    <mergeCell ref="AD79:AD80"/>
    <mergeCell ref="AE79:AE80"/>
    <mergeCell ref="AB79:AB80"/>
    <mergeCell ref="U81:U82"/>
    <mergeCell ref="AA81:AA82"/>
    <mergeCell ref="AB81:AB82"/>
    <mergeCell ref="AC81:AC82"/>
    <mergeCell ref="AD81:AD82"/>
    <mergeCell ref="AE81:AE82"/>
    <mergeCell ref="U85:U88"/>
    <mergeCell ref="AA85:AA88"/>
    <mergeCell ref="AB85:AB88"/>
    <mergeCell ref="AC85:AC88"/>
    <mergeCell ref="AD85:AD88"/>
    <mergeCell ref="AE85:AE88"/>
    <mergeCell ref="U83:U84"/>
    <mergeCell ref="AA83:AA84"/>
    <mergeCell ref="AB83:AB84"/>
    <mergeCell ref="AC83:AC84"/>
    <mergeCell ref="AD83:AD84"/>
    <mergeCell ref="AE83:AE84"/>
    <mergeCell ref="U89:U90"/>
    <mergeCell ref="AA89:AA90"/>
    <mergeCell ref="AB89:AB90"/>
    <mergeCell ref="AC89:AC90"/>
    <mergeCell ref="AD89:AD90"/>
    <mergeCell ref="AE89:AE90"/>
    <mergeCell ref="U91:U92"/>
    <mergeCell ref="AA91:AA92"/>
    <mergeCell ref="AB91:AB92"/>
    <mergeCell ref="AC91:AC92"/>
    <mergeCell ref="AD91:AD92"/>
    <mergeCell ref="AE91:AE92"/>
    <mergeCell ref="U112:U113"/>
    <mergeCell ref="AA112:AA113"/>
    <mergeCell ref="U93:U95"/>
    <mergeCell ref="AA93:AA95"/>
    <mergeCell ref="AB112:AB113"/>
    <mergeCell ref="AC112:AC113"/>
    <mergeCell ref="AD112:AD113"/>
    <mergeCell ref="AE112:AE113"/>
    <mergeCell ref="U104:U105"/>
    <mergeCell ref="AA104:AA105"/>
    <mergeCell ref="AB104:AB105"/>
    <mergeCell ref="AC104:AC105"/>
    <mergeCell ref="AD104:AD105"/>
    <mergeCell ref="AE104:AE105"/>
    <mergeCell ref="AB96:AB97"/>
    <mergeCell ref="AC96:AC97"/>
    <mergeCell ref="AD96:AD97"/>
    <mergeCell ref="AE96:AE97"/>
    <mergeCell ref="AB100:AB101"/>
    <mergeCell ref="AC100:AC101"/>
    <mergeCell ref="AD100:AD101"/>
    <mergeCell ref="AE100:AE101"/>
    <mergeCell ref="AB110:AB111"/>
    <mergeCell ref="AC110:AC111"/>
    <mergeCell ref="AB93:AB95"/>
    <mergeCell ref="AC93:AC95"/>
    <mergeCell ref="AD93:AD95"/>
    <mergeCell ref="AE93:AE95"/>
    <mergeCell ref="U96:U97"/>
    <mergeCell ref="AA96:AA97"/>
    <mergeCell ref="U100:U101"/>
    <mergeCell ref="AA100:AA101"/>
    <mergeCell ref="U110:U111"/>
    <mergeCell ref="AA110:AA111"/>
    <mergeCell ref="AD110:AD111"/>
    <mergeCell ref="AE110:AE111"/>
    <mergeCell ref="U106:U107"/>
    <mergeCell ref="AA106:AA107"/>
    <mergeCell ref="AB106:AB107"/>
    <mergeCell ref="AC106:AC107"/>
    <mergeCell ref="AD106:AD107"/>
    <mergeCell ref="AE106:AE107"/>
  </mergeCells>
  <conditionalFormatting sqref="N9:N12 N91 N21 N33:N34 N26:N30 N24 N62 N77 N93 N96 N98:N100 N102:N104 N106 N112 N14:N18 N36 N39 N67 N69 N79 N81 N114:N115 N83:N86 N71:N73 N108:N110">
    <cfRule type="cellIs" dxfId="5" priority="13" operator="between">
      <formula>0.67</formula>
      <formula>1</formula>
    </cfRule>
    <cfRule type="cellIs" dxfId="4" priority="14" operator="between">
      <formula>0.34</formula>
      <formula>0.67</formula>
    </cfRule>
    <cfRule type="cellIs" dxfId="3" priority="15" operator="between">
      <formula>0</formula>
      <formula>0.34</formula>
    </cfRule>
  </conditionalFormatting>
  <conditionalFormatting sqref="N89">
    <cfRule type="cellIs" dxfId="2" priority="10" operator="between">
      <formula>0.67</formula>
      <formula>1</formula>
    </cfRule>
    <cfRule type="cellIs" dxfId="1" priority="11" operator="between">
      <formula>0.34</formula>
      <formula>0.67</formula>
    </cfRule>
    <cfRule type="cellIs" dxfId="0" priority="12" operator="between">
      <formula>0</formula>
      <formula>0.34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 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2022-10-04T03:53:20Z</dcterms:modified>
</cp:coreProperties>
</file>