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6 - Junio\Publicados\"/>
    </mc:Choice>
  </mc:AlternateContent>
  <xr:revisionPtr revIDLastSave="0" documentId="13_ncr:1_{B04ED247-2891-4F95-A309-829A72C35481}" xr6:coauthVersionLast="47" xr6:coauthVersionMax="47" xr10:uidLastSave="{00000000-0000-0000-0000-000000000000}"/>
  <bookViews>
    <workbookView xWindow="-25320" yWindow="195" windowWidth="25440" windowHeight="15270" xr2:uid="{00000000-000D-0000-FFFF-FFFF00000000}"/>
  </bookViews>
  <sheets>
    <sheet name="PA 2022" sheetId="14" r:id="rId1"/>
  </sheets>
  <definedNames>
    <definedName name="_xlnm._FilterDatabase" localSheetId="0" hidden="1">'PA 2022'!$A$8:$AF$71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1" i="14" l="1"/>
  <c r="AC71" i="14"/>
  <c r="U71" i="14"/>
  <c r="P23" i="14"/>
  <c r="P38" i="14"/>
  <c r="P49" i="14"/>
  <c r="P48" i="14"/>
  <c r="P47" i="14"/>
  <c r="P46" i="14"/>
  <c r="P45" i="14"/>
  <c r="P44" i="14"/>
  <c r="P41" i="14"/>
  <c r="P40" i="14"/>
  <c r="P39" i="14"/>
  <c r="P32" i="14"/>
  <c r="P30" i="14"/>
  <c r="P28" i="14"/>
  <c r="P57" i="14"/>
  <c r="P55" i="14"/>
  <c r="P54" i="14"/>
  <c r="P52" i="14"/>
  <c r="P51" i="14"/>
  <c r="P50" i="14"/>
  <c r="P69" i="14"/>
  <c r="P68" i="14"/>
  <c r="P66" i="14"/>
  <c r="P70" i="14"/>
  <c r="AA37" i="14" l="1"/>
  <c r="AA36" i="14"/>
  <c r="AA35" i="14"/>
  <c r="U35" i="14"/>
  <c r="N37" i="14"/>
  <c r="N36" i="14"/>
  <c r="N35" i="14"/>
  <c r="V40" i="14"/>
  <c r="V69" i="14"/>
  <c r="V66" i="14"/>
  <c r="V51" i="14"/>
  <c r="V50" i="14"/>
  <c r="V54" i="14"/>
  <c r="V32" i="14"/>
  <c r="V37" i="14"/>
  <c r="V9" i="14"/>
  <c r="V68" i="14"/>
  <c r="V44" i="14"/>
  <c r="V61" i="14" l="1"/>
  <c r="V65" i="14"/>
  <c r="P34" i="14"/>
  <c r="P37" i="14"/>
  <c r="P35" i="14"/>
  <c r="P9" i="14"/>
  <c r="P12" i="14"/>
  <c r="P22" i="14"/>
  <c r="P63" i="14"/>
  <c r="P62" i="14"/>
  <c r="P67" i="14"/>
  <c r="T31" i="14"/>
  <c r="Z29" i="14" l="1"/>
  <c r="V13" i="14" l="1"/>
  <c r="V64" i="14"/>
  <c r="AC13" i="14" l="1"/>
  <c r="V21" i="14" l="1"/>
  <c r="V20" i="14"/>
  <c r="V56" i="14" l="1"/>
  <c r="V46" i="14"/>
  <c r="V35" i="14"/>
  <c r="V34" i="14"/>
  <c r="V25" i="14"/>
  <c r="V22" i="14"/>
  <c r="P19" i="14"/>
  <c r="P20" i="14"/>
  <c r="V19" i="14"/>
  <c r="V17" i="14"/>
  <c r="P15" i="14"/>
  <c r="P16" i="14"/>
  <c r="V16" i="14"/>
  <c r="V14" i="14"/>
  <c r="V10" i="14"/>
  <c r="V62" i="14" l="1"/>
  <c r="P64" i="14" l="1"/>
  <c r="V70" i="14" l="1"/>
  <c r="Z31" i="14"/>
  <c r="T32" i="14" l="1"/>
  <c r="P61" i="14" l="1"/>
  <c r="P25" i="14"/>
  <c r="P17" i="14"/>
  <c r="P21" i="14"/>
  <c r="P10" i="14"/>
  <c r="V18" i="14"/>
  <c r="P14" i="14"/>
  <c r="P13" i="14"/>
  <c r="V15" i="14"/>
  <c r="P18" i="14"/>
  <c r="AA10" i="14" l="1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23" i="14"/>
  <c r="AA24" i="14"/>
  <c r="AA25" i="14"/>
  <c r="AA26" i="14"/>
  <c r="AA27" i="14"/>
  <c r="AA28" i="14"/>
  <c r="AA29" i="14"/>
  <c r="AA30" i="14"/>
  <c r="AA31" i="14"/>
  <c r="AA32" i="14"/>
  <c r="AA33" i="14"/>
  <c r="AA34" i="14"/>
  <c r="AA38" i="14"/>
  <c r="AA39" i="14"/>
  <c r="AA40" i="14"/>
  <c r="AA41" i="14"/>
  <c r="AA42" i="14"/>
  <c r="AA43" i="14"/>
  <c r="AA44" i="14"/>
  <c r="AA45" i="14"/>
  <c r="AA46" i="14"/>
  <c r="AA47" i="14"/>
  <c r="AA48" i="14"/>
  <c r="AA49" i="14"/>
  <c r="AA50" i="14"/>
  <c r="AA51" i="14"/>
  <c r="AA52" i="14"/>
  <c r="AA53" i="14"/>
  <c r="AA54" i="14"/>
  <c r="AA55" i="14"/>
  <c r="AA56" i="14"/>
  <c r="AA57" i="14"/>
  <c r="AA58" i="14"/>
  <c r="AA59" i="14"/>
  <c r="AA60" i="14"/>
  <c r="AA61" i="14"/>
  <c r="AA62" i="14"/>
  <c r="AA63" i="14"/>
  <c r="AA64" i="14"/>
  <c r="AA65" i="14"/>
  <c r="AA66" i="14"/>
  <c r="AA67" i="14"/>
  <c r="AA68" i="14"/>
  <c r="AA69" i="14"/>
  <c r="AA70" i="14"/>
  <c r="AA9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1" i="14"/>
  <c r="U52" i="14"/>
  <c r="U53" i="14"/>
  <c r="U54" i="14"/>
  <c r="U55" i="14"/>
  <c r="U56" i="14"/>
  <c r="U57" i="14"/>
  <c r="U58" i="14"/>
  <c r="U59" i="14"/>
  <c r="U60" i="14"/>
  <c r="U61" i="14"/>
  <c r="U62" i="14"/>
  <c r="U63" i="14"/>
  <c r="U64" i="14"/>
  <c r="U65" i="14"/>
  <c r="U66" i="14"/>
  <c r="U67" i="14"/>
  <c r="U68" i="14"/>
  <c r="U69" i="14"/>
  <c r="U70" i="14"/>
  <c r="T71" i="14"/>
  <c r="N70" i="14"/>
  <c r="AB14" i="14" l="1"/>
  <c r="AB13" i="14"/>
  <c r="AB12" i="14"/>
  <c r="AB11" i="14"/>
  <c r="AB40" i="14"/>
  <c r="AB32" i="14"/>
  <c r="AB48" i="14"/>
  <c r="AB24" i="14"/>
  <c r="AB16" i="14"/>
  <c r="AB56" i="14"/>
  <c r="AB64" i="14"/>
  <c r="AB68" i="14"/>
  <c r="AB66" i="14"/>
  <c r="AB58" i="14"/>
  <c r="AB42" i="14"/>
  <c r="AB34" i="14"/>
  <c r="AB26" i="14"/>
  <c r="AB18" i="14"/>
  <c r="AB65" i="14"/>
  <c r="AB57" i="14"/>
  <c r="AB49" i="14"/>
  <c r="AB41" i="14"/>
  <c r="AB33" i="14"/>
  <c r="AB25" i="14"/>
  <c r="AB17" i="14"/>
  <c r="AB63" i="14"/>
  <c r="AB55" i="14"/>
  <c r="AB47" i="14"/>
  <c r="AB39" i="14"/>
  <c r="AB31" i="14"/>
  <c r="AB23" i="14"/>
  <c r="AB15" i="14"/>
  <c r="AB70" i="14"/>
  <c r="AB62" i="14"/>
  <c r="AB54" i="14"/>
  <c r="AB46" i="14"/>
  <c r="AB38" i="14"/>
  <c r="AB30" i="14"/>
  <c r="AB22" i="14"/>
  <c r="AB69" i="14"/>
  <c r="AB61" i="14"/>
  <c r="AB53" i="14"/>
  <c r="AB45" i="14"/>
  <c r="AB37" i="14"/>
  <c r="AB29" i="14"/>
  <c r="AB21" i="14"/>
  <c r="AB60" i="14"/>
  <c r="AB52" i="14"/>
  <c r="AB44" i="14"/>
  <c r="AB36" i="14"/>
  <c r="AB28" i="14"/>
  <c r="AB20" i="14"/>
  <c r="AB67" i="14"/>
  <c r="AB59" i="14"/>
  <c r="AB51" i="14"/>
  <c r="AB43" i="14"/>
  <c r="AB35" i="14"/>
  <c r="AB27" i="14"/>
  <c r="AB19" i="14"/>
  <c r="N67" i="14"/>
  <c r="N28" i="14" l="1"/>
  <c r="U50" i="14" l="1"/>
  <c r="AB50" i="14" s="1"/>
  <c r="U9" i="14" l="1"/>
  <c r="AB9" i="14" s="1"/>
  <c r="U10" i="14"/>
  <c r="AB10" i="14" s="1"/>
  <c r="P71" i="14" l="1"/>
  <c r="N69" i="14"/>
  <c r="N68" i="14"/>
  <c r="N66" i="14"/>
  <c r="N64" i="14"/>
  <c r="N63" i="14"/>
  <c r="N62" i="14"/>
  <c r="N58" i="14"/>
  <c r="N57" i="14"/>
  <c r="N56" i="14"/>
  <c r="N55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2" i="14"/>
  <c r="N34" i="14"/>
  <c r="N33" i="14"/>
  <c r="N31" i="14"/>
  <c r="N30" i="14"/>
  <c r="N29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Z71" i="14" l="1"/>
  <c r="N59" i="14"/>
  <c r="R71" i="14"/>
  <c r="X71" i="14"/>
  <c r="N65" i="14"/>
  <c r="N61" i="14"/>
  <c r="N60" i="14"/>
  <c r="N54" i="14"/>
  <c r="Y71" i="14"/>
  <c r="S71" i="14" l="1"/>
  <c r="AA71" i="14"/>
  <c r="Q71" i="14"/>
  <c r="W71" i="14"/>
  <c r="V71" i="14"/>
  <c r="A71" i="14"/>
  <c r="AB71" i="14" l="1"/>
</calcChain>
</file>

<file path=xl/sharedStrings.xml><?xml version="1.0" encoding="utf-8"?>
<sst xmlns="http://schemas.openxmlformats.org/spreadsheetml/2006/main" count="659" uniqueCount="287">
  <si>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</si>
  <si>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</si>
  <si>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</si>
  <si>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</si>
  <si>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</si>
  <si>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</si>
  <si>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</si>
  <si>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</si>
  <si>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</si>
  <si>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</si>
  <si>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</si>
  <si>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</si>
  <si>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</si>
  <si>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</si>
  <si>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</si>
  <si>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</si>
  <si>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</si>
  <si>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</si>
  <si>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</si>
  <si>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</si>
  <si>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</si>
  <si>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</si>
  <si>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</si>
  <si>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</si>
  <si>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</si>
  <si>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</si>
  <si>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</si>
  <si>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</si>
  <si>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</si>
  <si>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</si>
  <si>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</si>
  <si>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</si>
  <si>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</si>
  <si>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</si>
  <si>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</si>
  <si>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</si>
  <si>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</si>
  <si>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</si>
  <si>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</si>
  <si>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</si>
  <si>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Gobierno Fortalecido Para Ser Y Hacer</t>
  </si>
  <si>
    <t>BUCARAMANGA EQUITATIVA E INCLUYENTE: UNA CIUDAD DE BIENESTAR</t>
  </si>
  <si>
    <t>Capacidades Y Oportunidades Para Superar Brechas Sociales</t>
  </si>
  <si>
    <t>Primera Infancia El Centro De La Sociedad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</si>
  <si>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</si>
  <si>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Número de estrategias formuladas e implementadas para el fortalecimiento de padres/madres y/o cuidadores en pautas de crianza y vinculos afectivos  tanto en el ámbito familiar como comunitario que permitan disminuir las violencias en primera infancia.</t>
  </si>
  <si>
    <t>IMPLEMENTACIÓN DE ESTRATEGIAS PSICOPEDAGÓGICAS PARA LA DISMINUCIÓN DE FACTORES DE RIESGO EN NIÑOS, NIÑAS Y ADOLESCENTES EN EL MUNICIPIO DE BUCARAMANGA</t>
  </si>
  <si>
    <t>Sec. Desarrollo Social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</si>
  <si>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</si>
  <si>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Número de programas formulados e implementados para la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</si>
  <si>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 xml:space="preserve">Crece Conmigo: Una Infancia Feliz </t>
  </si>
  <si>
    <t>Formular e implementar 1 estrategia de corresponsabilidad en la garantía de derechos, la prevención de vulneración, amenaza o riesgo en el ámbito familiar, comunitario e institucional.</t>
  </si>
  <si>
    <t>Número de estrategias de corresponsabilidad en la garantía de derechos, la prevención de vulneración, amenaza o riesgo en el ámbito familiar, comunitario e institucional formuladas e implementadas.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</si>
  <si>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</si>
  <si>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Número de iniciativas implementadas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</si>
  <si>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programa para el reconocimiento de la construcción de la identidad de niños y niñas con una perspectiva de género dirigido a padres/madres y educadores.</t>
  </si>
  <si>
    <t>Número de programas formulados e implementados para el reconocimiento de la construcción de la identidad de niños y niñas con una perspectiva de género  dirigido a padres/madres y educadores.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</si>
  <si>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</si>
  <si>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Número de estrategias formuladas e implementadas para el fomento de prácticas de autoprotección y cuidado en niños y niñas para la prevención de conductas de riesgo (consumo de SPA, acciones delictivas, abandono familiar y escolar).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</si>
  <si>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</si>
  <si>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Número de estrategias comunitarias y familiares formuladas e implementadas para la prevención y erradicación del trabajo infantil en niños, niñas y adolescentes de acuerdo a los lineamientos del Plan Nacional  de Erradicación del trabajo infantil y sus peores formas.</t>
  </si>
  <si>
    <t>Implementar y mantener la Ruta de Prevención, Detección y Atención Interinstitucional frente casos de niños, niñas y adolescentes victimas de bullying, abuso, acoso y/o explotación sexual.</t>
  </si>
  <si>
    <t>Número de Rutas de Prevención, Detección y Atención Interinstitucional implementadas y mantenidas frente casos de niños, niñas y adolescentes victimas de bullying, abuso, acoso y/o explotación sexual.</t>
  </si>
  <si>
    <t>Realizar 4 jornadas de conmemoración del día de la niñez.</t>
  </si>
  <si>
    <t>Número de jornadas de conmemoración del día de la niñez realizadas.</t>
  </si>
  <si>
    <t>Formular e implementar 1 ruta de atención integral para niños, niñas, adolescentes refugiados y migrantes y sus familias.</t>
  </si>
  <si>
    <t>Número de rutas de atención integral formuladas e implementadas para niños, niñas, adolescentes refugiados y migrantes y sus familias.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</si>
  <si>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</si>
  <si>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</si>
  <si>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Número de programas formulados e implementados de familias fuertes: amor y límite que permitan fortalecer a las familias como agente protector ante las conductas de riesgo en los adolescentes.</t>
  </si>
  <si>
    <t>Desarrollar 3 jornadas de uso creativo del tiempo y emprendimiento que potencien sus competencias y motiven continuar en diferentes niveles de educación superior.</t>
  </si>
  <si>
    <t>Número de jornadas desarrolladas de uso creativo del tiempo y emprendimiento que potencien sus competencias y motiven continuar en diferentes niveles de educación superior.</t>
  </si>
  <si>
    <t xml:space="preserve">Mantener el servicio exequial al 100% de los niños, niñas y adolescentes en extrema vulnerabilidad que fallezcan y que sus familias así lo requieran. </t>
  </si>
  <si>
    <t>Porcentaje de niños, niñas y adolescentes en extrema vulnerabilidad fallecidos con servicio exequial requerido por sus familias.</t>
  </si>
  <si>
    <t>Implementar y mantener 1 proceso de liderazgo b-learning orientada al fortalecimiento de la participación de niños, niñas, adolescentes y jóvenes.</t>
  </si>
  <si>
    <t>Número de procesos de liderazgo b-learning implementados mantenidos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</si>
  <si>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</si>
  <si>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Número de sistematizaciones realizadas de buenas prácticas que aporten al desarrollo de las realizaciones establecidas para los niños, niñas y adolescentes en el marco del proceso de rendición pública de cuentas.</t>
  </si>
  <si>
    <t>BUCARAMANGA CIUDAD VITAL: LA VIDA ES SAGRADA</t>
  </si>
  <si>
    <t>Bucaramanga Segura</t>
  </si>
  <si>
    <t>Prevención Del Delito</t>
  </si>
  <si>
    <t>Mantener la estrategia para la prevención, detección y atención de las violencias en adolescentes.</t>
  </si>
  <si>
    <t>Número de estrategias mantenidas para la prevención, detección y atención de las violencias en adolescentes.</t>
  </si>
  <si>
    <t>Brindar 150.000 entradas gratuitas de niñas, niños y adolescentes y sus familias a  eventos artísticos, culturales, lúdicos y recreativos.</t>
  </si>
  <si>
    <t>Número de entradas gratuitas brindadas a niñas, niños y adolescentes y sus familias a  eventos artísticos, culturales, lúdicos y recreativos.</t>
  </si>
  <si>
    <t>Entregar 4 dotaciones a espacios para la primera infancia con enfoque de inclusión que permita el desarrollo de habilidades.</t>
  </si>
  <si>
    <t>Número de dotaciones entregadas a espacios para la primera infancia con enfoque de inclusión que permitan el desarrollo de habilidades.</t>
  </si>
  <si>
    <t>Construir y/o adecuar 4 Centros de Desarrollo Infantil - CDI o Espacios para la Primera Infancia.</t>
  </si>
  <si>
    <t>Número de Centros de Desarrollo Infantil - CDI o Espacios para la Primera Infancia construídos o adecuados.</t>
  </si>
  <si>
    <t>Adulto Mayor Y Digno</t>
  </si>
  <si>
    <t>Proveer 25.000 ayudas alimentarias anuales mediante complementos nutricionales para personas mayores en condición de pobreza y vulnerabilidad mejorando su calidad de vida a través de la seguridad alimentaria.</t>
  </si>
  <si>
    <t>Número de ayudas alimentarias anuales proveídas mediante complementos nutricionales para personas mayores en condición de pobreza y vulnerabilidad mejorando su calidad de vida a través de la seguridad alimentaria.</t>
  </si>
  <si>
    <t>IMPLEMENTACIÓN DE ACCIONES TENDIENTES A MEJORAR LAS CONDICIONES DE LOS ADULTOS MAYORES DEL MUNICIPIO DE BUCARAMANGA</t>
  </si>
  <si>
    <t>Beneficiar y mantener a 11.000 personas mayores con el programa Colombia Mayor.</t>
  </si>
  <si>
    <t>Número de personas mayores beneficiados y mantenidos con el programa Colombia Mayor.</t>
  </si>
  <si>
    <t>Beneficiar a 7.000 personas mayores vulnerables de los diferentes barrios del municipio con la oferta de servicios de atencion primaria en salud, recreacion y aprovechamiento del tiempo libre.</t>
  </si>
  <si>
    <t>Número de personas mayores vulnerables de los diferentes barrios del municipio beneficiados con la oferta de servicios de atencion primaria en salud, recreacion y aprovechamiento del tiempo libre.</t>
  </si>
  <si>
    <t>Mantener el servicio exequial al 100% de las personas mayores fallecidas en condición de pobreza, vulnerabilidad y sin red familiar de apoyo.</t>
  </si>
  <si>
    <t>Porcentaje de personas mayores fallecidas en condición de pobreza, vulnerabilidad y sin red familiar de apoyo con servicio exequial.</t>
  </si>
  <si>
    <t>Mantener a 1.656 personas mayores vulnerables con atencion integral en instituciones especializadas a través de las modalidades centros vida y centros de bienestar en el marco de la Ley 1276 de 2009.</t>
  </si>
  <si>
    <t>Número de personas mayores vulnerables mantenidas con atencion integral en instituciones especializadas a través de las modalidades centros vida y centros de bienestar en el marco de la Ley 1276 de 2009.</t>
  </si>
  <si>
    <t>Mantener el servicio atención primaria en salud, atención psicosocial que promueva la salud física, salud mental y el bienestar social de las personas mayores en los centros vida.</t>
  </si>
  <si>
    <t>Número de servicios mantenidos de atención primaria en salud, atención psicosocial que promueva la salud física, salud mental y el bienestar social de las personas mayores en los centros vida.</t>
  </si>
  <si>
    <t>Número de estrategias formuladas e implementadas que promueva  las actividades psicosociales, actividades artísticas y culturales,   actividades físicas y recreación y actividades productivas en las personas mayores.</t>
  </si>
  <si>
    <t>Mantener en funcionamiento los 3 Centros Vida con la prestacion de servicios integrales y/o dotacion de los mismos cumpliendo con la oferta institucional.</t>
  </si>
  <si>
    <t>Número de Centros Vida mantenidos en funcionamiento con la prestacion de servicios integrales y/o dotacion de los mismos cumpliendo con la oferta institucional.</t>
  </si>
  <si>
    <t>Beneficiar a los adultos mayores de centros vida públicos con  la oferta institucional en el marco de la ley 1276 de 2009</t>
  </si>
  <si>
    <t>Aceleradores De Desarrollo Social</t>
  </si>
  <si>
    <t>Formular e implementar 1 estrategia que promueva la democratización familiar apoyada en el componente de bienestar comunitario del programa Familias en Acción con impacto en barrios priorizados por NBI.</t>
  </si>
  <si>
    <t>Número de estrategias formuladas e implementadas que promuevan la democratización familiar apoyada en el componente de bienestar comunitario del programa Familias en Acción con impacto en barrios priorizados por NBI.</t>
  </si>
  <si>
    <t>APOYO A LA OPERATIVIDAD DEL PROGRAMA NACIONAL MÁS FAMILIAS EN ACCIÓN EN EL MUNICIPIO DE BUCARAMANGA</t>
  </si>
  <si>
    <t>Beneficiar 14.000 familias en condición de vulnerabilidad a través del programas Más Familias en Acción</t>
  </si>
  <si>
    <t>Mantener el servicio de acceso gratuito a espacios de recreación y cultura a familias inscritas en el programa Familias en Acción.</t>
  </si>
  <si>
    <t>Número de servicios mantenidos de acceso gratuito a espacios de recreación y cultura a familias inscritas en el programa Familias en Acción.</t>
  </si>
  <si>
    <t>Mantener el 100% del apoyo logístico a las familias beneficiadas del programa Familias en Acción.</t>
  </si>
  <si>
    <t>Porcentaje de apoyo logístico mantenido a las familias beneficiadas del programa Familias en Acción.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</si>
  <si>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</si>
  <si>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</si>
  <si>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>Acciones relacionadas con el componenete social, en cuanto a asistencias humanitarias, seguridad alimentaria, bioseguridad, entre otros</t>
  </si>
  <si>
    <t>Más Equidad Para Las Mujeres</t>
  </si>
  <si>
    <t>Potenciar la Escuela de Liderazgo y Participación Política de Mujeres con cobertura en zona rural y urbana.</t>
  </si>
  <si>
    <t>Número de Escuelas de Liderazgo y participación Política para Mujeres mantenidas con cobertura en zona rural y urbana.</t>
  </si>
  <si>
    <t>FORTALECIMIENTO DE ESPACIOS DE PARTICIPACIÓN Y PREVENCIÓN DE VIOLENCIAS EN MUJERES Y POBLACIÓN CON ORIENTACIONES SEXUALES E IDENTIDADES DE GÉNERO DIVERSAS DEL MUNICIPIO DE BUCARAMANGA</t>
  </si>
  <si>
    <t>Atender y mantener de manera integral desde el componente psicosociojurídico y social a 600 mujeres. niñas y personas considerando los enfoques diferenciales y diversidad sexual.</t>
  </si>
  <si>
    <t>Atender y mantener de manera integral desde el componente psicosociojurídico y social a 600 mujeres, niñas y personas considerando los enfoques diferenciales y diversidad sexual.</t>
  </si>
  <si>
    <t>Número de mujeres, niñas y/o personas atendidas y mantenidas integralmente desde el componente psicosociojurídico y social considerando los enfoques diferenciales y diversidad sexual.</t>
  </si>
  <si>
    <t>Actualizar e implementar la Política Pública de Mujer.</t>
  </si>
  <si>
    <t>Número de Políticas Públicas de Mujer actualizadas e implementadas.</t>
  </si>
  <si>
    <t>Bucaramanga Hábitat Para El Cuidado Y La Corresponsabilidad</t>
  </si>
  <si>
    <t>Formular e implementar 1 política pública para la población con orientación sexual e identidad de género diversa.</t>
  </si>
  <si>
    <t>Número de políticas públicas formuladas e implementadas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</si>
  <si>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</si>
  <si>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Número de campañas comunicativas diseñadas y ejecutadas en espacios públicos y medios masivos de transporte orientadas a la promoción de derechos y a la eliminación de diferentes formas de violencia y discriminación de mujeres y población con orientación sexual e identidad de género diversa.</t>
  </si>
  <si>
    <t>Atender el 100% de la solicitudes realizadas por éste grupo poblacional y sus familias con orientación psicosocial y jurídica.</t>
  </si>
  <si>
    <t>Porcentaje de solicitudes realizadas por éste grupo poblacional y sus familias con orientación psicosocial y jurídica atendidas.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</si>
  <si>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</si>
  <si>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Número de rutas de atención a víctimas de acoso sexual y violengia de género mantenidas y fortalecidas a través redes comunitarias de prevención en zonas priorizadas del área rural y urbana de la ciudad y consolidación de alianzas con otras entidades.</t>
  </si>
  <si>
    <t>Activar los diferentes mecanismos de protección, articulando los diferentes establecimientos y secretarias a fin de lograr la protección de la mujer y sean restablecidos sus derechos.</t>
  </si>
  <si>
    <t>Mantener la garantía de las medidas de atención y protección al 100% de mujeres y sus hijos víctimas de violencia de género con especial situación de riesgos.</t>
  </si>
  <si>
    <t>Porcentaje de mujeres y sus hijos víctmas de violencia de género con especial situación de riesgos con medidas de atención y protección mantenidas.</t>
  </si>
  <si>
    <t>Se busca proteger a la mujer y su familia en caso de vulneración de derechos, en situaciónes de riesgo critico de violencia y riesgo de muerte, entre otras.</t>
  </si>
  <si>
    <t>Mantener la estrategia de prevención con hombres de contextos públicos y privados mediante procesos de intervención colectiva en torno a la resignificación crítica de la masculinidad hegemónica y tradicional.</t>
  </si>
  <si>
    <t>Número de estrategias mantenidas de prevención con hombres de contextos públicos y privados mediante procesos de intervención colectiva en torno a la resignificación crítica de la masculinidad hegemónica y tradicional.</t>
  </si>
  <si>
    <t>Actividades relacionadas con capmapañsas de prevención de violencia en la mujer, igual de derechos, la equidad en las tareas, eliminación del machismo y fenimismo.</t>
  </si>
  <si>
    <t>Mantener el Centro Integral de la Mujer a fin de garantizar el fortalecimiento de los procesos de atención y empoderamiento femenino.</t>
  </si>
  <si>
    <t>Número de Centros Integrales de la Mujer mantenidos a fin de garantizar el fortalecimiento de los procesos de atención y empoderamiento femenino.</t>
  </si>
  <si>
    <t>Atención virtual y precensial a mujeres y población diversa en temas de violencia sexual, intrafamiliar, domestica, cpacitación en temas de liderazgo y empoderamiento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</si>
  <si>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</si>
  <si>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Número de centros para la atención integral de mujeres y población con orientaciones sexuales e identidades de género diversas mantenidos a fin de garantizar el fortalecimiento de los procesos de atención, encuentro y empoderamiento.</t>
  </si>
  <si>
    <t>Habitantes En Situación De Calle</t>
  </si>
  <si>
    <t>Mantener a 284 habitantes de calle con atención integral en la cual se incluya la prestación de servicios básicos.</t>
  </si>
  <si>
    <t>Número de habitantes de calle mantenidos con atención integral en la cual se incluya la prestación de servicios básicos.</t>
  </si>
  <si>
    <t>DESARROLLO DE ACCIONES ENCAMINADAS A GENERAR ATENCIÓN INTEGRAL HACIA LA POBLACIÓN HABITANTES EN SITUACIÓN DE CALLE DEL MUNICIPIO DE BUCARAMANGA</t>
  </si>
  <si>
    <t>Brindar atención integral a 284 personas en habitancia de calle</t>
  </si>
  <si>
    <t xml:space="preserve">Mantener la identificación, caracterización y seguimiento de la situación de cada habitante de calle atendido por la Secretaría de Desarrollo Social. </t>
  </si>
  <si>
    <t xml:space="preserve">Número de identificaciones, caracterizaciones y seguimientos mantenidos de la situación de cada habitante de calle atendido por la Secretaría de Desarrollo Social. </t>
  </si>
  <si>
    <t>Formular e implementar 1 política pública para habitante de calle.</t>
  </si>
  <si>
    <t>Número de políticas públicas para habitante de calle formuladas e implementadas.</t>
  </si>
  <si>
    <t>Mantener el servicio exequial al 100% de los habitantes de calle fallecidos registrados dentro del censo municipal.</t>
  </si>
  <si>
    <t>Porcentaje de habitantes de calle fallecidos registrados dentro del censo municipal mantenidos con servicio exequial.</t>
  </si>
  <si>
    <t>Población Con Discapacidad</t>
  </si>
  <si>
    <t>Garantizar y mantener la atención integral en procesos de habilitación y rehabilitación a 250 niñas, niños y adolescentes con discapacidad del sector urbano y rural en extrema vulnerabilidad.</t>
  </si>
  <si>
    <t>Número de niñas, niños y adolescentes con discapacidad del serctor urbano y rural en extrema vulnerabilidad mantenidos con atención integral en procesos de habilitación y rehabilitación.</t>
  </si>
  <si>
    <t>APOYO A LA OPERATIVIDAD DE LOS PROGRAMAS DE ATENCIÓN INTEGRAL A LAS PERSONAS CON DISCAPACIDAD. FAMILIARES Y/O CUIDADORES DEL MUNICIPIO DE BUCARAMANGA</t>
  </si>
  <si>
    <t>Atender a 750 Personas con discapacidad con servicios integrales</t>
  </si>
  <si>
    <t>Mantener el banco de ayudas técnicas, tecnológicas e informáticas para personas con discapacidad que se encuentren en el registro de localización y caracterización.</t>
  </si>
  <si>
    <t>Número de bancos de ayudas técnicas, tecnológicas e informáticas mantenidas para personas con discapacidad que se encuentren en el registro de localización y caracterización.</t>
  </si>
  <si>
    <t>Formular e implementar 1 estrategia de orientación ocupacional, aprovechamiento del tiempo libre, formación y esparcimiento cultural y actividades que mejoren la calidad de vida dirigidas a personas con discapacidad.</t>
  </si>
  <si>
    <t>Número de estrategias formuladas e implementadas 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</si>
  <si>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</si>
  <si>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Número de familias de personas con discapacidad beneficiadas anualmente con una canasta básica alimentaria que según su situación socioeconómica se encuentran en extrema vulnerabilidad.</t>
  </si>
  <si>
    <t>Implementar 1 estrategia de apoyo técnico y jurídico para las solicitudes de ayudas técnicas requeridas por personas vulnerables en condición de discapacidad.</t>
  </si>
  <si>
    <t>Número de estrategias implementadas de apoyo técnico y jurídico para las solicitudes de ayudas técnicas requeridas por personas vulnerables en condición de discapacidad.</t>
  </si>
  <si>
    <t>BUCARAMANGA PRODUCTIVA Y COMPETITIVA: EMPRESAS INNOVADORAS, RESPONSABLES Y CONSCIENTES</t>
  </si>
  <si>
    <t>Una Zona Rural Competitiva E Incluyente</t>
  </si>
  <si>
    <t>Desarrollo Del Campo</t>
  </si>
  <si>
    <t>Mantener 2 ciclos de vacunación contra fiebre aftosa y brucelosis en vacunos según normatividad del ICA.</t>
  </si>
  <si>
    <t>Número de ciclos de vacunación mantenidas contra fiebre aftosa y brucelosis en vacunos según normatividad del ICA.</t>
  </si>
  <si>
    <t>Instalar 200 sistemas de riego por goteo en la zona rural.</t>
  </si>
  <si>
    <t>Número de sistemas de riego por goteo instalados en la zona rural.</t>
  </si>
  <si>
    <t>FORTALECIMIENTO DE LA PRODUCTIVIDAD Y COMPETITIVIDAD AGROPECUARIA EN EL SECTOR RURAL DEL MUNICIPIO DE BUCARAMANGA</t>
  </si>
  <si>
    <t xml:space="preserve">Atender 500 Unidades productivas con los componentes de asistencia técnica y empresarial,mejoramiento de procesos de cosecha. poscosecha y comercialización. </t>
  </si>
  <si>
    <t>Realizar 12 proyectos productivos agrícolas o pecuarios.</t>
  </si>
  <si>
    <t>Número de proyectos productivos agrícolas o pecuarios realizados.</t>
  </si>
  <si>
    <t>Mantener 4 mercadillos campesinos.</t>
  </si>
  <si>
    <t>Número de mercadillos campesinos mantenidos.</t>
  </si>
  <si>
    <t>Mantener el Plan General de Asistencia Técnica.</t>
  </si>
  <si>
    <t>Número de Planes Generales de Asistencia Técnica actualizados e mantenidos.</t>
  </si>
  <si>
    <t>Desarrollar procesos agroindustriales con 20 unidades productivas del sector rural.</t>
  </si>
  <si>
    <t>Número de unidades productivas del sector rural con procesos agroindustriales desarrollados.</t>
  </si>
  <si>
    <t>Acceso A La Información Y Participación</t>
  </si>
  <si>
    <t>Fortalecimiento De Las Instituciones Democráticas Y Ciudadanía Participativa</t>
  </si>
  <si>
    <t>Formular e implementar 1 estrategia que fortalezca la democracia participativa (Ley 1757 de 2015).</t>
  </si>
  <si>
    <t>Número de estrategias formuladas e implementadas que fortalezca la democracia participativa (Ley 1757 de 2015).</t>
  </si>
  <si>
    <t>FORTALECIMIENTO DE LA DEMOCRACIA PARTICIPATIVA EN EL MUNICIPIO DE BUCARAMANGA</t>
  </si>
  <si>
    <t>Mantener el beneficio al 100% de los ediles con pago de EPS, ARL, póliza de vida y dotación.</t>
  </si>
  <si>
    <t>Mantener en funcionamiento el 100% de los salones comunales que hacen parte del programa Ágoras.</t>
  </si>
  <si>
    <t>Porcentaje de salones comunales mantenidos en funcionamiento que hacen parte del programa Ágoras.</t>
  </si>
  <si>
    <t>Construir y/o dotar 10 salones comunales con el programa Ágoras.</t>
  </si>
  <si>
    <t>Número de salones comunales con el programa Ágoras construidos y/o dotados.</t>
  </si>
  <si>
    <t>Mantener el 100% de los programas que desarrolla la Administración Central.</t>
  </si>
  <si>
    <t>Porcentaje de programas que desarrolla la Administración Central mantenidos.</t>
  </si>
  <si>
    <t>MEJORAMIENTO DE LOS PROCESOS TRANSVERSALES PARA UNA ADMINISTRACIÓN PUBLICA MODERNA Y EFICIENTE EN LA SECRETARÍA DE DESARROLLO SOCIAL DEL MUNICIPIO BUCARAMANGA</t>
  </si>
  <si>
    <t>Atender a 75.600 personas en los servicios y programas que adelanta la Secretaría de Desarrollo Social</t>
  </si>
  <si>
    <t xml:space="preserve"> PLAN DE ACCIÓN - PLAN DE DESARROLLO MUNICIPAL
SECRETARÍA DE DESARROLLO SOCIAL</t>
  </si>
  <si>
    <t>Formular e implementar 1 estrategia que promueva  las actividades psicosociales, actividades artísticas y culturales,   actividades físicas y recreación y actividades productivas en las personas mayores.</t>
  </si>
  <si>
    <t>PREVENCIÓN DEL CONTAGIO Y PROPAGACIÓN DE LA FIEBRE AFTOSA Y BRUCELOSIS EN LA ESPECIE BOVINA DEL MUNICIPIO DE BUCARAMANGA</t>
  </si>
  <si>
    <t>2.3.2.02.02.009. 4102043. 91114</t>
  </si>
  <si>
    <t>2.3.2.02.02.009.4102038.91114</t>
  </si>
  <si>
    <t>2.3.2.02.02.009.4102038.97321</t>
  </si>
  <si>
    <t>2.3.2.02.02.009.4502038.91114</t>
  </si>
  <si>
    <t>2.3.2.02.02.009.4104027.97321</t>
  </si>
  <si>
    <t>2.3.2.02.02.009.4104020.91114</t>
  </si>
  <si>
    <t>2.3.2.02.01.000.1702010.4415004</t>
  </si>
  <si>
    <t>2.3.2.02.01.000.1707042.3526201</t>
  </si>
  <si>
    <t>Meta no programada para la vigencia</t>
  </si>
  <si>
    <t>Coadyuvar en el segumiento, registro, incorporación, retiros y novedades de adultos mayores con posibilidad de ser beneficiarios del programa colombia mayor de prosperidad social.</t>
  </si>
  <si>
    <t>DESARROLLO DE ACCIONES DE ASISTENCIA SOCIAL ORIENTADAS A LA POBLACIÓN AFECTADA POR LAS DIFERENTES SITUACIONES DE EMERGENCIAS SOCIALES SANITARIAS NATURALES ANTRÓPICAS Y DE VULNERABILIDAD EN EL MUNICIPIO DE BUCARAMANGA</t>
  </si>
  <si>
    <t>Porcentaje de ediles mantenidos con el beneficio del pago de EPS, ARL, póliza de vida y dotación.</t>
  </si>
  <si>
    <t>Beneficiar al 100% de los Ediles con póliza, EPS y Seguro de vida</t>
  </si>
  <si>
    <t>Mantener el funcionamiento de las ágoras.</t>
  </si>
  <si>
    <t>Implementación de la estrategia participativa.</t>
  </si>
  <si>
    <t>DOTACIÓN DE SALONES COMUNALES PARA FOMENTAR LA INTEGRACIÓN COMUNITARIA Y LA CIUDADANÍA PARTICIPATIVA EN EL MUNICIPIO DE BUCARAMANGA</t>
  </si>
  <si>
    <r>
      <t xml:space="preserve">Código:  </t>
    </r>
    <r>
      <rPr>
        <sz val="11"/>
        <rFont val="Arial"/>
        <family val="2"/>
      </rPr>
      <t>F-DPM-1210-238,37-030</t>
    </r>
  </si>
  <si>
    <t>DOTACIÓN DEL HOGAR DE CUIDADO Y ALBERGUE "CASA BUHO" PARA LA ATENCIÓN INTEGRAL DE NIÑOS Y NIÑAS EN EL MUNICIPIO DE BUCARAMANGA.</t>
  </si>
  <si>
    <t>2.3.2.02.02.009.4104008.93491</t>
  </si>
  <si>
    <t>2.3.2.02.02.009. 4102043. 91114: 60.000.000                                                                                                                                                                                                                                                                 2.3.2.02.02.009.4102021.91114: 10.000.000</t>
  </si>
  <si>
    <t>2.3.2.02.02.009.4102038.91114: 80.000.000                                                                                                                                                                                                                                                                2.3.2.02.02.009.4102021.91114: 10.000.000</t>
  </si>
  <si>
    <t xml:space="preserve">2.3.2.02.02.009. 4102043. 91114: 137.000.000                                                                                                                                                                                                                                                                                                                               2.3.2.02.02.009.4102038.91114: 55.000.000   </t>
  </si>
  <si>
    <t>2.3.2.02.02.009.4102038.91114: 110.000.000                                                                                                                                                                                                                                                                                                                          2.3.2.02.02.009.4102021.91114: 10.000.000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 4102043. 91114: 20.000.000</t>
  </si>
  <si>
    <t>2.3.2.02.02.009.4102021.91114: 55.000.000                                                                                                                                                                                                                                                                                                                               2.3.2.02.02.009.4102038.91114: 10.000.000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 4102043. 91114: 15.000.000</t>
  </si>
  <si>
    <t xml:space="preserve">2.3.2.02.02.009. 4102043. 91114: 45.000.000                                                                                                                                                                                                                                                                                                                          2.3.2.02.02.009.4102021.91114: 10.000.000                                                                                                                                                                                                                                                                                                                               2.3.2.02.02.009.4102038.91114: 10.000.000   </t>
  </si>
  <si>
    <t xml:space="preserve">2.3.2.02.02.009.4102038.91114: 90.000.000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 4102043. 91114: 20.000.000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</si>
  <si>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 realiza vacunación a bovinos en los tres corregimientos de Bucraramanga</t>
  </si>
  <si>
    <t>Compra de mobiliario, tecnologia, implementos deportivos, entre otros</t>
  </si>
  <si>
    <t>Entrega de complementos alimentarios, a personas mayores vulnerables y de escasos recursos</t>
  </si>
  <si>
    <t>Llevar los servicios ofrecidos en los centros vida en los barrios, atención en salud, higiene, recreación, promoción de derechos, entre otros.</t>
  </si>
  <si>
    <t>Servicio exequial para personas mayores, dando sepultura digna</t>
  </si>
  <si>
    <t>Atención en centros vida y centros de bienestar conforme a las condiciones de cada persona mayor</t>
  </si>
  <si>
    <t>A traves de profesionales psicologis, trabajadores sociales se realizan actividades para la prevención de violencias</t>
  </si>
  <si>
    <t>Servicio exequial para NNA, dando sepultura digna</t>
  </si>
  <si>
    <t>Espacios para recreación, sano espacimiento y cultura</t>
  </si>
  <si>
    <t>Estrategias de prevención de riesgos de vulneración de derechos en NNA</t>
  </si>
  <si>
    <t>Atención psicologica y juridica</t>
  </si>
  <si>
    <t>Profesionales y convenios que potencian las capacidades de NNA para pautas en su proyecto de vida</t>
  </si>
  <si>
    <t>Acciones para la prevención y acciones para proteger a los NNA que se encuentra en trabajo infantil</t>
  </si>
  <si>
    <t>Articulación con otras secretarias, policia de infancia, icbf, para la garantia de los derechos o el restablecimiento de los mismo.</t>
  </si>
  <si>
    <t>Actividades ludicas, culturales y de recreación para conmemorar su día.</t>
  </si>
  <si>
    <t>Acciones para la prevención y acciones para proteger a los NNA que se encuentra en trabajo infantil asistencia alimentaria y refugio</t>
  </si>
  <si>
    <t>2.3.2.02.02.008.1702021.86119                                                                                                                                                                                                                                                         2.3.2.01.01.003.02.05.1702014.4451600.201: 110.000.000</t>
  </si>
  <si>
    <t>2.3.2.01.01.004.01.03.4502001.3844098 $50.000.000
2.3.2.01.01.003.05.04.4502001.4721202 $100.000.000
2.3.2.01.01.003.03.4502001.3812299 $250.000.000                                  Rec balance 20.000.000</t>
  </si>
  <si>
    <t>Jorge Isnador Neira Gonzalez</t>
  </si>
  <si>
    <t>2.3.2.02.02.009.4103050.91114 Pendiente por actualizar el proyecto</t>
  </si>
  <si>
    <t>2.3.2.02.02.009.4103050.91124 Pendiente por actualizar el proyecto</t>
  </si>
  <si>
    <t xml:space="preserve">2.3.2.02.02.009.4599006.91114: 160.000.000
2.3.2.02.02.009.4599006.91114: 1.090.951.807
Pendiente por incluir en proyecto: 2.3.2.02.02.009.4599006.91114.501 $75.000.000
2.3.2.02.02.009.4599031.91114.501 $175.000.000                                                                                                                                                                              </t>
  </si>
  <si>
    <t>Propios: 2.3.2.02.02.009.3301053.96230: 278.000.000
Propios: 2.3.2.02.02.009.4502001.911141: 12.000.000
Pendiente por incluir proyecto: $205.000.000</t>
  </si>
  <si>
    <t>2.3.2.02.02.009.4502001.91310 $42.000.000
2.3.2.02.02.009.4502001.91310 $530.000.000 Pendiente por incluir proyecto</t>
  </si>
  <si>
    <t>2.3.2.02.02.009.4502001.91114
Pendiente por incluir en proyecto $410.000.000+505.000.000 juventudes</t>
  </si>
  <si>
    <t>2.3.2.02.02.009.4104027.91114
Pendiente por incluir en proyecto: $130.000.000</t>
  </si>
  <si>
    <t>2.3.2.02.02.009.4104027.91114
Pendiente por incluir en proyecto: $400.000.000</t>
  </si>
  <si>
    <t>2.3.2.02.02.009.4104027.91114
Pendiente por incluir en proyecto: $50.000.000</t>
  </si>
  <si>
    <t>2.3.2.02.02.009.4104020.93411: 1.016.000.000 
2.3.2.02.02.009.4104020.91114: 112.000.000
Pendiente por incluir en proyecto: $115.000.000</t>
  </si>
  <si>
    <t>2.3.2.02.02.009.4104020.91114
Pendiente por incluir en proyecto: $300.000.000</t>
  </si>
  <si>
    <t>2.3.2.02.01.002.4104020.2399926
Pendiente por incluir en proyecto: $340.000.000</t>
  </si>
  <si>
    <t xml:space="preserve">Est municipal 2.3.2.02.01.002.4104008.2399926: $ 600.912.530
Est Dpto 2.3.2.02.01.002.4104008.2399926 $ 850.649.274 
Propios: 2.3.2.02.01.002.4104008.2399926: $600.000.000
Pendiente por incluir en proyecto: $661.000.000       </t>
  </si>
  <si>
    <t>2.3.2.02.02.009.4104008.91114
Pendiente por incluir en proyecto: $63.000.000</t>
  </si>
  <si>
    <t>2.3.2.02.02.009.4104008.97321
Pendiente por incluir en proyecto: $82.000.000</t>
  </si>
  <si>
    <t>Est Mpal 2.3.2.02.02.009.4104008.93491 $1.709.196.620
Est dpal 2.3.2.02.02.009.4104008.93491 $1.049.350.726
Est dpal 2.3.2.02.02.009.4104008.93304 $600.000.000
est mpal 2.3.2.02.02.009.4104008.93304 $1.200.000.000
rendimientos 2.3.2.02.02.009.4104008.93304 $59.517.822                                                                                                                                                                                                                                                                                                        
Estampilla municipal balance CB 2.3.2.02.02.009.4104008.93304.520 $ 988.970.133
Estampilla municipal balance CV 2.3.2.02.02.009.4104008.93491.520 $ 1.463.459.694,58</t>
  </si>
  <si>
    <t>Propios 2.3.2.02.02.009.4104008.93491: 635.000.000
Est Mpal: 2.3.2.02.02.009.4104008.91114: 172.799.850
Pendiente por incluir en proyecto: $237.000.000</t>
  </si>
  <si>
    <t>Propios 2.3.2.02.02.009.4104008.93491: 100.000.000
Est Mpal: 2.3.2.02.02.009.4104008.91114: 185.000.000</t>
  </si>
  <si>
    <t>Propios2.3.2.02.02.009.4104008.91124: 200.000.000
Est Mpal: 2.3.2.02.02.009.4104008.91114: 87.091.000
Pendiente por incluir en proyecto: $300.000.000</t>
  </si>
  <si>
    <t>2.3.2.02.02.009.4502038.91114 
Pendiente por incluir en proyecto: $20.000.000</t>
  </si>
  <si>
    <t>2.3.2.02.02.009.4502038.91114
Pendiente por incluir en proyecto: $90.000.000</t>
  </si>
  <si>
    <t>2.3.2.02.02.009.4502038.91114 
Pendiente por incluir en proyecto: $150.000.000</t>
  </si>
  <si>
    <t>2.3.2.02.02.009.4502038.91114
Pendiente por incluir en proyecto: $50.000.000</t>
  </si>
  <si>
    <t>2.3.2.02.02.009.4502038.91114
Pendiente por incluir en proyecto: $30.000.000</t>
  </si>
  <si>
    <t>2.3.2.02.02.009.4502038.91114
Pendiente por incluir en proyecto: $20.000.000</t>
  </si>
  <si>
    <t>2.3.2.02.02.009.4103050.91114  
Pendiente por incluir en proyecto $387.000.000</t>
  </si>
  <si>
    <t>2.3.2.02.02.008.1702021.86119
Pendiente por incluir en proyecto $220.000.000</t>
  </si>
  <si>
    <t>2.3.2.02.02.009.1702010.91131:85.000.000                                                                                                                                                                                                                                                                                                                          
2.3.2.01.01.004.01.01.1709113.3814055.201:67.000.000                   
Pendiente por incluir en proyecto $40.000.000</t>
  </si>
  <si>
    <t>2.3.2.02.02.009.1702010.91131 
Pendiente por incluir en proyecto $261.000.000</t>
  </si>
  <si>
    <t>2.3.2.02.02.009.4102038.91114: 69.000.000 
2.3.2.02.02.009.4102021.91114: 10.000.000 
2.3.2.02.02.009. 4102043. 91114: 20.000.000</t>
  </si>
  <si>
    <t xml:space="preserve">2.3.2.02.02.009. 4102043. 91114: 87.000.000
2.3.2.02.02.009.4102021.91114: 20.000.000  
2.3.2.02.02.009.4102038.91114: 50.000.000   </t>
  </si>
  <si>
    <t>2.3.2.02.02.009. 4102043. 91114: 186.000.000 
2.3.2.02.02.009.4102038.91114: 97.000.000 
2.3.2.02.02.009.4102021.91114: 10.000.000
Pendiente por incluir en proyecto $200.000.000</t>
  </si>
  <si>
    <t>2.3.2.02.02.009.4102043.91124: 230.000.000
2.3.2.02.02.009.4102021.91114: 15.000.000 
2.3.2.02.02.009.4102038.91114: 40.000.000 
Pendiente por incluir en proyecto $100.000.000</t>
  </si>
  <si>
    <t>2.3.2.02.02.009.4102038.91114
Pendiente por incluir en proyecto $150.000.000</t>
  </si>
  <si>
    <t xml:space="preserve">Propios 2.3.2.01.01.004.01.01.4103031.3814088: $200.000.000
Pendiente por incluir en proyecto: 
CONPES 2.3.2.01.01.004.01.01.4103031.3814088.516: $4.867.393
$300.000.000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</si>
</sst>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\ #,##0;\-&quot;$&quot;\ #,##0"/>
    <numFmt numFmtId="6" formatCode="&quot;$&quot;\ #,##0;[Red]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#,##0.0"/>
    <numFmt numFmtId="167" formatCode="_-* #,##0_-;\-* #,##0_-;_-* &quot;-&quot;??_-;_-@_-"/>
    <numFmt numFmtId="168" formatCode="&quot;$&quot;\ #,##0"/>
    <numFmt numFmtId="169" formatCode="_(* #,##0.00_);_(* \(#,##0.00\);_(* &quot;-&quot;??_);_(@_)"/>
    <numFmt numFmtId="170" formatCode="0.0%"/>
  </numFmts>
  <fonts count="13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8" fillId="0" borderId="0"/>
    <xf numFmtId="169" fontId="8" fillId="0" borderId="0" applyFont="0" applyFill="0" applyBorder="0" applyAlignment="0" applyProtection="0"/>
  </cellStyleXfs>
  <cellXfs count="114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165" fontId="7" fillId="2" borderId="4" xfId="108" applyNumberFormat="1" applyFont="1" applyFill="1" applyBorder="1" applyAlignment="1">
      <alignment horizontal="right" vertical="center"/>
    </xf>
    <xf numFmtId="14" fontId="4" fillId="3" borderId="0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8" fontId="6" fillId="0" borderId="2" xfId="110" applyNumberFormat="1" applyFont="1" applyFill="1" applyBorder="1" applyAlignment="1">
      <alignment horizontal="right" vertical="center" wrapText="1"/>
    </xf>
    <xf numFmtId="168" fontId="6" fillId="0" borderId="2" xfId="110" applyNumberFormat="1" applyFont="1" applyBorder="1" applyAlignment="1">
      <alignment horizontal="right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168" fontId="6" fillId="0" borderId="2" xfId="108" applyNumberFormat="1" applyFont="1" applyFill="1" applyBorder="1" applyAlignment="1">
      <alignment horizontal="right" vertical="center" wrapText="1"/>
    </xf>
    <xf numFmtId="168" fontId="6" fillId="0" borderId="2" xfId="110" applyNumberFormat="1" applyFont="1" applyBorder="1" applyAlignment="1">
      <alignment horizontal="right"/>
    </xf>
    <xf numFmtId="168" fontId="6" fillId="0" borderId="2" xfId="110" applyNumberFormat="1" applyFont="1" applyFill="1" applyBorder="1" applyAlignment="1">
      <alignment horizontal="right"/>
    </xf>
    <xf numFmtId="168" fontId="6" fillId="0" borderId="2" xfId="110" applyNumberFormat="1" applyFont="1" applyBorder="1" applyAlignment="1">
      <alignment horizontal="right" vertical="center"/>
    </xf>
    <xf numFmtId="168" fontId="6" fillId="0" borderId="2" xfId="110" applyNumberFormat="1" applyFont="1" applyFill="1" applyBorder="1" applyAlignment="1">
      <alignment horizontal="right" vertical="center"/>
    </xf>
    <xf numFmtId="168" fontId="9" fillId="0" borderId="2" xfId="110" applyNumberFormat="1" applyFont="1" applyBorder="1" applyAlignment="1">
      <alignment horizontal="right" vertical="center" wrapText="1"/>
    </xf>
    <xf numFmtId="168" fontId="9" fillId="0" borderId="2" xfId="0" applyNumberFormat="1" applyFont="1" applyBorder="1" applyAlignment="1">
      <alignment horizontal="right" vertical="center" wrapText="1"/>
    </xf>
    <xf numFmtId="168" fontId="7" fillId="2" borderId="2" xfId="108" applyNumberFormat="1" applyFont="1" applyFill="1" applyBorder="1" applyAlignment="1">
      <alignment horizontal="right" vertical="center" wrapText="1"/>
    </xf>
    <xf numFmtId="168" fontId="6" fillId="0" borderId="2" xfId="0" applyNumberFormat="1" applyFont="1" applyFill="1" applyBorder="1" applyAlignment="1">
      <alignment horizontal="right" vertical="center" wrapText="1"/>
    </xf>
    <xf numFmtId="168" fontId="9" fillId="0" borderId="2" xfId="110" applyNumberFormat="1" applyFont="1" applyFill="1" applyBorder="1" applyAlignment="1">
      <alignment horizontal="right" vertical="center" wrapText="1"/>
    </xf>
    <xf numFmtId="168" fontId="9" fillId="0" borderId="2" xfId="0" applyNumberFormat="1" applyFont="1" applyFill="1" applyBorder="1" applyAlignment="1">
      <alignment horizontal="right" vertical="center" wrapText="1"/>
    </xf>
    <xf numFmtId="168" fontId="10" fillId="0" borderId="2" xfId="108" applyNumberFormat="1" applyFont="1" applyFill="1" applyBorder="1" applyAlignment="1">
      <alignment horizontal="right" vertical="center" wrapText="1"/>
    </xf>
    <xf numFmtId="168" fontId="6" fillId="0" borderId="2" xfId="0" applyNumberFormat="1" applyFont="1" applyFill="1" applyBorder="1" applyAlignment="1">
      <alignment horizontal="right"/>
    </xf>
    <xf numFmtId="168" fontId="6" fillId="0" borderId="2" xfId="108" applyNumberFormat="1" applyFont="1" applyFill="1" applyBorder="1" applyAlignment="1">
      <alignment horizontal="right"/>
    </xf>
    <xf numFmtId="168" fontId="3" fillId="0" borderId="2" xfId="0" applyNumberFormat="1" applyFont="1" applyBorder="1" applyAlignment="1">
      <alignment horizontal="right"/>
    </xf>
    <xf numFmtId="168" fontId="3" fillId="0" borderId="2" xfId="108" applyNumberFormat="1" applyFont="1" applyBorder="1" applyAlignment="1">
      <alignment horizontal="right" vertical="center"/>
    </xf>
    <xf numFmtId="168" fontId="6" fillId="0" borderId="2" xfId="108" applyNumberFormat="1" applyFont="1" applyFill="1" applyBorder="1" applyAlignment="1">
      <alignment horizontal="right" vertical="center"/>
    </xf>
    <xf numFmtId="168" fontId="3" fillId="0" borderId="2" xfId="108" applyNumberFormat="1" applyFont="1" applyFill="1" applyBorder="1" applyAlignment="1">
      <alignment horizontal="right" vertical="center"/>
    </xf>
    <xf numFmtId="168" fontId="3" fillId="0" borderId="2" xfId="110" applyNumberFormat="1" applyFont="1" applyBorder="1" applyAlignment="1">
      <alignment horizontal="right"/>
    </xf>
    <xf numFmtId="168" fontId="6" fillId="0" borderId="2" xfId="0" applyNumberFormat="1" applyFont="1" applyBorder="1" applyAlignment="1">
      <alignment horizontal="right"/>
    </xf>
    <xf numFmtId="0" fontId="3" fillId="0" borderId="0" xfId="0" applyFont="1"/>
    <xf numFmtId="14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6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10" applyFont="1"/>
    <xf numFmtId="165" fontId="3" fillId="0" borderId="0" xfId="0" applyNumberFormat="1" applyFont="1"/>
    <xf numFmtId="44" fontId="3" fillId="0" borderId="0" xfId="0" applyNumberFormat="1" applyFont="1"/>
    <xf numFmtId="43" fontId="3" fillId="0" borderId="0" xfId="0" applyNumberFormat="1" applyFont="1"/>
    <xf numFmtId="9" fontId="3" fillId="0" borderId="0" xfId="107" applyNumberFormat="1" applyFont="1"/>
    <xf numFmtId="167" fontId="3" fillId="0" borderId="0" xfId="110" applyNumberFormat="1" applyFont="1"/>
    <xf numFmtId="167" fontId="3" fillId="0" borderId="0" xfId="0" applyNumberFormat="1" applyFont="1"/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1" fontId="6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 wrapText="1"/>
    </xf>
    <xf numFmtId="9" fontId="6" fillId="0" borderId="2" xfId="107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" fontId="6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justify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2" xfId="0" quotePrefix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70" fontId="3" fillId="0" borderId="2" xfId="0" applyNumberFormat="1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 wrapText="1"/>
    </xf>
    <xf numFmtId="9" fontId="6" fillId="2" borderId="2" xfId="107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3" fontId="3" fillId="0" borderId="2" xfId="110" applyFont="1" applyBorder="1" applyAlignment="1">
      <alignment horizontal="justify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vertical="center" wrapText="1"/>
    </xf>
    <xf numFmtId="9" fontId="6" fillId="2" borderId="2" xfId="107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" fontId="6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4" fontId="3" fillId="0" borderId="2" xfId="108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justify" vertical="center" wrapText="1"/>
    </xf>
    <xf numFmtId="1" fontId="3" fillId="0" borderId="2" xfId="0" applyNumberFormat="1" applyFont="1" applyBorder="1" applyAlignment="1">
      <alignment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168" fontId="3" fillId="0" borderId="0" xfId="0" applyNumberFormat="1" applyFont="1"/>
    <xf numFmtId="0" fontId="3" fillId="0" borderId="2" xfId="108" applyNumberFormat="1" applyFont="1" applyBorder="1" applyAlignment="1">
      <alignment horizontal="left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1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illares 2" xfId="112" xr:uid="{00000000-0005-0000-0000-00006B000000}"/>
    <cellStyle name="Moneda" xfId="108" builtinId="4"/>
    <cellStyle name="Normal" xfId="0" builtinId="0"/>
    <cellStyle name="Normal 2" xfId="109" xr:uid="{00000000-0005-0000-0000-00006E000000}"/>
    <cellStyle name="Normal 3" xfId="111" xr:uid="{00000000-0005-0000-0000-00006F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00CC99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521805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8"/>
  <sheetViews>
    <sheetView tabSelected="1" topLeftCell="H63" zoomScale="70" zoomScaleNormal="70" workbookViewId="0">
      <selection activeCell="N72" sqref="N72"/>
    </sheetView>
  </sheetViews>
  <sheetFormatPr baseColWidth="10" defaultColWidth="11.25" defaultRowHeight="14.25" x14ac:dyDescent="0.2"/>
  <cols>
    <col min="1" max="1" width="7.25" style="40" customWidth="1"/>
    <col min="2" max="4" width="19.875" style="40" customWidth="1"/>
    <col min="5" max="5" width="61.125" style="40" customWidth="1"/>
    <col min="6" max="6" width="57.25" style="40" customWidth="1"/>
    <col min="7" max="7" width="18.5" style="40" customWidth="1"/>
    <col min="8" max="8" width="49.5" style="40" customWidth="1"/>
    <col min="9" max="9" width="36.75" style="40" customWidth="1"/>
    <col min="10" max="10" width="12.875" style="40" customWidth="1"/>
    <col min="11" max="11" width="14.75" style="40" customWidth="1"/>
    <col min="12" max="12" width="14.875" style="48" customWidth="1"/>
    <col min="13" max="13" width="14.875" style="40" customWidth="1"/>
    <col min="14" max="14" width="11.25" style="40" customWidth="1"/>
    <col min="15" max="15" width="44.25" style="49" customWidth="1"/>
    <col min="16" max="16" width="20.625" style="40" customWidth="1"/>
    <col min="17" max="18" width="10.25" style="40" customWidth="1"/>
    <col min="19" max="19" width="23.5" style="40" customWidth="1"/>
    <col min="20" max="20" width="20.125" style="40" customWidth="1"/>
    <col min="21" max="21" width="24" style="40" customWidth="1"/>
    <col min="22" max="22" width="18.5" style="40" customWidth="1"/>
    <col min="23" max="24" width="10.25" style="40" customWidth="1"/>
    <col min="25" max="25" width="23.5" style="40" customWidth="1"/>
    <col min="26" max="26" width="20" style="40" customWidth="1"/>
    <col min="27" max="27" width="22" style="40" customWidth="1"/>
    <col min="28" max="28" width="16.25" style="40" customWidth="1"/>
    <col min="29" max="29" width="21.25" style="40" customWidth="1"/>
    <col min="30" max="30" width="23" style="40" customWidth="1"/>
    <col min="31" max="31" width="22" style="40" customWidth="1"/>
    <col min="32" max="32" width="15.875" style="40" customWidth="1"/>
    <col min="33" max="16384" width="11.25" style="40"/>
  </cols>
  <sheetData>
    <row r="1" spans="1:32" ht="15" x14ac:dyDescent="0.2">
      <c r="A1" s="105"/>
      <c r="B1" s="108" t="s">
        <v>204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2" t="s">
        <v>223</v>
      </c>
      <c r="AD1" s="102"/>
      <c r="AE1" s="102"/>
    </row>
    <row r="2" spans="1:32" ht="15" x14ac:dyDescent="0.2">
      <c r="A2" s="105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3" t="s">
        <v>37</v>
      </c>
      <c r="AD2" s="103"/>
      <c r="AE2" s="103"/>
    </row>
    <row r="3" spans="1:32" ht="15" x14ac:dyDescent="0.2">
      <c r="A3" s="105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3" t="s">
        <v>34</v>
      </c>
      <c r="AD3" s="103"/>
      <c r="AE3" s="103"/>
    </row>
    <row r="4" spans="1:32" ht="15" x14ac:dyDescent="0.2">
      <c r="A4" s="105"/>
      <c r="B4" s="108"/>
      <c r="C4" s="108"/>
      <c r="D4" s="108"/>
      <c r="E4" s="108"/>
      <c r="F4" s="108"/>
      <c r="G4" s="108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3" t="s">
        <v>33</v>
      </c>
      <c r="AD4" s="103"/>
      <c r="AE4" s="103"/>
    </row>
    <row r="5" spans="1:32" s="45" customFormat="1" ht="18.600000000000001" customHeight="1" x14ac:dyDescent="0.2">
      <c r="A5" s="106" t="s">
        <v>31</v>
      </c>
      <c r="B5" s="106"/>
      <c r="C5" s="106"/>
      <c r="D5" s="110">
        <v>44753</v>
      </c>
      <c r="E5" s="111"/>
      <c r="F5" s="111"/>
      <c r="G5" s="112"/>
      <c r="H5" s="41"/>
      <c r="I5" s="41"/>
      <c r="J5" s="41"/>
      <c r="K5" s="41"/>
      <c r="L5" s="41"/>
      <c r="M5" s="42"/>
      <c r="N5" s="42"/>
      <c r="O5" s="43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4"/>
    </row>
    <row r="6" spans="1:32" s="45" customFormat="1" ht="15.6" customHeight="1" x14ac:dyDescent="0.2">
      <c r="A6" s="107" t="s">
        <v>32</v>
      </c>
      <c r="B6" s="107"/>
      <c r="C6" s="107"/>
      <c r="D6" s="110">
        <v>44742</v>
      </c>
      <c r="E6" s="111"/>
      <c r="F6" s="111"/>
      <c r="G6" s="112"/>
      <c r="H6" s="14"/>
      <c r="I6" s="14"/>
      <c r="J6" s="14"/>
      <c r="K6" s="14"/>
      <c r="L6" s="14"/>
      <c r="M6" s="42"/>
      <c r="N6" s="42"/>
      <c r="O6" s="43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4"/>
    </row>
    <row r="7" spans="1:32" ht="19.149999999999999" customHeight="1" x14ac:dyDescent="0.2">
      <c r="A7" s="46"/>
      <c r="B7" s="113" t="s">
        <v>10</v>
      </c>
      <c r="C7" s="113"/>
      <c r="D7" s="113"/>
      <c r="E7" s="113"/>
      <c r="F7" s="113"/>
      <c r="G7" s="113" t="s">
        <v>11</v>
      </c>
      <c r="H7" s="113"/>
      <c r="I7" s="113"/>
      <c r="J7" s="113"/>
      <c r="K7" s="113"/>
      <c r="L7" s="113" t="s">
        <v>26</v>
      </c>
      <c r="M7" s="113"/>
      <c r="N7" s="113"/>
      <c r="O7" s="113" t="s">
        <v>24</v>
      </c>
      <c r="P7" s="113"/>
      <c r="Q7" s="113"/>
      <c r="R7" s="113"/>
      <c r="S7" s="113"/>
      <c r="T7" s="113"/>
      <c r="U7" s="113"/>
      <c r="V7" s="113" t="s">
        <v>18</v>
      </c>
      <c r="W7" s="113"/>
      <c r="X7" s="113"/>
      <c r="Y7" s="113"/>
      <c r="Z7" s="113"/>
      <c r="AA7" s="113"/>
      <c r="AB7" s="104" t="s">
        <v>19</v>
      </c>
      <c r="AC7" s="104" t="s">
        <v>27</v>
      </c>
      <c r="AD7" s="104" t="s">
        <v>25</v>
      </c>
      <c r="AE7" s="104"/>
    </row>
    <row r="8" spans="1:32" ht="45" customHeight="1" x14ac:dyDescent="0.2">
      <c r="A8" s="1" t="s">
        <v>30</v>
      </c>
      <c r="B8" s="2" t="s">
        <v>1</v>
      </c>
      <c r="C8" s="1" t="s">
        <v>6</v>
      </c>
      <c r="D8" s="1" t="s">
        <v>2</v>
      </c>
      <c r="E8" s="1" t="s">
        <v>7</v>
      </c>
      <c r="F8" s="2" t="s">
        <v>20</v>
      </c>
      <c r="G8" s="2" t="s">
        <v>15</v>
      </c>
      <c r="H8" s="2" t="s">
        <v>3</v>
      </c>
      <c r="I8" s="2" t="s">
        <v>16</v>
      </c>
      <c r="J8" s="2" t="s">
        <v>22</v>
      </c>
      <c r="K8" s="2" t="s">
        <v>23</v>
      </c>
      <c r="L8" s="2" t="s">
        <v>4</v>
      </c>
      <c r="M8" s="2" t="s">
        <v>5</v>
      </c>
      <c r="N8" s="2" t="s">
        <v>0</v>
      </c>
      <c r="O8" s="16" t="s">
        <v>9</v>
      </c>
      <c r="P8" s="15" t="s">
        <v>36</v>
      </c>
      <c r="Q8" s="15" t="s">
        <v>8</v>
      </c>
      <c r="R8" s="15" t="s">
        <v>28</v>
      </c>
      <c r="S8" s="15" t="s">
        <v>35</v>
      </c>
      <c r="T8" s="15" t="s">
        <v>12</v>
      </c>
      <c r="U8" s="15" t="s">
        <v>21</v>
      </c>
      <c r="V8" s="15" t="s">
        <v>36</v>
      </c>
      <c r="W8" s="15" t="s">
        <v>8</v>
      </c>
      <c r="X8" s="15" t="s">
        <v>28</v>
      </c>
      <c r="Y8" s="15" t="s">
        <v>35</v>
      </c>
      <c r="Z8" s="15" t="s">
        <v>12</v>
      </c>
      <c r="AA8" s="15" t="s">
        <v>29</v>
      </c>
      <c r="AB8" s="104"/>
      <c r="AC8" s="104"/>
      <c r="AD8" s="15" t="s">
        <v>13</v>
      </c>
      <c r="AE8" s="15" t="s">
        <v>14</v>
      </c>
    </row>
    <row r="9" spans="1:32" ht="99.75" customHeight="1" x14ac:dyDescent="0.2">
      <c r="A9" s="16">
        <v>67</v>
      </c>
      <c r="B9" s="57" t="s">
        <v>41</v>
      </c>
      <c r="C9" s="58" t="s">
        <v>42</v>
      </c>
      <c r="D9" s="58" t="s">
        <v>43</v>
      </c>
      <c r="E9" s="59" t="s">
        <v>44</v>
      </c>
      <c r="F9" s="60" t="s">
        <v>45</v>
      </c>
      <c r="G9" s="61">
        <v>2021680010003</v>
      </c>
      <c r="H9" s="60" t="s">
        <v>46</v>
      </c>
      <c r="I9" s="62" t="s">
        <v>239</v>
      </c>
      <c r="J9" s="63">
        <v>44562</v>
      </c>
      <c r="K9" s="63">
        <v>44926</v>
      </c>
      <c r="L9" s="64">
        <v>1</v>
      </c>
      <c r="M9" s="65">
        <v>1</v>
      </c>
      <c r="N9" s="66">
        <f>IFERROR(IF(M9/L9&gt;100%,100%,M9/L9),"-")</f>
        <v>1</v>
      </c>
      <c r="O9" s="67" t="s">
        <v>283</v>
      </c>
      <c r="P9" s="17">
        <f>206000000+97000000+10000000-20000000-50000000+180000000</f>
        <v>423000000</v>
      </c>
      <c r="Q9" s="25"/>
      <c r="R9" s="26"/>
      <c r="S9" s="26"/>
      <c r="T9" s="18"/>
      <c r="U9" s="27">
        <f>SUM(P9:T9)</f>
        <v>423000000</v>
      </c>
      <c r="V9" s="20">
        <f>5000000+13200000+27000000+2139620+44972504.71+34450000</f>
        <v>126762124.71000001</v>
      </c>
      <c r="W9" s="28"/>
      <c r="X9" s="28"/>
      <c r="Y9" s="28"/>
      <c r="Z9" s="20"/>
      <c r="AA9" s="27">
        <f>SUM(V9:Z9)</f>
        <v>126762124.71000001</v>
      </c>
      <c r="AB9" s="68">
        <f t="shared" ref="AB9:AB14" si="0">IFERROR(AA9/U9,"-")</f>
        <v>0.29967405368794331</v>
      </c>
      <c r="AC9" s="19"/>
      <c r="AD9" s="69" t="s">
        <v>47</v>
      </c>
      <c r="AE9" s="69" t="s">
        <v>251</v>
      </c>
      <c r="AF9" s="47"/>
    </row>
    <row r="10" spans="1:32" ht="101.25" customHeight="1" x14ac:dyDescent="0.2">
      <c r="A10" s="16">
        <v>68</v>
      </c>
      <c r="B10" s="57" t="s">
        <v>41</v>
      </c>
      <c r="C10" s="58" t="s">
        <v>42</v>
      </c>
      <c r="D10" s="58" t="s">
        <v>43</v>
      </c>
      <c r="E10" s="59" t="s">
        <v>48</v>
      </c>
      <c r="F10" s="60" t="s">
        <v>49</v>
      </c>
      <c r="G10" s="61">
        <v>2021680010003</v>
      </c>
      <c r="H10" s="60" t="s">
        <v>46</v>
      </c>
      <c r="I10" s="62" t="s">
        <v>243</v>
      </c>
      <c r="J10" s="63">
        <v>44562</v>
      </c>
      <c r="K10" s="63">
        <v>44926</v>
      </c>
      <c r="L10" s="64">
        <v>1</v>
      </c>
      <c r="M10" s="70">
        <v>0.8</v>
      </c>
      <c r="N10" s="66">
        <f>IFERROR(IF(M10/L10&gt;100%,100%,M10/L10),"-")</f>
        <v>0.8</v>
      </c>
      <c r="O10" s="67" t="s">
        <v>281</v>
      </c>
      <c r="P10" s="17">
        <f>69000000+10000000+20000000</f>
        <v>99000000</v>
      </c>
      <c r="Q10" s="29"/>
      <c r="R10" s="30"/>
      <c r="S10" s="30"/>
      <c r="T10" s="18"/>
      <c r="U10" s="27">
        <f t="shared" ref="U10:U70" si="1">SUM(P10:T10)</f>
        <v>99000000</v>
      </c>
      <c r="V10" s="20">
        <f>5000000+38000000+13500000+2849416</f>
        <v>59349416</v>
      </c>
      <c r="W10" s="28"/>
      <c r="X10" s="28"/>
      <c r="Y10" s="28"/>
      <c r="Z10" s="20"/>
      <c r="AA10" s="27">
        <f t="shared" ref="AA10:AA70" si="2">SUM(V10:Z10)</f>
        <v>59349416</v>
      </c>
      <c r="AB10" s="68">
        <f t="shared" si="0"/>
        <v>0.59948905050505052</v>
      </c>
      <c r="AC10" s="19"/>
      <c r="AD10" s="69" t="s">
        <v>47</v>
      </c>
      <c r="AE10" s="69" t="s">
        <v>251</v>
      </c>
      <c r="AF10" s="47"/>
    </row>
    <row r="11" spans="1:32" ht="71.25" x14ac:dyDescent="0.2">
      <c r="A11" s="16">
        <v>69</v>
      </c>
      <c r="B11" s="57" t="s">
        <v>41</v>
      </c>
      <c r="C11" s="58" t="s">
        <v>42</v>
      </c>
      <c r="D11" s="58" t="s">
        <v>43</v>
      </c>
      <c r="E11" s="59" t="s">
        <v>85</v>
      </c>
      <c r="F11" s="60" t="s">
        <v>86</v>
      </c>
      <c r="G11" s="71"/>
      <c r="H11" s="60" t="s">
        <v>215</v>
      </c>
      <c r="I11" s="62" t="s">
        <v>234</v>
      </c>
      <c r="J11" s="63">
        <v>44562</v>
      </c>
      <c r="K11" s="63">
        <v>44926</v>
      </c>
      <c r="L11" s="64">
        <v>0</v>
      </c>
      <c r="M11" s="65">
        <v>0</v>
      </c>
      <c r="N11" s="66" t="str">
        <f t="shared" ref="N11:N22" si="3">IFERROR(IF(M11/L11&gt;100%,100%,M11/L11),"-")</f>
        <v>-</v>
      </c>
      <c r="O11" s="67"/>
      <c r="P11" s="20"/>
      <c r="Q11" s="30"/>
      <c r="R11" s="30"/>
      <c r="S11" s="30"/>
      <c r="T11" s="18"/>
      <c r="U11" s="27">
        <f t="shared" si="1"/>
        <v>0</v>
      </c>
      <c r="V11" s="20"/>
      <c r="W11" s="28"/>
      <c r="X11" s="28"/>
      <c r="Y11" s="28"/>
      <c r="Z11" s="20"/>
      <c r="AA11" s="27">
        <f t="shared" si="2"/>
        <v>0</v>
      </c>
      <c r="AB11" s="68" t="str">
        <f t="shared" si="0"/>
        <v>-</v>
      </c>
      <c r="AC11" s="19"/>
      <c r="AD11" s="69" t="s">
        <v>47</v>
      </c>
      <c r="AE11" s="69" t="s">
        <v>251</v>
      </c>
      <c r="AF11" s="47"/>
    </row>
    <row r="12" spans="1:32" ht="114" x14ac:dyDescent="0.2">
      <c r="A12" s="16">
        <v>70</v>
      </c>
      <c r="B12" s="57" t="s">
        <v>41</v>
      </c>
      <c r="C12" s="58" t="s">
        <v>42</v>
      </c>
      <c r="D12" s="58" t="s">
        <v>43</v>
      </c>
      <c r="E12" s="59" t="s">
        <v>87</v>
      </c>
      <c r="F12" s="60" t="s">
        <v>88</v>
      </c>
      <c r="G12" s="72">
        <v>2021680010198</v>
      </c>
      <c r="H12" s="73" t="s">
        <v>224</v>
      </c>
      <c r="I12" s="62" t="s">
        <v>234</v>
      </c>
      <c r="J12" s="63">
        <v>44562</v>
      </c>
      <c r="K12" s="63">
        <v>44926</v>
      </c>
      <c r="L12" s="64">
        <v>1</v>
      </c>
      <c r="M12" s="65">
        <v>0</v>
      </c>
      <c r="N12" s="66">
        <f t="shared" si="3"/>
        <v>0</v>
      </c>
      <c r="O12" s="67" t="s">
        <v>286</v>
      </c>
      <c r="P12" s="17">
        <f>200000000+100000000+200000000</f>
        <v>500000000</v>
      </c>
      <c r="Q12" s="31"/>
      <c r="R12" s="30"/>
      <c r="S12" s="30"/>
      <c r="T12" s="18">
        <v>4867393.32</v>
      </c>
      <c r="U12" s="27">
        <f t="shared" si="1"/>
        <v>504867393.31999999</v>
      </c>
      <c r="V12" s="20"/>
      <c r="W12" s="28"/>
      <c r="X12" s="28"/>
      <c r="Y12" s="28"/>
      <c r="Z12" s="20"/>
      <c r="AA12" s="27">
        <f t="shared" si="2"/>
        <v>0</v>
      </c>
      <c r="AB12" s="68">
        <f t="shared" si="0"/>
        <v>0</v>
      </c>
      <c r="AC12" s="19"/>
      <c r="AD12" s="69" t="s">
        <v>47</v>
      </c>
      <c r="AE12" s="69" t="s">
        <v>251</v>
      </c>
      <c r="AF12" s="47"/>
    </row>
    <row r="13" spans="1:32" ht="71.25" x14ac:dyDescent="0.2">
      <c r="A13" s="16">
        <v>71</v>
      </c>
      <c r="B13" s="57" t="s">
        <v>41</v>
      </c>
      <c r="C13" s="58" t="s">
        <v>42</v>
      </c>
      <c r="D13" s="58" t="s">
        <v>50</v>
      </c>
      <c r="E13" s="59" t="s">
        <v>51</v>
      </c>
      <c r="F13" s="60" t="s">
        <v>52</v>
      </c>
      <c r="G13" s="61">
        <v>2021680010003</v>
      </c>
      <c r="H13" s="60" t="s">
        <v>46</v>
      </c>
      <c r="I13" s="62" t="s">
        <v>239</v>
      </c>
      <c r="J13" s="63">
        <v>44562</v>
      </c>
      <c r="K13" s="63">
        <v>44926</v>
      </c>
      <c r="L13" s="64">
        <v>1</v>
      </c>
      <c r="M13" s="65">
        <v>1</v>
      </c>
      <c r="N13" s="66">
        <f t="shared" si="3"/>
        <v>1</v>
      </c>
      <c r="O13" s="67" t="s">
        <v>282</v>
      </c>
      <c r="P13" s="17">
        <f>87000000+20000000+50000000</f>
        <v>157000000</v>
      </c>
      <c r="Q13" s="29"/>
      <c r="R13" s="30"/>
      <c r="S13" s="30"/>
      <c r="T13" s="18"/>
      <c r="U13" s="27">
        <f t="shared" si="1"/>
        <v>157000000</v>
      </c>
      <c r="V13" s="20">
        <f>5000000+4000000+30000000+43000000+5447750+8122248</f>
        <v>95569998</v>
      </c>
      <c r="W13" s="28"/>
      <c r="X13" s="28"/>
      <c r="Y13" s="28"/>
      <c r="Z13" s="20"/>
      <c r="AA13" s="27">
        <f t="shared" si="2"/>
        <v>95569998</v>
      </c>
      <c r="AB13" s="68">
        <f t="shared" si="0"/>
        <v>0.60872610191082799</v>
      </c>
      <c r="AC13" s="19">
        <f>160*60000</f>
        <v>9600000</v>
      </c>
      <c r="AD13" s="69" t="s">
        <v>47</v>
      </c>
      <c r="AE13" s="69" t="s">
        <v>251</v>
      </c>
      <c r="AF13" s="47"/>
    </row>
    <row r="14" spans="1:32" ht="80.25" customHeight="1" x14ac:dyDescent="0.2">
      <c r="A14" s="16">
        <v>72</v>
      </c>
      <c r="B14" s="57" t="s">
        <v>41</v>
      </c>
      <c r="C14" s="58" t="s">
        <v>42</v>
      </c>
      <c r="D14" s="58" t="s">
        <v>50</v>
      </c>
      <c r="E14" s="59" t="s">
        <v>53</v>
      </c>
      <c r="F14" s="60" t="s">
        <v>54</v>
      </c>
      <c r="G14" s="61">
        <v>2021680010003</v>
      </c>
      <c r="H14" s="60" t="s">
        <v>46</v>
      </c>
      <c r="I14" s="62" t="s">
        <v>244</v>
      </c>
      <c r="J14" s="63">
        <v>44562</v>
      </c>
      <c r="K14" s="63">
        <v>44926</v>
      </c>
      <c r="L14" s="64">
        <v>1</v>
      </c>
      <c r="M14" s="74">
        <v>0.8</v>
      </c>
      <c r="N14" s="66">
        <f t="shared" si="3"/>
        <v>0.8</v>
      </c>
      <c r="O14" s="67" t="s">
        <v>228</v>
      </c>
      <c r="P14" s="17">
        <f>137000000+55000000</f>
        <v>192000000</v>
      </c>
      <c r="Q14" s="29"/>
      <c r="R14" s="30"/>
      <c r="S14" s="30"/>
      <c r="T14" s="18"/>
      <c r="U14" s="27">
        <f t="shared" si="1"/>
        <v>192000000</v>
      </c>
      <c r="V14" s="20">
        <f>54500000+12000000+2874106</f>
        <v>69374106</v>
      </c>
      <c r="W14" s="28"/>
      <c r="X14" s="28"/>
      <c r="Y14" s="28"/>
      <c r="Z14" s="20"/>
      <c r="AA14" s="27">
        <f t="shared" si="2"/>
        <v>69374106</v>
      </c>
      <c r="AB14" s="68">
        <f t="shared" si="0"/>
        <v>0.36132346874999999</v>
      </c>
      <c r="AC14" s="19"/>
      <c r="AD14" s="69" t="s">
        <v>47</v>
      </c>
      <c r="AE14" s="69" t="s">
        <v>251</v>
      </c>
      <c r="AF14" s="47"/>
    </row>
    <row r="15" spans="1:32" ht="71.25" x14ac:dyDescent="0.2">
      <c r="A15" s="16">
        <v>73</v>
      </c>
      <c r="B15" s="57" t="s">
        <v>41</v>
      </c>
      <c r="C15" s="58" t="s">
        <v>42</v>
      </c>
      <c r="D15" s="58" t="s">
        <v>50</v>
      </c>
      <c r="E15" s="59" t="s">
        <v>55</v>
      </c>
      <c r="F15" s="60" t="s">
        <v>56</v>
      </c>
      <c r="G15" s="61">
        <v>2021680010003</v>
      </c>
      <c r="H15" s="60" t="s">
        <v>46</v>
      </c>
      <c r="I15" s="62"/>
      <c r="J15" s="63">
        <v>44562</v>
      </c>
      <c r="K15" s="63">
        <v>44926</v>
      </c>
      <c r="L15" s="64">
        <v>1</v>
      </c>
      <c r="M15" s="74">
        <v>0.5</v>
      </c>
      <c r="N15" s="66">
        <f t="shared" si="3"/>
        <v>0.5</v>
      </c>
      <c r="O15" s="67" t="s">
        <v>226</v>
      </c>
      <c r="P15" s="17">
        <f>60000000</f>
        <v>60000000</v>
      </c>
      <c r="Q15" s="17"/>
      <c r="R15" s="30"/>
      <c r="S15" s="30"/>
      <c r="T15" s="18"/>
      <c r="U15" s="27">
        <f t="shared" si="1"/>
        <v>60000000</v>
      </c>
      <c r="V15" s="20">
        <f>5000000+5000000</f>
        <v>10000000</v>
      </c>
      <c r="W15" s="28"/>
      <c r="X15" s="28"/>
      <c r="Y15" s="28"/>
      <c r="Z15" s="20"/>
      <c r="AA15" s="27">
        <f t="shared" si="2"/>
        <v>10000000</v>
      </c>
      <c r="AB15" s="68">
        <f t="shared" ref="AB15:AB40" si="4">IFERROR(AA15/U15,"-")</f>
        <v>0.16666666666666666</v>
      </c>
      <c r="AC15" s="19"/>
      <c r="AD15" s="69" t="s">
        <v>47</v>
      </c>
      <c r="AE15" s="69" t="s">
        <v>251</v>
      </c>
      <c r="AF15" s="47"/>
    </row>
    <row r="16" spans="1:32" ht="71.25" x14ac:dyDescent="0.2">
      <c r="A16" s="16">
        <v>74</v>
      </c>
      <c r="B16" s="57" t="s">
        <v>41</v>
      </c>
      <c r="C16" s="58" t="s">
        <v>42</v>
      </c>
      <c r="D16" s="58" t="s">
        <v>50</v>
      </c>
      <c r="E16" s="59" t="s">
        <v>57</v>
      </c>
      <c r="F16" s="60" t="s">
        <v>58</v>
      </c>
      <c r="G16" s="61">
        <v>2021680010003</v>
      </c>
      <c r="H16" s="60" t="s">
        <v>46</v>
      </c>
      <c r="I16" s="62"/>
      <c r="J16" s="63">
        <v>44562</v>
      </c>
      <c r="K16" s="63">
        <v>44926</v>
      </c>
      <c r="L16" s="64">
        <v>1</v>
      </c>
      <c r="M16" s="65">
        <v>1</v>
      </c>
      <c r="N16" s="66">
        <f t="shared" si="3"/>
        <v>1</v>
      </c>
      <c r="O16" s="67" t="s">
        <v>208</v>
      </c>
      <c r="P16" s="17">
        <f>100000000-55000000</f>
        <v>45000000</v>
      </c>
      <c r="Q16" s="17"/>
      <c r="R16" s="30"/>
      <c r="S16" s="30"/>
      <c r="T16" s="18"/>
      <c r="U16" s="27">
        <f t="shared" si="1"/>
        <v>45000000</v>
      </c>
      <c r="V16" s="20">
        <f>24000000+11261520</f>
        <v>35261520</v>
      </c>
      <c r="W16" s="17"/>
      <c r="X16" s="28"/>
      <c r="Y16" s="28"/>
      <c r="Z16" s="20"/>
      <c r="AA16" s="27">
        <f t="shared" si="2"/>
        <v>35261520</v>
      </c>
      <c r="AB16" s="68">
        <f t="shared" si="4"/>
        <v>0.78358933333333336</v>
      </c>
      <c r="AC16" s="19"/>
      <c r="AD16" s="69" t="s">
        <v>47</v>
      </c>
      <c r="AE16" s="69" t="s">
        <v>251</v>
      </c>
      <c r="AF16" s="47"/>
    </row>
    <row r="17" spans="1:32" ht="75" customHeight="1" x14ac:dyDescent="0.2">
      <c r="A17" s="16">
        <v>75</v>
      </c>
      <c r="B17" s="57" t="s">
        <v>41</v>
      </c>
      <c r="C17" s="58" t="s">
        <v>42</v>
      </c>
      <c r="D17" s="58" t="s">
        <v>50</v>
      </c>
      <c r="E17" s="59" t="s">
        <v>59</v>
      </c>
      <c r="F17" s="60" t="s">
        <v>60</v>
      </c>
      <c r="G17" s="61">
        <v>2021680010003</v>
      </c>
      <c r="H17" s="60" t="s">
        <v>46</v>
      </c>
      <c r="I17" s="62" t="s">
        <v>245</v>
      </c>
      <c r="J17" s="63">
        <v>44562</v>
      </c>
      <c r="K17" s="63">
        <v>44926</v>
      </c>
      <c r="L17" s="64">
        <v>1</v>
      </c>
      <c r="M17" s="74">
        <v>0.6</v>
      </c>
      <c r="N17" s="66">
        <f t="shared" si="3"/>
        <v>0.6</v>
      </c>
      <c r="O17" s="67" t="s">
        <v>231</v>
      </c>
      <c r="P17" s="17">
        <f>80000000+10000000+10000000-20000000-15000000</f>
        <v>65000000</v>
      </c>
      <c r="Q17" s="29"/>
      <c r="R17" s="30"/>
      <c r="S17" s="30"/>
      <c r="T17" s="18"/>
      <c r="U17" s="27">
        <f t="shared" si="1"/>
        <v>65000000</v>
      </c>
      <c r="V17" s="20">
        <f>4000000+6000000+3435825</f>
        <v>13435825</v>
      </c>
      <c r="W17" s="28"/>
      <c r="X17" s="28"/>
      <c r="Y17" s="28"/>
      <c r="Z17" s="20"/>
      <c r="AA17" s="27">
        <f t="shared" si="2"/>
        <v>13435825</v>
      </c>
      <c r="AB17" s="68">
        <f t="shared" si="4"/>
        <v>0.206705</v>
      </c>
      <c r="AC17" s="19"/>
      <c r="AD17" s="69" t="s">
        <v>47</v>
      </c>
      <c r="AE17" s="69" t="s">
        <v>251</v>
      </c>
      <c r="AF17" s="47"/>
    </row>
    <row r="18" spans="1:32" ht="71.25" x14ac:dyDescent="0.2">
      <c r="A18" s="16">
        <v>76</v>
      </c>
      <c r="B18" s="57" t="s">
        <v>41</v>
      </c>
      <c r="C18" s="58" t="s">
        <v>42</v>
      </c>
      <c r="D18" s="58" t="s">
        <v>50</v>
      </c>
      <c r="E18" s="59" t="s">
        <v>61</v>
      </c>
      <c r="F18" s="60" t="s">
        <v>62</v>
      </c>
      <c r="G18" s="61">
        <v>2021680010003</v>
      </c>
      <c r="H18" s="60" t="s">
        <v>46</v>
      </c>
      <c r="I18" s="62" t="s">
        <v>246</v>
      </c>
      <c r="J18" s="63">
        <v>44562</v>
      </c>
      <c r="K18" s="63">
        <v>44926</v>
      </c>
      <c r="L18" s="64">
        <v>1</v>
      </c>
      <c r="M18" s="75">
        <v>0.8</v>
      </c>
      <c r="N18" s="66">
        <f t="shared" si="3"/>
        <v>0.8</v>
      </c>
      <c r="O18" s="67" t="s">
        <v>227</v>
      </c>
      <c r="P18" s="17">
        <f>80000000+10000000</f>
        <v>90000000</v>
      </c>
      <c r="Q18" s="29"/>
      <c r="R18" s="30"/>
      <c r="S18" s="30"/>
      <c r="T18" s="18"/>
      <c r="U18" s="27">
        <f t="shared" si="1"/>
        <v>90000000</v>
      </c>
      <c r="V18" s="20">
        <f>4000000+5000000+13000000</f>
        <v>22000000</v>
      </c>
      <c r="W18" s="28"/>
      <c r="X18" s="28"/>
      <c r="Y18" s="28"/>
      <c r="Z18" s="20"/>
      <c r="AA18" s="27">
        <f t="shared" si="2"/>
        <v>22000000</v>
      </c>
      <c r="AB18" s="68">
        <f t="shared" si="4"/>
        <v>0.24444444444444444</v>
      </c>
      <c r="AC18" s="19"/>
      <c r="AD18" s="69" t="s">
        <v>47</v>
      </c>
      <c r="AE18" s="69" t="s">
        <v>251</v>
      </c>
      <c r="AF18" s="47"/>
    </row>
    <row r="19" spans="1:32" ht="71.25" x14ac:dyDescent="0.2">
      <c r="A19" s="16">
        <v>77</v>
      </c>
      <c r="B19" s="57" t="s">
        <v>41</v>
      </c>
      <c r="C19" s="58" t="s">
        <v>42</v>
      </c>
      <c r="D19" s="58" t="s">
        <v>50</v>
      </c>
      <c r="E19" s="59" t="s">
        <v>63</v>
      </c>
      <c r="F19" s="60" t="s">
        <v>64</v>
      </c>
      <c r="G19" s="61">
        <v>2021680010003</v>
      </c>
      <c r="H19" s="60" t="s">
        <v>46</v>
      </c>
      <c r="I19" s="62" t="s">
        <v>247</v>
      </c>
      <c r="J19" s="63">
        <v>44562</v>
      </c>
      <c r="K19" s="63">
        <v>44926</v>
      </c>
      <c r="L19" s="64">
        <v>1</v>
      </c>
      <c r="M19" s="74">
        <v>0.8</v>
      </c>
      <c r="N19" s="66">
        <f t="shared" si="3"/>
        <v>0.8</v>
      </c>
      <c r="O19" s="67" t="s">
        <v>207</v>
      </c>
      <c r="P19" s="17">
        <f>40000000+35000000</f>
        <v>75000000</v>
      </c>
      <c r="Q19" s="29"/>
      <c r="R19" s="30"/>
      <c r="S19" s="30"/>
      <c r="T19" s="18"/>
      <c r="U19" s="27">
        <f t="shared" si="1"/>
        <v>75000000</v>
      </c>
      <c r="V19" s="20">
        <f>39862500+21748176</f>
        <v>61610676</v>
      </c>
      <c r="W19" s="28"/>
      <c r="X19" s="28"/>
      <c r="Y19" s="28"/>
      <c r="Z19" s="20"/>
      <c r="AA19" s="27">
        <f t="shared" si="2"/>
        <v>61610676</v>
      </c>
      <c r="AB19" s="68">
        <f t="shared" si="4"/>
        <v>0.82147568000000004</v>
      </c>
      <c r="AC19" s="19"/>
      <c r="AD19" s="69" t="s">
        <v>47</v>
      </c>
      <c r="AE19" s="69" t="s">
        <v>251</v>
      </c>
      <c r="AF19" s="47"/>
    </row>
    <row r="20" spans="1:32" ht="156.75" x14ac:dyDescent="0.2">
      <c r="A20" s="16">
        <v>78</v>
      </c>
      <c r="B20" s="57" t="s">
        <v>41</v>
      </c>
      <c r="C20" s="58" t="s">
        <v>42</v>
      </c>
      <c r="D20" s="58" t="s">
        <v>50</v>
      </c>
      <c r="E20" s="59" t="s">
        <v>65</v>
      </c>
      <c r="F20" s="60" t="s">
        <v>66</v>
      </c>
      <c r="G20" s="61">
        <v>2021680010003</v>
      </c>
      <c r="H20" s="60" t="s">
        <v>46</v>
      </c>
      <c r="I20" s="62" t="s">
        <v>248</v>
      </c>
      <c r="J20" s="63">
        <v>44562</v>
      </c>
      <c r="K20" s="63">
        <v>44926</v>
      </c>
      <c r="L20" s="64">
        <v>1</v>
      </c>
      <c r="M20" s="74">
        <v>0.6</v>
      </c>
      <c r="N20" s="66">
        <f t="shared" si="3"/>
        <v>0.6</v>
      </c>
      <c r="O20" s="67" t="s">
        <v>229</v>
      </c>
      <c r="P20" s="17">
        <f>200000000+10000000-10000000-40000000-40000000+20000000-35000000</f>
        <v>105000000</v>
      </c>
      <c r="Q20" s="29"/>
      <c r="R20" s="30"/>
      <c r="S20" s="30"/>
      <c r="T20" s="18"/>
      <c r="U20" s="27">
        <f t="shared" si="1"/>
        <v>105000000</v>
      </c>
      <c r="V20" s="20">
        <f>6000000+6000000+10500000+5357944</f>
        <v>27857944</v>
      </c>
      <c r="W20" s="28"/>
      <c r="X20" s="28"/>
      <c r="Y20" s="28"/>
      <c r="Z20" s="20"/>
      <c r="AA20" s="27">
        <f t="shared" si="2"/>
        <v>27857944</v>
      </c>
      <c r="AB20" s="68">
        <f t="shared" si="4"/>
        <v>0.26531375238095239</v>
      </c>
      <c r="AC20" s="19"/>
      <c r="AD20" s="69" t="s">
        <v>47</v>
      </c>
      <c r="AE20" s="69" t="s">
        <v>251</v>
      </c>
      <c r="AF20" s="47"/>
    </row>
    <row r="21" spans="1:32" ht="156.75" x14ac:dyDescent="0.2">
      <c r="A21" s="16">
        <v>79</v>
      </c>
      <c r="B21" s="57" t="s">
        <v>41</v>
      </c>
      <c r="C21" s="58" t="s">
        <v>42</v>
      </c>
      <c r="D21" s="58" t="s">
        <v>67</v>
      </c>
      <c r="E21" s="59" t="s">
        <v>68</v>
      </c>
      <c r="F21" s="60" t="s">
        <v>69</v>
      </c>
      <c r="G21" s="61">
        <v>2021680010003</v>
      </c>
      <c r="H21" s="60" t="s">
        <v>46</v>
      </c>
      <c r="I21" s="62" t="s">
        <v>242</v>
      </c>
      <c r="J21" s="63">
        <v>44562</v>
      </c>
      <c r="K21" s="63">
        <v>44926</v>
      </c>
      <c r="L21" s="64">
        <v>1</v>
      </c>
      <c r="M21" s="74">
        <v>0.5</v>
      </c>
      <c r="N21" s="66">
        <f t="shared" si="3"/>
        <v>0.5</v>
      </c>
      <c r="O21" s="67" t="s">
        <v>230</v>
      </c>
      <c r="P21" s="20">
        <f>90000000-10000000-10000000-15000000+10000000+15000000</f>
        <v>80000000</v>
      </c>
      <c r="Q21" s="29"/>
      <c r="R21" s="30"/>
      <c r="S21" s="30"/>
      <c r="T21" s="21"/>
      <c r="U21" s="27">
        <f t="shared" si="1"/>
        <v>80000000</v>
      </c>
      <c r="V21" s="20">
        <f>4000000+5000000+6000000+5000000+7000000+12407070</f>
        <v>39407070</v>
      </c>
      <c r="W21" s="28"/>
      <c r="X21" s="28"/>
      <c r="Y21" s="28"/>
      <c r="Z21" s="20"/>
      <c r="AA21" s="27">
        <f t="shared" si="2"/>
        <v>39407070</v>
      </c>
      <c r="AB21" s="68">
        <f t="shared" si="4"/>
        <v>0.49258837500000002</v>
      </c>
      <c r="AC21" s="19"/>
      <c r="AD21" s="69" t="s">
        <v>47</v>
      </c>
      <c r="AE21" s="69" t="s">
        <v>251</v>
      </c>
      <c r="AF21" s="47"/>
    </row>
    <row r="22" spans="1:32" ht="71.25" x14ac:dyDescent="0.2">
      <c r="A22" s="16">
        <v>80</v>
      </c>
      <c r="B22" s="57" t="s">
        <v>41</v>
      </c>
      <c r="C22" s="58" t="s">
        <v>42</v>
      </c>
      <c r="D22" s="76" t="s">
        <v>67</v>
      </c>
      <c r="E22" s="59" t="s">
        <v>83</v>
      </c>
      <c r="F22" s="71" t="s">
        <v>84</v>
      </c>
      <c r="G22" s="61">
        <v>2021680010003</v>
      </c>
      <c r="H22" s="60" t="s">
        <v>46</v>
      </c>
      <c r="I22" s="62" t="s">
        <v>241</v>
      </c>
      <c r="J22" s="63">
        <v>44562</v>
      </c>
      <c r="K22" s="63">
        <v>44926</v>
      </c>
      <c r="L22" s="64">
        <v>50000</v>
      </c>
      <c r="M22" s="65">
        <v>6566</v>
      </c>
      <c r="N22" s="77">
        <f t="shared" si="3"/>
        <v>0.13131999999999999</v>
      </c>
      <c r="O22" s="67" t="s">
        <v>284</v>
      </c>
      <c r="P22" s="17">
        <f>250000000+15000000+40000000-20000000+100000000</f>
        <v>385000000</v>
      </c>
      <c r="Q22" s="29"/>
      <c r="R22" s="30"/>
      <c r="S22" s="30"/>
      <c r="T22" s="18"/>
      <c r="U22" s="27">
        <f t="shared" si="1"/>
        <v>385000000</v>
      </c>
      <c r="V22" s="20">
        <f>12000000+18000000+6000000+179488527</f>
        <v>215488527</v>
      </c>
      <c r="W22" s="28"/>
      <c r="X22" s="28"/>
      <c r="Y22" s="28"/>
      <c r="Z22" s="20"/>
      <c r="AA22" s="27">
        <f t="shared" si="2"/>
        <v>215488527</v>
      </c>
      <c r="AB22" s="68">
        <f t="shared" si="4"/>
        <v>0.55971045974025979</v>
      </c>
      <c r="AC22" s="19"/>
      <c r="AD22" s="69" t="s">
        <v>47</v>
      </c>
      <c r="AE22" s="69" t="s">
        <v>251</v>
      </c>
      <c r="AF22" s="47"/>
    </row>
    <row r="23" spans="1:32" ht="71.25" x14ac:dyDescent="0.2">
      <c r="A23" s="16">
        <v>81</v>
      </c>
      <c r="B23" s="57" t="s">
        <v>41</v>
      </c>
      <c r="C23" s="58" t="s">
        <v>42</v>
      </c>
      <c r="D23" s="58" t="s">
        <v>67</v>
      </c>
      <c r="E23" s="59" t="s">
        <v>70</v>
      </c>
      <c r="F23" s="60" t="s">
        <v>71</v>
      </c>
      <c r="G23" s="61">
        <v>2021680010003</v>
      </c>
      <c r="H23" s="60" t="s">
        <v>46</v>
      </c>
      <c r="I23" s="62"/>
      <c r="J23" s="63">
        <v>44562</v>
      </c>
      <c r="K23" s="63">
        <v>44926</v>
      </c>
      <c r="L23" s="64">
        <v>1</v>
      </c>
      <c r="M23" s="74">
        <v>0</v>
      </c>
      <c r="N23" s="66">
        <f t="shared" ref="N23:N28" si="5">IFERROR(IF(M23/L23&gt;100%,100%,M23/L23),"-")</f>
        <v>0</v>
      </c>
      <c r="O23" s="67" t="s">
        <v>285</v>
      </c>
      <c r="P23" s="17">
        <f>211000000+150000000</f>
        <v>361000000</v>
      </c>
      <c r="Q23" s="29"/>
      <c r="R23" s="30"/>
      <c r="S23" s="30"/>
      <c r="T23" s="18"/>
      <c r="U23" s="27">
        <f t="shared" si="1"/>
        <v>361000000</v>
      </c>
      <c r="V23" s="20"/>
      <c r="W23" s="28"/>
      <c r="X23" s="28"/>
      <c r="Y23" s="28"/>
      <c r="Z23" s="20"/>
      <c r="AA23" s="27">
        <f t="shared" si="2"/>
        <v>0</v>
      </c>
      <c r="AB23" s="68">
        <f t="shared" si="4"/>
        <v>0</v>
      </c>
      <c r="AC23" s="19"/>
      <c r="AD23" s="69" t="s">
        <v>47</v>
      </c>
      <c r="AE23" s="69" t="s">
        <v>251</v>
      </c>
      <c r="AF23" s="47"/>
    </row>
    <row r="24" spans="1:32" ht="71.25" x14ac:dyDescent="0.2">
      <c r="A24" s="16">
        <v>82</v>
      </c>
      <c r="B24" s="57" t="s">
        <v>41</v>
      </c>
      <c r="C24" s="58" t="s">
        <v>42</v>
      </c>
      <c r="D24" s="58" t="s">
        <v>67</v>
      </c>
      <c r="E24" s="59" t="s">
        <v>72</v>
      </c>
      <c r="F24" s="60" t="s">
        <v>73</v>
      </c>
      <c r="G24" s="61">
        <v>2021680010003</v>
      </c>
      <c r="H24" s="60" t="s">
        <v>46</v>
      </c>
      <c r="I24" s="62" t="s">
        <v>240</v>
      </c>
      <c r="J24" s="63">
        <v>44562</v>
      </c>
      <c r="K24" s="63">
        <v>44926</v>
      </c>
      <c r="L24" s="78">
        <v>1</v>
      </c>
      <c r="M24" s="79">
        <v>1</v>
      </c>
      <c r="N24" s="66">
        <f t="shared" si="5"/>
        <v>1</v>
      </c>
      <c r="O24" s="67" t="s">
        <v>209</v>
      </c>
      <c r="P24" s="17">
        <v>20000000</v>
      </c>
      <c r="Q24" s="29"/>
      <c r="R24" s="30"/>
      <c r="S24" s="30"/>
      <c r="T24" s="17"/>
      <c r="U24" s="27">
        <f t="shared" si="1"/>
        <v>20000000</v>
      </c>
      <c r="V24" s="20">
        <v>20000000</v>
      </c>
      <c r="W24" s="28"/>
      <c r="X24" s="28"/>
      <c r="Y24" s="28"/>
      <c r="Z24" s="20"/>
      <c r="AA24" s="27">
        <f t="shared" si="2"/>
        <v>20000000</v>
      </c>
      <c r="AB24" s="68">
        <f t="shared" si="4"/>
        <v>1</v>
      </c>
      <c r="AC24" s="19"/>
      <c r="AD24" s="69" t="s">
        <v>47</v>
      </c>
      <c r="AE24" s="69" t="s">
        <v>251</v>
      </c>
      <c r="AF24" s="47"/>
    </row>
    <row r="25" spans="1:32" ht="85.5" x14ac:dyDescent="0.2">
      <c r="A25" s="16">
        <v>83</v>
      </c>
      <c r="B25" s="57" t="s">
        <v>41</v>
      </c>
      <c r="C25" s="58" t="s">
        <v>42</v>
      </c>
      <c r="D25" s="58" t="s">
        <v>67</v>
      </c>
      <c r="E25" s="59" t="s">
        <v>74</v>
      </c>
      <c r="F25" s="60" t="s">
        <v>75</v>
      </c>
      <c r="G25" s="61">
        <v>2021680010003</v>
      </c>
      <c r="H25" s="60" t="s">
        <v>46</v>
      </c>
      <c r="I25" s="62"/>
      <c r="J25" s="63">
        <v>44562</v>
      </c>
      <c r="K25" s="63">
        <v>44926</v>
      </c>
      <c r="L25" s="64">
        <v>1</v>
      </c>
      <c r="M25" s="74">
        <v>0.8</v>
      </c>
      <c r="N25" s="66">
        <f t="shared" si="5"/>
        <v>0.8</v>
      </c>
      <c r="O25" s="67" t="s">
        <v>232</v>
      </c>
      <c r="P25" s="17">
        <f>90000000+20000000</f>
        <v>110000000</v>
      </c>
      <c r="Q25" s="29"/>
      <c r="R25" s="30"/>
      <c r="S25" s="30"/>
      <c r="T25" s="17"/>
      <c r="U25" s="27">
        <f t="shared" si="1"/>
        <v>110000000</v>
      </c>
      <c r="V25" s="20">
        <f>21500000+11000000+656736</f>
        <v>33156736</v>
      </c>
      <c r="W25" s="28"/>
      <c r="X25" s="28"/>
      <c r="Y25" s="28"/>
      <c r="Z25" s="20"/>
      <c r="AA25" s="27">
        <f t="shared" si="2"/>
        <v>33156736</v>
      </c>
      <c r="AB25" s="68">
        <f t="shared" si="4"/>
        <v>0.30142487272727275</v>
      </c>
      <c r="AC25" s="19"/>
      <c r="AD25" s="69" t="s">
        <v>47</v>
      </c>
      <c r="AE25" s="69" t="s">
        <v>251</v>
      </c>
      <c r="AF25" s="47"/>
    </row>
    <row r="26" spans="1:32" ht="71.25" x14ac:dyDescent="0.2">
      <c r="A26" s="16">
        <v>84</v>
      </c>
      <c r="B26" s="57" t="s">
        <v>41</v>
      </c>
      <c r="C26" s="58" t="s">
        <v>42</v>
      </c>
      <c r="D26" s="58" t="s">
        <v>67</v>
      </c>
      <c r="E26" s="59" t="s">
        <v>76</v>
      </c>
      <c r="F26" s="60" t="s">
        <v>77</v>
      </c>
      <c r="G26" s="61">
        <v>2021680010003</v>
      </c>
      <c r="H26" s="60" t="s">
        <v>46</v>
      </c>
      <c r="I26" s="62"/>
      <c r="J26" s="63">
        <v>44562</v>
      </c>
      <c r="K26" s="63">
        <v>44926</v>
      </c>
      <c r="L26" s="80">
        <v>1</v>
      </c>
      <c r="M26" s="74">
        <v>0.3</v>
      </c>
      <c r="N26" s="66">
        <f t="shared" si="5"/>
        <v>0.3</v>
      </c>
      <c r="O26" s="67" t="s">
        <v>207</v>
      </c>
      <c r="P26" s="17">
        <v>40000000</v>
      </c>
      <c r="Q26" s="25"/>
      <c r="R26" s="26"/>
      <c r="S26" s="26"/>
      <c r="T26" s="17"/>
      <c r="U26" s="27">
        <f t="shared" si="1"/>
        <v>40000000</v>
      </c>
      <c r="V26" s="20">
        <v>8000000</v>
      </c>
      <c r="W26" s="28"/>
      <c r="X26" s="28"/>
      <c r="Y26" s="28"/>
      <c r="Z26" s="20"/>
      <c r="AA26" s="27">
        <f t="shared" si="2"/>
        <v>8000000</v>
      </c>
      <c r="AB26" s="68">
        <f t="shared" si="4"/>
        <v>0.2</v>
      </c>
      <c r="AC26" s="19"/>
      <c r="AD26" s="69" t="s">
        <v>47</v>
      </c>
      <c r="AE26" s="69" t="s">
        <v>251</v>
      </c>
      <c r="AF26" s="47"/>
    </row>
    <row r="27" spans="1:32" ht="71.25" x14ac:dyDescent="0.2">
      <c r="A27" s="16">
        <v>88</v>
      </c>
      <c r="B27" s="57" t="s">
        <v>41</v>
      </c>
      <c r="C27" s="58" t="s">
        <v>42</v>
      </c>
      <c r="D27" s="58" t="s">
        <v>89</v>
      </c>
      <c r="E27" s="59" t="s">
        <v>93</v>
      </c>
      <c r="F27" s="60" t="s">
        <v>94</v>
      </c>
      <c r="G27" s="61">
        <v>2020680010040</v>
      </c>
      <c r="H27" s="60" t="s">
        <v>92</v>
      </c>
      <c r="I27" s="62" t="s">
        <v>216</v>
      </c>
      <c r="J27" s="63">
        <v>44562</v>
      </c>
      <c r="K27" s="63">
        <v>44926</v>
      </c>
      <c r="L27" s="64">
        <v>11000</v>
      </c>
      <c r="M27" s="65">
        <v>10840</v>
      </c>
      <c r="N27" s="66">
        <f t="shared" si="5"/>
        <v>0.98545454545454547</v>
      </c>
      <c r="O27" s="67" t="s">
        <v>225</v>
      </c>
      <c r="P27" s="20">
        <v>80000000</v>
      </c>
      <c r="Q27" s="20"/>
      <c r="R27" s="20"/>
      <c r="S27" s="20"/>
      <c r="T27" s="17"/>
      <c r="U27" s="27">
        <f t="shared" si="1"/>
        <v>80000000</v>
      </c>
      <c r="V27" s="20">
        <v>52200000</v>
      </c>
      <c r="W27" s="28"/>
      <c r="X27" s="28"/>
      <c r="Y27" s="20"/>
      <c r="Z27" s="20"/>
      <c r="AA27" s="27">
        <f t="shared" si="2"/>
        <v>52200000</v>
      </c>
      <c r="AB27" s="68">
        <f t="shared" si="4"/>
        <v>0.65249999999999997</v>
      </c>
      <c r="AC27" s="19"/>
      <c r="AD27" s="69" t="s">
        <v>47</v>
      </c>
      <c r="AE27" s="69" t="s">
        <v>251</v>
      </c>
      <c r="AF27" s="47"/>
    </row>
    <row r="28" spans="1:32" ht="99.75" x14ac:dyDescent="0.2">
      <c r="A28" s="16">
        <v>89</v>
      </c>
      <c r="B28" s="57" t="s">
        <v>41</v>
      </c>
      <c r="C28" s="58" t="s">
        <v>42</v>
      </c>
      <c r="D28" s="76" t="s">
        <v>89</v>
      </c>
      <c r="E28" s="59" t="s">
        <v>90</v>
      </c>
      <c r="F28" s="71" t="s">
        <v>91</v>
      </c>
      <c r="G28" s="61">
        <v>2020680010040</v>
      </c>
      <c r="H28" s="60" t="s">
        <v>92</v>
      </c>
      <c r="I28" s="81" t="s">
        <v>235</v>
      </c>
      <c r="J28" s="63">
        <v>44562</v>
      </c>
      <c r="K28" s="63">
        <v>44926</v>
      </c>
      <c r="L28" s="82">
        <v>25000</v>
      </c>
      <c r="M28" s="83">
        <v>15000</v>
      </c>
      <c r="N28" s="84">
        <f t="shared" si="5"/>
        <v>0.6</v>
      </c>
      <c r="O28" s="67" t="s">
        <v>264</v>
      </c>
      <c r="P28" s="20">
        <f>600000000+661000000</f>
        <v>1261000000</v>
      </c>
      <c r="Q28" s="20"/>
      <c r="R28" s="20"/>
      <c r="S28" s="20"/>
      <c r="T28" s="17">
        <v>1451561804</v>
      </c>
      <c r="U28" s="27">
        <f t="shared" si="1"/>
        <v>2712561804</v>
      </c>
      <c r="V28" s="20">
        <v>600000000</v>
      </c>
      <c r="W28" s="28"/>
      <c r="X28" s="28"/>
      <c r="Y28" s="28"/>
      <c r="Z28" s="20">
        <v>1451561804</v>
      </c>
      <c r="AA28" s="27">
        <f t="shared" si="2"/>
        <v>2051561804</v>
      </c>
      <c r="AB28" s="68">
        <f t="shared" si="4"/>
        <v>0.75631891630071779</v>
      </c>
      <c r="AC28" s="19"/>
      <c r="AD28" s="69" t="s">
        <v>47</v>
      </c>
      <c r="AE28" s="69" t="s">
        <v>251</v>
      </c>
      <c r="AF28" s="47"/>
    </row>
    <row r="29" spans="1:32" ht="71.25" x14ac:dyDescent="0.2">
      <c r="A29" s="16">
        <v>90</v>
      </c>
      <c r="B29" s="57" t="s">
        <v>41</v>
      </c>
      <c r="C29" s="58" t="s">
        <v>42</v>
      </c>
      <c r="D29" s="58" t="s">
        <v>89</v>
      </c>
      <c r="E29" s="59" t="s">
        <v>95</v>
      </c>
      <c r="F29" s="60" t="s">
        <v>96</v>
      </c>
      <c r="G29" s="61">
        <v>2020680010040</v>
      </c>
      <c r="H29" s="60" t="s">
        <v>92</v>
      </c>
      <c r="I29" s="71" t="s">
        <v>236</v>
      </c>
      <c r="J29" s="63">
        <v>44562</v>
      </c>
      <c r="K29" s="63">
        <v>44926</v>
      </c>
      <c r="L29" s="64">
        <v>2100</v>
      </c>
      <c r="M29" s="65">
        <v>5698</v>
      </c>
      <c r="N29" s="85">
        <f t="shared" ref="N29:N34" si="6">IFERROR(IF(M29/L29&gt;100%,100%,M29/L29),"-")</f>
        <v>1</v>
      </c>
      <c r="O29" s="67" t="s">
        <v>265</v>
      </c>
      <c r="P29" s="20">
        <v>63000000</v>
      </c>
      <c r="Q29" s="20"/>
      <c r="R29" s="20"/>
      <c r="S29" s="20"/>
      <c r="T29" s="17">
        <v>45000000</v>
      </c>
      <c r="U29" s="27">
        <f t="shared" si="1"/>
        <v>108000000</v>
      </c>
      <c r="V29" s="20">
        <v>63000000</v>
      </c>
      <c r="W29" s="28"/>
      <c r="X29" s="28"/>
      <c r="Y29" s="20"/>
      <c r="Z29" s="20">
        <f>44400000-13200000</f>
        <v>31200000</v>
      </c>
      <c r="AA29" s="27">
        <f t="shared" si="2"/>
        <v>94200000</v>
      </c>
      <c r="AB29" s="68">
        <f t="shared" si="4"/>
        <v>0.87222222222222223</v>
      </c>
      <c r="AC29" s="19"/>
      <c r="AD29" s="69" t="s">
        <v>47</v>
      </c>
      <c r="AE29" s="69" t="s">
        <v>251</v>
      </c>
      <c r="AF29" s="47"/>
    </row>
    <row r="30" spans="1:32" ht="71.25" x14ac:dyDescent="0.2">
      <c r="A30" s="16">
        <v>91</v>
      </c>
      <c r="B30" s="57" t="s">
        <v>41</v>
      </c>
      <c r="C30" s="58" t="s">
        <v>42</v>
      </c>
      <c r="D30" s="58" t="s">
        <v>89</v>
      </c>
      <c r="E30" s="59" t="s">
        <v>97</v>
      </c>
      <c r="F30" s="60" t="s">
        <v>98</v>
      </c>
      <c r="G30" s="61">
        <v>2020680010040</v>
      </c>
      <c r="H30" s="60" t="s">
        <v>92</v>
      </c>
      <c r="I30" s="71" t="s">
        <v>237</v>
      </c>
      <c r="J30" s="63">
        <v>44562</v>
      </c>
      <c r="K30" s="63">
        <v>44926</v>
      </c>
      <c r="L30" s="78">
        <v>1</v>
      </c>
      <c r="M30" s="79">
        <v>1</v>
      </c>
      <c r="N30" s="66">
        <f t="shared" si="6"/>
        <v>1</v>
      </c>
      <c r="O30" s="67" t="s">
        <v>266</v>
      </c>
      <c r="P30" s="20">
        <f>152962035+82000000</f>
        <v>234962035</v>
      </c>
      <c r="Q30" s="20"/>
      <c r="R30" s="20"/>
      <c r="S30" s="20"/>
      <c r="T30" s="22"/>
      <c r="U30" s="27">
        <f t="shared" si="1"/>
        <v>234962035</v>
      </c>
      <c r="V30" s="20">
        <v>152962035</v>
      </c>
      <c r="W30" s="28"/>
      <c r="X30" s="28"/>
      <c r="Y30" s="20"/>
      <c r="Z30" s="20"/>
      <c r="AA30" s="27">
        <f t="shared" si="2"/>
        <v>152962035</v>
      </c>
      <c r="AB30" s="68">
        <f t="shared" si="4"/>
        <v>0.65100744892680218</v>
      </c>
      <c r="AC30" s="19"/>
      <c r="AD30" s="69" t="s">
        <v>47</v>
      </c>
      <c r="AE30" s="69" t="s">
        <v>251</v>
      </c>
      <c r="AF30" s="47"/>
    </row>
    <row r="31" spans="1:32" ht="256.5" x14ac:dyDescent="0.2">
      <c r="A31" s="16">
        <v>92</v>
      </c>
      <c r="B31" s="57" t="s">
        <v>41</v>
      </c>
      <c r="C31" s="58" t="s">
        <v>42</v>
      </c>
      <c r="D31" s="58" t="s">
        <v>89</v>
      </c>
      <c r="E31" s="59" t="s">
        <v>99</v>
      </c>
      <c r="F31" s="60" t="s">
        <v>100</v>
      </c>
      <c r="G31" s="61">
        <v>2020680010040</v>
      </c>
      <c r="H31" s="60" t="s">
        <v>92</v>
      </c>
      <c r="I31" s="71" t="s">
        <v>238</v>
      </c>
      <c r="J31" s="63">
        <v>44562</v>
      </c>
      <c r="K31" s="63">
        <v>44926</v>
      </c>
      <c r="L31" s="82">
        <v>1656</v>
      </c>
      <c r="M31" s="65">
        <v>1686</v>
      </c>
      <c r="N31" s="66">
        <f t="shared" si="6"/>
        <v>1</v>
      </c>
      <c r="O31" s="67" t="s">
        <v>267</v>
      </c>
      <c r="P31" s="20"/>
      <c r="Q31" s="20"/>
      <c r="R31" s="20"/>
      <c r="S31" s="20"/>
      <c r="T31" s="17">
        <f>4618065168+1463459694.58+988970133</f>
        <v>7070494995.5799999</v>
      </c>
      <c r="U31" s="27">
        <f t="shared" si="1"/>
        <v>7070494995.5799999</v>
      </c>
      <c r="V31" s="20"/>
      <c r="W31" s="28"/>
      <c r="X31" s="28"/>
      <c r="Y31" s="20"/>
      <c r="Z31" s="20">
        <f>1161962178+1146597600</f>
        <v>2308559778</v>
      </c>
      <c r="AA31" s="27">
        <f t="shared" si="2"/>
        <v>2308559778</v>
      </c>
      <c r="AB31" s="68">
        <f t="shared" si="4"/>
        <v>0.32650610451505263</v>
      </c>
      <c r="AC31" s="19"/>
      <c r="AD31" s="69" t="s">
        <v>47</v>
      </c>
      <c r="AE31" s="69" t="s">
        <v>251</v>
      </c>
      <c r="AF31" s="47"/>
    </row>
    <row r="32" spans="1:32" ht="71.25" x14ac:dyDescent="0.2">
      <c r="A32" s="16">
        <v>93</v>
      </c>
      <c r="B32" s="86" t="s">
        <v>41</v>
      </c>
      <c r="C32" s="76" t="s">
        <v>42</v>
      </c>
      <c r="D32" s="76" t="s">
        <v>89</v>
      </c>
      <c r="E32" s="59" t="s">
        <v>104</v>
      </c>
      <c r="F32" s="71" t="s">
        <v>105</v>
      </c>
      <c r="G32" s="61">
        <v>2020680010040</v>
      </c>
      <c r="H32" s="60" t="s">
        <v>92</v>
      </c>
      <c r="I32" s="60" t="s">
        <v>106</v>
      </c>
      <c r="J32" s="63">
        <v>44562</v>
      </c>
      <c r="K32" s="63">
        <v>44926</v>
      </c>
      <c r="L32" s="64">
        <v>3</v>
      </c>
      <c r="M32" s="65">
        <v>3</v>
      </c>
      <c r="N32" s="66">
        <f>IFERROR(IF(M32/L32&gt;100%,100%,M32/L32),"-")</f>
        <v>1</v>
      </c>
      <c r="O32" s="67" t="s">
        <v>268</v>
      </c>
      <c r="P32" s="20">
        <f>635000000+300000000-63000000</f>
        <v>872000000</v>
      </c>
      <c r="Q32" s="20"/>
      <c r="R32" s="20"/>
      <c r="S32" s="20"/>
      <c r="T32" s="17">
        <f>157799850+15000000</f>
        <v>172799850</v>
      </c>
      <c r="U32" s="27">
        <f t="shared" si="1"/>
        <v>1044799850</v>
      </c>
      <c r="V32" s="20">
        <f>122300980.52+4518760+4190911.42+4363665.06-13555780+4165560.06</f>
        <v>125984097.06</v>
      </c>
      <c r="W32" s="28"/>
      <c r="X32" s="28"/>
      <c r="Y32" s="20"/>
      <c r="Z32" s="20">
        <v>170400000</v>
      </c>
      <c r="AA32" s="27">
        <f t="shared" si="2"/>
        <v>296384097.06</v>
      </c>
      <c r="AB32" s="68">
        <f t="shared" si="4"/>
        <v>0.28367547818847794</v>
      </c>
      <c r="AC32" s="19"/>
      <c r="AD32" s="69" t="s">
        <v>47</v>
      </c>
      <c r="AE32" s="69" t="s">
        <v>251</v>
      </c>
      <c r="AF32" s="47"/>
    </row>
    <row r="33" spans="1:32" ht="103.5" customHeight="1" x14ac:dyDescent="0.2">
      <c r="A33" s="16">
        <v>94</v>
      </c>
      <c r="B33" s="57" t="s">
        <v>41</v>
      </c>
      <c r="C33" s="58" t="s">
        <v>42</v>
      </c>
      <c r="D33" s="58" t="s">
        <v>89</v>
      </c>
      <c r="E33" s="59" t="s">
        <v>101</v>
      </c>
      <c r="F33" s="60" t="s">
        <v>102</v>
      </c>
      <c r="G33" s="61">
        <v>2020680010040</v>
      </c>
      <c r="H33" s="60" t="s">
        <v>92</v>
      </c>
      <c r="I33" s="60" t="s">
        <v>106</v>
      </c>
      <c r="J33" s="63">
        <v>44562</v>
      </c>
      <c r="K33" s="63">
        <v>44926</v>
      </c>
      <c r="L33" s="64">
        <v>1</v>
      </c>
      <c r="M33" s="65">
        <v>1</v>
      </c>
      <c r="N33" s="66">
        <f t="shared" si="6"/>
        <v>1</v>
      </c>
      <c r="O33" s="67" t="s">
        <v>269</v>
      </c>
      <c r="P33" s="20">
        <v>100000000</v>
      </c>
      <c r="Q33" s="20"/>
      <c r="R33" s="20"/>
      <c r="S33" s="20"/>
      <c r="T33" s="17">
        <v>185000000</v>
      </c>
      <c r="U33" s="27">
        <f t="shared" si="1"/>
        <v>285000000</v>
      </c>
      <c r="V33" s="20">
        <v>36000000</v>
      </c>
      <c r="W33" s="28"/>
      <c r="X33" s="28"/>
      <c r="Y33" s="20"/>
      <c r="Z33" s="20">
        <v>181200000</v>
      </c>
      <c r="AA33" s="27">
        <f t="shared" si="2"/>
        <v>217200000</v>
      </c>
      <c r="AB33" s="68">
        <f t="shared" si="4"/>
        <v>0.76210526315789473</v>
      </c>
      <c r="AC33" s="19"/>
      <c r="AD33" s="69" t="s">
        <v>47</v>
      </c>
      <c r="AE33" s="69" t="s">
        <v>251</v>
      </c>
      <c r="AF33" s="47"/>
    </row>
    <row r="34" spans="1:32" ht="71.25" x14ac:dyDescent="0.2">
      <c r="A34" s="16">
        <v>95</v>
      </c>
      <c r="B34" s="57" t="s">
        <v>41</v>
      </c>
      <c r="C34" s="58" t="s">
        <v>42</v>
      </c>
      <c r="D34" s="58" t="s">
        <v>89</v>
      </c>
      <c r="E34" s="59" t="s">
        <v>205</v>
      </c>
      <c r="F34" s="60" t="s">
        <v>103</v>
      </c>
      <c r="G34" s="61">
        <v>2020680010040</v>
      </c>
      <c r="H34" s="60" t="s">
        <v>92</v>
      </c>
      <c r="I34" s="60" t="s">
        <v>106</v>
      </c>
      <c r="J34" s="63">
        <v>44562</v>
      </c>
      <c r="K34" s="63">
        <v>44926</v>
      </c>
      <c r="L34" s="64">
        <v>1</v>
      </c>
      <c r="M34" s="65">
        <v>1</v>
      </c>
      <c r="N34" s="66">
        <f t="shared" si="6"/>
        <v>1</v>
      </c>
      <c r="O34" s="67" t="s">
        <v>270</v>
      </c>
      <c r="P34" s="20">
        <f>200000000+300000000</f>
        <v>500000000</v>
      </c>
      <c r="Q34" s="20"/>
      <c r="R34" s="20"/>
      <c r="S34" s="20"/>
      <c r="T34" s="17">
        <v>87091000</v>
      </c>
      <c r="U34" s="27">
        <f t="shared" si="1"/>
        <v>587091000</v>
      </c>
      <c r="V34" s="20">
        <f>13863000+45324589</f>
        <v>59187589</v>
      </c>
      <c r="W34" s="32"/>
      <c r="X34" s="32"/>
      <c r="Y34" s="33"/>
      <c r="Z34" s="20">
        <v>69000000</v>
      </c>
      <c r="AA34" s="27">
        <f t="shared" si="2"/>
        <v>128187589</v>
      </c>
      <c r="AB34" s="68">
        <f t="shared" si="4"/>
        <v>0.21834364519299393</v>
      </c>
      <c r="AC34" s="19"/>
      <c r="AD34" s="69" t="s">
        <v>47</v>
      </c>
      <c r="AE34" s="69" t="s">
        <v>251</v>
      </c>
      <c r="AF34" s="47"/>
    </row>
    <row r="35" spans="1:32" ht="71.25" x14ac:dyDescent="0.2">
      <c r="A35" s="16">
        <v>96</v>
      </c>
      <c r="B35" s="57" t="s">
        <v>41</v>
      </c>
      <c r="C35" s="58" t="s">
        <v>42</v>
      </c>
      <c r="D35" s="58" t="s">
        <v>107</v>
      </c>
      <c r="E35" s="87" t="s">
        <v>108</v>
      </c>
      <c r="F35" s="88" t="s">
        <v>109</v>
      </c>
      <c r="G35" s="61">
        <v>2020680010072</v>
      </c>
      <c r="H35" s="89" t="s">
        <v>110</v>
      </c>
      <c r="I35" s="90" t="s">
        <v>111</v>
      </c>
      <c r="J35" s="63">
        <v>44562</v>
      </c>
      <c r="K35" s="63">
        <v>44926</v>
      </c>
      <c r="L35" s="64">
        <v>1</v>
      </c>
      <c r="M35" s="74">
        <v>0.6</v>
      </c>
      <c r="N35" s="66">
        <f>IFERROR(IF(M35/L35&gt;100%,100%,M35/L35),"-")</f>
        <v>0.6</v>
      </c>
      <c r="O35" s="67" t="s">
        <v>252</v>
      </c>
      <c r="P35" s="20">
        <f>140000000+60000000</f>
        <v>200000000</v>
      </c>
      <c r="Q35" s="34"/>
      <c r="R35" s="34"/>
      <c r="S35" s="34"/>
      <c r="T35" s="21"/>
      <c r="U35" s="27">
        <f>SUM(P35:T35)</f>
        <v>200000000</v>
      </c>
      <c r="V35" s="20">
        <f>73200000+13654719</f>
        <v>86854719</v>
      </c>
      <c r="W35" s="32"/>
      <c r="X35" s="32"/>
      <c r="Y35" s="32"/>
      <c r="Z35" s="20"/>
      <c r="AA35" s="27">
        <f>SUM(V35:Z35)</f>
        <v>86854719</v>
      </c>
      <c r="AB35" s="68">
        <f t="shared" si="4"/>
        <v>0.43427359500000001</v>
      </c>
      <c r="AC35" s="19"/>
      <c r="AD35" s="69" t="s">
        <v>47</v>
      </c>
      <c r="AE35" s="69" t="s">
        <v>251</v>
      </c>
      <c r="AF35" s="47"/>
    </row>
    <row r="36" spans="1:32" ht="71.25" x14ac:dyDescent="0.2">
      <c r="A36" s="16">
        <v>97</v>
      </c>
      <c r="B36" s="57" t="s">
        <v>41</v>
      </c>
      <c r="C36" s="58" t="s">
        <v>42</v>
      </c>
      <c r="D36" s="58" t="s">
        <v>107</v>
      </c>
      <c r="E36" s="87" t="s">
        <v>112</v>
      </c>
      <c r="F36" s="88" t="s">
        <v>113</v>
      </c>
      <c r="G36" s="61">
        <v>2020680010072</v>
      </c>
      <c r="H36" s="89" t="s">
        <v>110</v>
      </c>
      <c r="I36" s="90" t="s">
        <v>111</v>
      </c>
      <c r="J36" s="63">
        <v>44562</v>
      </c>
      <c r="K36" s="63">
        <v>44926</v>
      </c>
      <c r="L36" s="64">
        <v>1</v>
      </c>
      <c r="M36" s="65">
        <v>1</v>
      </c>
      <c r="N36" s="66">
        <f>IFERROR(IF(M36/L36&gt;100%,100%,M36/L36),"-")</f>
        <v>1</v>
      </c>
      <c r="O36" s="67" t="s">
        <v>253</v>
      </c>
      <c r="P36" s="20">
        <v>150000000</v>
      </c>
      <c r="Q36" s="34"/>
      <c r="R36" s="34"/>
      <c r="S36" s="34"/>
      <c r="T36" s="21"/>
      <c r="U36" s="27">
        <f t="shared" si="1"/>
        <v>150000000</v>
      </c>
      <c r="V36" s="20">
        <v>133281767</v>
      </c>
      <c r="W36" s="32"/>
      <c r="X36" s="32"/>
      <c r="Y36" s="32"/>
      <c r="Z36" s="20"/>
      <c r="AA36" s="27">
        <f>SUM(V36:Z36)</f>
        <v>133281767</v>
      </c>
      <c r="AB36" s="68">
        <f t="shared" si="4"/>
        <v>0.8885451133333333</v>
      </c>
      <c r="AC36" s="19"/>
      <c r="AD36" s="69" t="s">
        <v>47</v>
      </c>
      <c r="AE36" s="69" t="s">
        <v>251</v>
      </c>
      <c r="AF36" s="47"/>
    </row>
    <row r="37" spans="1:32" ht="71.25" x14ac:dyDescent="0.2">
      <c r="A37" s="16">
        <v>98</v>
      </c>
      <c r="B37" s="57" t="s">
        <v>41</v>
      </c>
      <c r="C37" s="58" t="s">
        <v>42</v>
      </c>
      <c r="D37" s="58" t="s">
        <v>107</v>
      </c>
      <c r="E37" s="87" t="s">
        <v>114</v>
      </c>
      <c r="F37" s="88" t="s">
        <v>115</v>
      </c>
      <c r="G37" s="61">
        <v>2020680010072</v>
      </c>
      <c r="H37" s="89" t="s">
        <v>110</v>
      </c>
      <c r="I37" s="90" t="s">
        <v>111</v>
      </c>
      <c r="J37" s="63">
        <v>44562</v>
      </c>
      <c r="K37" s="63">
        <v>44926</v>
      </c>
      <c r="L37" s="78">
        <v>1</v>
      </c>
      <c r="M37" s="91">
        <v>0.6</v>
      </c>
      <c r="N37" s="66">
        <f>IFERROR(IF(M37/L37&gt;100%,100%,M37/L37),"-")</f>
        <v>0.6</v>
      </c>
      <c r="O37" s="67" t="s">
        <v>252</v>
      </c>
      <c r="P37" s="20">
        <f>190000000+20000000+64000000</f>
        <v>274000000</v>
      </c>
      <c r="Q37" s="34"/>
      <c r="R37" s="34"/>
      <c r="S37" s="34"/>
      <c r="T37" s="21"/>
      <c r="U37" s="27">
        <f t="shared" si="1"/>
        <v>274000000</v>
      </c>
      <c r="V37" s="20">
        <f>80460890.36+66390.14+63934.88+13654719+3636214.24+63934.88</f>
        <v>97946083.499999985</v>
      </c>
      <c r="W37" s="32"/>
      <c r="X37" s="32"/>
      <c r="Y37" s="32"/>
      <c r="Z37" s="20"/>
      <c r="AA37" s="27">
        <f>SUM(V37:Z37)</f>
        <v>97946083.499999985</v>
      </c>
      <c r="AB37" s="68">
        <f t="shared" si="4"/>
        <v>0.35746745802919705</v>
      </c>
      <c r="AC37" s="19"/>
      <c r="AD37" s="69" t="s">
        <v>47</v>
      </c>
      <c r="AE37" s="69" t="s">
        <v>251</v>
      </c>
      <c r="AF37" s="47"/>
    </row>
    <row r="38" spans="1:32" ht="85.5" x14ac:dyDescent="0.2">
      <c r="A38" s="16">
        <v>99</v>
      </c>
      <c r="B38" s="86" t="s">
        <v>41</v>
      </c>
      <c r="C38" s="76" t="s">
        <v>42</v>
      </c>
      <c r="D38" s="92" t="s">
        <v>107</v>
      </c>
      <c r="E38" s="87" t="s">
        <v>116</v>
      </c>
      <c r="F38" s="88" t="s">
        <v>117</v>
      </c>
      <c r="G38" s="93">
        <v>2021680010106</v>
      </c>
      <c r="H38" s="89" t="s">
        <v>217</v>
      </c>
      <c r="I38" s="62" t="s">
        <v>118</v>
      </c>
      <c r="J38" s="63">
        <v>44562</v>
      </c>
      <c r="K38" s="63">
        <v>44926</v>
      </c>
      <c r="L38" s="64">
        <v>1</v>
      </c>
      <c r="M38" s="74">
        <v>0.5</v>
      </c>
      <c r="N38" s="66">
        <f t="shared" ref="N38:N46" si="7">IFERROR(IF(M38/L38&gt;100%,100%,M38/L38),"-")</f>
        <v>0.5</v>
      </c>
      <c r="O38" s="67" t="s">
        <v>277</v>
      </c>
      <c r="P38" s="20">
        <f>200000000+387000000</f>
        <v>587000000</v>
      </c>
      <c r="Q38" s="34"/>
      <c r="R38" s="34"/>
      <c r="S38" s="34"/>
      <c r="T38" s="21"/>
      <c r="U38" s="27">
        <f t="shared" si="1"/>
        <v>587000000</v>
      </c>
      <c r="V38" s="20">
        <v>196800000</v>
      </c>
      <c r="W38" s="32"/>
      <c r="X38" s="32"/>
      <c r="Y38" s="32"/>
      <c r="Z38" s="20"/>
      <c r="AA38" s="27">
        <f t="shared" si="2"/>
        <v>196800000</v>
      </c>
      <c r="AB38" s="68">
        <f t="shared" si="4"/>
        <v>0.33526405451448044</v>
      </c>
      <c r="AC38" s="19"/>
      <c r="AD38" s="69" t="s">
        <v>47</v>
      </c>
      <c r="AE38" s="69" t="s">
        <v>251</v>
      </c>
      <c r="AF38" s="47"/>
    </row>
    <row r="39" spans="1:32" ht="71.25" customHeight="1" x14ac:dyDescent="0.2">
      <c r="A39" s="16">
        <v>100</v>
      </c>
      <c r="B39" s="57" t="s">
        <v>41</v>
      </c>
      <c r="C39" s="58" t="s">
        <v>42</v>
      </c>
      <c r="D39" s="58" t="s">
        <v>119</v>
      </c>
      <c r="E39" s="87" t="s">
        <v>120</v>
      </c>
      <c r="F39" s="88" t="s">
        <v>121</v>
      </c>
      <c r="G39" s="61">
        <v>2020680010106</v>
      </c>
      <c r="H39" s="60" t="s">
        <v>122</v>
      </c>
      <c r="I39" s="94" t="s">
        <v>123</v>
      </c>
      <c r="J39" s="63">
        <v>44562</v>
      </c>
      <c r="K39" s="63">
        <v>44926</v>
      </c>
      <c r="L39" s="64">
        <v>1</v>
      </c>
      <c r="M39" s="70">
        <v>0.5</v>
      </c>
      <c r="N39" s="66">
        <f t="shared" si="7"/>
        <v>0.5</v>
      </c>
      <c r="O39" s="67" t="s">
        <v>271</v>
      </c>
      <c r="P39" s="20">
        <f>72000000+20000000</f>
        <v>92000000</v>
      </c>
      <c r="Q39" s="34"/>
      <c r="R39" s="34"/>
      <c r="S39" s="34"/>
      <c r="T39" s="21"/>
      <c r="U39" s="27">
        <f t="shared" si="1"/>
        <v>92000000</v>
      </c>
      <c r="V39" s="20"/>
      <c r="W39" s="32"/>
      <c r="X39" s="32"/>
      <c r="Y39" s="32"/>
      <c r="Z39" s="20"/>
      <c r="AA39" s="27">
        <f t="shared" si="2"/>
        <v>0</v>
      </c>
      <c r="AB39" s="68">
        <f t="shared" si="4"/>
        <v>0</v>
      </c>
      <c r="AC39" s="19"/>
      <c r="AD39" s="69" t="s">
        <v>47</v>
      </c>
      <c r="AE39" s="69" t="s">
        <v>251</v>
      </c>
      <c r="AF39" s="47"/>
    </row>
    <row r="40" spans="1:32" ht="75" customHeight="1" x14ac:dyDescent="0.2">
      <c r="A40" s="16">
        <v>101</v>
      </c>
      <c r="B40" s="57" t="s">
        <v>41</v>
      </c>
      <c r="C40" s="58" t="s">
        <v>42</v>
      </c>
      <c r="D40" s="58" t="s">
        <v>119</v>
      </c>
      <c r="E40" s="87" t="s">
        <v>124</v>
      </c>
      <c r="F40" s="88" t="s">
        <v>125</v>
      </c>
      <c r="G40" s="61">
        <v>2020680010106</v>
      </c>
      <c r="H40" s="60" t="s">
        <v>122</v>
      </c>
      <c r="I40" s="94" t="s">
        <v>123</v>
      </c>
      <c r="J40" s="63">
        <v>44562</v>
      </c>
      <c r="K40" s="63">
        <v>44926</v>
      </c>
      <c r="L40" s="64">
        <v>600</v>
      </c>
      <c r="M40" s="65">
        <v>997</v>
      </c>
      <c r="N40" s="66">
        <f t="shared" si="7"/>
        <v>1</v>
      </c>
      <c r="O40" s="67" t="s">
        <v>272</v>
      </c>
      <c r="P40" s="20">
        <f>65000000+90000000</f>
        <v>155000000</v>
      </c>
      <c r="Q40" s="34"/>
      <c r="R40" s="34"/>
      <c r="S40" s="34"/>
      <c r="T40" s="21"/>
      <c r="U40" s="27">
        <f t="shared" si="1"/>
        <v>155000000</v>
      </c>
      <c r="V40" s="20">
        <f>63300000+5000000</f>
        <v>68300000</v>
      </c>
      <c r="W40" s="32"/>
      <c r="X40" s="32"/>
      <c r="Y40" s="32"/>
      <c r="Z40" s="20"/>
      <c r="AA40" s="27">
        <f t="shared" si="2"/>
        <v>68300000</v>
      </c>
      <c r="AB40" s="68">
        <f t="shared" si="4"/>
        <v>0.44064516129032261</v>
      </c>
      <c r="AC40" s="19"/>
      <c r="AD40" s="69" t="s">
        <v>47</v>
      </c>
      <c r="AE40" s="69" t="s">
        <v>251</v>
      </c>
      <c r="AF40" s="47"/>
    </row>
    <row r="41" spans="1:32" ht="82.9" customHeight="1" x14ac:dyDescent="0.2">
      <c r="A41" s="16">
        <v>102</v>
      </c>
      <c r="B41" s="57" t="s">
        <v>41</v>
      </c>
      <c r="C41" s="58" t="s">
        <v>42</v>
      </c>
      <c r="D41" s="58" t="s">
        <v>119</v>
      </c>
      <c r="E41" s="87" t="s">
        <v>135</v>
      </c>
      <c r="F41" s="88" t="s">
        <v>136</v>
      </c>
      <c r="G41" s="61">
        <v>2020680010106</v>
      </c>
      <c r="H41" s="60" t="s">
        <v>122</v>
      </c>
      <c r="I41" s="62" t="s">
        <v>137</v>
      </c>
      <c r="J41" s="63">
        <v>44562</v>
      </c>
      <c r="K41" s="63">
        <v>44926</v>
      </c>
      <c r="L41" s="64">
        <v>1</v>
      </c>
      <c r="M41" s="65">
        <v>1</v>
      </c>
      <c r="N41" s="66">
        <f t="shared" si="7"/>
        <v>1</v>
      </c>
      <c r="O41" s="67" t="s">
        <v>273</v>
      </c>
      <c r="P41" s="20">
        <f>68000000+150000000</f>
        <v>218000000</v>
      </c>
      <c r="Q41" s="34"/>
      <c r="R41" s="34"/>
      <c r="S41" s="34"/>
      <c r="T41" s="21"/>
      <c r="U41" s="27">
        <f t="shared" si="1"/>
        <v>218000000</v>
      </c>
      <c r="V41" s="20">
        <v>67600000</v>
      </c>
      <c r="W41" s="32"/>
      <c r="X41" s="32"/>
      <c r="Y41" s="32"/>
      <c r="Z41" s="20"/>
      <c r="AA41" s="27">
        <f t="shared" si="2"/>
        <v>67600000</v>
      </c>
      <c r="AB41" s="68">
        <f t="shared" ref="AB41:AB71" si="8">IFERROR(AA41/U41,"-")</f>
        <v>0.31009174311926607</v>
      </c>
      <c r="AC41" s="19"/>
      <c r="AD41" s="69" t="s">
        <v>47</v>
      </c>
      <c r="AE41" s="69" t="s">
        <v>251</v>
      </c>
      <c r="AF41" s="47"/>
    </row>
    <row r="42" spans="1:32" ht="70.5" customHeight="1" x14ac:dyDescent="0.2">
      <c r="A42" s="16">
        <v>103</v>
      </c>
      <c r="B42" s="57" t="s">
        <v>41</v>
      </c>
      <c r="C42" s="58" t="s">
        <v>42</v>
      </c>
      <c r="D42" s="58" t="s">
        <v>119</v>
      </c>
      <c r="E42" s="87" t="s">
        <v>138</v>
      </c>
      <c r="F42" s="88" t="s">
        <v>139</v>
      </c>
      <c r="G42" s="61">
        <v>2020680010106</v>
      </c>
      <c r="H42" s="60" t="s">
        <v>122</v>
      </c>
      <c r="I42" s="62" t="s">
        <v>140</v>
      </c>
      <c r="J42" s="63">
        <v>44562</v>
      </c>
      <c r="K42" s="63">
        <v>44926</v>
      </c>
      <c r="L42" s="78">
        <v>1</v>
      </c>
      <c r="M42" s="79">
        <v>0.75</v>
      </c>
      <c r="N42" s="66">
        <f t="shared" si="7"/>
        <v>0.75</v>
      </c>
      <c r="O42" s="67" t="s">
        <v>210</v>
      </c>
      <c r="P42" s="20">
        <v>50000000</v>
      </c>
      <c r="Q42" s="34"/>
      <c r="R42" s="34"/>
      <c r="S42" s="34"/>
      <c r="T42" s="21"/>
      <c r="U42" s="27">
        <f t="shared" si="1"/>
        <v>50000000</v>
      </c>
      <c r="V42" s="20">
        <v>9000000</v>
      </c>
      <c r="W42" s="32"/>
      <c r="X42" s="32"/>
      <c r="Y42" s="32"/>
      <c r="Z42" s="20"/>
      <c r="AA42" s="27">
        <f t="shared" si="2"/>
        <v>9000000</v>
      </c>
      <c r="AB42" s="68">
        <f t="shared" si="8"/>
        <v>0.18</v>
      </c>
      <c r="AC42" s="19"/>
      <c r="AD42" s="69" t="s">
        <v>47</v>
      </c>
      <c r="AE42" s="69" t="s">
        <v>251</v>
      </c>
      <c r="AF42" s="47"/>
    </row>
    <row r="43" spans="1:32" ht="78" customHeight="1" x14ac:dyDescent="0.2">
      <c r="A43" s="16">
        <v>104</v>
      </c>
      <c r="B43" s="57" t="s">
        <v>41</v>
      </c>
      <c r="C43" s="58" t="s">
        <v>42</v>
      </c>
      <c r="D43" s="58" t="s">
        <v>119</v>
      </c>
      <c r="E43" s="87" t="s">
        <v>141</v>
      </c>
      <c r="F43" s="88" t="s">
        <v>142</v>
      </c>
      <c r="G43" s="61">
        <v>2020680010106</v>
      </c>
      <c r="H43" s="60" t="s">
        <v>122</v>
      </c>
      <c r="I43" s="62" t="s">
        <v>143</v>
      </c>
      <c r="J43" s="63">
        <v>44562</v>
      </c>
      <c r="K43" s="63">
        <v>44926</v>
      </c>
      <c r="L43" s="64">
        <v>1</v>
      </c>
      <c r="M43" s="65">
        <v>1</v>
      </c>
      <c r="N43" s="66">
        <f t="shared" si="7"/>
        <v>1</v>
      </c>
      <c r="O43" s="67" t="s">
        <v>210</v>
      </c>
      <c r="P43" s="20">
        <v>30000000</v>
      </c>
      <c r="Q43" s="34"/>
      <c r="R43" s="34"/>
      <c r="S43" s="34"/>
      <c r="T43" s="21"/>
      <c r="U43" s="27">
        <f t="shared" si="1"/>
        <v>30000000</v>
      </c>
      <c r="V43" s="20">
        <v>9000000</v>
      </c>
      <c r="W43" s="32"/>
      <c r="X43" s="32"/>
      <c r="Y43" s="32"/>
      <c r="Z43" s="20"/>
      <c r="AA43" s="27">
        <f t="shared" si="2"/>
        <v>9000000</v>
      </c>
      <c r="AB43" s="68">
        <f t="shared" si="8"/>
        <v>0.3</v>
      </c>
      <c r="AC43" s="19"/>
      <c r="AD43" s="69" t="s">
        <v>47</v>
      </c>
      <c r="AE43" s="69" t="s">
        <v>251</v>
      </c>
      <c r="AF43" s="47"/>
    </row>
    <row r="44" spans="1:32" ht="78.75" customHeight="1" x14ac:dyDescent="0.2">
      <c r="A44" s="16">
        <v>105</v>
      </c>
      <c r="B44" s="57" t="s">
        <v>41</v>
      </c>
      <c r="C44" s="58" t="s">
        <v>42</v>
      </c>
      <c r="D44" s="58" t="s">
        <v>119</v>
      </c>
      <c r="E44" s="87" t="s">
        <v>144</v>
      </c>
      <c r="F44" s="88" t="s">
        <v>145</v>
      </c>
      <c r="G44" s="61">
        <v>2020680010106</v>
      </c>
      <c r="H44" s="60" t="s">
        <v>122</v>
      </c>
      <c r="I44" s="62" t="s">
        <v>146</v>
      </c>
      <c r="J44" s="63">
        <v>44562</v>
      </c>
      <c r="K44" s="63">
        <v>44926</v>
      </c>
      <c r="L44" s="64">
        <v>1</v>
      </c>
      <c r="M44" s="65">
        <v>1</v>
      </c>
      <c r="N44" s="66">
        <f t="shared" si="7"/>
        <v>1</v>
      </c>
      <c r="O44" s="67" t="s">
        <v>274</v>
      </c>
      <c r="P44" s="20">
        <f>50000000+50000000</f>
        <v>100000000</v>
      </c>
      <c r="Q44" s="34"/>
      <c r="R44" s="34"/>
      <c r="S44" s="34"/>
      <c r="T44" s="21"/>
      <c r="U44" s="27">
        <f t="shared" si="1"/>
        <v>100000000</v>
      </c>
      <c r="V44" s="20">
        <f>49000000+20572777.05</f>
        <v>69572777.049999997</v>
      </c>
      <c r="W44" s="32"/>
      <c r="X44" s="32"/>
      <c r="Y44" s="32"/>
      <c r="Z44" s="20"/>
      <c r="AA44" s="27">
        <f t="shared" si="2"/>
        <v>69572777.049999997</v>
      </c>
      <c r="AB44" s="68">
        <f t="shared" si="8"/>
        <v>0.69572777050000001</v>
      </c>
      <c r="AC44" s="19"/>
      <c r="AD44" s="69" t="s">
        <v>47</v>
      </c>
      <c r="AE44" s="69" t="s">
        <v>251</v>
      </c>
      <c r="AF44" s="47"/>
    </row>
    <row r="45" spans="1:32" ht="75.75" customHeight="1" x14ac:dyDescent="0.2">
      <c r="A45" s="16">
        <v>106</v>
      </c>
      <c r="B45" s="57" t="s">
        <v>41</v>
      </c>
      <c r="C45" s="58" t="s">
        <v>42</v>
      </c>
      <c r="D45" s="58" t="s">
        <v>119</v>
      </c>
      <c r="E45" s="87" t="s">
        <v>126</v>
      </c>
      <c r="F45" s="88" t="s">
        <v>127</v>
      </c>
      <c r="G45" s="61">
        <v>2020680010106</v>
      </c>
      <c r="H45" s="60" t="s">
        <v>122</v>
      </c>
      <c r="I45" s="94" t="s">
        <v>123</v>
      </c>
      <c r="J45" s="63">
        <v>44562</v>
      </c>
      <c r="K45" s="63">
        <v>44926</v>
      </c>
      <c r="L45" s="64">
        <v>1</v>
      </c>
      <c r="M45" s="65">
        <v>1</v>
      </c>
      <c r="N45" s="66">
        <f t="shared" si="7"/>
        <v>1</v>
      </c>
      <c r="O45" s="67" t="s">
        <v>210</v>
      </c>
      <c r="P45" s="20">
        <f>117000000-40000000</f>
        <v>77000000</v>
      </c>
      <c r="Q45" s="34"/>
      <c r="R45" s="34"/>
      <c r="S45" s="34"/>
      <c r="T45" s="21"/>
      <c r="U45" s="27">
        <f t="shared" si="1"/>
        <v>77000000</v>
      </c>
      <c r="V45" s="20">
        <v>9000000</v>
      </c>
      <c r="W45" s="32"/>
      <c r="X45" s="32"/>
      <c r="Y45" s="32"/>
      <c r="Z45" s="20"/>
      <c r="AA45" s="27">
        <f t="shared" si="2"/>
        <v>9000000</v>
      </c>
      <c r="AB45" s="68">
        <f t="shared" si="8"/>
        <v>0.11688311688311688</v>
      </c>
      <c r="AC45" s="19"/>
      <c r="AD45" s="69" t="s">
        <v>47</v>
      </c>
      <c r="AE45" s="69" t="s">
        <v>251</v>
      </c>
      <c r="AF45" s="47"/>
    </row>
    <row r="46" spans="1:32" ht="75.75" customHeight="1" x14ac:dyDescent="0.2">
      <c r="A46" s="16">
        <v>107</v>
      </c>
      <c r="B46" s="57" t="s">
        <v>41</v>
      </c>
      <c r="C46" s="58" t="s">
        <v>42</v>
      </c>
      <c r="D46" s="58" t="s">
        <v>128</v>
      </c>
      <c r="E46" s="87" t="s">
        <v>129</v>
      </c>
      <c r="F46" s="88" t="s">
        <v>130</v>
      </c>
      <c r="G46" s="61">
        <v>2020680010106</v>
      </c>
      <c r="H46" s="60" t="s">
        <v>122</v>
      </c>
      <c r="I46" s="94" t="s">
        <v>123</v>
      </c>
      <c r="J46" s="63">
        <v>44562</v>
      </c>
      <c r="K46" s="63">
        <v>44926</v>
      </c>
      <c r="L46" s="64">
        <v>1</v>
      </c>
      <c r="M46" s="74">
        <v>0.4</v>
      </c>
      <c r="N46" s="66">
        <f t="shared" si="7"/>
        <v>0.4</v>
      </c>
      <c r="O46" s="67" t="s">
        <v>275</v>
      </c>
      <c r="P46" s="20">
        <f>40000000+30000000</f>
        <v>70000000</v>
      </c>
      <c r="Q46" s="34"/>
      <c r="R46" s="34"/>
      <c r="S46" s="34"/>
      <c r="T46" s="21"/>
      <c r="U46" s="27">
        <f t="shared" si="1"/>
        <v>70000000</v>
      </c>
      <c r="V46" s="20">
        <f>9000000+16998265</f>
        <v>25998265</v>
      </c>
      <c r="W46" s="32"/>
      <c r="X46" s="32"/>
      <c r="Y46" s="32"/>
      <c r="Z46" s="20"/>
      <c r="AA46" s="27">
        <f t="shared" si="2"/>
        <v>25998265</v>
      </c>
      <c r="AB46" s="68">
        <f t="shared" si="8"/>
        <v>0.37140378571428573</v>
      </c>
      <c r="AC46" s="19"/>
      <c r="AD46" s="69" t="s">
        <v>47</v>
      </c>
      <c r="AE46" s="69" t="s">
        <v>251</v>
      </c>
      <c r="AF46" s="47"/>
    </row>
    <row r="47" spans="1:32" ht="91.15" customHeight="1" x14ac:dyDescent="0.2">
      <c r="A47" s="16">
        <v>108</v>
      </c>
      <c r="B47" s="57" t="s">
        <v>41</v>
      </c>
      <c r="C47" s="58" t="s">
        <v>42</v>
      </c>
      <c r="D47" s="58" t="s">
        <v>128</v>
      </c>
      <c r="E47" s="87" t="s">
        <v>131</v>
      </c>
      <c r="F47" s="88" t="s">
        <v>132</v>
      </c>
      <c r="G47" s="61">
        <v>2020680010106</v>
      </c>
      <c r="H47" s="60" t="s">
        <v>122</v>
      </c>
      <c r="I47" s="94" t="s">
        <v>123</v>
      </c>
      <c r="J47" s="63">
        <v>44562</v>
      </c>
      <c r="K47" s="63">
        <v>44926</v>
      </c>
      <c r="L47" s="64">
        <v>4</v>
      </c>
      <c r="M47" s="65">
        <v>4</v>
      </c>
      <c r="N47" s="66">
        <f t="shared" ref="N47:N64" si="9">IFERROR(IF(M47/L47&gt;100%,100%,M47/L47),"-")</f>
        <v>1</v>
      </c>
      <c r="O47" s="67" t="s">
        <v>276</v>
      </c>
      <c r="P47" s="20">
        <f>20000000+20000000</f>
        <v>40000000</v>
      </c>
      <c r="Q47" s="34"/>
      <c r="R47" s="34"/>
      <c r="S47" s="34"/>
      <c r="T47" s="21"/>
      <c r="U47" s="27">
        <f t="shared" si="1"/>
        <v>40000000</v>
      </c>
      <c r="V47" s="20">
        <v>16998265</v>
      </c>
      <c r="W47" s="32"/>
      <c r="X47" s="32"/>
      <c r="Y47" s="32"/>
      <c r="Z47" s="20"/>
      <c r="AA47" s="27">
        <f t="shared" si="2"/>
        <v>16998265</v>
      </c>
      <c r="AB47" s="68">
        <f t="shared" si="8"/>
        <v>0.42495662499999998</v>
      </c>
      <c r="AC47" s="19"/>
      <c r="AD47" s="69" t="s">
        <v>47</v>
      </c>
      <c r="AE47" s="69" t="s">
        <v>251</v>
      </c>
      <c r="AF47" s="47"/>
    </row>
    <row r="48" spans="1:32" ht="84" customHeight="1" x14ac:dyDescent="0.2">
      <c r="A48" s="16">
        <v>109</v>
      </c>
      <c r="B48" s="57" t="s">
        <v>41</v>
      </c>
      <c r="C48" s="58" t="s">
        <v>42</v>
      </c>
      <c r="D48" s="58" t="s">
        <v>128</v>
      </c>
      <c r="E48" s="87" t="s">
        <v>147</v>
      </c>
      <c r="F48" s="88" t="s">
        <v>148</v>
      </c>
      <c r="G48" s="61">
        <v>2020680010106</v>
      </c>
      <c r="H48" s="60" t="s">
        <v>122</v>
      </c>
      <c r="I48" s="62" t="s">
        <v>146</v>
      </c>
      <c r="J48" s="63">
        <v>44562</v>
      </c>
      <c r="K48" s="63">
        <v>44926</v>
      </c>
      <c r="L48" s="64">
        <v>1</v>
      </c>
      <c r="M48" s="65">
        <v>1</v>
      </c>
      <c r="N48" s="66">
        <f t="shared" si="9"/>
        <v>1</v>
      </c>
      <c r="O48" s="67" t="s">
        <v>275</v>
      </c>
      <c r="P48" s="20">
        <f>50000000+30000000</f>
        <v>80000000</v>
      </c>
      <c r="Q48" s="34"/>
      <c r="R48" s="34"/>
      <c r="S48" s="34"/>
      <c r="T48" s="21"/>
      <c r="U48" s="27">
        <f t="shared" si="1"/>
        <v>80000000</v>
      </c>
      <c r="V48" s="20">
        <v>40000000</v>
      </c>
      <c r="W48" s="32"/>
      <c r="X48" s="32"/>
      <c r="Y48" s="32"/>
      <c r="Z48" s="20"/>
      <c r="AA48" s="27">
        <f t="shared" si="2"/>
        <v>40000000</v>
      </c>
      <c r="AB48" s="68">
        <f t="shared" si="8"/>
        <v>0.5</v>
      </c>
      <c r="AC48" s="19"/>
      <c r="AD48" s="69" t="s">
        <v>47</v>
      </c>
      <c r="AE48" s="69" t="s">
        <v>251</v>
      </c>
      <c r="AF48" s="47"/>
    </row>
    <row r="49" spans="1:32" ht="76.900000000000006" customHeight="1" x14ac:dyDescent="0.2">
      <c r="A49" s="16">
        <v>110</v>
      </c>
      <c r="B49" s="57" t="s">
        <v>41</v>
      </c>
      <c r="C49" s="58" t="s">
        <v>42</v>
      </c>
      <c r="D49" s="58" t="s">
        <v>128</v>
      </c>
      <c r="E49" s="87" t="s">
        <v>133</v>
      </c>
      <c r="F49" s="88" t="s">
        <v>134</v>
      </c>
      <c r="G49" s="61">
        <v>2020680010106</v>
      </c>
      <c r="H49" s="60" t="s">
        <v>122</v>
      </c>
      <c r="I49" s="94" t="s">
        <v>123</v>
      </c>
      <c r="J49" s="63">
        <v>44562</v>
      </c>
      <c r="K49" s="63">
        <v>44926</v>
      </c>
      <c r="L49" s="78">
        <v>1</v>
      </c>
      <c r="M49" s="79">
        <v>1</v>
      </c>
      <c r="N49" s="66">
        <f t="shared" si="9"/>
        <v>1</v>
      </c>
      <c r="O49" s="67" t="s">
        <v>274</v>
      </c>
      <c r="P49" s="20">
        <f>110000000+50000000</f>
        <v>160000000</v>
      </c>
      <c r="Q49" s="34"/>
      <c r="R49" s="34"/>
      <c r="S49" s="34"/>
      <c r="T49" s="21"/>
      <c r="U49" s="27">
        <f t="shared" si="1"/>
        <v>160000000</v>
      </c>
      <c r="V49" s="20">
        <v>108300000</v>
      </c>
      <c r="W49" s="32"/>
      <c r="X49" s="32"/>
      <c r="Y49" s="32"/>
      <c r="Z49" s="20"/>
      <c r="AA49" s="27">
        <f t="shared" si="2"/>
        <v>108300000</v>
      </c>
      <c r="AB49" s="68">
        <f t="shared" si="8"/>
        <v>0.676875</v>
      </c>
      <c r="AC49" s="19"/>
      <c r="AD49" s="69" t="s">
        <v>47</v>
      </c>
      <c r="AE49" s="69" t="s">
        <v>251</v>
      </c>
      <c r="AF49" s="47"/>
    </row>
    <row r="50" spans="1:32" ht="71.25" x14ac:dyDescent="0.2">
      <c r="A50" s="16">
        <v>111</v>
      </c>
      <c r="B50" s="57" t="s">
        <v>41</v>
      </c>
      <c r="C50" s="58" t="s">
        <v>42</v>
      </c>
      <c r="D50" s="58" t="s">
        <v>149</v>
      </c>
      <c r="E50" s="87" t="s">
        <v>154</v>
      </c>
      <c r="F50" s="88" t="s">
        <v>155</v>
      </c>
      <c r="G50" s="61">
        <v>2020680010050</v>
      </c>
      <c r="H50" s="60" t="s">
        <v>152</v>
      </c>
      <c r="I50" s="94" t="s">
        <v>153</v>
      </c>
      <c r="J50" s="63">
        <v>44562</v>
      </c>
      <c r="K50" s="63">
        <v>44926</v>
      </c>
      <c r="L50" s="64">
        <v>1</v>
      </c>
      <c r="M50" s="65">
        <v>1</v>
      </c>
      <c r="N50" s="66">
        <f t="shared" si="9"/>
        <v>1</v>
      </c>
      <c r="O50" s="67" t="s">
        <v>258</v>
      </c>
      <c r="P50" s="20">
        <f>179040000-30000000+130000000</f>
        <v>279040000</v>
      </c>
      <c r="Q50" s="35"/>
      <c r="R50" s="34"/>
      <c r="S50" s="34"/>
      <c r="T50" s="21"/>
      <c r="U50" s="27">
        <f t="shared" si="1"/>
        <v>279040000</v>
      </c>
      <c r="V50" s="20">
        <f>87600000-15586667+50000000</f>
        <v>122013333</v>
      </c>
      <c r="W50" s="32"/>
      <c r="X50" s="32"/>
      <c r="Y50" s="32"/>
      <c r="Z50" s="20"/>
      <c r="AA50" s="27">
        <f t="shared" si="2"/>
        <v>122013333</v>
      </c>
      <c r="AB50" s="68">
        <f t="shared" si="8"/>
        <v>0.43726108443233946</v>
      </c>
      <c r="AC50" s="19"/>
      <c r="AD50" s="69" t="s">
        <v>47</v>
      </c>
      <c r="AE50" s="69" t="s">
        <v>251</v>
      </c>
      <c r="AF50" s="47"/>
    </row>
    <row r="51" spans="1:32" ht="71.25" x14ac:dyDescent="0.2">
      <c r="A51" s="16">
        <v>112</v>
      </c>
      <c r="B51" s="57" t="s">
        <v>41</v>
      </c>
      <c r="C51" s="58" t="s">
        <v>42</v>
      </c>
      <c r="D51" s="76" t="s">
        <v>149</v>
      </c>
      <c r="E51" s="87" t="s">
        <v>150</v>
      </c>
      <c r="F51" s="95" t="s">
        <v>151</v>
      </c>
      <c r="G51" s="61">
        <v>2020680010050</v>
      </c>
      <c r="H51" s="60" t="s">
        <v>152</v>
      </c>
      <c r="I51" s="94" t="s">
        <v>153</v>
      </c>
      <c r="J51" s="63">
        <v>44562</v>
      </c>
      <c r="K51" s="63">
        <v>44926</v>
      </c>
      <c r="L51" s="64">
        <v>284</v>
      </c>
      <c r="M51" s="65">
        <v>140</v>
      </c>
      <c r="N51" s="66">
        <f t="shared" si="9"/>
        <v>0.49295774647887325</v>
      </c>
      <c r="O51" s="67" t="s">
        <v>259</v>
      </c>
      <c r="P51" s="20">
        <f>1200000000+400000000</f>
        <v>1600000000</v>
      </c>
      <c r="Q51" s="34"/>
      <c r="R51" s="34"/>
      <c r="S51" s="34"/>
      <c r="T51" s="21"/>
      <c r="U51" s="27">
        <f t="shared" si="1"/>
        <v>1600000000</v>
      </c>
      <c r="V51" s="20">
        <f>45600000+60431024+265986000+271814760</f>
        <v>643831784</v>
      </c>
      <c r="W51" s="32"/>
      <c r="X51" s="32"/>
      <c r="Y51" s="32"/>
      <c r="Z51" s="20"/>
      <c r="AA51" s="27">
        <f t="shared" si="2"/>
        <v>643831784</v>
      </c>
      <c r="AB51" s="68">
        <f t="shared" si="8"/>
        <v>0.40239486499999999</v>
      </c>
      <c r="AC51" s="19"/>
      <c r="AD51" s="69" t="s">
        <v>47</v>
      </c>
      <c r="AE51" s="69" t="s">
        <v>251</v>
      </c>
      <c r="AF51" s="47"/>
    </row>
    <row r="52" spans="1:32" ht="71.25" x14ac:dyDescent="0.2">
      <c r="A52" s="16">
        <v>113</v>
      </c>
      <c r="B52" s="57" t="s">
        <v>41</v>
      </c>
      <c r="C52" s="58" t="s">
        <v>42</v>
      </c>
      <c r="D52" s="58" t="s">
        <v>149</v>
      </c>
      <c r="E52" s="87" t="s">
        <v>156</v>
      </c>
      <c r="F52" s="88" t="s">
        <v>157</v>
      </c>
      <c r="G52" s="61">
        <v>2020680010050</v>
      </c>
      <c r="H52" s="60" t="s">
        <v>152</v>
      </c>
      <c r="I52" s="94" t="s">
        <v>153</v>
      </c>
      <c r="J52" s="63">
        <v>44562</v>
      </c>
      <c r="K52" s="63">
        <v>44926</v>
      </c>
      <c r="L52" s="64">
        <v>1</v>
      </c>
      <c r="M52" s="74">
        <v>0.5</v>
      </c>
      <c r="N52" s="66">
        <f t="shared" si="9"/>
        <v>0.5</v>
      </c>
      <c r="O52" s="67" t="s">
        <v>260</v>
      </c>
      <c r="P52" s="20">
        <f>90000000+50000000</f>
        <v>140000000</v>
      </c>
      <c r="Q52" s="35"/>
      <c r="R52" s="34"/>
      <c r="S52" s="34"/>
      <c r="T52" s="21"/>
      <c r="U52" s="27">
        <f t="shared" si="1"/>
        <v>140000000</v>
      </c>
      <c r="V52" s="20">
        <v>81000000</v>
      </c>
      <c r="W52" s="33"/>
      <c r="X52" s="33"/>
      <c r="Y52" s="33"/>
      <c r="Z52" s="20"/>
      <c r="AA52" s="27">
        <f t="shared" si="2"/>
        <v>81000000</v>
      </c>
      <c r="AB52" s="68">
        <f t="shared" si="8"/>
        <v>0.57857142857142863</v>
      </c>
      <c r="AC52" s="19"/>
      <c r="AD52" s="69" t="s">
        <v>47</v>
      </c>
      <c r="AE52" s="69" t="s">
        <v>251</v>
      </c>
      <c r="AF52" s="47"/>
    </row>
    <row r="53" spans="1:32" ht="71.25" x14ac:dyDescent="0.2">
      <c r="A53" s="16">
        <v>114</v>
      </c>
      <c r="B53" s="57" t="s">
        <v>41</v>
      </c>
      <c r="C53" s="58" t="s">
        <v>42</v>
      </c>
      <c r="D53" s="58" t="s">
        <v>149</v>
      </c>
      <c r="E53" s="87" t="s">
        <v>158</v>
      </c>
      <c r="F53" s="88" t="s">
        <v>159</v>
      </c>
      <c r="G53" s="61">
        <v>2020680010050</v>
      </c>
      <c r="H53" s="60" t="s">
        <v>152</v>
      </c>
      <c r="I53" s="94" t="s">
        <v>153</v>
      </c>
      <c r="J53" s="63">
        <v>44562</v>
      </c>
      <c r="K53" s="63">
        <v>44926</v>
      </c>
      <c r="L53" s="78">
        <v>1</v>
      </c>
      <c r="M53" s="79">
        <v>1</v>
      </c>
      <c r="N53" s="66">
        <f t="shared" si="9"/>
        <v>1</v>
      </c>
      <c r="O53" s="67" t="s">
        <v>211</v>
      </c>
      <c r="P53" s="20">
        <v>110000000</v>
      </c>
      <c r="Q53" s="35"/>
      <c r="R53" s="34"/>
      <c r="S53" s="34"/>
      <c r="T53" s="21"/>
      <c r="U53" s="27">
        <f t="shared" si="1"/>
        <v>110000000</v>
      </c>
      <c r="V53" s="20">
        <v>110000000</v>
      </c>
      <c r="W53" s="36"/>
      <c r="X53" s="33"/>
      <c r="Y53" s="33"/>
      <c r="Z53" s="20"/>
      <c r="AA53" s="27">
        <f t="shared" si="2"/>
        <v>110000000</v>
      </c>
      <c r="AB53" s="68">
        <f t="shared" si="8"/>
        <v>1</v>
      </c>
      <c r="AC53" s="19"/>
      <c r="AD53" s="69" t="s">
        <v>47</v>
      </c>
      <c r="AE53" s="69" t="s">
        <v>251</v>
      </c>
      <c r="AF53" s="47"/>
    </row>
    <row r="54" spans="1:32" ht="71.25" x14ac:dyDescent="0.2">
      <c r="A54" s="16">
        <v>115</v>
      </c>
      <c r="B54" s="57" t="s">
        <v>41</v>
      </c>
      <c r="C54" s="58" t="s">
        <v>42</v>
      </c>
      <c r="D54" s="76" t="s">
        <v>160</v>
      </c>
      <c r="E54" s="87" t="s">
        <v>161</v>
      </c>
      <c r="F54" s="95" t="s">
        <v>162</v>
      </c>
      <c r="G54" s="61">
        <v>2020680010121</v>
      </c>
      <c r="H54" s="89" t="s">
        <v>163</v>
      </c>
      <c r="I54" s="90" t="s">
        <v>164</v>
      </c>
      <c r="J54" s="63">
        <v>44562</v>
      </c>
      <c r="K54" s="63">
        <v>44926</v>
      </c>
      <c r="L54" s="64">
        <v>250</v>
      </c>
      <c r="M54" s="65">
        <v>250</v>
      </c>
      <c r="N54" s="66">
        <f t="shared" si="9"/>
        <v>1</v>
      </c>
      <c r="O54" s="67" t="s">
        <v>261</v>
      </c>
      <c r="P54" s="20">
        <f>1016000000+112000000+115000000</f>
        <v>1243000000</v>
      </c>
      <c r="Q54" s="35"/>
      <c r="R54" s="34"/>
      <c r="S54" s="34"/>
      <c r="T54" s="23"/>
      <c r="U54" s="27">
        <f t="shared" si="1"/>
        <v>1243000000</v>
      </c>
      <c r="V54" s="20">
        <f>39000000+487600062+292559946</f>
        <v>819160008</v>
      </c>
      <c r="W54" s="36"/>
      <c r="X54" s="33"/>
      <c r="Y54" s="33"/>
      <c r="Z54" s="20"/>
      <c r="AA54" s="27">
        <f t="shared" si="2"/>
        <v>819160008</v>
      </c>
      <c r="AB54" s="68">
        <f t="shared" si="8"/>
        <v>0.6590185100563154</v>
      </c>
      <c r="AC54" s="19"/>
      <c r="AD54" s="69" t="s">
        <v>47</v>
      </c>
      <c r="AE54" s="69" t="s">
        <v>251</v>
      </c>
      <c r="AF54" s="47"/>
    </row>
    <row r="55" spans="1:32" ht="71.25" x14ac:dyDescent="0.2">
      <c r="A55" s="16">
        <v>116</v>
      </c>
      <c r="B55" s="57" t="s">
        <v>41</v>
      </c>
      <c r="C55" s="58" t="s">
        <v>42</v>
      </c>
      <c r="D55" s="58" t="s">
        <v>160</v>
      </c>
      <c r="E55" s="87" t="s">
        <v>165</v>
      </c>
      <c r="F55" s="88" t="s">
        <v>166</v>
      </c>
      <c r="G55" s="61">
        <v>2020680010121</v>
      </c>
      <c r="H55" s="89" t="s">
        <v>163</v>
      </c>
      <c r="I55" s="90" t="s">
        <v>164</v>
      </c>
      <c r="J55" s="63">
        <v>44562</v>
      </c>
      <c r="K55" s="63">
        <v>44926</v>
      </c>
      <c r="L55" s="64">
        <v>1</v>
      </c>
      <c r="M55" s="65">
        <v>0</v>
      </c>
      <c r="N55" s="66">
        <f t="shared" si="9"/>
        <v>0</v>
      </c>
      <c r="O55" s="101" t="s">
        <v>262</v>
      </c>
      <c r="P55" s="20">
        <f>60000000+300000000</f>
        <v>360000000</v>
      </c>
      <c r="Q55" s="37"/>
      <c r="R55" s="35"/>
      <c r="S55" s="35"/>
      <c r="T55" s="23"/>
      <c r="U55" s="27">
        <f t="shared" si="1"/>
        <v>360000000</v>
      </c>
      <c r="V55" s="20"/>
      <c r="W55" s="36"/>
      <c r="X55" s="36"/>
      <c r="Y55" s="36"/>
      <c r="Z55" s="20"/>
      <c r="AA55" s="27">
        <f t="shared" si="2"/>
        <v>0</v>
      </c>
      <c r="AB55" s="68">
        <f t="shared" si="8"/>
        <v>0</v>
      </c>
      <c r="AC55" s="19"/>
      <c r="AD55" s="69" t="s">
        <v>47</v>
      </c>
      <c r="AE55" s="69" t="s">
        <v>251</v>
      </c>
      <c r="AF55" s="47"/>
    </row>
    <row r="56" spans="1:32" ht="71.25" x14ac:dyDescent="0.2">
      <c r="A56" s="16">
        <v>117</v>
      </c>
      <c r="B56" s="57" t="s">
        <v>41</v>
      </c>
      <c r="C56" s="58" t="s">
        <v>42</v>
      </c>
      <c r="D56" s="58" t="s">
        <v>160</v>
      </c>
      <c r="E56" s="87" t="s">
        <v>167</v>
      </c>
      <c r="F56" s="88" t="s">
        <v>168</v>
      </c>
      <c r="G56" s="61">
        <v>2020680010121</v>
      </c>
      <c r="H56" s="89" t="s">
        <v>163</v>
      </c>
      <c r="I56" s="90" t="s">
        <v>164</v>
      </c>
      <c r="J56" s="63">
        <v>44562</v>
      </c>
      <c r="K56" s="63">
        <v>44926</v>
      </c>
      <c r="L56" s="64">
        <v>1</v>
      </c>
      <c r="M56" s="74">
        <v>0.2</v>
      </c>
      <c r="N56" s="66">
        <f t="shared" si="9"/>
        <v>0.2</v>
      </c>
      <c r="O56" s="96" t="s">
        <v>212</v>
      </c>
      <c r="P56" s="20">
        <v>151500000</v>
      </c>
      <c r="Q56" s="37"/>
      <c r="R56" s="35"/>
      <c r="S56" s="35"/>
      <c r="T56" s="23"/>
      <c r="U56" s="27">
        <f t="shared" si="1"/>
        <v>151500000</v>
      </c>
      <c r="V56" s="20">
        <f>115200000+31063087</f>
        <v>146263087</v>
      </c>
      <c r="W56" s="36"/>
      <c r="X56" s="36"/>
      <c r="Y56" s="36"/>
      <c r="Z56" s="20"/>
      <c r="AA56" s="27">
        <f t="shared" si="2"/>
        <v>146263087</v>
      </c>
      <c r="AB56" s="68">
        <f t="shared" si="8"/>
        <v>0.9654329174917492</v>
      </c>
      <c r="AC56" s="19"/>
      <c r="AD56" s="69" t="s">
        <v>47</v>
      </c>
      <c r="AE56" s="69" t="s">
        <v>251</v>
      </c>
      <c r="AF56" s="47"/>
    </row>
    <row r="57" spans="1:32" ht="71.25" x14ac:dyDescent="0.2">
      <c r="A57" s="16">
        <v>118</v>
      </c>
      <c r="B57" s="57" t="s">
        <v>41</v>
      </c>
      <c r="C57" s="58" t="s">
        <v>42</v>
      </c>
      <c r="D57" s="58" t="s">
        <v>160</v>
      </c>
      <c r="E57" s="87" t="s">
        <v>169</v>
      </c>
      <c r="F57" s="88" t="s">
        <v>170</v>
      </c>
      <c r="G57" s="61">
        <v>2020680010121</v>
      </c>
      <c r="H57" s="89" t="s">
        <v>163</v>
      </c>
      <c r="I57" s="90" t="s">
        <v>164</v>
      </c>
      <c r="J57" s="63">
        <v>44562</v>
      </c>
      <c r="K57" s="63">
        <v>44926</v>
      </c>
      <c r="L57" s="64">
        <v>200</v>
      </c>
      <c r="M57" s="65">
        <v>200</v>
      </c>
      <c r="N57" s="66">
        <f t="shared" si="9"/>
        <v>1</v>
      </c>
      <c r="O57" s="96" t="s">
        <v>263</v>
      </c>
      <c r="P57" s="20">
        <f>200000000+340000000</f>
        <v>540000000</v>
      </c>
      <c r="Q57" s="35"/>
      <c r="R57" s="35"/>
      <c r="S57" s="35"/>
      <c r="T57" s="23"/>
      <c r="U57" s="27">
        <f t="shared" si="1"/>
        <v>540000000</v>
      </c>
      <c r="V57" s="20">
        <v>200000000</v>
      </c>
      <c r="W57" s="36"/>
      <c r="X57" s="36"/>
      <c r="Y57" s="36"/>
      <c r="Z57" s="20"/>
      <c r="AA57" s="27">
        <f t="shared" si="2"/>
        <v>200000000</v>
      </c>
      <c r="AB57" s="68">
        <f t="shared" si="8"/>
        <v>0.37037037037037035</v>
      </c>
      <c r="AC57" s="19"/>
      <c r="AD57" s="69" t="s">
        <v>47</v>
      </c>
      <c r="AE57" s="69" t="s">
        <v>251</v>
      </c>
      <c r="AF57" s="47"/>
    </row>
    <row r="58" spans="1:32" ht="71.25" x14ac:dyDescent="0.2">
      <c r="A58" s="16">
        <v>119</v>
      </c>
      <c r="B58" s="57" t="s">
        <v>41</v>
      </c>
      <c r="C58" s="58" t="s">
        <v>42</v>
      </c>
      <c r="D58" s="58" t="s">
        <v>160</v>
      </c>
      <c r="E58" s="87" t="s">
        <v>171</v>
      </c>
      <c r="F58" s="88" t="s">
        <v>172</v>
      </c>
      <c r="G58" s="61">
        <v>2020680010121</v>
      </c>
      <c r="H58" s="89" t="s">
        <v>163</v>
      </c>
      <c r="I58" s="90" t="s">
        <v>164</v>
      </c>
      <c r="J58" s="63">
        <v>44562</v>
      </c>
      <c r="K58" s="63">
        <v>44926</v>
      </c>
      <c r="L58" s="64">
        <v>1</v>
      </c>
      <c r="M58" s="65">
        <v>1</v>
      </c>
      <c r="N58" s="66">
        <f t="shared" si="9"/>
        <v>1</v>
      </c>
      <c r="O58" s="96" t="s">
        <v>212</v>
      </c>
      <c r="P58" s="20">
        <v>36500000</v>
      </c>
      <c r="Q58" s="35"/>
      <c r="R58" s="35"/>
      <c r="S58" s="35"/>
      <c r="T58" s="23"/>
      <c r="U58" s="27">
        <f t="shared" si="1"/>
        <v>36500000</v>
      </c>
      <c r="V58" s="20">
        <v>21000000</v>
      </c>
      <c r="W58" s="36"/>
      <c r="X58" s="36"/>
      <c r="Y58" s="36"/>
      <c r="Z58" s="20"/>
      <c r="AA58" s="27">
        <f t="shared" si="2"/>
        <v>21000000</v>
      </c>
      <c r="AB58" s="68">
        <f t="shared" si="8"/>
        <v>0.57534246575342463</v>
      </c>
      <c r="AC58" s="19"/>
      <c r="AD58" s="69" t="s">
        <v>47</v>
      </c>
      <c r="AE58" s="69" t="s">
        <v>251</v>
      </c>
      <c r="AF58" s="47"/>
    </row>
    <row r="59" spans="1:32" ht="99.75" x14ac:dyDescent="0.2">
      <c r="A59" s="16">
        <v>202</v>
      </c>
      <c r="B59" s="57" t="s">
        <v>173</v>
      </c>
      <c r="C59" s="58" t="s">
        <v>174</v>
      </c>
      <c r="D59" s="76" t="s">
        <v>175</v>
      </c>
      <c r="E59" s="87" t="s">
        <v>178</v>
      </c>
      <c r="F59" s="95" t="s">
        <v>179</v>
      </c>
      <c r="G59" s="61">
        <v>2020680010123</v>
      </c>
      <c r="H59" s="60" t="s">
        <v>180</v>
      </c>
      <c r="I59" s="90" t="s">
        <v>181</v>
      </c>
      <c r="J59" s="63">
        <v>44562</v>
      </c>
      <c r="K59" s="63">
        <v>44926</v>
      </c>
      <c r="L59" s="64">
        <v>60</v>
      </c>
      <c r="M59" s="65">
        <v>46</v>
      </c>
      <c r="N59" s="66">
        <f t="shared" si="9"/>
        <v>0.76666666666666672</v>
      </c>
      <c r="O59" s="67" t="s">
        <v>213</v>
      </c>
      <c r="P59" s="20">
        <v>100000000</v>
      </c>
      <c r="Q59" s="34"/>
      <c r="R59" s="34"/>
      <c r="S59" s="34"/>
      <c r="T59" s="21"/>
      <c r="U59" s="27">
        <f t="shared" si="1"/>
        <v>100000000</v>
      </c>
      <c r="V59" s="20">
        <v>99141776</v>
      </c>
      <c r="W59" s="32"/>
      <c r="X59" s="32"/>
      <c r="Y59" s="32"/>
      <c r="Z59" s="20"/>
      <c r="AA59" s="27">
        <f t="shared" si="2"/>
        <v>99141776</v>
      </c>
      <c r="AB59" s="68">
        <f t="shared" si="8"/>
        <v>0.99141776000000004</v>
      </c>
      <c r="AC59" s="19"/>
      <c r="AD59" s="69" t="s">
        <v>47</v>
      </c>
      <c r="AE59" s="69" t="s">
        <v>251</v>
      </c>
      <c r="AF59" s="47"/>
    </row>
    <row r="60" spans="1:32" ht="99.75" x14ac:dyDescent="0.2">
      <c r="A60" s="16">
        <v>203</v>
      </c>
      <c r="B60" s="57" t="s">
        <v>173</v>
      </c>
      <c r="C60" s="58" t="s">
        <v>174</v>
      </c>
      <c r="D60" s="58" t="s">
        <v>175</v>
      </c>
      <c r="E60" s="87" t="s">
        <v>176</v>
      </c>
      <c r="F60" s="88" t="s">
        <v>177</v>
      </c>
      <c r="G60" s="93">
        <v>2020680010159</v>
      </c>
      <c r="H60" s="89" t="s">
        <v>206</v>
      </c>
      <c r="I60" s="62" t="s">
        <v>233</v>
      </c>
      <c r="J60" s="63">
        <v>44562</v>
      </c>
      <c r="K60" s="63">
        <v>44926</v>
      </c>
      <c r="L60" s="64">
        <v>2</v>
      </c>
      <c r="M60" s="65">
        <v>2</v>
      </c>
      <c r="N60" s="66">
        <f t="shared" si="9"/>
        <v>1</v>
      </c>
      <c r="O60" s="67" t="s">
        <v>214</v>
      </c>
      <c r="P60" s="20">
        <v>110000000</v>
      </c>
      <c r="Q60" s="34"/>
      <c r="R60" s="34"/>
      <c r="S60" s="34"/>
      <c r="T60" s="21"/>
      <c r="U60" s="27">
        <f t="shared" si="1"/>
        <v>110000000</v>
      </c>
      <c r="V60" s="20">
        <v>47750000</v>
      </c>
      <c r="W60" s="32"/>
      <c r="X60" s="32"/>
      <c r="Y60" s="32"/>
      <c r="Z60" s="20"/>
      <c r="AA60" s="27">
        <f t="shared" si="2"/>
        <v>47750000</v>
      </c>
      <c r="AB60" s="68">
        <f t="shared" si="8"/>
        <v>0.43409090909090908</v>
      </c>
      <c r="AC60" s="19"/>
      <c r="AD60" s="69" t="s">
        <v>47</v>
      </c>
      <c r="AE60" s="69" t="s">
        <v>251</v>
      </c>
      <c r="AF60" s="47"/>
    </row>
    <row r="61" spans="1:32" ht="99.75" x14ac:dyDescent="0.2">
      <c r="A61" s="16">
        <v>204</v>
      </c>
      <c r="B61" s="57" t="s">
        <v>173</v>
      </c>
      <c r="C61" s="58" t="s">
        <v>174</v>
      </c>
      <c r="D61" s="58" t="s">
        <v>175</v>
      </c>
      <c r="E61" s="87" t="s">
        <v>182</v>
      </c>
      <c r="F61" s="88" t="s">
        <v>183</v>
      </c>
      <c r="G61" s="61">
        <v>2020680010123</v>
      </c>
      <c r="H61" s="60" t="s">
        <v>180</v>
      </c>
      <c r="I61" s="90" t="s">
        <v>181</v>
      </c>
      <c r="J61" s="63">
        <v>44562</v>
      </c>
      <c r="K61" s="63">
        <v>44926</v>
      </c>
      <c r="L61" s="64">
        <v>4</v>
      </c>
      <c r="M61" s="65">
        <v>4</v>
      </c>
      <c r="N61" s="66">
        <f t="shared" si="9"/>
        <v>1</v>
      </c>
      <c r="O61" s="67" t="s">
        <v>278</v>
      </c>
      <c r="P61" s="20">
        <f>120000000+22000000</f>
        <v>142000000</v>
      </c>
      <c r="Q61" s="34"/>
      <c r="R61" s="34"/>
      <c r="S61" s="34"/>
      <c r="T61" s="21"/>
      <c r="U61" s="27">
        <f t="shared" si="1"/>
        <v>142000000</v>
      </c>
      <c r="V61" s="20">
        <f>21000000+115854500</f>
        <v>136854500</v>
      </c>
      <c r="W61" s="32"/>
      <c r="X61" s="32"/>
      <c r="Y61" s="32"/>
      <c r="Z61" s="20"/>
      <c r="AA61" s="27">
        <f t="shared" si="2"/>
        <v>136854500</v>
      </c>
      <c r="AB61" s="68">
        <f t="shared" si="8"/>
        <v>0.96376408450704221</v>
      </c>
      <c r="AC61" s="19"/>
      <c r="AD61" s="69" t="s">
        <v>47</v>
      </c>
      <c r="AE61" s="69" t="s">
        <v>251</v>
      </c>
      <c r="AF61" s="47"/>
    </row>
    <row r="62" spans="1:32" ht="114" x14ac:dyDescent="0.2">
      <c r="A62" s="16">
        <v>205</v>
      </c>
      <c r="B62" s="57" t="s">
        <v>173</v>
      </c>
      <c r="C62" s="58" t="s">
        <v>174</v>
      </c>
      <c r="D62" s="58" t="s">
        <v>175</v>
      </c>
      <c r="E62" s="87" t="s">
        <v>184</v>
      </c>
      <c r="F62" s="88" t="s">
        <v>185</v>
      </c>
      <c r="G62" s="61">
        <v>2020680010123</v>
      </c>
      <c r="H62" s="60" t="s">
        <v>180</v>
      </c>
      <c r="I62" s="90" t="s">
        <v>181</v>
      </c>
      <c r="J62" s="63">
        <v>44562</v>
      </c>
      <c r="K62" s="63">
        <v>44926</v>
      </c>
      <c r="L62" s="64">
        <v>4</v>
      </c>
      <c r="M62" s="65">
        <v>4</v>
      </c>
      <c r="N62" s="66">
        <f t="shared" si="9"/>
        <v>1</v>
      </c>
      <c r="O62" s="67" t="s">
        <v>279</v>
      </c>
      <c r="P62" s="20">
        <f>85000000+67000000+40000000</f>
        <v>192000000</v>
      </c>
      <c r="Q62" s="34"/>
      <c r="R62" s="34"/>
      <c r="S62" s="34"/>
      <c r="T62" s="21"/>
      <c r="U62" s="27">
        <f t="shared" si="1"/>
        <v>192000000</v>
      </c>
      <c r="V62" s="20">
        <f>50400000+46636100</f>
        <v>97036100</v>
      </c>
      <c r="W62" s="32"/>
      <c r="X62" s="32"/>
      <c r="Y62" s="32"/>
      <c r="Z62" s="20"/>
      <c r="AA62" s="27">
        <f t="shared" si="2"/>
        <v>97036100</v>
      </c>
      <c r="AB62" s="68">
        <f t="shared" si="8"/>
        <v>0.50539635416666662</v>
      </c>
      <c r="AC62" s="19"/>
      <c r="AD62" s="69" t="s">
        <v>47</v>
      </c>
      <c r="AE62" s="69" t="s">
        <v>251</v>
      </c>
      <c r="AF62" s="47"/>
    </row>
    <row r="63" spans="1:32" ht="102.75" customHeight="1" x14ac:dyDescent="0.2">
      <c r="A63" s="16">
        <v>206</v>
      </c>
      <c r="B63" s="57" t="s">
        <v>173</v>
      </c>
      <c r="C63" s="58" t="s">
        <v>174</v>
      </c>
      <c r="D63" s="58" t="s">
        <v>175</v>
      </c>
      <c r="E63" s="87" t="s">
        <v>186</v>
      </c>
      <c r="F63" s="88" t="s">
        <v>187</v>
      </c>
      <c r="G63" s="61">
        <v>2020680010123</v>
      </c>
      <c r="H63" s="60" t="s">
        <v>180</v>
      </c>
      <c r="I63" s="90" t="s">
        <v>181</v>
      </c>
      <c r="J63" s="63">
        <v>44562</v>
      </c>
      <c r="K63" s="63">
        <v>44926</v>
      </c>
      <c r="L63" s="64">
        <v>1</v>
      </c>
      <c r="M63" s="70">
        <v>0.5</v>
      </c>
      <c r="N63" s="66">
        <f t="shared" si="9"/>
        <v>0.5</v>
      </c>
      <c r="O63" s="67" t="s">
        <v>280</v>
      </c>
      <c r="P63" s="20">
        <f>135000000-15000000-22000000+261000000</f>
        <v>359000000</v>
      </c>
      <c r="Q63" s="34"/>
      <c r="R63" s="34"/>
      <c r="S63" s="34"/>
      <c r="T63" s="21"/>
      <c r="U63" s="27">
        <f t="shared" si="1"/>
        <v>359000000</v>
      </c>
      <c r="V63" s="20">
        <v>66000000</v>
      </c>
      <c r="W63" s="32"/>
      <c r="X63" s="32"/>
      <c r="Y63" s="32"/>
      <c r="Z63" s="20"/>
      <c r="AA63" s="27">
        <f t="shared" si="2"/>
        <v>66000000</v>
      </c>
      <c r="AB63" s="68">
        <f t="shared" si="8"/>
        <v>0.18384401114206128</v>
      </c>
      <c r="AC63" s="19"/>
      <c r="AD63" s="69" t="s">
        <v>47</v>
      </c>
      <c r="AE63" s="69" t="s">
        <v>251</v>
      </c>
      <c r="AF63" s="47"/>
    </row>
    <row r="64" spans="1:32" ht="99.75" x14ac:dyDescent="0.2">
      <c r="A64" s="16">
        <v>207</v>
      </c>
      <c r="B64" s="57" t="s">
        <v>173</v>
      </c>
      <c r="C64" s="58" t="s">
        <v>174</v>
      </c>
      <c r="D64" s="76" t="s">
        <v>175</v>
      </c>
      <c r="E64" s="87" t="s">
        <v>188</v>
      </c>
      <c r="F64" s="95" t="s">
        <v>189</v>
      </c>
      <c r="G64" s="61">
        <v>2020680010123</v>
      </c>
      <c r="H64" s="60" t="s">
        <v>180</v>
      </c>
      <c r="I64" s="90" t="s">
        <v>181</v>
      </c>
      <c r="J64" s="63">
        <v>44562</v>
      </c>
      <c r="K64" s="63">
        <v>44926</v>
      </c>
      <c r="L64" s="64">
        <v>6</v>
      </c>
      <c r="M64" s="65">
        <v>25</v>
      </c>
      <c r="N64" s="66">
        <f t="shared" si="9"/>
        <v>1</v>
      </c>
      <c r="O64" s="67" t="s">
        <v>249</v>
      </c>
      <c r="P64" s="20">
        <f>510000000+15000000-67000000</f>
        <v>458000000</v>
      </c>
      <c r="Q64" s="34"/>
      <c r="R64" s="34"/>
      <c r="S64" s="34"/>
      <c r="T64" s="21"/>
      <c r="U64" s="27">
        <f t="shared" si="1"/>
        <v>458000000</v>
      </c>
      <c r="V64" s="20">
        <f>15000000+29725000</f>
        <v>44725000</v>
      </c>
      <c r="W64" s="32"/>
      <c r="X64" s="32"/>
      <c r="Y64" s="32"/>
      <c r="Z64" s="20"/>
      <c r="AA64" s="27">
        <f t="shared" si="2"/>
        <v>44725000</v>
      </c>
      <c r="AB64" s="68">
        <f t="shared" si="8"/>
        <v>9.76528384279476E-2</v>
      </c>
      <c r="AC64" s="19"/>
      <c r="AD64" s="69" t="s">
        <v>47</v>
      </c>
      <c r="AE64" s="69" t="s">
        <v>251</v>
      </c>
      <c r="AF64" s="47"/>
    </row>
    <row r="65" spans="1:32" ht="57" x14ac:dyDescent="0.2">
      <c r="A65" s="16">
        <v>234</v>
      </c>
      <c r="B65" s="57" t="s">
        <v>78</v>
      </c>
      <c r="C65" s="58" t="s">
        <v>79</v>
      </c>
      <c r="D65" s="58" t="s">
        <v>80</v>
      </c>
      <c r="E65" s="87" t="s">
        <v>81</v>
      </c>
      <c r="F65" s="88" t="s">
        <v>82</v>
      </c>
      <c r="G65" s="61">
        <v>2021680010003</v>
      </c>
      <c r="H65" s="60" t="s">
        <v>46</v>
      </c>
      <c r="I65" s="62" t="s">
        <v>239</v>
      </c>
      <c r="J65" s="63">
        <v>44562</v>
      </c>
      <c r="K65" s="63">
        <v>44926</v>
      </c>
      <c r="L65" s="64">
        <v>1</v>
      </c>
      <c r="M65" s="70">
        <v>0.3</v>
      </c>
      <c r="N65" s="66">
        <f t="shared" ref="N65:N70" si="10">IFERROR(IF(M65/L65&gt;100%,100%,M65/L65),"-")</f>
        <v>0.3</v>
      </c>
      <c r="O65" s="67" t="s">
        <v>207</v>
      </c>
      <c r="P65" s="17">
        <v>70000000</v>
      </c>
      <c r="Q65" s="38"/>
      <c r="R65" s="34"/>
      <c r="S65" s="34"/>
      <c r="T65" s="21"/>
      <c r="U65" s="27">
        <f t="shared" si="1"/>
        <v>70000000</v>
      </c>
      <c r="V65" s="20">
        <f>10200000+2791969</f>
        <v>12991969</v>
      </c>
      <c r="W65" s="39"/>
      <c r="X65" s="39"/>
      <c r="Y65" s="39"/>
      <c r="Z65" s="20"/>
      <c r="AA65" s="27">
        <f t="shared" si="2"/>
        <v>12991969</v>
      </c>
      <c r="AB65" s="68">
        <f t="shared" si="8"/>
        <v>0.18559955714285714</v>
      </c>
      <c r="AC65" s="19"/>
      <c r="AD65" s="69" t="s">
        <v>47</v>
      </c>
      <c r="AE65" s="69" t="s">
        <v>251</v>
      </c>
      <c r="AF65" s="47"/>
    </row>
    <row r="66" spans="1:32" ht="85.5" x14ac:dyDescent="0.2">
      <c r="A66" s="16">
        <v>283</v>
      </c>
      <c r="B66" s="57" t="s">
        <v>38</v>
      </c>
      <c r="C66" s="58" t="s">
        <v>190</v>
      </c>
      <c r="D66" s="58" t="s">
        <v>191</v>
      </c>
      <c r="E66" s="87" t="s">
        <v>192</v>
      </c>
      <c r="F66" s="88" t="s">
        <v>193</v>
      </c>
      <c r="G66" s="61">
        <v>2020680010063</v>
      </c>
      <c r="H66" s="60" t="s">
        <v>194</v>
      </c>
      <c r="I66" s="94" t="s">
        <v>221</v>
      </c>
      <c r="J66" s="63">
        <v>44562</v>
      </c>
      <c r="K66" s="63">
        <v>44926</v>
      </c>
      <c r="L66" s="64">
        <v>1</v>
      </c>
      <c r="M66" s="65">
        <v>1</v>
      </c>
      <c r="N66" s="66">
        <f t="shared" si="10"/>
        <v>1</v>
      </c>
      <c r="O66" s="67" t="s">
        <v>257</v>
      </c>
      <c r="P66" s="20">
        <f>348000000-12000000+410000000+505000000</f>
        <v>1251000000</v>
      </c>
      <c r="Q66" s="34"/>
      <c r="R66" s="34"/>
      <c r="S66" s="34"/>
      <c r="T66" s="21"/>
      <c r="U66" s="27">
        <f t="shared" si="1"/>
        <v>1251000000</v>
      </c>
      <c r="V66" s="20">
        <f>332460890.36+66390.14+2565084.88+63934.88</f>
        <v>335156300.25999999</v>
      </c>
      <c r="W66" s="32"/>
      <c r="X66" s="32"/>
      <c r="Y66" s="32"/>
      <c r="Z66" s="20"/>
      <c r="AA66" s="27">
        <f t="shared" si="2"/>
        <v>335156300.25999999</v>
      </c>
      <c r="AB66" s="68">
        <f t="shared" si="8"/>
        <v>0.26791071163868901</v>
      </c>
      <c r="AC66" s="19">
        <v>2000000</v>
      </c>
      <c r="AD66" s="69" t="s">
        <v>47</v>
      </c>
      <c r="AE66" s="69" t="s">
        <v>251</v>
      </c>
      <c r="AF66" s="47"/>
    </row>
    <row r="67" spans="1:32" ht="85.5" x14ac:dyDescent="0.2">
      <c r="A67" s="16">
        <v>284</v>
      </c>
      <c r="B67" s="57" t="s">
        <v>38</v>
      </c>
      <c r="C67" s="58" t="s">
        <v>190</v>
      </c>
      <c r="D67" s="58" t="s">
        <v>191</v>
      </c>
      <c r="E67" s="87" t="s">
        <v>198</v>
      </c>
      <c r="F67" s="88" t="s">
        <v>199</v>
      </c>
      <c r="G67" s="61">
        <v>2020680010140</v>
      </c>
      <c r="H67" s="97" t="s">
        <v>222</v>
      </c>
      <c r="I67" s="62" t="s">
        <v>234</v>
      </c>
      <c r="J67" s="63">
        <v>44562</v>
      </c>
      <c r="K67" s="63">
        <v>44926</v>
      </c>
      <c r="L67" s="82">
        <v>1</v>
      </c>
      <c r="M67" s="65">
        <v>0</v>
      </c>
      <c r="N67" s="66">
        <f t="shared" si="10"/>
        <v>0</v>
      </c>
      <c r="O67" s="67" t="s">
        <v>250</v>
      </c>
      <c r="P67" s="20">
        <f>400000000+20000000</f>
        <v>420000000</v>
      </c>
      <c r="Q67" s="34"/>
      <c r="R67" s="34"/>
      <c r="S67" s="34"/>
      <c r="T67" s="24"/>
      <c r="U67" s="27">
        <f t="shared" si="1"/>
        <v>420000000</v>
      </c>
      <c r="V67" s="20"/>
      <c r="W67" s="32"/>
      <c r="X67" s="32"/>
      <c r="Y67" s="32"/>
      <c r="Z67" s="20"/>
      <c r="AA67" s="27">
        <f t="shared" si="2"/>
        <v>0</v>
      </c>
      <c r="AB67" s="68">
        <f t="shared" si="8"/>
        <v>0</v>
      </c>
      <c r="AC67" s="19"/>
      <c r="AD67" s="69" t="s">
        <v>47</v>
      </c>
      <c r="AE67" s="69" t="s">
        <v>251</v>
      </c>
      <c r="AF67" s="47"/>
    </row>
    <row r="68" spans="1:32" ht="85.5" x14ac:dyDescent="0.2">
      <c r="A68" s="16">
        <v>285</v>
      </c>
      <c r="B68" s="86" t="s">
        <v>38</v>
      </c>
      <c r="C68" s="58" t="s">
        <v>190</v>
      </c>
      <c r="D68" s="76" t="s">
        <v>191</v>
      </c>
      <c r="E68" s="99" t="s">
        <v>196</v>
      </c>
      <c r="F68" s="95" t="s">
        <v>197</v>
      </c>
      <c r="G68" s="61">
        <v>2020680010063</v>
      </c>
      <c r="H68" s="60" t="s">
        <v>194</v>
      </c>
      <c r="I68" s="94" t="s">
        <v>220</v>
      </c>
      <c r="J68" s="63">
        <v>44562</v>
      </c>
      <c r="K68" s="63">
        <v>44926</v>
      </c>
      <c r="L68" s="78">
        <v>1</v>
      </c>
      <c r="M68" s="79">
        <v>1</v>
      </c>
      <c r="N68" s="66">
        <f t="shared" si="10"/>
        <v>1</v>
      </c>
      <c r="O68" s="67" t="s">
        <v>255</v>
      </c>
      <c r="P68" s="20">
        <f>278000000+12000000+205000000</f>
        <v>495000000</v>
      </c>
      <c r="Q68" s="20"/>
      <c r="R68" s="34"/>
      <c r="S68" s="34"/>
      <c r="T68" s="21"/>
      <c r="U68" s="27">
        <f t="shared" si="1"/>
        <v>495000000</v>
      </c>
      <c r="V68" s="20">
        <f>198000000+12000000+1978428+538418+330368+292744+1648446+5000000+264660</f>
        <v>220053064</v>
      </c>
      <c r="W68" s="20"/>
      <c r="X68" s="32"/>
      <c r="Y68" s="32"/>
      <c r="Z68" s="20"/>
      <c r="AA68" s="27">
        <f t="shared" si="2"/>
        <v>220053064</v>
      </c>
      <c r="AB68" s="68">
        <f t="shared" si="8"/>
        <v>0.44455164444444445</v>
      </c>
      <c r="AC68" s="19"/>
      <c r="AD68" s="69" t="s">
        <v>47</v>
      </c>
      <c r="AE68" s="69" t="s">
        <v>251</v>
      </c>
      <c r="AF68" s="47"/>
    </row>
    <row r="69" spans="1:32" ht="85.5" x14ac:dyDescent="0.2">
      <c r="A69" s="16">
        <v>286</v>
      </c>
      <c r="B69" s="57" t="s">
        <v>38</v>
      </c>
      <c r="C69" s="58" t="s">
        <v>190</v>
      </c>
      <c r="D69" s="76" t="s">
        <v>191</v>
      </c>
      <c r="E69" s="87" t="s">
        <v>195</v>
      </c>
      <c r="F69" s="88" t="s">
        <v>218</v>
      </c>
      <c r="G69" s="61">
        <v>2020680010063</v>
      </c>
      <c r="H69" s="60" t="s">
        <v>194</v>
      </c>
      <c r="I69" s="94" t="s">
        <v>219</v>
      </c>
      <c r="J69" s="63">
        <v>44562</v>
      </c>
      <c r="K69" s="63">
        <v>44926</v>
      </c>
      <c r="L69" s="78">
        <v>1</v>
      </c>
      <c r="M69" s="79">
        <v>1</v>
      </c>
      <c r="N69" s="66">
        <f t="shared" si="10"/>
        <v>1</v>
      </c>
      <c r="O69" s="67" t="s">
        <v>256</v>
      </c>
      <c r="P69" s="20">
        <f>420000000+460000000+70000000</f>
        <v>950000000</v>
      </c>
      <c r="Q69" s="34"/>
      <c r="R69" s="34"/>
      <c r="S69" s="37"/>
      <c r="T69" s="21"/>
      <c r="U69" s="27">
        <f t="shared" si="1"/>
        <v>950000000</v>
      </c>
      <c r="V69" s="20">
        <f>15505700+15505700+15505700+15505700+15505700+15245100</f>
        <v>92773600</v>
      </c>
      <c r="W69" s="39"/>
      <c r="X69" s="39"/>
      <c r="Y69" s="36"/>
      <c r="Z69" s="20"/>
      <c r="AA69" s="27">
        <f t="shared" si="2"/>
        <v>92773600</v>
      </c>
      <c r="AB69" s="68">
        <f t="shared" si="8"/>
        <v>9.7656421052631573E-2</v>
      </c>
      <c r="AC69" s="19"/>
      <c r="AD69" s="69" t="s">
        <v>47</v>
      </c>
      <c r="AE69" s="69" t="s">
        <v>251</v>
      </c>
      <c r="AF69" s="47"/>
    </row>
    <row r="70" spans="1:32" ht="85.5" x14ac:dyDescent="0.2">
      <c r="A70" s="16">
        <v>300</v>
      </c>
      <c r="B70" s="86" t="s">
        <v>38</v>
      </c>
      <c r="C70" s="76" t="s">
        <v>39</v>
      </c>
      <c r="D70" s="92" t="s">
        <v>40</v>
      </c>
      <c r="E70" s="87" t="s">
        <v>200</v>
      </c>
      <c r="F70" s="95" t="s">
        <v>201</v>
      </c>
      <c r="G70" s="98">
        <v>2020680010025</v>
      </c>
      <c r="H70" s="60" t="s">
        <v>202</v>
      </c>
      <c r="I70" s="94" t="s">
        <v>203</v>
      </c>
      <c r="J70" s="63">
        <v>44562</v>
      </c>
      <c r="K70" s="63">
        <v>44926</v>
      </c>
      <c r="L70" s="78">
        <v>1</v>
      </c>
      <c r="M70" s="79">
        <v>1</v>
      </c>
      <c r="N70" s="66">
        <f t="shared" si="10"/>
        <v>1</v>
      </c>
      <c r="O70" s="67" t="s">
        <v>254</v>
      </c>
      <c r="P70" s="20">
        <f>160000000+1090951807+250000000</f>
        <v>1500951807</v>
      </c>
      <c r="Q70" s="34"/>
      <c r="R70" s="34"/>
      <c r="S70" s="37"/>
      <c r="T70" s="21"/>
      <c r="U70" s="27">
        <f t="shared" si="1"/>
        <v>1500951807</v>
      </c>
      <c r="V70" s="20">
        <f>114600000+679800000</f>
        <v>794400000</v>
      </c>
      <c r="W70" s="39"/>
      <c r="X70" s="39"/>
      <c r="Y70" s="36"/>
      <c r="Z70" s="20"/>
      <c r="AA70" s="27">
        <f t="shared" si="2"/>
        <v>794400000</v>
      </c>
      <c r="AB70" s="68">
        <f t="shared" si="8"/>
        <v>0.52926416177731417</v>
      </c>
      <c r="AC70" s="19"/>
      <c r="AD70" s="69" t="s">
        <v>47</v>
      </c>
      <c r="AE70" s="69" t="s">
        <v>251</v>
      </c>
      <c r="AF70" s="47"/>
    </row>
    <row r="71" spans="1:32" ht="15" x14ac:dyDescent="0.2">
      <c r="A71" s="3">
        <f>SUM(--(FREQUENCY(A9:A70,A9:A70)&gt;0))</f>
        <v>62</v>
      </c>
      <c r="B71" s="4"/>
      <c r="C71" s="5"/>
      <c r="D71" s="5"/>
      <c r="E71" s="5"/>
      <c r="F71" s="5"/>
      <c r="G71" s="5"/>
      <c r="H71" s="5"/>
      <c r="I71" s="5"/>
      <c r="J71" s="5"/>
      <c r="K71" s="6"/>
      <c r="L71" s="6"/>
      <c r="M71" s="7" t="s">
        <v>17</v>
      </c>
      <c r="N71" s="6">
        <f>IFERROR(AVERAGE(N9:N70),"-")</f>
        <v>0.75944916325573919</v>
      </c>
      <c r="O71" s="12"/>
      <c r="P71" s="9">
        <f t="shared" ref="P71:AA71" si="11">SUM(P9:P70)</f>
        <v>18708953842</v>
      </c>
      <c r="Q71" s="9">
        <f t="shared" si="11"/>
        <v>0</v>
      </c>
      <c r="R71" s="9">
        <f t="shared" si="11"/>
        <v>0</v>
      </c>
      <c r="S71" s="9">
        <f t="shared" si="11"/>
        <v>0</v>
      </c>
      <c r="T71" s="9">
        <f t="shared" si="11"/>
        <v>9016815042.8999996</v>
      </c>
      <c r="U71" s="13">
        <f>SUM(U9:U70)</f>
        <v>27725768884.900002</v>
      </c>
      <c r="V71" s="9">
        <f t="shared" si="11"/>
        <v>6955410061.5799999</v>
      </c>
      <c r="W71" s="9">
        <f t="shared" si="11"/>
        <v>0</v>
      </c>
      <c r="X71" s="9">
        <f t="shared" si="11"/>
        <v>0</v>
      </c>
      <c r="Y71" s="9">
        <f t="shared" si="11"/>
        <v>0</v>
      </c>
      <c r="Z71" s="9">
        <f t="shared" si="11"/>
        <v>4211921582</v>
      </c>
      <c r="AA71" s="11">
        <f t="shared" si="11"/>
        <v>11167331643.58</v>
      </c>
      <c r="AB71" s="10">
        <f t="shared" si="8"/>
        <v>0.40277806866023286</v>
      </c>
      <c r="AC71" s="11">
        <f>SUM(AC9:AC70)</f>
        <v>11600000</v>
      </c>
      <c r="AD71" s="8"/>
      <c r="AE71" s="8"/>
    </row>
    <row r="72" spans="1:32" x14ac:dyDescent="0.2">
      <c r="U72" s="50"/>
      <c r="AA72" s="50"/>
    </row>
    <row r="73" spans="1:32" x14ac:dyDescent="0.2">
      <c r="U73" s="51"/>
      <c r="AA73" s="52"/>
      <c r="AB73" s="53"/>
      <c r="AC73" s="52"/>
    </row>
    <row r="74" spans="1:32" x14ac:dyDescent="0.2">
      <c r="P74" s="100"/>
      <c r="AA74" s="54"/>
    </row>
    <row r="75" spans="1:32" x14ac:dyDescent="0.2">
      <c r="P75" s="100"/>
    </row>
    <row r="76" spans="1:32" x14ac:dyDescent="0.2">
      <c r="P76" s="100"/>
      <c r="U76" s="55"/>
      <c r="V76" s="55"/>
      <c r="W76" s="55"/>
      <c r="X76" s="55"/>
      <c r="Y76" s="55"/>
    </row>
    <row r="77" spans="1:32" x14ac:dyDescent="0.2">
      <c r="P77" s="100"/>
      <c r="U77" s="55"/>
      <c r="V77" s="55"/>
      <c r="W77" s="55"/>
      <c r="X77" s="55"/>
      <c r="Y77" s="55"/>
    </row>
    <row r="78" spans="1:32" x14ac:dyDescent="0.2">
      <c r="P78" s="100"/>
      <c r="U78" s="55"/>
      <c r="V78" s="55"/>
      <c r="W78" s="55"/>
      <c r="X78" s="55"/>
      <c r="Y78" s="55"/>
    </row>
    <row r="79" spans="1:32" x14ac:dyDescent="0.2">
      <c r="P79" s="100"/>
    </row>
    <row r="80" spans="1:32" x14ac:dyDescent="0.2">
      <c r="P80"/>
      <c r="U80" s="56"/>
      <c r="Z80" s="56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</sheetData>
  <mergeCells count="18">
    <mergeCell ref="L7:N7"/>
    <mergeCell ref="O7:U7"/>
    <mergeCell ref="V7:AA7"/>
    <mergeCell ref="AB7:AB8"/>
    <mergeCell ref="B7:F7"/>
    <mergeCell ref="G7:K7"/>
    <mergeCell ref="A1:A4"/>
    <mergeCell ref="A5:C5"/>
    <mergeCell ref="A6:C6"/>
    <mergeCell ref="B1:AB4"/>
    <mergeCell ref="D5:G5"/>
    <mergeCell ref="D6:G6"/>
    <mergeCell ref="AC1:AE1"/>
    <mergeCell ref="AC2:AE2"/>
    <mergeCell ref="AC3:AE3"/>
    <mergeCell ref="AC4:AE4"/>
    <mergeCell ref="AC7:AC8"/>
    <mergeCell ref="AD7:AE7"/>
  </mergeCells>
  <conditionalFormatting sqref="N9:N70">
    <cfRule type="cellIs" dxfId="2" priority="13" operator="between">
      <formula>0.66</formula>
      <formula>1</formula>
    </cfRule>
    <cfRule type="cellIs" dxfId="1" priority="14" operator="between">
      <formula>0.33</formula>
      <formula>0.67</formula>
    </cfRule>
    <cfRule type="cellIs" dxfId="0" priority="15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2022-07-13T17:08:45Z</dcterms:modified>
</cp:coreProperties>
</file>