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Planes de Acción (SIN VÍNCULOS) A JUNIO 2018\"/>
    </mc:Choice>
  </mc:AlternateContent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V15" i="11"/>
  <c r="V16" i="11"/>
  <c r="V17" i="11"/>
  <c r="V18" i="11"/>
  <c r="V19" i="11"/>
  <c r="W14" i="11"/>
  <c r="W15" i="11"/>
  <c r="W16" i="11"/>
  <c r="W17" i="11"/>
  <c r="W18" i="11"/>
  <c r="W19" i="11"/>
  <c r="D16" i="12"/>
  <c r="C16" i="12"/>
  <c r="U14" i="11"/>
  <c r="U15" i="11"/>
  <c r="U16" i="11"/>
  <c r="U17" i="11"/>
  <c r="U18" i="11"/>
  <c r="U19" i="11"/>
  <c r="U12" i="11"/>
  <c r="H13" i="12"/>
  <c r="H12" i="12"/>
  <c r="H11" i="12"/>
  <c r="H10" i="12"/>
  <c r="H9" i="12"/>
  <c r="H8" i="12"/>
  <c r="H12" i="11"/>
  <c r="L12" i="8"/>
  <c r="N12" i="8"/>
  <c r="P12" i="11"/>
  <c r="F8" i="12"/>
  <c r="I12" i="11"/>
  <c r="L12" i="9"/>
  <c r="N12" i="9"/>
  <c r="Q12" i="11"/>
  <c r="G8" i="12"/>
  <c r="J12" i="11"/>
  <c r="L12" i="10"/>
  <c r="N12" i="10"/>
  <c r="R12" i="11"/>
  <c r="F9" i="12"/>
  <c r="G9" i="12"/>
  <c r="F10" i="12"/>
  <c r="G10" i="12"/>
  <c r="H14" i="11"/>
  <c r="H15" i="11"/>
  <c r="H16" i="11"/>
  <c r="H17" i="11"/>
  <c r="H18" i="11"/>
  <c r="H19" i="11"/>
  <c r="N14" i="8"/>
  <c r="P14" i="11"/>
  <c r="L15" i="8"/>
  <c r="N15" i="8"/>
  <c r="P15" i="11"/>
  <c r="L16" i="8"/>
  <c r="N16" i="8"/>
  <c r="P16" i="11"/>
  <c r="N17" i="8"/>
  <c r="P17" i="11"/>
  <c r="L18" i="8"/>
  <c r="N18" i="8"/>
  <c r="P18" i="11"/>
  <c r="N19" i="8"/>
  <c r="P19" i="11"/>
  <c r="F11" i="12"/>
  <c r="I14" i="11"/>
  <c r="I15" i="11"/>
  <c r="I16" i="11"/>
  <c r="I17" i="11"/>
  <c r="I18" i="11"/>
  <c r="I19" i="11"/>
  <c r="N13" i="9"/>
  <c r="Q14" i="11"/>
  <c r="L14" i="9"/>
  <c r="N14" i="9"/>
  <c r="Q15" i="11"/>
  <c r="L15" i="9"/>
  <c r="N15" i="9"/>
  <c r="Q16" i="11"/>
  <c r="N16" i="9"/>
  <c r="Q17" i="11"/>
  <c r="L17" i="9"/>
  <c r="N17" i="9"/>
  <c r="Q18" i="11"/>
  <c r="L18" i="9"/>
  <c r="N18" i="9"/>
  <c r="Q19" i="11"/>
  <c r="G11" i="12"/>
  <c r="J14" i="11"/>
  <c r="J15" i="11"/>
  <c r="J16" i="11"/>
  <c r="J17" i="11"/>
  <c r="J18" i="11"/>
  <c r="J19" i="11"/>
  <c r="N14" i="10"/>
  <c r="R14" i="11"/>
  <c r="L15" i="10"/>
  <c r="N15" i="10"/>
  <c r="R15" i="11"/>
  <c r="L16" i="10"/>
  <c r="N16" i="10"/>
  <c r="R16" i="11"/>
  <c r="N17" i="10"/>
  <c r="R17" i="11"/>
  <c r="L18" i="10"/>
  <c r="N18" i="10"/>
  <c r="R18" i="11"/>
  <c r="N19" i="10"/>
  <c r="R19" i="11"/>
  <c r="F12" i="12"/>
  <c r="G12" i="12"/>
  <c r="F13" i="12"/>
  <c r="G13" i="12"/>
  <c r="S20" i="11"/>
  <c r="H14" i="12"/>
  <c r="P20" i="11"/>
  <c r="F14" i="12"/>
  <c r="Q20" i="11"/>
  <c r="G14" i="12"/>
  <c r="R20" i="11"/>
  <c r="L12" i="7"/>
  <c r="N12" i="7"/>
  <c r="O12" i="11"/>
  <c r="L14" i="7"/>
  <c r="N14" i="7"/>
  <c r="O14" i="11"/>
  <c r="N15" i="7"/>
  <c r="O15" i="11"/>
  <c r="N16" i="7"/>
  <c r="O16" i="11"/>
  <c r="L17" i="7"/>
  <c r="N17" i="7"/>
  <c r="O17" i="11"/>
  <c r="L18" i="7"/>
  <c r="N18" i="7"/>
  <c r="O18" i="11"/>
  <c r="N19" i="7"/>
  <c r="O19" i="11"/>
  <c r="O20" i="11"/>
  <c r="E14" i="12"/>
  <c r="G14" i="11"/>
  <c r="G15" i="11"/>
  <c r="G16" i="11"/>
  <c r="G17" i="11"/>
  <c r="G18" i="11"/>
  <c r="G19" i="11"/>
  <c r="E13" i="12"/>
  <c r="E12" i="12"/>
  <c r="E11" i="12"/>
  <c r="G12" i="11"/>
  <c r="E10" i="12"/>
  <c r="E9" i="12"/>
  <c r="E8" i="12"/>
  <c r="I14" i="12"/>
  <c r="I13" i="12"/>
  <c r="I12" i="12"/>
  <c r="I11" i="12"/>
  <c r="I10" i="12"/>
  <c r="I9" i="12"/>
  <c r="I8" i="12"/>
  <c r="N12" i="11"/>
  <c r="N14" i="11"/>
  <c r="N15" i="11"/>
  <c r="N16" i="11"/>
  <c r="N17" i="11"/>
  <c r="N18" i="11"/>
  <c r="N19" i="11"/>
  <c r="M12" i="11"/>
  <c r="M14" i="11"/>
  <c r="M15" i="11"/>
  <c r="M16" i="11"/>
  <c r="M17" i="11"/>
  <c r="M18" i="11"/>
  <c r="M19" i="11"/>
  <c r="L12" i="11"/>
  <c r="L14" i="11"/>
  <c r="L15" i="11"/>
  <c r="L16" i="11"/>
  <c r="L17" i="11"/>
  <c r="L18" i="11"/>
  <c r="L19" i="11"/>
  <c r="K12" i="11"/>
  <c r="K14" i="11"/>
  <c r="K15" i="11"/>
  <c r="K16" i="11"/>
  <c r="K17" i="11"/>
  <c r="K18" i="11"/>
  <c r="K19" i="11"/>
  <c r="W20" i="11"/>
  <c r="V20" i="11"/>
  <c r="Y20" i="11"/>
  <c r="U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2" i="11"/>
  <c r="X12" i="11"/>
  <c r="I18" i="10"/>
  <c r="I16" i="10"/>
  <c r="I12" i="10"/>
  <c r="I14" i="8"/>
  <c r="I13" i="9"/>
  <c r="I14" i="10"/>
  <c r="I15" i="8"/>
  <c r="I14" i="9"/>
  <c r="I15" i="10"/>
  <c r="I17" i="8"/>
  <c r="I16" i="9"/>
  <c r="I17" i="10"/>
  <c r="I19" i="8"/>
  <c r="I18" i="9"/>
  <c r="I19" i="10"/>
  <c r="I17" i="9"/>
  <c r="I15" i="9"/>
  <c r="I12" i="9"/>
  <c r="I18" i="8"/>
  <c r="I16" i="8"/>
  <c r="I12" i="8"/>
  <c r="R20" i="10"/>
  <c r="T20" i="10"/>
  <c r="P20" i="10"/>
  <c r="Q20" i="10"/>
  <c r="S20" i="10"/>
  <c r="L14" i="10"/>
  <c r="L17" i="10"/>
  <c r="N20" i="10"/>
  <c r="M12" i="10"/>
  <c r="M14" i="10"/>
  <c r="M15" i="10"/>
  <c r="M16" i="10"/>
  <c r="M17" i="10"/>
  <c r="M18" i="10"/>
  <c r="M19" i="10"/>
  <c r="M20" i="10"/>
  <c r="T19" i="10"/>
  <c r="S19" i="10"/>
  <c r="L19" i="10"/>
  <c r="T18" i="10"/>
  <c r="S18" i="10"/>
  <c r="T17" i="10"/>
  <c r="S17" i="10"/>
  <c r="T16" i="10"/>
  <c r="S16" i="10"/>
  <c r="T15" i="10"/>
  <c r="S15" i="10"/>
  <c r="T14" i="10"/>
  <c r="S14" i="10"/>
  <c r="T12" i="10"/>
  <c r="S12" i="10"/>
  <c r="R19" i="9"/>
  <c r="T19" i="9"/>
  <c r="P19" i="9"/>
  <c r="Q19" i="9"/>
  <c r="S19" i="9"/>
  <c r="L13" i="9"/>
  <c r="L16" i="9"/>
  <c r="N19" i="9"/>
  <c r="M12" i="9"/>
  <c r="M13" i="9"/>
  <c r="M14" i="9"/>
  <c r="M15" i="9"/>
  <c r="M16" i="9"/>
  <c r="M17" i="9"/>
  <c r="M18" i="9"/>
  <c r="M19" i="9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  <c r="R20" i="8"/>
  <c r="Q20" i="8"/>
  <c r="T20" i="8"/>
  <c r="P20" i="8"/>
  <c r="S20" i="8"/>
  <c r="L14" i="8"/>
  <c r="L17" i="8"/>
  <c r="L19" i="8"/>
  <c r="N20" i="8"/>
  <c r="M12" i="8"/>
  <c r="M14" i="8"/>
  <c r="M15" i="8"/>
  <c r="M16" i="8"/>
  <c r="M17" i="8"/>
  <c r="M18" i="8"/>
  <c r="M19" i="8"/>
  <c r="M20" i="8"/>
  <c r="T19" i="8"/>
  <c r="S19" i="8"/>
  <c r="T18" i="8"/>
  <c r="S18" i="8"/>
  <c r="T17" i="8"/>
  <c r="S17" i="8"/>
  <c r="T16" i="8"/>
  <c r="S16" i="8"/>
  <c r="T15" i="8"/>
  <c r="S15" i="8"/>
  <c r="T14" i="8"/>
  <c r="S14" i="8"/>
  <c r="T12" i="8"/>
  <c r="S12" i="8"/>
  <c r="R20" i="7"/>
  <c r="Q20" i="7"/>
  <c r="P20" i="7"/>
  <c r="M12" i="7"/>
  <c r="M14" i="7"/>
  <c r="M15" i="7"/>
  <c r="M16" i="7"/>
  <c r="M17" i="7"/>
  <c r="M18" i="7"/>
  <c r="M19" i="7"/>
  <c r="M20" i="7"/>
  <c r="L16" i="7"/>
  <c r="N20" i="7"/>
  <c r="T20" i="7"/>
  <c r="S20" i="7"/>
  <c r="S14" i="7"/>
  <c r="T14" i="7"/>
  <c r="S15" i="7"/>
  <c r="T15" i="7"/>
  <c r="S16" i="7"/>
  <c r="T16" i="7"/>
  <c r="S17" i="7"/>
  <c r="T17" i="7"/>
  <c r="S18" i="7"/>
  <c r="T18" i="7"/>
  <c r="S19" i="7"/>
  <c r="T19" i="7"/>
  <c r="L15" i="7"/>
  <c r="L19" i="7"/>
  <c r="T12" i="7"/>
  <c r="S12" i="7"/>
</calcChain>
</file>

<file path=xl/sharedStrings.xml><?xml version="1.0" encoding="utf-8"?>
<sst xmlns="http://schemas.openxmlformats.org/spreadsheetml/2006/main" count="233" uniqueCount="57">
  <si>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</si>
  <si>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</si>
  <si>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</si>
  <si>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</si>
  <si>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</si>
  <si>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</si>
  <si>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</si>
  <si>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</si>
  <si>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</si>
  <si>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</si>
  <si>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</si>
  <si>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</si>
  <si>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</si>
  <si>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</si>
  <si>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</si>
  <si>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</si>
  <si>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</si>
  <si>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</si>
  <si>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</si>
  <si>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</si>
  <si>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</si>
  <si>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</si>
  <si>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</si>
  <si>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</si>
  <si>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</si>
  <si>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</si>
  <si>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</si>
  <si>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METROLÍNEA</t>
  </si>
  <si>
    <t>Número de Planes Estratégicos de Seguridad Vial en METROLÍNEA formulados e implementados.</t>
  </si>
  <si>
    <t>Número de revisiones realizadas al diseño del portal norte.</t>
  </si>
  <si>
    <t>Porcentaje de avance en la gestión contractual para la construcción del portal norte.</t>
  </si>
  <si>
    <t>Número de estrategias de cultura "METROLÍNEA como un bien de todos" implementadas y mantenidas.</t>
  </si>
  <si>
    <t>Número de reestructuraciones operativas, financieras y jurídicas del SITM realizados.</t>
  </si>
  <si>
    <t>Número de contratos de concesión con seguimiento y control realizados y mantenidos.</t>
  </si>
  <si>
    <t>Número de rutas de vías alimentadoras adecuadas en el norte de la ciudad para el ingreso del sistema.</t>
  </si>
  <si>
    <t>SITM EFICIENTE Y CONFIABLE</t>
  </si>
  <si>
    <t>MOVILIDAD</t>
  </si>
  <si>
    <t>6 - INFRAESTRUCTURA Y CONECTIVIDAD</t>
  </si>
  <si>
    <t>UNA CIUDAD QUE HACE Y EJECUTA PLANES</t>
  </si>
  <si>
    <t>GOBERNANZA URBANA</t>
  </si>
  <si>
    <t>1 - GOBERNANZA DEMOCRÁTICA</t>
  </si>
  <si>
    <t>2016 - 2019</t>
  </si>
  <si>
    <t>RECURSOS FINANCIEROS 2016 - 2017 (Miles de pesos)</t>
  </si>
  <si>
    <t>AVANCE EN CUMPLIMIENTO</t>
  </si>
  <si>
    <t>CUMPLIMIENTO POR AÑO</t>
  </si>
  <si>
    <t>LÍNEA ESTRATÉGICA 1: GOBERNANZA DEMOCRÁTICA</t>
  </si>
  <si>
    <t>1.4</t>
  </si>
  <si>
    <t>1.4.3</t>
  </si>
  <si>
    <t>Una Ciudad que Hace y Ejecuta Planes</t>
  </si>
  <si>
    <t>LÍNEA ESTRATÉGICA 6: INFRAESTRUCTURA Y CONECTIVIDAD</t>
  </si>
  <si>
    <t>6.1</t>
  </si>
  <si>
    <t>6.1.1</t>
  </si>
  <si>
    <t>SITM Eficiente y Confiable</t>
  </si>
  <si>
    <t>PLAN DE DESARROLLO 2016 - 2019</t>
  </si>
  <si>
    <t>RESUMEN CUMPLIMIENTO METROLÍNEA 2016 - 2019</t>
  </si>
  <si>
    <t xml:space="preserve"> -</t>
  </si>
  <si>
    <t>META A JUNIO 2018: 54%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</si>
</sst>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7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28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3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9" fontId="8" fillId="2" borderId="42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0" fontId="6" fillId="0" borderId="28" xfId="0" quotePrefix="1" applyFont="1" applyFill="1" applyBorder="1"/>
    <xf numFmtId="3" fontId="8" fillId="2" borderId="43" xfId="0" applyNumberFormat="1" applyFont="1" applyFill="1" applyBorder="1" applyAlignment="1">
      <alignment horizontal="center" vertical="center"/>
    </xf>
    <xf numFmtId="3" fontId="8" fillId="2" borderId="31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41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164" fontId="6" fillId="3" borderId="48" xfId="0" applyNumberFormat="1" applyFont="1" applyFill="1" applyBorder="1" applyAlignment="1">
      <alignment horizontal="center" vertical="center" wrapText="1"/>
    </xf>
    <xf numFmtId="3" fontId="6" fillId="3" borderId="48" xfId="0" applyNumberFormat="1" applyFont="1" applyFill="1" applyBorder="1" applyAlignment="1">
      <alignment horizontal="center" vertical="center" wrapText="1"/>
    </xf>
    <xf numFmtId="9" fontId="7" fillId="3" borderId="48" xfId="0" applyNumberFormat="1" applyFont="1" applyFill="1" applyBorder="1" applyAlignment="1">
      <alignment horizontal="center" vertical="center" wrapText="1"/>
    </xf>
    <xf numFmtId="9" fontId="6" fillId="3" borderId="48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3" fontId="6" fillId="3" borderId="21" xfId="0" applyNumberFormat="1" applyFont="1" applyFill="1" applyBorder="1" applyAlignment="1">
      <alignment horizontal="center" vertical="center" wrapText="1"/>
    </xf>
    <xf numFmtId="9" fontId="6" fillId="3" borderId="21" xfId="0" applyNumberFormat="1" applyFont="1" applyFill="1" applyBorder="1" applyAlignment="1">
      <alignment horizontal="center" vertical="center" wrapText="1"/>
    </xf>
    <xf numFmtId="9" fontId="6" fillId="3" borderId="49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3" fontId="6" fillId="0" borderId="50" xfId="0" applyNumberFormat="1" applyFont="1" applyBorder="1" applyAlignment="1">
      <alignment horizontal="center" vertical="center"/>
    </xf>
    <xf numFmtId="3" fontId="6" fillId="0" borderId="51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9" fontId="7" fillId="0" borderId="44" xfId="0" applyNumberFormat="1" applyFont="1" applyBorder="1" applyAlignment="1">
      <alignment horizontal="center" vertical="center"/>
    </xf>
    <xf numFmtId="9" fontId="7" fillId="0" borderId="56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5" fontId="6" fillId="0" borderId="50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9" fontId="6" fillId="4" borderId="48" xfId="0" applyNumberFormat="1" applyFont="1" applyFill="1" applyBorder="1" applyAlignment="1">
      <alignment horizontal="center" vertical="center"/>
    </xf>
    <xf numFmtId="9" fontId="6" fillId="4" borderId="2" xfId="0" applyNumberFormat="1" applyFont="1" applyFill="1" applyBorder="1" applyAlignment="1">
      <alignment horizontal="center" vertical="center"/>
    </xf>
    <xf numFmtId="9" fontId="6" fillId="4" borderId="15" xfId="0" applyNumberFormat="1" applyFont="1" applyFill="1" applyBorder="1" applyAlignment="1">
      <alignment horizontal="center" vertical="center"/>
    </xf>
    <xf numFmtId="9" fontId="6" fillId="4" borderId="4" xfId="0" applyNumberFormat="1" applyFont="1" applyFill="1" applyBorder="1" applyAlignment="1">
      <alignment horizontal="center" vertical="center"/>
    </xf>
    <xf numFmtId="9" fontId="6" fillId="4" borderId="58" xfId="0" applyNumberFormat="1" applyFont="1" applyFill="1" applyBorder="1" applyAlignment="1">
      <alignment horizontal="center" vertical="center"/>
    </xf>
    <xf numFmtId="9" fontId="6" fillId="4" borderId="6" xfId="0" applyNumberFormat="1" applyFont="1" applyFill="1" applyBorder="1" applyAlignment="1">
      <alignment horizontal="center" vertical="center"/>
    </xf>
    <xf numFmtId="9" fontId="6" fillId="4" borderId="59" xfId="0" applyNumberFormat="1" applyFont="1" applyFill="1" applyBorder="1" applyAlignment="1">
      <alignment horizontal="center" vertical="center"/>
    </xf>
    <xf numFmtId="9" fontId="6" fillId="4" borderId="41" xfId="0" applyNumberFormat="1" applyFont="1" applyFill="1" applyBorder="1" applyAlignment="1">
      <alignment horizontal="center" vertical="center"/>
    </xf>
    <xf numFmtId="9" fontId="6" fillId="4" borderId="3" xfId="0" applyNumberFormat="1" applyFont="1" applyFill="1" applyBorder="1" applyAlignment="1">
      <alignment horizontal="center" vertical="center"/>
    </xf>
    <xf numFmtId="9" fontId="6" fillId="4" borderId="5" xfId="0" applyNumberFormat="1" applyFont="1" applyFill="1" applyBorder="1" applyAlignment="1">
      <alignment horizontal="center" vertical="center"/>
    </xf>
    <xf numFmtId="9" fontId="6" fillId="4" borderId="7" xfId="0" applyNumberFormat="1" applyFont="1" applyFill="1" applyBorder="1" applyAlignment="1">
      <alignment horizontal="center" vertical="center"/>
    </xf>
    <xf numFmtId="9" fontId="12" fillId="2" borderId="41" xfId="0" applyNumberFormat="1" applyFont="1" applyFill="1" applyBorder="1" applyAlignment="1">
      <alignment horizontal="center" vertical="center"/>
    </xf>
    <xf numFmtId="9" fontId="12" fillId="2" borderId="40" xfId="0" applyNumberFormat="1" applyFont="1" applyFill="1" applyBorder="1" applyAlignment="1">
      <alignment horizontal="center" vertical="center"/>
    </xf>
    <xf numFmtId="9" fontId="8" fillId="2" borderId="39" xfId="0" applyNumberFormat="1" applyFont="1" applyFill="1" applyBorder="1" applyAlignment="1">
      <alignment horizontal="center" vertical="center"/>
    </xf>
    <xf numFmtId="9" fontId="8" fillId="4" borderId="39" xfId="0" applyNumberFormat="1" applyFont="1" applyFill="1" applyBorder="1" applyAlignment="1">
      <alignment horizontal="center" vertical="center"/>
    </xf>
    <xf numFmtId="9" fontId="8" fillId="3" borderId="48" xfId="0" applyNumberFormat="1" applyFont="1" applyFill="1" applyBorder="1" applyAlignment="1">
      <alignment horizontal="center" vertical="center" wrapText="1"/>
    </xf>
    <xf numFmtId="9" fontId="8" fillId="4" borderId="8" xfId="0" applyNumberFormat="1" applyFont="1" applyFill="1" applyBorder="1" applyAlignment="1">
      <alignment horizontal="center" vertical="center"/>
    </xf>
    <xf numFmtId="9" fontId="8" fillId="4" borderId="9" xfId="0" applyNumberFormat="1" applyFont="1" applyFill="1" applyBorder="1" applyAlignment="1">
      <alignment horizontal="center" vertical="center"/>
    </xf>
    <xf numFmtId="9" fontId="8" fillId="4" borderId="10" xfId="0" applyNumberFormat="1" applyFont="1" applyFill="1" applyBorder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9" fontId="14" fillId="6" borderId="41" xfId="0" applyNumberFormat="1" applyFont="1" applyFill="1" applyBorder="1" applyAlignment="1">
      <alignment horizontal="center" vertical="center"/>
    </xf>
    <xf numFmtId="9" fontId="15" fillId="6" borderId="3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0" fillId="0" borderId="26" xfId="0" applyNumberFormat="1" applyFont="1" applyBorder="1" applyAlignment="1">
      <alignment horizontal="center" vertical="center" wrapText="1"/>
    </xf>
    <xf numFmtId="9" fontId="17" fillId="7" borderId="5" xfId="0" applyNumberFormat="1" applyFont="1" applyFill="1" applyBorder="1" applyAlignment="1">
      <alignment horizontal="center" vertical="center" wrapText="1"/>
    </xf>
    <xf numFmtId="9" fontId="18" fillId="7" borderId="26" xfId="0" applyNumberFormat="1" applyFont="1" applyFill="1" applyBorder="1" applyAlignment="1">
      <alignment horizontal="center" vertical="center" wrapText="1"/>
    </xf>
    <xf numFmtId="9" fontId="17" fillId="7" borderId="57" xfId="0" applyNumberFormat="1" applyFont="1" applyFill="1" applyBorder="1" applyAlignment="1">
      <alignment horizontal="center" vertical="center" wrapText="1"/>
    </xf>
    <xf numFmtId="9" fontId="18" fillId="7" borderId="66" xfId="0" applyNumberFormat="1" applyFont="1" applyFill="1" applyBorder="1" applyAlignment="1">
      <alignment horizontal="center" vertical="center" wrapText="1"/>
    </xf>
    <xf numFmtId="9" fontId="14" fillId="8" borderId="41" xfId="0" applyNumberFormat="1" applyFont="1" applyFill="1" applyBorder="1" applyAlignment="1">
      <alignment horizontal="center" vertical="center" wrapText="1"/>
    </xf>
    <xf numFmtId="9" fontId="15" fillId="8" borderId="38" xfId="0" applyNumberFormat="1" applyFont="1" applyFill="1" applyBorder="1" applyAlignment="1">
      <alignment horizontal="center" vertical="center" wrapText="1"/>
    </xf>
    <xf numFmtId="9" fontId="8" fillId="2" borderId="41" xfId="0" applyNumberFormat="1" applyFont="1" applyFill="1" applyBorder="1" applyAlignment="1">
      <alignment horizontal="center" vertical="center" wrapText="1"/>
    </xf>
    <xf numFmtId="9" fontId="8" fillId="2" borderId="38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164" fontId="20" fillId="0" borderId="0" xfId="0" applyNumberFormat="1" applyFont="1" applyAlignment="1">
      <alignment horizontal="left"/>
    </xf>
    <xf numFmtId="0" fontId="6" fillId="0" borderId="54" xfId="0" applyFont="1" applyBorder="1" applyAlignment="1">
      <alignment horizontal="justify" vertical="center" wrapText="1"/>
    </xf>
    <xf numFmtId="0" fontId="6" fillId="0" borderId="55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6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38" xfId="0" applyFont="1" applyFill="1" applyBorder="1" applyAlignment="1">
      <alignment horizontal="justify" vertical="center"/>
    </xf>
    <xf numFmtId="0" fontId="14" fillId="6" borderId="53" xfId="0" applyFont="1" applyFill="1" applyBorder="1" applyAlignment="1">
      <alignment horizontal="justify" vertical="center"/>
    </xf>
    <xf numFmtId="0" fontId="17" fillId="7" borderId="26" xfId="0" applyFont="1" applyFill="1" applyBorder="1" applyAlignment="1">
      <alignment horizontal="justify" vertical="center"/>
    </xf>
    <xf numFmtId="0" fontId="17" fillId="7" borderId="55" xfId="0" applyFont="1" applyFill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13" fillId="0" borderId="3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2" fillId="5" borderId="32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42" xfId="0" applyFont="1" applyFill="1" applyBorder="1" applyAlignment="1" applyProtection="1">
      <alignment horizontal="center" vertical="center" wrapText="1"/>
      <protection locked="0"/>
    </xf>
    <xf numFmtId="0" fontId="2" fillId="5" borderId="65" xfId="0" applyFont="1" applyFill="1" applyBorder="1" applyAlignment="1" applyProtection="1">
      <alignment horizontal="center" vertical="center" wrapText="1"/>
      <protection locked="0"/>
    </xf>
    <xf numFmtId="0" fontId="1" fillId="5" borderId="32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2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4" fillId="8" borderId="38" xfId="0" applyFont="1" applyFill="1" applyBorder="1" applyAlignment="1">
      <alignment horizontal="justify" vertical="center"/>
    </xf>
    <xf numFmtId="0" fontId="14" fillId="8" borderId="53" xfId="0" applyFont="1" applyFill="1" applyBorder="1" applyAlignment="1">
      <alignment horizontal="justify" vertical="center"/>
    </xf>
    <xf numFmtId="0" fontId="17" fillId="7" borderId="25" xfId="0" applyFont="1" applyFill="1" applyBorder="1" applyAlignment="1">
      <alignment horizontal="justify" vertical="center"/>
    </xf>
    <xf numFmtId="0" fontId="17" fillId="7" borderId="54" xfId="0" applyFont="1" applyFill="1" applyBorder="1" applyAlignment="1">
      <alignment horizontal="justify" vertical="center"/>
    </xf>
    <xf numFmtId="0" fontId="8" fillId="2" borderId="38" xfId="0" applyFont="1" applyFill="1" applyBorder="1" applyAlignment="1">
      <alignment horizontal="justify" vertical="center"/>
    </xf>
    <xf numFmtId="0" fontId="8" fillId="2" borderId="53" xfId="0" applyFont="1" applyFill="1" applyBorder="1" applyAlignment="1">
      <alignment horizontal="justify" vertical="center"/>
    </xf>
    <xf numFmtId="0" fontId="12" fillId="0" borderId="6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9" fontId="16" fillId="6" borderId="49" xfId="0" applyNumberFormat="1" applyFont="1" applyFill="1" applyBorder="1" applyAlignment="1">
      <alignment horizontal="center" vertical="center"/>
    </xf>
    <xf numFmtId="9" fontId="19" fillId="7" borderId="67" xfId="0" applyNumberFormat="1" applyFont="1" applyFill="1" applyBorder="1" applyAlignment="1">
      <alignment horizontal="center" vertical="center" wrapText="1"/>
    </xf>
    <xf numFmtId="9" fontId="19" fillId="0" borderId="67" xfId="0" applyNumberFormat="1" applyFont="1" applyBorder="1" applyAlignment="1">
      <alignment horizontal="center" vertical="center" wrapText="1"/>
    </xf>
    <xf numFmtId="9" fontId="16" fillId="8" borderId="49" xfId="0" applyNumberFormat="1" applyFont="1" applyFill="1" applyBorder="1" applyAlignment="1">
      <alignment horizontal="center" vertical="center" wrapText="1"/>
    </xf>
    <xf numFmtId="9" fontId="19" fillId="7" borderId="68" xfId="0" applyNumberFormat="1" applyFont="1" applyFill="1" applyBorder="1" applyAlignment="1">
      <alignment horizontal="center" vertical="center" wrapText="1"/>
    </xf>
    <xf numFmtId="9" fontId="21" fillId="2" borderId="49" xfId="0" applyNumberFormat="1" applyFont="1" applyFill="1" applyBorder="1" applyAlignment="1">
      <alignment horizontal="center" vertical="center" wrapText="1"/>
    </xf>
  </cellXfs>
  <cellStyles count="7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1612900</xdr:colOff>
      <xdr:row>1</xdr:row>
      <xdr:rowOff>76200</xdr:rowOff>
    </xdr:from>
    <xdr:to>
      <xdr:col>4</xdr:col>
      <xdr:colOff>1244600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266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46" t="s">
        <v>16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2:20" ht="20.100000000000001" customHeight="1" x14ac:dyDescent="0.2">
      <c r="B3" s="146" t="s">
        <v>19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2:20" ht="20.100000000000001" customHeight="1" x14ac:dyDescent="0.2">
      <c r="B4" s="146" t="s">
        <v>27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2016</v>
      </c>
      <c r="C8" s="21">
        <v>42735</v>
      </c>
      <c r="D8" s="147" t="s">
        <v>3</v>
      </c>
      <c r="E8" s="148"/>
      <c r="F8" s="148"/>
      <c r="G8" s="148"/>
      <c r="H8" s="148"/>
      <c r="I8" s="148"/>
      <c r="J8" s="148"/>
      <c r="K8" s="14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50" t="s">
        <v>17</v>
      </c>
      <c r="C9" s="153" t="s">
        <v>18</v>
      </c>
      <c r="D9" s="155" t="s">
        <v>0</v>
      </c>
      <c r="E9" s="158" t="s">
        <v>4</v>
      </c>
      <c r="F9" s="158"/>
      <c r="G9" s="158" t="s">
        <v>5</v>
      </c>
      <c r="H9" s="158"/>
      <c r="I9" s="158"/>
      <c r="J9" s="158"/>
      <c r="K9" s="160"/>
      <c r="L9" s="5"/>
      <c r="M9" s="155" t="s">
        <v>6</v>
      </c>
      <c r="N9" s="160"/>
      <c r="O9" s="170" t="s">
        <v>24</v>
      </c>
      <c r="P9" s="171"/>
      <c r="Q9" s="171"/>
      <c r="R9" s="171"/>
      <c r="S9" s="171"/>
      <c r="T9" s="172"/>
    </row>
    <row r="10" spans="2:20" ht="17.100000000000001" customHeight="1" x14ac:dyDescent="0.2">
      <c r="B10" s="151"/>
      <c r="C10" s="154"/>
      <c r="D10" s="156"/>
      <c r="E10" s="159"/>
      <c r="F10" s="159"/>
      <c r="G10" s="159" t="s">
        <v>7</v>
      </c>
      <c r="H10" s="163" t="s">
        <v>25</v>
      </c>
      <c r="I10" s="163" t="s">
        <v>26</v>
      </c>
      <c r="J10" s="164" t="s">
        <v>1</v>
      </c>
      <c r="K10" s="161" t="s">
        <v>8</v>
      </c>
      <c r="L10" s="6"/>
      <c r="M10" s="166" t="s">
        <v>9</v>
      </c>
      <c r="N10" s="168" t="s">
        <v>10</v>
      </c>
      <c r="O10" s="173"/>
      <c r="P10" s="174"/>
      <c r="Q10" s="174"/>
      <c r="R10" s="174"/>
      <c r="S10" s="174"/>
      <c r="T10" s="175"/>
    </row>
    <row r="11" spans="2:20" ht="37.5" customHeight="1" thickBot="1" x14ac:dyDescent="0.25">
      <c r="B11" s="152"/>
      <c r="C11" s="154"/>
      <c r="D11" s="157"/>
      <c r="E11" s="37" t="s">
        <v>11</v>
      </c>
      <c r="F11" s="37" t="s">
        <v>12</v>
      </c>
      <c r="G11" s="163"/>
      <c r="H11" s="176"/>
      <c r="I11" s="176"/>
      <c r="J11" s="165"/>
      <c r="K11" s="162"/>
      <c r="L11" s="14"/>
      <c r="M11" s="167"/>
      <c r="N11" s="169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5.75" thickBot="1" x14ac:dyDescent="0.25">
      <c r="B12" s="55" t="s">
        <v>40</v>
      </c>
      <c r="C12" s="66" t="s">
        <v>39</v>
      </c>
      <c r="D12" s="61" t="s">
        <v>38</v>
      </c>
      <c r="E12" s="41">
        <v>42370</v>
      </c>
      <c r="F12" s="41">
        <v>42735</v>
      </c>
      <c r="G12" s="72" t="s">
        <v>28</v>
      </c>
      <c r="H12" s="42">
        <v>1</v>
      </c>
      <c r="I12" s="42">
        <v>1</v>
      </c>
      <c r="J12" s="42">
        <v>1</v>
      </c>
      <c r="K12" s="75">
        <v>0.4</v>
      </c>
      <c r="L12" s="67">
        <f>+K12/J12</f>
        <v>0.4</v>
      </c>
      <c r="M12" s="69">
        <f>DAYS360(E12,$C$8)/DAYS360(E12,F12)</f>
        <v>1</v>
      </c>
      <c r="N12" s="44">
        <f>IF(J12=0," -",IF(L12&gt;100%,100%,L12))</f>
        <v>0.4</v>
      </c>
      <c r="O12" s="62">
        <v>21032501</v>
      </c>
      <c r="P12" s="42">
        <v>0</v>
      </c>
      <c r="Q12" s="42">
        <v>0</v>
      </c>
      <c r="R12" s="42">
        <v>0</v>
      </c>
      <c r="S12" s="43" t="str">
        <f>IF(P12=0," -",Q12/P12)</f>
        <v xml:space="preserve"> -</v>
      </c>
      <c r="T12" s="44" t="str">
        <f>IF(R12=0," -",IF(Q12=0,100%,R12/Q12))</f>
        <v xml:space="preserve"> -</v>
      </c>
    </row>
    <row r="13" spans="2:20" ht="12.95" customHeight="1" thickBot="1" x14ac:dyDescent="0.25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 x14ac:dyDescent="0.2">
      <c r="B14" s="143" t="s">
        <v>37</v>
      </c>
      <c r="C14" s="140" t="s">
        <v>36</v>
      </c>
      <c r="D14" s="137" t="s">
        <v>35</v>
      </c>
      <c r="E14" s="30">
        <v>42370</v>
      </c>
      <c r="F14" s="30">
        <v>42735</v>
      </c>
      <c r="G14" s="8" t="s">
        <v>29</v>
      </c>
      <c r="H14" s="31">
        <v>1</v>
      </c>
      <c r="I14" s="31">
        <v>1</v>
      </c>
      <c r="J14" s="31">
        <v>1</v>
      </c>
      <c r="K14" s="57">
        <v>1</v>
      </c>
      <c r="L14" s="10">
        <f t="shared" ref="L14:L19" si="0">+K14/J14</f>
        <v>1</v>
      </c>
      <c r="M14" s="11">
        <f t="shared" ref="M14:M19" si="1">DAYS360(E14,$C$8)/DAYS360(E14,F14)</f>
        <v>1</v>
      </c>
      <c r="N14" s="12">
        <f t="shared" ref="N14:N19" si="2">IF(J14=0," -",IF(L14&gt;100%,100%,L14))</f>
        <v>1</v>
      </c>
      <c r="O14" s="63" t="s">
        <v>55</v>
      </c>
      <c r="P14" s="31">
        <v>488844</v>
      </c>
      <c r="Q14" s="31">
        <v>488844</v>
      </c>
      <c r="R14" s="31">
        <v>0</v>
      </c>
      <c r="S14" s="13">
        <f t="shared" ref="S14:S20" si="3">IF(P14=0," -",Q14/P14)</f>
        <v>1</v>
      </c>
      <c r="T14" s="12" t="str">
        <f t="shared" ref="T14:T20" si="4">IF(R14=0," -",IF(Q14=0,100%,R14/Q14))</f>
        <v xml:space="preserve"> -</v>
      </c>
    </row>
    <row r="15" spans="2:20" ht="45" x14ac:dyDescent="0.2">
      <c r="B15" s="144"/>
      <c r="C15" s="141"/>
      <c r="D15" s="138"/>
      <c r="E15" s="28">
        <v>42370</v>
      </c>
      <c r="F15" s="73">
        <v>42735</v>
      </c>
      <c r="G15" s="9" t="s">
        <v>30</v>
      </c>
      <c r="H15" s="20">
        <v>1</v>
      </c>
      <c r="I15" s="20">
        <v>0</v>
      </c>
      <c r="J15" s="20">
        <v>0</v>
      </c>
      <c r="K15" s="58">
        <v>0.1</v>
      </c>
      <c r="L15" s="15" t="e">
        <f t="shared" si="0"/>
        <v>#DIV/0!</v>
      </c>
      <c r="M15" s="16">
        <f t="shared" si="1"/>
        <v>1</v>
      </c>
      <c r="N15" s="17" t="str">
        <f t="shared" si="2"/>
        <v xml:space="preserve"> -</v>
      </c>
      <c r="O15" s="64" t="s">
        <v>55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 x14ac:dyDescent="0.2">
      <c r="B16" s="144"/>
      <c r="C16" s="141"/>
      <c r="D16" s="138"/>
      <c r="E16" s="28">
        <v>42370</v>
      </c>
      <c r="F16" s="73">
        <v>42735</v>
      </c>
      <c r="G16" s="9" t="s">
        <v>31</v>
      </c>
      <c r="H16" s="29">
        <v>1</v>
      </c>
      <c r="I16" s="29">
        <v>0</v>
      </c>
      <c r="J16" s="29">
        <v>0</v>
      </c>
      <c r="K16" s="59">
        <v>0</v>
      </c>
      <c r="L16" s="15" t="e">
        <f t="shared" si="0"/>
        <v>#DIV/0!</v>
      </c>
      <c r="M16" s="16">
        <f t="shared" si="1"/>
        <v>1</v>
      </c>
      <c r="N16" s="17" t="str">
        <f t="shared" si="2"/>
        <v xml:space="preserve"> -</v>
      </c>
      <c r="O16" s="64">
        <v>21032505</v>
      </c>
      <c r="P16" s="29">
        <v>100000</v>
      </c>
      <c r="Q16" s="29">
        <v>0</v>
      </c>
      <c r="R16" s="29">
        <v>0</v>
      </c>
      <c r="S16" s="20">
        <f t="shared" si="3"/>
        <v>0</v>
      </c>
      <c r="T16" s="17" t="str">
        <f t="shared" si="4"/>
        <v xml:space="preserve"> -</v>
      </c>
    </row>
    <row r="17" spans="2:20" ht="45" x14ac:dyDescent="0.2">
      <c r="B17" s="144"/>
      <c r="C17" s="141"/>
      <c r="D17" s="138"/>
      <c r="E17" s="28">
        <v>42370</v>
      </c>
      <c r="F17" s="73">
        <v>42735</v>
      </c>
      <c r="G17" s="9" t="s">
        <v>32</v>
      </c>
      <c r="H17" s="29">
        <v>1</v>
      </c>
      <c r="I17" s="29">
        <v>1</v>
      </c>
      <c r="J17" s="29">
        <v>1</v>
      </c>
      <c r="K17" s="59">
        <v>1</v>
      </c>
      <c r="L17" s="15">
        <f t="shared" si="0"/>
        <v>1</v>
      </c>
      <c r="M17" s="16">
        <f t="shared" si="1"/>
        <v>1</v>
      </c>
      <c r="N17" s="17">
        <f t="shared" si="2"/>
        <v>1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 x14ac:dyDescent="0.2">
      <c r="B18" s="144"/>
      <c r="C18" s="141"/>
      <c r="D18" s="138"/>
      <c r="E18" s="28">
        <v>42370</v>
      </c>
      <c r="F18" s="73">
        <v>42735</v>
      </c>
      <c r="G18" s="9" t="s">
        <v>33</v>
      </c>
      <c r="H18" s="29">
        <v>3</v>
      </c>
      <c r="I18" s="29"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0</v>
      </c>
      <c r="Q18" s="29">
        <v>0</v>
      </c>
      <c r="R18" s="29">
        <v>0</v>
      </c>
      <c r="S18" s="20" t="str">
        <f t="shared" si="3"/>
        <v xml:space="preserve"> -</v>
      </c>
      <c r="T18" s="17" t="str">
        <f t="shared" si="4"/>
        <v xml:space="preserve"> -</v>
      </c>
    </row>
    <row r="19" spans="2:20" ht="45.75" thickBot="1" x14ac:dyDescent="0.25">
      <c r="B19" s="145"/>
      <c r="C19" s="142"/>
      <c r="D19" s="139"/>
      <c r="E19" s="32">
        <v>42370</v>
      </c>
      <c r="F19" s="32">
        <v>42735</v>
      </c>
      <c r="G19" s="33" t="s">
        <v>34</v>
      </c>
      <c r="H19" s="34">
        <v>2</v>
      </c>
      <c r="I19" s="34">
        <v>0</v>
      </c>
      <c r="J19" s="34">
        <v>0</v>
      </c>
      <c r="K19" s="60">
        <v>0</v>
      </c>
      <c r="L19" s="68" t="e">
        <f t="shared" si="0"/>
        <v>#DIV/0!</v>
      </c>
      <c r="M19" s="70">
        <f t="shared" si="1"/>
        <v>1</v>
      </c>
      <c r="N19" s="36" t="str">
        <f t="shared" si="2"/>
        <v xml:space="preserve"> -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 x14ac:dyDescent="0.25">
      <c r="M20" s="22">
        <f>+AVERAGE(M12,M14:M19)</f>
        <v>1</v>
      </c>
      <c r="N20" s="23">
        <f>+AVERAGE(N12,N14:N19)</f>
        <v>0.85</v>
      </c>
      <c r="O20" s="24"/>
      <c r="P20" s="25">
        <f>+SUM(P12,P14:P19)</f>
        <v>588844</v>
      </c>
      <c r="Q20" s="26">
        <f>+SUM(Q12,Q14:Q19)</f>
        <v>488844</v>
      </c>
      <c r="R20" s="26">
        <f>+SUM(R12,R14:R19)</f>
        <v>0</v>
      </c>
      <c r="S20" s="27">
        <f t="shared" si="3"/>
        <v>0.83017573415030121</v>
      </c>
      <c r="T20" s="23" t="str">
        <f t="shared" si="4"/>
        <v xml:space="preserve"> -</v>
      </c>
    </row>
  </sheetData>
  <mergeCells count="21">
    <mergeCell ref="M10:M11"/>
    <mergeCell ref="N10:N11"/>
    <mergeCell ref="O9:T10"/>
    <mergeCell ref="H10:H11"/>
    <mergeCell ref="I10:I11"/>
    <mergeCell ref="D14:D19"/>
    <mergeCell ref="C14:C19"/>
    <mergeCell ref="B14:B19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46" t="s">
        <v>16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2:20" ht="20.100000000000001" customHeight="1" x14ac:dyDescent="0.2">
      <c r="B3" s="146" t="s">
        <v>19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2:20" ht="20.100000000000001" customHeight="1" x14ac:dyDescent="0.2">
      <c r="B4" s="146" t="s">
        <v>27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21">
        <v>43100</v>
      </c>
      <c r="D8" s="147" t="s">
        <v>3</v>
      </c>
      <c r="E8" s="148"/>
      <c r="F8" s="148"/>
      <c r="G8" s="148"/>
      <c r="H8" s="148"/>
      <c r="I8" s="148"/>
      <c r="J8" s="148"/>
      <c r="K8" s="14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50" t="s">
        <v>17</v>
      </c>
      <c r="C9" s="153" t="s">
        <v>18</v>
      </c>
      <c r="D9" s="155" t="s">
        <v>0</v>
      </c>
      <c r="E9" s="158" t="s">
        <v>4</v>
      </c>
      <c r="F9" s="158"/>
      <c r="G9" s="158" t="s">
        <v>5</v>
      </c>
      <c r="H9" s="158"/>
      <c r="I9" s="158"/>
      <c r="J9" s="158"/>
      <c r="K9" s="160"/>
      <c r="L9" s="5"/>
      <c r="M9" s="155" t="s">
        <v>6</v>
      </c>
      <c r="N9" s="160"/>
      <c r="O9" s="170" t="s">
        <v>24</v>
      </c>
      <c r="P9" s="171"/>
      <c r="Q9" s="171"/>
      <c r="R9" s="171"/>
      <c r="S9" s="171"/>
      <c r="T9" s="172"/>
    </row>
    <row r="10" spans="2:20" ht="17.100000000000001" customHeight="1" x14ac:dyDescent="0.2">
      <c r="B10" s="151"/>
      <c r="C10" s="154"/>
      <c r="D10" s="156"/>
      <c r="E10" s="159"/>
      <c r="F10" s="159"/>
      <c r="G10" s="159" t="s">
        <v>7</v>
      </c>
      <c r="H10" s="163" t="s">
        <v>25</v>
      </c>
      <c r="I10" s="163" t="s">
        <v>26</v>
      </c>
      <c r="J10" s="164" t="s">
        <v>1</v>
      </c>
      <c r="K10" s="161" t="s">
        <v>8</v>
      </c>
      <c r="L10" s="6"/>
      <c r="M10" s="166" t="s">
        <v>9</v>
      </c>
      <c r="N10" s="168" t="s">
        <v>10</v>
      </c>
      <c r="O10" s="173"/>
      <c r="P10" s="174"/>
      <c r="Q10" s="174"/>
      <c r="R10" s="174"/>
      <c r="S10" s="174"/>
      <c r="T10" s="175"/>
    </row>
    <row r="11" spans="2:20" ht="37.5" customHeight="1" thickBot="1" x14ac:dyDescent="0.25">
      <c r="B11" s="152"/>
      <c r="C11" s="154"/>
      <c r="D11" s="157"/>
      <c r="E11" s="37" t="s">
        <v>11</v>
      </c>
      <c r="F11" s="37" t="s">
        <v>12</v>
      </c>
      <c r="G11" s="163"/>
      <c r="H11" s="176"/>
      <c r="I11" s="177"/>
      <c r="J11" s="165"/>
      <c r="K11" s="162"/>
      <c r="L11" s="14"/>
      <c r="M11" s="167"/>
      <c r="N11" s="169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5.75" thickBot="1" x14ac:dyDescent="0.25">
      <c r="B12" s="55" t="s">
        <v>40</v>
      </c>
      <c r="C12" s="66" t="s">
        <v>39</v>
      </c>
      <c r="D12" s="61" t="s">
        <v>38</v>
      </c>
      <c r="E12" s="41">
        <v>42736</v>
      </c>
      <c r="F12" s="41">
        <v>43100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1</v>
      </c>
      <c r="L12" s="67">
        <f>+K12/J12</f>
        <v>1</v>
      </c>
      <c r="M12" s="69">
        <f>DAYS360(E12,$C$8)/DAYS360(E12,F12)</f>
        <v>1</v>
      </c>
      <c r="N12" s="44">
        <f>IF(J12=0," -",IF(L12&gt;100%,100%,L12))</f>
        <v>1</v>
      </c>
      <c r="O12" s="62">
        <v>21032501</v>
      </c>
      <c r="P12" s="42">
        <v>0</v>
      </c>
      <c r="Q12" s="42">
        <v>0</v>
      </c>
      <c r="R12" s="42">
        <v>0</v>
      </c>
      <c r="S12" s="43" t="str">
        <f>IF(P12=0," -",Q12/P12)</f>
        <v xml:space="preserve"> -</v>
      </c>
      <c r="T12" s="44" t="str">
        <f>IF(R12=0," -",IF(Q12=0,100%,R12/Q12))</f>
        <v xml:space="preserve"> -</v>
      </c>
    </row>
    <row r="13" spans="2:20" ht="12.95" customHeight="1" thickBot="1" x14ac:dyDescent="0.25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 x14ac:dyDescent="0.2">
      <c r="B14" s="143" t="s">
        <v>37</v>
      </c>
      <c r="C14" s="140" t="s">
        <v>36</v>
      </c>
      <c r="D14" s="137" t="s">
        <v>35</v>
      </c>
      <c r="E14" s="30">
        <v>42736</v>
      </c>
      <c r="F14" s="30">
        <v>43100</v>
      </c>
      <c r="G14" s="8" t="s">
        <v>29</v>
      </c>
      <c r="H14" s="31">
        <v>1</v>
      </c>
      <c r="I14" s="29">
        <f>+J14+('2016'!I14-'2016'!K14)</f>
        <v>0</v>
      </c>
      <c r="J14" s="31">
        <v>0</v>
      </c>
      <c r="K14" s="57">
        <v>0</v>
      </c>
      <c r="L14" s="10" t="e">
        <f t="shared" ref="L14:L19" si="0">+K14/J14</f>
        <v>#DIV/0!</v>
      </c>
      <c r="M14" s="11">
        <f t="shared" ref="M14:M19" si="1">DAYS360(E14,$C$8)/DAYS360(E14,F14)</f>
        <v>1</v>
      </c>
      <c r="N14" s="12" t="str">
        <f t="shared" ref="N14:N19" si="2">IF(J14=0," -",IF(L14&gt;100%,100%,L14))</f>
        <v xml:space="preserve"> -</v>
      </c>
      <c r="O14" s="63" t="s">
        <v>55</v>
      </c>
      <c r="P14" s="31">
        <v>0</v>
      </c>
      <c r="Q14" s="31">
        <v>0</v>
      </c>
      <c r="R14" s="31">
        <v>0</v>
      </c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 x14ac:dyDescent="0.2">
      <c r="B15" s="144"/>
      <c r="C15" s="141"/>
      <c r="D15" s="138"/>
      <c r="E15" s="28">
        <v>42736</v>
      </c>
      <c r="F15" s="73">
        <v>43100</v>
      </c>
      <c r="G15" s="9" t="s">
        <v>30</v>
      </c>
      <c r="H15" s="20">
        <v>1</v>
      </c>
      <c r="I15" s="20">
        <f>+J15+('2016'!I15-'2016'!K15)</f>
        <v>0</v>
      </c>
      <c r="J15" s="20">
        <v>0.1</v>
      </c>
      <c r="K15" s="58">
        <v>0.8</v>
      </c>
      <c r="L15" s="15">
        <f t="shared" si="0"/>
        <v>8</v>
      </c>
      <c r="M15" s="16">
        <f t="shared" si="1"/>
        <v>1</v>
      </c>
      <c r="N15" s="17">
        <f t="shared" si="2"/>
        <v>1</v>
      </c>
      <c r="O15" s="64" t="s">
        <v>55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 x14ac:dyDescent="0.2">
      <c r="B16" s="144"/>
      <c r="C16" s="141"/>
      <c r="D16" s="138"/>
      <c r="E16" s="28">
        <v>42736</v>
      </c>
      <c r="F16" s="73">
        <v>43100</v>
      </c>
      <c r="G16" s="9" t="s">
        <v>31</v>
      </c>
      <c r="H16" s="29">
        <v>1</v>
      </c>
      <c r="I16" s="29">
        <f>+J16</f>
        <v>1</v>
      </c>
      <c r="J16" s="29">
        <v>1</v>
      </c>
      <c r="K16" s="59">
        <v>1</v>
      </c>
      <c r="L16" s="15">
        <f t="shared" si="0"/>
        <v>1</v>
      </c>
      <c r="M16" s="16">
        <f t="shared" si="1"/>
        <v>1</v>
      </c>
      <c r="N16" s="17">
        <f t="shared" si="2"/>
        <v>1</v>
      </c>
      <c r="O16" s="64">
        <v>21032505</v>
      </c>
      <c r="P16" s="29">
        <v>0</v>
      </c>
      <c r="Q16" s="29">
        <v>0</v>
      </c>
      <c r="R16" s="29">
        <v>18850</v>
      </c>
      <c r="S16" s="20" t="str">
        <f t="shared" si="3"/>
        <v xml:space="preserve"> -</v>
      </c>
      <c r="T16" s="17">
        <f t="shared" si="4"/>
        <v>1</v>
      </c>
    </row>
    <row r="17" spans="2:20" ht="45" x14ac:dyDescent="0.2">
      <c r="B17" s="144"/>
      <c r="C17" s="141"/>
      <c r="D17" s="138"/>
      <c r="E17" s="28">
        <v>42736</v>
      </c>
      <c r="F17" s="73">
        <v>43100</v>
      </c>
      <c r="G17" s="9" t="s">
        <v>32</v>
      </c>
      <c r="H17" s="29">
        <v>1</v>
      </c>
      <c r="I17" s="29">
        <f>+J17+('2016'!I17-'2016'!K17)</f>
        <v>0</v>
      </c>
      <c r="J17" s="29">
        <v>0</v>
      </c>
      <c r="K17" s="59">
        <v>0</v>
      </c>
      <c r="L17" s="15" t="e">
        <f t="shared" si="0"/>
        <v>#DIV/0!</v>
      </c>
      <c r="M17" s="16">
        <f t="shared" si="1"/>
        <v>1</v>
      </c>
      <c r="N17" s="17" t="str">
        <f t="shared" si="2"/>
        <v xml:space="preserve"> -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 x14ac:dyDescent="0.2">
      <c r="B18" s="144"/>
      <c r="C18" s="141"/>
      <c r="D18" s="138"/>
      <c r="E18" s="28">
        <v>42736</v>
      </c>
      <c r="F18" s="73">
        <v>43100</v>
      </c>
      <c r="G18" s="9" t="s">
        <v>33</v>
      </c>
      <c r="H18" s="29">
        <v>3</v>
      </c>
      <c r="I18" s="29">
        <f>+J18</f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0</v>
      </c>
      <c r="Q18" s="29">
        <v>0</v>
      </c>
      <c r="R18" s="29">
        <v>0</v>
      </c>
      <c r="S18" s="20" t="str">
        <f t="shared" si="3"/>
        <v xml:space="preserve"> -</v>
      </c>
      <c r="T18" s="17" t="str">
        <f t="shared" si="4"/>
        <v xml:space="preserve"> -</v>
      </c>
    </row>
    <row r="19" spans="2:20" ht="45.75" thickBot="1" x14ac:dyDescent="0.25">
      <c r="B19" s="145"/>
      <c r="C19" s="142"/>
      <c r="D19" s="139"/>
      <c r="E19" s="32">
        <v>42736</v>
      </c>
      <c r="F19" s="32">
        <v>43100</v>
      </c>
      <c r="G19" s="33" t="s">
        <v>34</v>
      </c>
      <c r="H19" s="34">
        <v>2</v>
      </c>
      <c r="I19" s="34">
        <f>+J19+('2016'!I19-'2016'!K19)</f>
        <v>0</v>
      </c>
      <c r="J19" s="34">
        <v>0</v>
      </c>
      <c r="K19" s="60">
        <v>0</v>
      </c>
      <c r="L19" s="68" t="e">
        <f t="shared" si="0"/>
        <v>#DIV/0!</v>
      </c>
      <c r="M19" s="70">
        <f t="shared" si="1"/>
        <v>1</v>
      </c>
      <c r="N19" s="36" t="str">
        <f t="shared" si="2"/>
        <v xml:space="preserve"> -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 x14ac:dyDescent="0.25">
      <c r="M20" s="22">
        <f>+AVERAGE(M12,M14:M19)</f>
        <v>1</v>
      </c>
      <c r="N20" s="23">
        <f>+AVERAGE(N12,N14:N19)</f>
        <v>1</v>
      </c>
      <c r="O20" s="24"/>
      <c r="P20" s="25">
        <f>+SUM(P12,P14:P19)</f>
        <v>0</v>
      </c>
      <c r="Q20" s="26">
        <f>+SUM(Q12,Q14:Q19)</f>
        <v>0</v>
      </c>
      <c r="R20" s="26">
        <f>+SUM(R12,R14:R19)</f>
        <v>18850</v>
      </c>
      <c r="S20" s="27" t="str">
        <f t="shared" si="3"/>
        <v xml:space="preserve"> -</v>
      </c>
      <c r="T20" s="23">
        <f t="shared" si="4"/>
        <v>1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tabSelected="1" zoomScale="80" zoomScaleNormal="80" workbookViewId="0">
      <selection activeCell="H13" sqref="H13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46" t="s">
        <v>16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2:20" ht="20.100000000000001" customHeight="1" x14ac:dyDescent="0.2">
      <c r="B3" s="146" t="s">
        <v>19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2:20" ht="20.100000000000001" customHeight="1" x14ac:dyDescent="0.2">
      <c r="B4" s="146" t="s">
        <v>27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21">
        <v>43281</v>
      </c>
      <c r="D8" s="147" t="s">
        <v>3</v>
      </c>
      <c r="E8" s="148"/>
      <c r="F8" s="148"/>
      <c r="G8" s="148"/>
      <c r="H8" s="148"/>
      <c r="I8" s="148"/>
      <c r="J8" s="148"/>
      <c r="K8" s="14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50" t="s">
        <v>17</v>
      </c>
      <c r="C9" s="153" t="s">
        <v>18</v>
      </c>
      <c r="D9" s="155" t="s">
        <v>0</v>
      </c>
      <c r="E9" s="158" t="s">
        <v>4</v>
      </c>
      <c r="F9" s="158"/>
      <c r="G9" s="158" t="s">
        <v>5</v>
      </c>
      <c r="H9" s="158"/>
      <c r="I9" s="158"/>
      <c r="J9" s="158"/>
      <c r="K9" s="160"/>
      <c r="L9" s="5"/>
      <c r="M9" s="155" t="s">
        <v>6</v>
      </c>
      <c r="N9" s="160"/>
      <c r="O9" s="170" t="s">
        <v>24</v>
      </c>
      <c r="P9" s="171"/>
      <c r="Q9" s="171"/>
      <c r="R9" s="171"/>
      <c r="S9" s="171"/>
      <c r="T9" s="172"/>
    </row>
    <row r="10" spans="2:20" ht="17.100000000000001" customHeight="1" x14ac:dyDescent="0.2">
      <c r="B10" s="151"/>
      <c r="C10" s="154"/>
      <c r="D10" s="156"/>
      <c r="E10" s="159"/>
      <c r="F10" s="159"/>
      <c r="G10" s="159" t="s">
        <v>7</v>
      </c>
      <c r="H10" s="163" t="s">
        <v>25</v>
      </c>
      <c r="I10" s="163" t="s">
        <v>26</v>
      </c>
      <c r="J10" s="164" t="s">
        <v>1</v>
      </c>
      <c r="K10" s="161" t="s">
        <v>8</v>
      </c>
      <c r="L10" s="6"/>
      <c r="M10" s="166" t="s">
        <v>9</v>
      </c>
      <c r="N10" s="168" t="s">
        <v>10</v>
      </c>
      <c r="O10" s="173"/>
      <c r="P10" s="174"/>
      <c r="Q10" s="174"/>
      <c r="R10" s="174"/>
      <c r="S10" s="174"/>
      <c r="T10" s="175"/>
    </row>
    <row r="11" spans="2:20" ht="37.5" customHeight="1" thickBot="1" x14ac:dyDescent="0.25">
      <c r="B11" s="152"/>
      <c r="C11" s="154"/>
      <c r="D11" s="157"/>
      <c r="E11" s="37" t="s">
        <v>11</v>
      </c>
      <c r="F11" s="37" t="s">
        <v>12</v>
      </c>
      <c r="G11" s="163"/>
      <c r="H11" s="176"/>
      <c r="I11" s="177"/>
      <c r="J11" s="165"/>
      <c r="K11" s="162"/>
      <c r="L11" s="14"/>
      <c r="M11" s="167"/>
      <c r="N11" s="169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5.75" thickBot="1" x14ac:dyDescent="0.25">
      <c r="B12" s="55" t="s">
        <v>40</v>
      </c>
      <c r="C12" s="66" t="s">
        <v>39</v>
      </c>
      <c r="D12" s="61" t="s">
        <v>38</v>
      </c>
      <c r="E12" s="41">
        <v>43101</v>
      </c>
      <c r="F12" s="41">
        <v>43465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1</v>
      </c>
      <c r="L12" s="67">
        <f>+K12/J12</f>
        <v>1</v>
      </c>
      <c r="M12" s="69">
        <f>DAYS360(E12,$C$8)/DAYS360(E12,F12)</f>
        <v>0.49722222222222223</v>
      </c>
      <c r="N12" s="44">
        <f>IF(J12=0," -",IF(L12&gt;100%,100%,L12))</f>
        <v>1</v>
      </c>
      <c r="O12" s="62">
        <v>21032501</v>
      </c>
      <c r="P12" s="42">
        <v>50000</v>
      </c>
      <c r="Q12" s="42">
        <v>0</v>
      </c>
      <c r="R12" s="42">
        <v>0</v>
      </c>
      <c r="S12" s="43">
        <f>IF(P12=0," -",Q12/P12)</f>
        <v>0</v>
      </c>
      <c r="T12" s="44" t="str">
        <f>IF(R12=0," -",IF(Q12=0,100%,R12/Q12))</f>
        <v xml:space="preserve"> -</v>
      </c>
    </row>
    <row r="13" spans="2:20" ht="30" x14ac:dyDescent="0.2">
      <c r="B13" s="143" t="s">
        <v>37</v>
      </c>
      <c r="C13" s="140" t="s">
        <v>36</v>
      </c>
      <c r="D13" s="137" t="s">
        <v>35</v>
      </c>
      <c r="E13" s="30">
        <v>43101</v>
      </c>
      <c r="F13" s="30">
        <v>43465</v>
      </c>
      <c r="G13" s="8" t="s">
        <v>29</v>
      </c>
      <c r="H13" s="31">
        <v>1</v>
      </c>
      <c r="I13" s="29">
        <f>+J13+('2017'!I14-'2017'!K14)</f>
        <v>0</v>
      </c>
      <c r="J13" s="31">
        <v>0</v>
      </c>
      <c r="K13" s="57">
        <v>0</v>
      </c>
      <c r="L13" s="10" t="e">
        <f t="shared" ref="L13:L18" si="0">+K13/J13</f>
        <v>#DIV/0!</v>
      </c>
      <c r="M13" s="11">
        <f t="shared" ref="M13:M18" si="1">DAYS360(E13,$C$8)/DAYS360(E13,F13)</f>
        <v>0.49722222222222223</v>
      </c>
      <c r="N13" s="12" t="str">
        <f t="shared" ref="N13:N18" si="2">IF(J13=0," -",IF(L13&gt;100%,100%,L13))</f>
        <v xml:space="preserve"> -</v>
      </c>
      <c r="O13" s="63" t="s">
        <v>55</v>
      </c>
      <c r="P13" s="31">
        <v>0</v>
      </c>
      <c r="Q13" s="31">
        <v>0</v>
      </c>
      <c r="R13" s="31">
        <v>0</v>
      </c>
      <c r="S13" s="13" t="str">
        <f t="shared" ref="S13:S19" si="3">IF(P13=0," -",Q13/P13)</f>
        <v xml:space="preserve"> -</v>
      </c>
      <c r="T13" s="12" t="str">
        <f t="shared" ref="T13:T19" si="4">IF(R13=0," -",IF(Q13=0,100%,R13/Q13))</f>
        <v xml:space="preserve"> -</v>
      </c>
    </row>
    <row r="14" spans="2:20" ht="45" x14ac:dyDescent="0.2">
      <c r="B14" s="144"/>
      <c r="C14" s="141"/>
      <c r="D14" s="138"/>
      <c r="E14" s="28">
        <v>43101</v>
      </c>
      <c r="F14" s="73">
        <v>43465</v>
      </c>
      <c r="G14" s="9" t="s">
        <v>30</v>
      </c>
      <c r="H14" s="20">
        <v>1</v>
      </c>
      <c r="I14" s="20">
        <f>+J14+('2017'!I15-'2017'!K15)</f>
        <v>-0.4</v>
      </c>
      <c r="J14" s="20">
        <v>0.4</v>
      </c>
      <c r="K14" s="58">
        <v>0.1</v>
      </c>
      <c r="L14" s="15">
        <f t="shared" si="0"/>
        <v>0.25</v>
      </c>
      <c r="M14" s="16">
        <f t="shared" si="1"/>
        <v>0.49722222222222223</v>
      </c>
      <c r="N14" s="17">
        <f t="shared" si="2"/>
        <v>0.25</v>
      </c>
      <c r="O14" s="64" t="s">
        <v>55</v>
      </c>
      <c r="P14" s="29">
        <v>0</v>
      </c>
      <c r="Q14" s="29">
        <v>0</v>
      </c>
      <c r="R14" s="29">
        <v>0</v>
      </c>
      <c r="S14" s="20" t="str">
        <f t="shared" si="3"/>
        <v xml:space="preserve"> -</v>
      </c>
      <c r="T14" s="17" t="str">
        <f t="shared" si="4"/>
        <v xml:space="preserve"> -</v>
      </c>
    </row>
    <row r="15" spans="2:20" ht="45" x14ac:dyDescent="0.2">
      <c r="B15" s="144"/>
      <c r="C15" s="141"/>
      <c r="D15" s="138"/>
      <c r="E15" s="28">
        <v>43101</v>
      </c>
      <c r="F15" s="73">
        <v>43465</v>
      </c>
      <c r="G15" s="9" t="s">
        <v>31</v>
      </c>
      <c r="H15" s="29">
        <v>1</v>
      </c>
      <c r="I15" s="29">
        <f>+J15</f>
        <v>1</v>
      </c>
      <c r="J15" s="29">
        <v>1</v>
      </c>
      <c r="K15" s="59">
        <v>1</v>
      </c>
      <c r="L15" s="15">
        <f t="shared" si="0"/>
        <v>1</v>
      </c>
      <c r="M15" s="16">
        <f t="shared" si="1"/>
        <v>0.49722222222222223</v>
      </c>
      <c r="N15" s="17">
        <f t="shared" si="2"/>
        <v>1</v>
      </c>
      <c r="O15" s="64">
        <v>21032505</v>
      </c>
      <c r="P15" s="29">
        <v>80000</v>
      </c>
      <c r="Q15" s="29">
        <v>0</v>
      </c>
      <c r="R15" s="29">
        <v>0</v>
      </c>
      <c r="S15" s="20">
        <f t="shared" si="3"/>
        <v>0</v>
      </c>
      <c r="T15" s="17" t="str">
        <f t="shared" si="4"/>
        <v xml:space="preserve"> -</v>
      </c>
    </row>
    <row r="16" spans="2:20" ht="45" x14ac:dyDescent="0.2">
      <c r="B16" s="144"/>
      <c r="C16" s="141"/>
      <c r="D16" s="138"/>
      <c r="E16" s="28">
        <v>43101</v>
      </c>
      <c r="F16" s="73">
        <v>43465</v>
      </c>
      <c r="G16" s="9" t="s">
        <v>32</v>
      </c>
      <c r="H16" s="29">
        <v>1</v>
      </c>
      <c r="I16" s="29">
        <f>+J16+('2017'!I17-'2017'!K17)</f>
        <v>0</v>
      </c>
      <c r="J16" s="29">
        <v>0</v>
      </c>
      <c r="K16" s="59">
        <v>0</v>
      </c>
      <c r="L16" s="15" t="e">
        <f t="shared" si="0"/>
        <v>#DIV/0!</v>
      </c>
      <c r="M16" s="16">
        <f t="shared" si="1"/>
        <v>0.49722222222222223</v>
      </c>
      <c r="N16" s="17" t="str">
        <f t="shared" si="2"/>
        <v xml:space="preserve"> -</v>
      </c>
      <c r="O16" s="64">
        <v>21032501</v>
      </c>
      <c r="P16" s="29">
        <v>0</v>
      </c>
      <c r="Q16" s="29">
        <v>0</v>
      </c>
      <c r="R16" s="29">
        <v>0</v>
      </c>
      <c r="S16" s="20" t="str">
        <f t="shared" si="3"/>
        <v xml:space="preserve"> -</v>
      </c>
      <c r="T16" s="17" t="str">
        <f t="shared" si="4"/>
        <v xml:space="preserve"> -</v>
      </c>
    </row>
    <row r="17" spans="2:20" ht="45" x14ac:dyDescent="0.2">
      <c r="B17" s="144"/>
      <c r="C17" s="141"/>
      <c r="D17" s="138"/>
      <c r="E17" s="28">
        <v>43101</v>
      </c>
      <c r="F17" s="73">
        <v>43465</v>
      </c>
      <c r="G17" s="9" t="s">
        <v>33</v>
      </c>
      <c r="H17" s="29">
        <v>3</v>
      </c>
      <c r="I17" s="29">
        <f>+J17</f>
        <v>3</v>
      </c>
      <c r="J17" s="29">
        <v>3</v>
      </c>
      <c r="K17" s="59">
        <v>3</v>
      </c>
      <c r="L17" s="15">
        <f t="shared" si="0"/>
        <v>1</v>
      </c>
      <c r="M17" s="16">
        <f t="shared" si="1"/>
        <v>0.49722222222222223</v>
      </c>
      <c r="N17" s="17">
        <f t="shared" si="2"/>
        <v>1</v>
      </c>
      <c r="O17" s="64">
        <v>21032509</v>
      </c>
      <c r="P17" s="29">
        <v>50000</v>
      </c>
      <c r="Q17" s="29">
        <v>0</v>
      </c>
      <c r="R17" s="29">
        <v>0</v>
      </c>
      <c r="S17" s="20">
        <f t="shared" si="3"/>
        <v>0</v>
      </c>
      <c r="T17" s="17" t="str">
        <f t="shared" si="4"/>
        <v xml:space="preserve"> -</v>
      </c>
    </row>
    <row r="18" spans="2:20" ht="45.75" thickBot="1" x14ac:dyDescent="0.25">
      <c r="B18" s="145"/>
      <c r="C18" s="142"/>
      <c r="D18" s="139"/>
      <c r="E18" s="32">
        <v>43101</v>
      </c>
      <c r="F18" s="74">
        <v>43465</v>
      </c>
      <c r="G18" s="33" t="s">
        <v>34</v>
      </c>
      <c r="H18" s="34">
        <v>2</v>
      </c>
      <c r="I18" s="34">
        <f>+J18+('2017'!I19-'2017'!K19)</f>
        <v>2</v>
      </c>
      <c r="J18" s="34">
        <v>2</v>
      </c>
      <c r="K18" s="60">
        <v>0</v>
      </c>
      <c r="L18" s="68">
        <f t="shared" si="0"/>
        <v>0</v>
      </c>
      <c r="M18" s="70">
        <f t="shared" si="1"/>
        <v>0.49722222222222223</v>
      </c>
      <c r="N18" s="36">
        <f t="shared" si="2"/>
        <v>0</v>
      </c>
      <c r="O18" s="65">
        <v>22053512004</v>
      </c>
      <c r="P18" s="34">
        <v>2500000</v>
      </c>
      <c r="Q18" s="34">
        <v>0</v>
      </c>
      <c r="R18" s="34">
        <v>0</v>
      </c>
      <c r="S18" s="35">
        <f t="shared" si="3"/>
        <v>0</v>
      </c>
      <c r="T18" s="36" t="str">
        <f t="shared" si="4"/>
        <v xml:space="preserve"> -</v>
      </c>
    </row>
    <row r="19" spans="2:20" ht="21" customHeight="1" thickBot="1" x14ac:dyDescent="0.25">
      <c r="M19" s="22">
        <f>+AVERAGE(M12,M13:M18)</f>
        <v>0.49722222222222223</v>
      </c>
      <c r="N19" s="23">
        <f>+AVERAGE(N12,N13:N18)</f>
        <v>0.65</v>
      </c>
      <c r="O19" s="24"/>
      <c r="P19" s="25">
        <f>+SUM(P12,P13:P18)</f>
        <v>2680000</v>
      </c>
      <c r="Q19" s="26">
        <f>+SUM(Q12,Q13:Q18)</f>
        <v>0</v>
      </c>
      <c r="R19" s="26">
        <f>+SUM(R12,R13:R18)</f>
        <v>0</v>
      </c>
      <c r="S19" s="27">
        <f t="shared" si="3"/>
        <v>0</v>
      </c>
      <c r="T19" s="23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3:B18"/>
    <mergeCell ref="C13:C18"/>
    <mergeCell ref="D13:D18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46" t="s">
        <v>16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2:20" ht="20.100000000000001" customHeight="1" x14ac:dyDescent="0.2">
      <c r="B3" s="146" t="s">
        <v>19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2:20" ht="20.100000000000001" customHeight="1" x14ac:dyDescent="0.2">
      <c r="B4" s="146" t="s">
        <v>27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21"/>
      <c r="D8" s="147" t="s">
        <v>3</v>
      </c>
      <c r="E8" s="148"/>
      <c r="F8" s="148"/>
      <c r="G8" s="148"/>
      <c r="H8" s="148"/>
      <c r="I8" s="148"/>
      <c r="J8" s="148"/>
      <c r="K8" s="14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50" t="s">
        <v>17</v>
      </c>
      <c r="C9" s="153" t="s">
        <v>18</v>
      </c>
      <c r="D9" s="155" t="s">
        <v>0</v>
      </c>
      <c r="E9" s="158" t="s">
        <v>4</v>
      </c>
      <c r="F9" s="158"/>
      <c r="G9" s="158" t="s">
        <v>5</v>
      </c>
      <c r="H9" s="158"/>
      <c r="I9" s="158"/>
      <c r="J9" s="158"/>
      <c r="K9" s="160"/>
      <c r="L9" s="5"/>
      <c r="M9" s="155" t="s">
        <v>6</v>
      </c>
      <c r="N9" s="160"/>
      <c r="O9" s="170" t="s">
        <v>24</v>
      </c>
      <c r="P9" s="171"/>
      <c r="Q9" s="171"/>
      <c r="R9" s="171"/>
      <c r="S9" s="171"/>
      <c r="T9" s="172"/>
    </row>
    <row r="10" spans="2:20" ht="17.100000000000001" customHeight="1" x14ac:dyDescent="0.2">
      <c r="B10" s="151"/>
      <c r="C10" s="154"/>
      <c r="D10" s="156"/>
      <c r="E10" s="159"/>
      <c r="F10" s="159"/>
      <c r="G10" s="159" t="s">
        <v>7</v>
      </c>
      <c r="H10" s="163" t="s">
        <v>25</v>
      </c>
      <c r="I10" s="163" t="s">
        <v>26</v>
      </c>
      <c r="J10" s="164" t="s">
        <v>1</v>
      </c>
      <c r="K10" s="161" t="s">
        <v>8</v>
      </c>
      <c r="L10" s="6"/>
      <c r="M10" s="166" t="s">
        <v>9</v>
      </c>
      <c r="N10" s="168" t="s">
        <v>10</v>
      </c>
      <c r="O10" s="173"/>
      <c r="P10" s="174"/>
      <c r="Q10" s="174"/>
      <c r="R10" s="174"/>
      <c r="S10" s="174"/>
      <c r="T10" s="175"/>
    </row>
    <row r="11" spans="2:20" ht="37.5" customHeight="1" thickBot="1" x14ac:dyDescent="0.25">
      <c r="B11" s="152"/>
      <c r="C11" s="154"/>
      <c r="D11" s="157"/>
      <c r="E11" s="37" t="s">
        <v>11</v>
      </c>
      <c r="F11" s="37" t="s">
        <v>12</v>
      </c>
      <c r="G11" s="163"/>
      <c r="H11" s="176"/>
      <c r="I11" s="177"/>
      <c r="J11" s="165"/>
      <c r="K11" s="162"/>
      <c r="L11" s="14"/>
      <c r="M11" s="167"/>
      <c r="N11" s="169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5.75" thickBot="1" x14ac:dyDescent="0.25">
      <c r="B12" s="55" t="s">
        <v>40</v>
      </c>
      <c r="C12" s="66" t="s">
        <v>39</v>
      </c>
      <c r="D12" s="61" t="s">
        <v>38</v>
      </c>
      <c r="E12" s="41">
        <v>43466</v>
      </c>
      <c r="F12" s="41">
        <v>43830</v>
      </c>
      <c r="G12" s="72" t="s">
        <v>28</v>
      </c>
      <c r="H12" s="42">
        <v>1</v>
      </c>
      <c r="I12" s="71">
        <f>+J12</f>
        <v>1</v>
      </c>
      <c r="J12" s="42">
        <v>1</v>
      </c>
      <c r="K12" s="56"/>
      <c r="L12" s="67">
        <f>+K12/J12</f>
        <v>0</v>
      </c>
      <c r="M12" s="69">
        <f>DAYS360(E12,$C$8)/DAYS360(E12,F12)</f>
        <v>-119.00277777777778</v>
      </c>
      <c r="N12" s="44">
        <f>IF(J12=0," -",IF(L12&gt;100%,100%,L12))</f>
        <v>0</v>
      </c>
      <c r="O12" s="62">
        <v>21032501</v>
      </c>
      <c r="P12" s="42">
        <v>50000</v>
      </c>
      <c r="Q12" s="42"/>
      <c r="R12" s="42"/>
      <c r="S12" s="43">
        <f>IF(P12=0," -",Q12/P12)</f>
        <v>0</v>
      </c>
      <c r="T12" s="44" t="str">
        <f>IF(R12=0," -",IF(Q12=0,100%,R12/Q12))</f>
        <v xml:space="preserve"> -</v>
      </c>
    </row>
    <row r="13" spans="2:20" ht="12.95" customHeight="1" thickBot="1" x14ac:dyDescent="0.25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 x14ac:dyDescent="0.2">
      <c r="B14" s="143" t="s">
        <v>37</v>
      </c>
      <c r="C14" s="140" t="s">
        <v>36</v>
      </c>
      <c r="D14" s="137" t="s">
        <v>35</v>
      </c>
      <c r="E14" s="30">
        <v>43466</v>
      </c>
      <c r="F14" s="30">
        <v>43830</v>
      </c>
      <c r="G14" s="8" t="s">
        <v>29</v>
      </c>
      <c r="H14" s="31">
        <v>1</v>
      </c>
      <c r="I14" s="29">
        <f>+J14+('2018'!I13-'2018'!K13)</f>
        <v>0</v>
      </c>
      <c r="J14" s="31">
        <v>0</v>
      </c>
      <c r="K14" s="57"/>
      <c r="L14" s="10" t="e">
        <f t="shared" ref="L14:L19" si="0">+K14/J14</f>
        <v>#DIV/0!</v>
      </c>
      <c r="M14" s="11">
        <f t="shared" ref="M14:M19" si="1">DAYS360(E14,$C$8)/DAYS360(E14,F14)</f>
        <v>-119.00277777777778</v>
      </c>
      <c r="N14" s="12" t="str">
        <f t="shared" ref="N14:N19" si="2">IF(J14=0," -",IF(L14&gt;100%,100%,L14))</f>
        <v xml:space="preserve"> -</v>
      </c>
      <c r="O14" s="63" t="s">
        <v>55</v>
      </c>
      <c r="P14" s="31">
        <v>0</v>
      </c>
      <c r="Q14" s="31"/>
      <c r="R14" s="31"/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 x14ac:dyDescent="0.2">
      <c r="B15" s="144"/>
      <c r="C15" s="141"/>
      <c r="D15" s="138"/>
      <c r="E15" s="28">
        <v>43466</v>
      </c>
      <c r="F15" s="73">
        <v>43830</v>
      </c>
      <c r="G15" s="9" t="s">
        <v>30</v>
      </c>
      <c r="H15" s="20">
        <v>1</v>
      </c>
      <c r="I15" s="20">
        <f>+J15+('2018'!I14-'2018'!K14)</f>
        <v>0</v>
      </c>
      <c r="J15" s="20">
        <v>0.5</v>
      </c>
      <c r="K15" s="58"/>
      <c r="L15" s="15">
        <f t="shared" si="0"/>
        <v>0</v>
      </c>
      <c r="M15" s="16">
        <f t="shared" si="1"/>
        <v>-119.00277777777778</v>
      </c>
      <c r="N15" s="17">
        <f t="shared" si="2"/>
        <v>0</v>
      </c>
      <c r="O15" s="64" t="s">
        <v>55</v>
      </c>
      <c r="P15" s="29">
        <v>0</v>
      </c>
      <c r="Q15" s="29"/>
      <c r="R15" s="29"/>
      <c r="S15" s="20" t="str">
        <f t="shared" si="3"/>
        <v xml:space="preserve"> -</v>
      </c>
      <c r="T15" s="17" t="str">
        <f t="shared" si="4"/>
        <v xml:space="preserve"> -</v>
      </c>
    </row>
    <row r="16" spans="2:20" ht="45" x14ac:dyDescent="0.2">
      <c r="B16" s="144"/>
      <c r="C16" s="141"/>
      <c r="D16" s="138"/>
      <c r="E16" s="28">
        <v>43466</v>
      </c>
      <c r="F16" s="73">
        <v>43830</v>
      </c>
      <c r="G16" s="9" t="s">
        <v>31</v>
      </c>
      <c r="H16" s="29">
        <v>1</v>
      </c>
      <c r="I16" s="29">
        <f>+J16</f>
        <v>1</v>
      </c>
      <c r="J16" s="29">
        <v>1</v>
      </c>
      <c r="K16" s="59"/>
      <c r="L16" s="15">
        <f t="shared" si="0"/>
        <v>0</v>
      </c>
      <c r="M16" s="16">
        <f t="shared" si="1"/>
        <v>-119.00277777777778</v>
      </c>
      <c r="N16" s="17">
        <f t="shared" si="2"/>
        <v>0</v>
      </c>
      <c r="O16" s="64">
        <v>21032505</v>
      </c>
      <c r="P16" s="29">
        <v>60000</v>
      </c>
      <c r="Q16" s="29"/>
      <c r="R16" s="29"/>
      <c r="S16" s="20">
        <f t="shared" si="3"/>
        <v>0</v>
      </c>
      <c r="T16" s="17" t="str">
        <f t="shared" si="4"/>
        <v xml:space="preserve"> -</v>
      </c>
    </row>
    <row r="17" spans="2:20" ht="45" x14ac:dyDescent="0.2">
      <c r="B17" s="144"/>
      <c r="C17" s="141"/>
      <c r="D17" s="138"/>
      <c r="E17" s="28">
        <v>43466</v>
      </c>
      <c r="F17" s="73">
        <v>43830</v>
      </c>
      <c r="G17" s="9" t="s">
        <v>32</v>
      </c>
      <c r="H17" s="29">
        <v>1</v>
      </c>
      <c r="I17" s="29">
        <f>+J17+('2018'!I16-'2018'!K16)</f>
        <v>0</v>
      </c>
      <c r="J17" s="29">
        <v>0</v>
      </c>
      <c r="K17" s="59"/>
      <c r="L17" s="15" t="e">
        <f t="shared" si="0"/>
        <v>#DIV/0!</v>
      </c>
      <c r="M17" s="16">
        <f t="shared" si="1"/>
        <v>-119.00277777777778</v>
      </c>
      <c r="N17" s="17" t="str">
        <f t="shared" si="2"/>
        <v xml:space="preserve"> -</v>
      </c>
      <c r="O17" s="64">
        <v>21032501</v>
      </c>
      <c r="P17" s="29">
        <v>0</v>
      </c>
      <c r="Q17" s="29"/>
      <c r="R17" s="29"/>
      <c r="S17" s="20" t="str">
        <f t="shared" si="3"/>
        <v xml:space="preserve"> -</v>
      </c>
      <c r="T17" s="17" t="str">
        <f t="shared" si="4"/>
        <v xml:space="preserve"> -</v>
      </c>
    </row>
    <row r="18" spans="2:20" ht="45" x14ac:dyDescent="0.2">
      <c r="B18" s="144"/>
      <c r="C18" s="141"/>
      <c r="D18" s="138"/>
      <c r="E18" s="28">
        <v>43466</v>
      </c>
      <c r="F18" s="73">
        <v>43830</v>
      </c>
      <c r="G18" s="9" t="s">
        <v>33</v>
      </c>
      <c r="H18" s="29">
        <v>3</v>
      </c>
      <c r="I18" s="29">
        <f>+J18</f>
        <v>3</v>
      </c>
      <c r="J18" s="29">
        <v>3</v>
      </c>
      <c r="K18" s="59"/>
      <c r="L18" s="15">
        <f t="shared" si="0"/>
        <v>0</v>
      </c>
      <c r="M18" s="16">
        <f t="shared" si="1"/>
        <v>-119.00277777777778</v>
      </c>
      <c r="N18" s="17">
        <f t="shared" si="2"/>
        <v>0</v>
      </c>
      <c r="O18" s="64">
        <v>21032509</v>
      </c>
      <c r="P18" s="29">
        <v>50000</v>
      </c>
      <c r="Q18" s="29"/>
      <c r="R18" s="29"/>
      <c r="S18" s="20">
        <f t="shared" si="3"/>
        <v>0</v>
      </c>
      <c r="T18" s="17" t="str">
        <f t="shared" si="4"/>
        <v xml:space="preserve"> -</v>
      </c>
    </row>
    <row r="19" spans="2:20" ht="45.75" thickBot="1" x14ac:dyDescent="0.25">
      <c r="B19" s="145"/>
      <c r="C19" s="142"/>
      <c r="D19" s="139"/>
      <c r="E19" s="32">
        <v>43466</v>
      </c>
      <c r="F19" s="74">
        <v>43830</v>
      </c>
      <c r="G19" s="33" t="s">
        <v>34</v>
      </c>
      <c r="H19" s="34">
        <v>2</v>
      </c>
      <c r="I19" s="34">
        <f>+J19+('2018'!I18-'2018'!K18)</f>
        <v>2</v>
      </c>
      <c r="J19" s="34">
        <v>0</v>
      </c>
      <c r="K19" s="60"/>
      <c r="L19" s="68" t="e">
        <f t="shared" si="0"/>
        <v>#DIV/0!</v>
      </c>
      <c r="M19" s="70">
        <f t="shared" si="1"/>
        <v>-119.00277777777778</v>
      </c>
      <c r="N19" s="36" t="str">
        <f t="shared" si="2"/>
        <v xml:space="preserve"> -</v>
      </c>
      <c r="O19" s="65">
        <v>22053512004</v>
      </c>
      <c r="P19" s="34">
        <v>0</v>
      </c>
      <c r="Q19" s="34"/>
      <c r="R19" s="34"/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 x14ac:dyDescent="0.25">
      <c r="M20" s="22">
        <f>+AVERAGE(M12,M14:M19)</f>
        <v>-119.00277777777777</v>
      </c>
      <c r="N20" s="23">
        <f>+AVERAGE(N12,N14:N19)</f>
        <v>0</v>
      </c>
      <c r="O20" s="24"/>
      <c r="P20" s="25">
        <f>+SUM(P12,P14:P19)</f>
        <v>160000</v>
      </c>
      <c r="Q20" s="26">
        <f>+SUM(Q12,Q14:Q19)</f>
        <v>0</v>
      </c>
      <c r="R20" s="26">
        <f>+SUM(R12,R14:R19)</f>
        <v>0</v>
      </c>
      <c r="S20" s="27">
        <f t="shared" si="3"/>
        <v>0</v>
      </c>
      <c r="T20" s="23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0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36.25" style="1" customWidth="1"/>
    <col min="6" max="6" width="13.75" style="1" customWidth="1"/>
    <col min="7" max="18" width="9.625" style="1" customWidth="1"/>
    <col min="19" max="20" width="13.125" style="1" customWidth="1"/>
    <col min="21" max="23" width="23.625" style="1" customWidth="1"/>
    <col min="24" max="25" width="12.625" style="1" customWidth="1"/>
    <col min="26" max="16384" width="10.75" style="1"/>
  </cols>
  <sheetData>
    <row r="2" spans="2:25" ht="20.100000000000001" customHeight="1" x14ac:dyDescent="0.2">
      <c r="B2" s="146" t="s">
        <v>16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2:25" ht="20.100000000000001" customHeight="1" x14ac:dyDescent="0.2">
      <c r="B3" s="146" t="s">
        <v>19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</row>
    <row r="4" spans="2:25" ht="20.100000000000001" customHeight="1" x14ac:dyDescent="0.2">
      <c r="B4" s="146" t="s">
        <v>27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</row>
    <row r="6" spans="2:25" ht="15.75" thickBot="1" x14ac:dyDescent="0.25"/>
    <row r="7" spans="2:25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 x14ac:dyDescent="0.25">
      <c r="B8" s="7" t="s">
        <v>41</v>
      </c>
      <c r="C8" s="21">
        <f>+'2018'!C8</f>
        <v>43281</v>
      </c>
      <c r="D8" s="147" t="s">
        <v>3</v>
      </c>
      <c r="E8" s="148"/>
      <c r="F8" s="148"/>
      <c r="G8" s="148"/>
      <c r="H8" s="178"/>
      <c r="I8" s="178"/>
      <c r="J8" s="178"/>
      <c r="K8" s="178"/>
      <c r="L8" s="178"/>
      <c r="M8" s="178"/>
      <c r="N8" s="149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 x14ac:dyDescent="0.2">
      <c r="B9" s="150" t="s">
        <v>17</v>
      </c>
      <c r="C9" s="153" t="s">
        <v>18</v>
      </c>
      <c r="D9" s="155" t="s">
        <v>0</v>
      </c>
      <c r="E9" s="179" t="s">
        <v>5</v>
      </c>
      <c r="F9" s="180"/>
      <c r="G9" s="180"/>
      <c r="H9" s="180"/>
      <c r="I9" s="180"/>
      <c r="J9" s="180"/>
      <c r="K9" s="180"/>
      <c r="L9" s="180"/>
      <c r="M9" s="180"/>
      <c r="N9" s="181"/>
      <c r="O9" s="182" t="s">
        <v>43</v>
      </c>
      <c r="P9" s="183"/>
      <c r="Q9" s="183"/>
      <c r="R9" s="183"/>
      <c r="S9" s="184"/>
      <c r="T9" s="170" t="s">
        <v>42</v>
      </c>
      <c r="U9" s="171"/>
      <c r="V9" s="171"/>
      <c r="W9" s="171"/>
      <c r="X9" s="171"/>
      <c r="Y9" s="172"/>
    </row>
    <row r="10" spans="2:25" ht="17.100000000000001" customHeight="1" x14ac:dyDescent="0.2">
      <c r="B10" s="151"/>
      <c r="C10" s="154"/>
      <c r="D10" s="156"/>
      <c r="E10" s="159" t="s">
        <v>7</v>
      </c>
      <c r="F10" s="163" t="s">
        <v>25</v>
      </c>
      <c r="G10" s="77" t="s">
        <v>1</v>
      </c>
      <c r="H10" s="79" t="s">
        <v>1</v>
      </c>
      <c r="I10" s="81" t="s">
        <v>1</v>
      </c>
      <c r="J10" s="81" t="s">
        <v>1</v>
      </c>
      <c r="K10" s="83" t="s">
        <v>8</v>
      </c>
      <c r="L10" s="81" t="s">
        <v>8</v>
      </c>
      <c r="M10" s="81" t="s">
        <v>8</v>
      </c>
      <c r="N10" s="78" t="s">
        <v>8</v>
      </c>
      <c r="O10" s="185">
        <v>2016</v>
      </c>
      <c r="P10" s="187">
        <v>2017</v>
      </c>
      <c r="Q10" s="189">
        <v>2018</v>
      </c>
      <c r="R10" s="191">
        <v>2019</v>
      </c>
      <c r="S10" s="193" t="s">
        <v>41</v>
      </c>
      <c r="T10" s="173"/>
      <c r="U10" s="174"/>
      <c r="V10" s="174"/>
      <c r="W10" s="174"/>
      <c r="X10" s="174"/>
      <c r="Y10" s="175"/>
    </row>
    <row r="11" spans="2:25" ht="37.5" customHeight="1" thickBot="1" x14ac:dyDescent="0.25">
      <c r="B11" s="152"/>
      <c r="C11" s="154"/>
      <c r="D11" s="157"/>
      <c r="E11" s="163"/>
      <c r="F11" s="176"/>
      <c r="G11" s="80">
        <v>2016</v>
      </c>
      <c r="H11" s="84">
        <v>2017</v>
      </c>
      <c r="I11" s="82">
        <v>2018</v>
      </c>
      <c r="J11" s="82">
        <v>2019</v>
      </c>
      <c r="K11" s="85">
        <v>2016</v>
      </c>
      <c r="L11" s="84">
        <v>2017</v>
      </c>
      <c r="M11" s="82">
        <v>2018</v>
      </c>
      <c r="N11" s="86">
        <v>2019</v>
      </c>
      <c r="O11" s="186"/>
      <c r="P11" s="188"/>
      <c r="Q11" s="190"/>
      <c r="R11" s="192"/>
      <c r="S11" s="194"/>
      <c r="T11" s="76" t="s">
        <v>23</v>
      </c>
      <c r="U11" s="39" t="s">
        <v>20</v>
      </c>
      <c r="V11" s="40" t="s">
        <v>21</v>
      </c>
      <c r="W11" s="18" t="s">
        <v>22</v>
      </c>
      <c r="X11" s="18" t="s">
        <v>14</v>
      </c>
      <c r="Y11" s="19" t="s">
        <v>15</v>
      </c>
    </row>
    <row r="12" spans="2:25" ht="45.75" thickBot="1" x14ac:dyDescent="0.25">
      <c r="B12" s="55" t="s">
        <v>40</v>
      </c>
      <c r="C12" s="66" t="s">
        <v>39</v>
      </c>
      <c r="D12" s="61" t="s">
        <v>38</v>
      </c>
      <c r="E12" s="72" t="s">
        <v>28</v>
      </c>
      <c r="F12" s="42">
        <v>1</v>
      </c>
      <c r="G12" s="42">
        <f>'2016'!J12</f>
        <v>1</v>
      </c>
      <c r="H12" s="56">
        <f>'2017'!J12</f>
        <v>1</v>
      </c>
      <c r="I12" s="56">
        <f>'2018'!J12</f>
        <v>1</v>
      </c>
      <c r="J12" s="56">
        <f>'2019'!J12</f>
        <v>1</v>
      </c>
      <c r="K12" s="115">
        <f>'2016'!K12</f>
        <v>0.4</v>
      </c>
      <c r="L12" s="56">
        <f>'2017'!K12</f>
        <v>1</v>
      </c>
      <c r="M12" s="56">
        <f>'2018'!K12</f>
        <v>1</v>
      </c>
      <c r="N12" s="87">
        <f>'2019'!K12</f>
        <v>0</v>
      </c>
      <c r="O12" s="95">
        <f>'2016'!N12</f>
        <v>0.4</v>
      </c>
      <c r="P12" s="96">
        <f>'2017'!N12</f>
        <v>1</v>
      </c>
      <c r="Q12" s="103">
        <f>'2018'!N12</f>
        <v>1</v>
      </c>
      <c r="R12" s="96">
        <f>'2019'!N12</f>
        <v>0</v>
      </c>
      <c r="S12" s="110">
        <v>0.6</v>
      </c>
      <c r="T12" s="62">
        <v>21032501</v>
      </c>
      <c r="U12" s="42">
        <f>+'2016'!P12+'2017'!P12</f>
        <v>0</v>
      </c>
      <c r="V12" s="42">
        <f>+'2016'!Q12+'2017'!Q12</f>
        <v>0</v>
      </c>
      <c r="W12" s="42">
        <f>+'2016'!R12+'2017'!R12</f>
        <v>0</v>
      </c>
      <c r="X12" s="43" t="str">
        <f>IF(U12=0," -",V12/U12)</f>
        <v xml:space="preserve"> -</v>
      </c>
      <c r="Y12" s="44" t="str">
        <f>IF(W12=0," -",IF(V12=0,100%,W12/V12))</f>
        <v xml:space="preserve"> -</v>
      </c>
    </row>
    <row r="13" spans="2:25" ht="12.95" customHeight="1" thickBot="1" x14ac:dyDescent="0.25">
      <c r="B13" s="45"/>
      <c r="C13" s="46"/>
      <c r="D13" s="46"/>
      <c r="E13" s="46"/>
      <c r="F13" s="48"/>
      <c r="G13" s="48"/>
      <c r="H13" s="48"/>
      <c r="I13" s="48"/>
      <c r="J13" s="48"/>
      <c r="K13" s="48"/>
      <c r="L13" s="48"/>
      <c r="M13" s="48"/>
      <c r="N13" s="48"/>
      <c r="O13" s="50"/>
      <c r="P13" s="50"/>
      <c r="Q13" s="50"/>
      <c r="R13" s="50"/>
      <c r="S13" s="111"/>
      <c r="T13" s="51"/>
      <c r="U13" s="52"/>
      <c r="V13" s="52"/>
      <c r="W13" s="52"/>
      <c r="X13" s="53"/>
      <c r="Y13" s="54"/>
    </row>
    <row r="14" spans="2:25" ht="30" x14ac:dyDescent="0.2">
      <c r="B14" s="143" t="s">
        <v>37</v>
      </c>
      <c r="C14" s="140" t="s">
        <v>36</v>
      </c>
      <c r="D14" s="137" t="s">
        <v>35</v>
      </c>
      <c r="E14" s="8" t="s">
        <v>29</v>
      </c>
      <c r="F14" s="31">
        <v>1</v>
      </c>
      <c r="G14" s="31">
        <f>'2016'!J14</f>
        <v>1</v>
      </c>
      <c r="H14" s="57">
        <f>'2017'!J14</f>
        <v>0</v>
      </c>
      <c r="I14" s="57">
        <f>'2018'!J13</f>
        <v>0</v>
      </c>
      <c r="J14" s="57">
        <f>'2019'!J14</f>
        <v>0</v>
      </c>
      <c r="K14" s="88">
        <f>'2016'!K14</f>
        <v>1</v>
      </c>
      <c r="L14" s="57">
        <f>'2017'!K14</f>
        <v>0</v>
      </c>
      <c r="M14" s="57">
        <f>'2018'!K13</f>
        <v>0</v>
      </c>
      <c r="N14" s="89">
        <f>'2019'!K14</f>
        <v>0</v>
      </c>
      <c r="O14" s="97">
        <f>'2016'!N14</f>
        <v>1</v>
      </c>
      <c r="P14" s="98" t="str">
        <f>'2017'!N14</f>
        <v xml:space="preserve"> -</v>
      </c>
      <c r="Q14" s="104" t="str">
        <f>'2018'!N13</f>
        <v xml:space="preserve"> -</v>
      </c>
      <c r="R14" s="98" t="str">
        <f>'2019'!N14</f>
        <v xml:space="preserve"> -</v>
      </c>
      <c r="S14" s="112">
        <v>1</v>
      </c>
      <c r="T14" s="63" t="s">
        <v>55</v>
      </c>
      <c r="U14" s="31">
        <f>+'2016'!P14+'2017'!P14</f>
        <v>488844</v>
      </c>
      <c r="V14" s="31">
        <f>+'2016'!Q14+'2017'!Q14</f>
        <v>488844</v>
      </c>
      <c r="W14" s="31">
        <f>+'2016'!R14+'2017'!R14</f>
        <v>0</v>
      </c>
      <c r="X14" s="13">
        <f t="shared" ref="X14:X20" si="0">IF(U14=0," -",V14/U14)</f>
        <v>1</v>
      </c>
      <c r="Y14" s="12" t="str">
        <f t="shared" ref="Y14:Y20" si="1">IF(W14=0," -",IF(V14=0,100%,W14/V14))</f>
        <v xml:space="preserve"> -</v>
      </c>
    </row>
    <row r="15" spans="2:25" ht="45" x14ac:dyDescent="0.2">
      <c r="B15" s="144"/>
      <c r="C15" s="141"/>
      <c r="D15" s="138"/>
      <c r="E15" s="9" t="s">
        <v>30</v>
      </c>
      <c r="F15" s="20">
        <v>1</v>
      </c>
      <c r="G15" s="20">
        <f>'2016'!J15</f>
        <v>0</v>
      </c>
      <c r="H15" s="58">
        <f>'2017'!J15</f>
        <v>0.1</v>
      </c>
      <c r="I15" s="58">
        <f>'2018'!J14</f>
        <v>0.4</v>
      </c>
      <c r="J15" s="58">
        <f>'2019'!J15</f>
        <v>0.5</v>
      </c>
      <c r="K15" s="90">
        <f>'2016'!K15</f>
        <v>0.1</v>
      </c>
      <c r="L15" s="58">
        <f>'2017'!K15</f>
        <v>0.8</v>
      </c>
      <c r="M15" s="58">
        <f>'2018'!K14</f>
        <v>0.1</v>
      </c>
      <c r="N15" s="17">
        <f>'2019'!K15</f>
        <v>0</v>
      </c>
      <c r="O15" s="99" t="str">
        <f>'2016'!N15</f>
        <v xml:space="preserve"> -</v>
      </c>
      <c r="P15" s="100">
        <f>'2017'!N15</f>
        <v>1</v>
      </c>
      <c r="Q15" s="105">
        <f>'2018'!N14</f>
        <v>0.25</v>
      </c>
      <c r="R15" s="100">
        <f>'2019'!N15</f>
        <v>0</v>
      </c>
      <c r="S15" s="113">
        <v>1</v>
      </c>
      <c r="T15" s="64" t="s">
        <v>55</v>
      </c>
      <c r="U15" s="29">
        <f>+'2016'!P15+'2017'!P15</f>
        <v>0</v>
      </c>
      <c r="V15" s="29">
        <f>+'2016'!Q15+'2017'!Q15</f>
        <v>0</v>
      </c>
      <c r="W15" s="29">
        <f>+'2016'!R15+'2017'!R15</f>
        <v>0</v>
      </c>
      <c r="X15" s="20" t="str">
        <f t="shared" si="0"/>
        <v xml:space="preserve"> -</v>
      </c>
      <c r="Y15" s="17" t="str">
        <f t="shared" si="1"/>
        <v xml:space="preserve"> -</v>
      </c>
    </row>
    <row r="16" spans="2:25" ht="45" x14ac:dyDescent="0.2">
      <c r="B16" s="144"/>
      <c r="C16" s="141"/>
      <c r="D16" s="138"/>
      <c r="E16" s="9" t="s">
        <v>31</v>
      </c>
      <c r="F16" s="29">
        <v>1</v>
      </c>
      <c r="G16" s="29">
        <f>'2016'!J16</f>
        <v>0</v>
      </c>
      <c r="H16" s="59">
        <f>'2017'!J16</f>
        <v>1</v>
      </c>
      <c r="I16" s="59">
        <f>'2018'!J15</f>
        <v>1</v>
      </c>
      <c r="J16" s="59">
        <f>'2019'!J16</f>
        <v>1</v>
      </c>
      <c r="K16" s="91">
        <f>'2016'!K16</f>
        <v>0</v>
      </c>
      <c r="L16" s="59">
        <f>'2017'!K16</f>
        <v>1</v>
      </c>
      <c r="M16" s="59">
        <f>'2018'!K15</f>
        <v>1</v>
      </c>
      <c r="N16" s="92">
        <f>'2019'!K16</f>
        <v>0</v>
      </c>
      <c r="O16" s="99" t="str">
        <f>'2016'!N16</f>
        <v xml:space="preserve"> -</v>
      </c>
      <c r="P16" s="100">
        <f>'2017'!N16</f>
        <v>1</v>
      </c>
      <c r="Q16" s="105">
        <f>'2018'!N15</f>
        <v>1</v>
      </c>
      <c r="R16" s="100">
        <f>'2019'!N16</f>
        <v>0</v>
      </c>
      <c r="S16" s="113">
        <v>0.66666666666666663</v>
      </c>
      <c r="T16" s="64">
        <v>21032505</v>
      </c>
      <c r="U16" s="29">
        <f>+'2016'!P16+'2017'!P16</f>
        <v>100000</v>
      </c>
      <c r="V16" s="29">
        <f>+'2016'!Q16+'2017'!Q16</f>
        <v>0</v>
      </c>
      <c r="W16" s="29">
        <f>+'2016'!R16+'2017'!R16</f>
        <v>18850</v>
      </c>
      <c r="X16" s="20">
        <f t="shared" si="0"/>
        <v>0</v>
      </c>
      <c r="Y16" s="17">
        <f t="shared" si="1"/>
        <v>1</v>
      </c>
    </row>
    <row r="17" spans="2:25" ht="45" x14ac:dyDescent="0.2">
      <c r="B17" s="144"/>
      <c r="C17" s="141"/>
      <c r="D17" s="138"/>
      <c r="E17" s="9" t="s">
        <v>32</v>
      </c>
      <c r="F17" s="29">
        <v>1</v>
      </c>
      <c r="G17" s="29">
        <f>'2016'!J17</f>
        <v>1</v>
      </c>
      <c r="H17" s="59">
        <f>'2017'!J17</f>
        <v>0</v>
      </c>
      <c r="I17" s="59">
        <f>'2018'!J16</f>
        <v>0</v>
      </c>
      <c r="J17" s="59">
        <f>'2019'!J17</f>
        <v>0</v>
      </c>
      <c r="K17" s="91">
        <f>'2016'!K17</f>
        <v>1</v>
      </c>
      <c r="L17" s="59">
        <f>'2017'!K17</f>
        <v>0</v>
      </c>
      <c r="M17" s="59">
        <f>'2018'!K16</f>
        <v>0</v>
      </c>
      <c r="N17" s="92">
        <f>'2019'!K17</f>
        <v>0</v>
      </c>
      <c r="O17" s="99">
        <f>'2016'!N17</f>
        <v>1</v>
      </c>
      <c r="P17" s="100" t="str">
        <f>'2017'!N17</f>
        <v xml:space="preserve"> -</v>
      </c>
      <c r="Q17" s="105" t="str">
        <f>'2018'!N16</f>
        <v xml:space="preserve"> -</v>
      </c>
      <c r="R17" s="100" t="str">
        <f>'2019'!N17</f>
        <v xml:space="preserve"> -</v>
      </c>
      <c r="S17" s="113">
        <v>1</v>
      </c>
      <c r="T17" s="64">
        <v>21032501</v>
      </c>
      <c r="U17" s="29">
        <f>+'2016'!P17+'2017'!P17</f>
        <v>0</v>
      </c>
      <c r="V17" s="29">
        <f>+'2016'!Q17+'2017'!Q17</f>
        <v>0</v>
      </c>
      <c r="W17" s="29">
        <f>+'2016'!R17+'2017'!R17</f>
        <v>0</v>
      </c>
      <c r="X17" s="20" t="str">
        <f t="shared" si="0"/>
        <v xml:space="preserve"> -</v>
      </c>
      <c r="Y17" s="17" t="str">
        <f t="shared" si="1"/>
        <v xml:space="preserve"> -</v>
      </c>
    </row>
    <row r="18" spans="2:25" ht="45" x14ac:dyDescent="0.2">
      <c r="B18" s="144"/>
      <c r="C18" s="141"/>
      <c r="D18" s="138"/>
      <c r="E18" s="9" t="s">
        <v>33</v>
      </c>
      <c r="F18" s="29">
        <v>3</v>
      </c>
      <c r="G18" s="29">
        <f>'2016'!J18</f>
        <v>3</v>
      </c>
      <c r="H18" s="59">
        <f>'2017'!J18</f>
        <v>3</v>
      </c>
      <c r="I18" s="59">
        <f>'2018'!J17</f>
        <v>3</v>
      </c>
      <c r="J18" s="59">
        <f>'2019'!J18</f>
        <v>3</v>
      </c>
      <c r="K18" s="91">
        <f>'2016'!K18</f>
        <v>3</v>
      </c>
      <c r="L18" s="59">
        <f>'2017'!K18</f>
        <v>3</v>
      </c>
      <c r="M18" s="59">
        <f>'2018'!K17</f>
        <v>3</v>
      </c>
      <c r="N18" s="92">
        <f>'2019'!K18</f>
        <v>0</v>
      </c>
      <c r="O18" s="99">
        <f>'2016'!N18</f>
        <v>1</v>
      </c>
      <c r="P18" s="100">
        <f>'2017'!N18</f>
        <v>1</v>
      </c>
      <c r="Q18" s="105">
        <f>'2018'!N17</f>
        <v>1</v>
      </c>
      <c r="R18" s="100">
        <f>'2019'!N18</f>
        <v>0</v>
      </c>
      <c r="S18" s="113">
        <v>0.75</v>
      </c>
      <c r="T18" s="64">
        <v>21032509</v>
      </c>
      <c r="U18" s="29">
        <f>+'2016'!P18+'2017'!P18</f>
        <v>0</v>
      </c>
      <c r="V18" s="29">
        <f>+'2016'!Q18+'2017'!Q18</f>
        <v>0</v>
      </c>
      <c r="W18" s="29">
        <f>+'2016'!R18+'2017'!R18</f>
        <v>0</v>
      </c>
      <c r="X18" s="20" t="str">
        <f t="shared" si="0"/>
        <v xml:space="preserve"> -</v>
      </c>
      <c r="Y18" s="17" t="str">
        <f t="shared" si="1"/>
        <v xml:space="preserve"> -</v>
      </c>
    </row>
    <row r="19" spans="2:25" ht="45.75" thickBot="1" x14ac:dyDescent="0.25">
      <c r="B19" s="145"/>
      <c r="C19" s="142"/>
      <c r="D19" s="139"/>
      <c r="E19" s="33" t="s">
        <v>34</v>
      </c>
      <c r="F19" s="34">
        <v>2</v>
      </c>
      <c r="G19" s="34">
        <f>'2016'!J19</f>
        <v>0</v>
      </c>
      <c r="H19" s="60">
        <f>'2017'!J19</f>
        <v>0</v>
      </c>
      <c r="I19" s="60">
        <f>'2018'!J18</f>
        <v>2</v>
      </c>
      <c r="J19" s="60">
        <f>'2019'!J19</f>
        <v>0</v>
      </c>
      <c r="K19" s="93">
        <f>'2016'!K19</f>
        <v>0</v>
      </c>
      <c r="L19" s="60">
        <f>'2017'!K19</f>
        <v>0</v>
      </c>
      <c r="M19" s="60">
        <f>'2018'!K18</f>
        <v>0</v>
      </c>
      <c r="N19" s="94">
        <f>'2019'!K19</f>
        <v>0</v>
      </c>
      <c r="O19" s="101" t="str">
        <f>'2016'!N19</f>
        <v xml:space="preserve"> -</v>
      </c>
      <c r="P19" s="102" t="str">
        <f>'2017'!N19</f>
        <v xml:space="preserve"> -</v>
      </c>
      <c r="Q19" s="106">
        <f>'2018'!N18</f>
        <v>0</v>
      </c>
      <c r="R19" s="102" t="str">
        <f>'2019'!N19</f>
        <v xml:space="preserve"> -</v>
      </c>
      <c r="S19" s="114">
        <v>0</v>
      </c>
      <c r="T19" s="65">
        <v>22053512004</v>
      </c>
      <c r="U19" s="29">
        <f>+'2016'!P19+'2017'!P19</f>
        <v>0</v>
      </c>
      <c r="V19" s="29">
        <f>+'2016'!Q19+'2017'!Q19</f>
        <v>0</v>
      </c>
      <c r="W19" s="29">
        <f>+'2016'!R19+'2017'!R19</f>
        <v>0</v>
      </c>
      <c r="X19" s="35" t="str">
        <f t="shared" si="0"/>
        <v xml:space="preserve"> -</v>
      </c>
      <c r="Y19" s="36" t="str">
        <f t="shared" si="1"/>
        <v xml:space="preserve"> -</v>
      </c>
    </row>
    <row r="20" spans="2:25" ht="21" customHeight="1" thickBot="1" x14ac:dyDescent="0.25">
      <c r="O20" s="108">
        <f>+AVERAGE(O12,O14:O19)</f>
        <v>0.85</v>
      </c>
      <c r="P20" s="107">
        <f t="shared" ref="P20:R20" si="2">+AVERAGE(P12,P14:P19)</f>
        <v>1</v>
      </c>
      <c r="Q20" s="107">
        <f t="shared" si="2"/>
        <v>0.65</v>
      </c>
      <c r="R20" s="107">
        <f t="shared" si="2"/>
        <v>0</v>
      </c>
      <c r="S20" s="109">
        <f>+AVERAGE(S12,S14:S19)</f>
        <v>0.71666666666666667</v>
      </c>
      <c r="T20" s="24"/>
      <c r="U20" s="25">
        <f>+SUM(U12,U14:U19)</f>
        <v>588844</v>
      </c>
      <c r="V20" s="26">
        <f>+SUM(V12,V14:V19)</f>
        <v>488844</v>
      </c>
      <c r="W20" s="26">
        <f>+SUM(W12,W14:W19)</f>
        <v>18850</v>
      </c>
      <c r="X20" s="27">
        <f t="shared" si="0"/>
        <v>0.83017573415030121</v>
      </c>
      <c r="Y20" s="23">
        <f t="shared" si="1"/>
        <v>3.8560358723846465E-2</v>
      </c>
    </row>
  </sheetData>
  <mergeCells count="20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O10:O11"/>
    <mergeCell ref="P10:P11"/>
    <mergeCell ref="Q10:Q11"/>
    <mergeCell ref="R10:R11"/>
    <mergeCell ref="S10:S11"/>
    <mergeCell ref="B14:B19"/>
    <mergeCell ref="C14:C19"/>
    <mergeCell ref="D14:D19"/>
    <mergeCell ref="T9:Y10"/>
    <mergeCell ref="E10:E11"/>
    <mergeCell ref="F10:F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showGridLines="0" zoomScale="70" zoomScaleNormal="70" workbookViewId="0">
      <selection activeCell="C3" sqref="C3:I16"/>
    </sheetView>
  </sheetViews>
  <sheetFormatPr baseColWidth="10" defaultColWidth="11" defaultRowHeight="15" x14ac:dyDescent="0.2"/>
  <cols>
    <col min="1" max="1" width="4.25" style="1" customWidth="1"/>
    <col min="2" max="2" width="6.875" style="1" customWidth="1"/>
    <col min="3" max="3" width="45.25" style="1" customWidth="1"/>
    <col min="4" max="4" width="25" style="1" customWidth="1"/>
    <col min="5" max="7" width="12.25" style="1" customWidth="1"/>
    <col min="8" max="8" width="9.75" style="1" customWidth="1"/>
    <col min="9" max="9" width="7.75" style="1" customWidth="1"/>
    <col min="10" max="16384" width="11" style="1"/>
  </cols>
  <sheetData>
    <row r="2" spans="2:9" ht="15.75" thickBot="1" x14ac:dyDescent="0.25"/>
    <row r="3" spans="2:9" ht="21.95" customHeight="1" thickBot="1" x14ac:dyDescent="0.25">
      <c r="C3" s="203" t="s">
        <v>54</v>
      </c>
      <c r="D3" s="204"/>
      <c r="E3" s="204"/>
      <c r="F3" s="204"/>
      <c r="G3" s="204"/>
      <c r="H3" s="204"/>
      <c r="I3" s="205"/>
    </row>
    <row r="4" spans="2:9" ht="16.5" thickBot="1" x14ac:dyDescent="0.25">
      <c r="C4" s="116"/>
      <c r="D4" s="116"/>
      <c r="E4" s="116"/>
      <c r="F4" s="116"/>
      <c r="G4" s="116"/>
      <c r="H4" s="116"/>
    </row>
    <row r="5" spans="2:9" ht="18.95" customHeight="1" x14ac:dyDescent="0.2">
      <c r="C5" s="116"/>
      <c r="D5" s="116"/>
      <c r="E5" s="206" t="s">
        <v>44</v>
      </c>
      <c r="F5" s="207"/>
      <c r="G5" s="207"/>
      <c r="H5" s="210" t="s">
        <v>43</v>
      </c>
      <c r="I5" s="211"/>
    </row>
    <row r="6" spans="2:9" ht="18.95" customHeight="1" thickBot="1" x14ac:dyDescent="0.25">
      <c r="E6" s="208"/>
      <c r="F6" s="209"/>
      <c r="G6" s="209"/>
      <c r="H6" s="212"/>
      <c r="I6" s="213"/>
    </row>
    <row r="7" spans="2:9" ht="32.1" customHeight="1" thickBot="1" x14ac:dyDescent="0.25">
      <c r="C7" s="220"/>
      <c r="D7" s="221"/>
      <c r="E7" s="117">
        <v>2016</v>
      </c>
      <c r="F7" s="118">
        <v>2017</v>
      </c>
      <c r="G7" s="118">
        <v>2018</v>
      </c>
      <c r="H7" s="195" t="s">
        <v>41</v>
      </c>
      <c r="I7" s="196"/>
    </row>
    <row r="8" spans="2:9" ht="21.95" customHeight="1" thickBot="1" x14ac:dyDescent="0.25">
      <c r="B8" s="119">
        <v>1</v>
      </c>
      <c r="C8" s="197" t="s">
        <v>45</v>
      </c>
      <c r="D8" s="198"/>
      <c r="E8" s="120">
        <f>+IF('2016 - 2019'!G12&gt;0,'2016 - 2019'!O12," -")</f>
        <v>0.4</v>
      </c>
      <c r="F8" s="120">
        <f>+IF('2016 - 2019'!H12&gt;0,'2016 - 2019'!P12," -")</f>
        <v>1</v>
      </c>
      <c r="G8" s="120">
        <f>+IF('2016 - 2019'!I12&gt;0,'2016 - 2019'!Q12," -")</f>
        <v>1</v>
      </c>
      <c r="H8" s="121">
        <f>+'2016 - 2019'!S12</f>
        <v>0.6</v>
      </c>
      <c r="I8" s="222">
        <f t="shared" ref="I8:I10" si="0">+H8</f>
        <v>0.6</v>
      </c>
    </row>
    <row r="9" spans="2:9" ht="20.100000000000001" customHeight="1" x14ac:dyDescent="0.2">
      <c r="B9" s="122" t="s">
        <v>46</v>
      </c>
      <c r="C9" s="199" t="s">
        <v>39</v>
      </c>
      <c r="D9" s="200"/>
      <c r="E9" s="126">
        <f>+IF('2016 - 2019'!G12&gt;0,'2016 - 2019'!O12," -")</f>
        <v>0.4</v>
      </c>
      <c r="F9" s="126">
        <f>+IF('2016 - 2019'!H12&gt;0,'2016 - 2019'!P12," -")</f>
        <v>1</v>
      </c>
      <c r="G9" s="126">
        <f>+IF('2016 - 2019'!I12&gt;0,'2016 - 2019'!Q12," -")</f>
        <v>1</v>
      </c>
      <c r="H9" s="127">
        <f>+'2016 - 2019'!S12</f>
        <v>0.6</v>
      </c>
      <c r="I9" s="223">
        <f t="shared" si="0"/>
        <v>0.6</v>
      </c>
    </row>
    <row r="10" spans="2:9" ht="18" customHeight="1" thickBot="1" x14ac:dyDescent="0.25">
      <c r="B10" s="123" t="s">
        <v>47</v>
      </c>
      <c r="C10" s="201" t="s">
        <v>48</v>
      </c>
      <c r="D10" s="202"/>
      <c r="E10" s="124">
        <f>+IF('2016 - 2019'!G12&gt;0,'2016 - 2019'!O12," -")</f>
        <v>0.4</v>
      </c>
      <c r="F10" s="124">
        <f>+IF('2016 - 2019'!H12&gt;0,'2016 - 2019'!P12," -")</f>
        <v>1</v>
      </c>
      <c r="G10" s="124">
        <f>+IF('2016 - 2019'!I12&gt;0,'2016 - 2019'!Q12," -")</f>
        <v>1</v>
      </c>
      <c r="H10" s="125">
        <f>+'2016 - 2019'!S12</f>
        <v>0.6</v>
      </c>
      <c r="I10" s="224">
        <f t="shared" si="0"/>
        <v>0.6</v>
      </c>
    </row>
    <row r="11" spans="2:9" ht="21.95" customHeight="1" thickBot="1" x14ac:dyDescent="0.25">
      <c r="B11" s="119">
        <v>6</v>
      </c>
      <c r="C11" s="214" t="s">
        <v>49</v>
      </c>
      <c r="D11" s="215"/>
      <c r="E11" s="130">
        <f>+IF(SUM('2016 - 2019'!G14:G19)&gt;0,AVERAGE('2016 - 2019'!O14:O19)," -")</f>
        <v>1</v>
      </c>
      <c r="F11" s="130">
        <f>+IF(SUM('2016 - 2019'!H14:H19)&gt;0,AVERAGE('2016 - 2019'!P14:P19)," -")</f>
        <v>1</v>
      </c>
      <c r="G11" s="130">
        <f>+IF(SUM('2016 - 2019'!I14:I19)&gt;0,AVERAGE('2016 - 2019'!Q14:Q19)," -")</f>
        <v>0.5625</v>
      </c>
      <c r="H11" s="131">
        <f>+AVERAGE('2016 - 2019'!S14:S19)</f>
        <v>0.73611111111111105</v>
      </c>
      <c r="I11" s="225">
        <f t="shared" ref="I11:I14" si="1">+H11</f>
        <v>0.73611111111111105</v>
      </c>
    </row>
    <row r="12" spans="2:9" ht="20.100000000000001" customHeight="1" x14ac:dyDescent="0.2">
      <c r="B12" s="122" t="s">
        <v>50</v>
      </c>
      <c r="C12" s="216" t="s">
        <v>36</v>
      </c>
      <c r="D12" s="217"/>
      <c r="E12" s="128">
        <f>+IF(SUM('2016 - 2019'!G14:G19)&gt;0,AVERAGE('2016 - 2019'!O14:O19)," -")</f>
        <v>1</v>
      </c>
      <c r="F12" s="128">
        <f>+IF(SUM('2016 - 2019'!H14:H19)&gt;0,AVERAGE('2016 - 2019'!P14:P19)," -")</f>
        <v>1</v>
      </c>
      <c r="G12" s="128">
        <f>+IF(SUM('2016 - 2019'!I14:I19)&gt;0,AVERAGE('2016 - 2019'!Q14:Q19)," -")</f>
        <v>0.5625</v>
      </c>
      <c r="H12" s="129">
        <f>+AVERAGE('2016 - 2019'!S14:S19)</f>
        <v>0.73611111111111105</v>
      </c>
      <c r="I12" s="226">
        <f t="shared" si="1"/>
        <v>0.73611111111111105</v>
      </c>
    </row>
    <row r="13" spans="2:9" ht="18" customHeight="1" thickBot="1" x14ac:dyDescent="0.25">
      <c r="B13" s="123" t="s">
        <v>51</v>
      </c>
      <c r="C13" s="201" t="s">
        <v>52</v>
      </c>
      <c r="D13" s="202"/>
      <c r="E13" s="124">
        <f>+IF(SUM('2016 - 2019'!G14:G19)&gt;0,AVERAGE('2016 - 2019'!O14:O19)," -")</f>
        <v>1</v>
      </c>
      <c r="F13" s="124">
        <f>+IF(SUM('2016 - 2019'!H14:H19)&gt;0,AVERAGE('2016 - 2019'!P14:P19)," -")</f>
        <v>1</v>
      </c>
      <c r="G13" s="124">
        <f>+IF(SUM('2016 - 2019'!I14:I19)&gt;0,AVERAGE('2016 - 2019'!Q14:Q19)," -")</f>
        <v>0.5625</v>
      </c>
      <c r="H13" s="125">
        <f>+AVERAGE('2016 - 2019'!S14:S19)</f>
        <v>0.73611111111111105</v>
      </c>
      <c r="I13" s="224">
        <f t="shared" si="1"/>
        <v>0.73611111111111105</v>
      </c>
    </row>
    <row r="14" spans="2:9" ht="24" customHeight="1" thickBot="1" x14ac:dyDescent="0.25">
      <c r="C14" s="218" t="s">
        <v>53</v>
      </c>
      <c r="D14" s="219"/>
      <c r="E14" s="132">
        <f>+'2016 - 2019'!O20</f>
        <v>0.85</v>
      </c>
      <c r="F14" s="132">
        <f>+'2016 - 2019'!P20</f>
        <v>1</v>
      </c>
      <c r="G14" s="132">
        <f>+'2016 - 2019'!Q20</f>
        <v>0.65</v>
      </c>
      <c r="H14" s="133">
        <f>+'2016 - 2019'!S20</f>
        <v>0.71666666666666667</v>
      </c>
      <c r="I14" s="227">
        <f t="shared" si="1"/>
        <v>0.71666666666666667</v>
      </c>
    </row>
    <row r="16" spans="2:9" ht="18" x14ac:dyDescent="0.25">
      <c r="C16" s="134" t="str">
        <f>+'2016 - 2019'!C7</f>
        <v>FECHA CORTE</v>
      </c>
      <c r="D16" s="136">
        <f>+'2016 - 2019'!C8</f>
        <v>43281</v>
      </c>
      <c r="E16" s="135"/>
      <c r="F16" s="134" t="s">
        <v>56</v>
      </c>
    </row>
  </sheetData>
  <mergeCells count="12">
    <mergeCell ref="C11:D11"/>
    <mergeCell ref="C12:D12"/>
    <mergeCell ref="C14:D14"/>
    <mergeCell ref="C13:D13"/>
    <mergeCell ref="C7:D7"/>
    <mergeCell ref="H7:I7"/>
    <mergeCell ref="C8:D8"/>
    <mergeCell ref="C9:D9"/>
    <mergeCell ref="C10:D10"/>
    <mergeCell ref="C3:I3"/>
    <mergeCell ref="E5:G6"/>
    <mergeCell ref="H5:I6"/>
  </mergeCells>
  <conditionalFormatting sqref="I1:I1048576">
    <cfRule type="iconSet" priority="2">
      <iconSet iconSet="4Arrows" showValue="0">
        <cfvo type="percent" val="0"/>
        <cfvo type="num" val="0.33"/>
        <cfvo type="num" val="0.35"/>
        <cfvo type="num" val="0.38" gte="0"/>
      </iconSet>
    </cfRule>
  </conditionalFormatting>
  <conditionalFormatting sqref="E8:G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{048CF30E-A5FD-3544-82AA-DCFA4C89E50D}</x14:id>
        </ext>
      </extLst>
    </cfRule>
  </conditionalFormatting>
  <pageMargins left="0.75" right="0.75" top="1" bottom="1" header="0.5" footer="0.5"/>
  <pageSetup paperSize="9" orientation="portrait" horizontalDpi="4294967293" verticalDpi="429496729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8CF30E-A5FD-3544-82AA-DCFA4C89E50D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E8:G14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 Monica Castillo Fernandez</cp:lastModifiedBy>
  <cp:lastPrinted>2010-09-21T16:46:22Z</cp:lastPrinted>
  <dcterms:created xsi:type="dcterms:W3CDTF">2008-07-08T21:30:46Z</dcterms:created>
  <dcterms:modified xsi:type="dcterms:W3CDTF">2018-08-09T20:42:29Z</dcterms:modified>
</cp:coreProperties>
</file>