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D13" i="12"/>
  <c r="C13" i="12"/>
  <c r="H10" i="12"/>
  <c r="H9" i="12"/>
  <c r="H8" i="12"/>
  <c r="Q12" i="7"/>
  <c r="V12" i="11"/>
  <c r="V13" i="11"/>
  <c r="V14" i="11"/>
  <c r="V15" i="11"/>
  <c r="V16" i="11"/>
  <c r="W12" i="11"/>
  <c r="W13" i="11"/>
  <c r="W14" i="11"/>
  <c r="W15" i="11"/>
  <c r="W16" i="11"/>
  <c r="U14" i="11"/>
  <c r="P12" i="7"/>
  <c r="U12" i="11"/>
  <c r="U13" i="11"/>
  <c r="U15" i="11"/>
  <c r="U16" i="11"/>
  <c r="H12" i="11"/>
  <c r="H13" i="11"/>
  <c r="H14" i="11"/>
  <c r="H15" i="11"/>
  <c r="H16" i="11"/>
  <c r="L12" i="8"/>
  <c r="N12" i="8"/>
  <c r="P12" i="11"/>
  <c r="N13" i="8"/>
  <c r="P13" i="11"/>
  <c r="L14" i="8"/>
  <c r="N14" i="8"/>
  <c r="P14" i="11"/>
  <c r="L15" i="8"/>
  <c r="N15" i="8"/>
  <c r="P15" i="11"/>
  <c r="L16" i="8"/>
  <c r="N16" i="8"/>
  <c r="P16" i="11"/>
  <c r="F8" i="12"/>
  <c r="I12" i="11"/>
  <c r="I13" i="11"/>
  <c r="I14" i="11"/>
  <c r="I15" i="11"/>
  <c r="I16" i="11"/>
  <c r="L12" i="9"/>
  <c r="N12" i="9"/>
  <c r="Q12" i="11"/>
  <c r="N13" i="9"/>
  <c r="Q13" i="11"/>
  <c r="L14" i="9"/>
  <c r="N14" i="9"/>
  <c r="Q14" i="11"/>
  <c r="L15" i="9"/>
  <c r="N15" i="9"/>
  <c r="Q15" i="11"/>
  <c r="N16" i="9"/>
  <c r="Q16" i="11"/>
  <c r="G8" i="12"/>
  <c r="J12" i="11"/>
  <c r="J13" i="11"/>
  <c r="J14" i="11"/>
  <c r="J15" i="11"/>
  <c r="J16" i="11"/>
  <c r="L12" i="10"/>
  <c r="N12" i="10"/>
  <c r="R12" i="11"/>
  <c r="N13" i="10"/>
  <c r="R13" i="11"/>
  <c r="L14" i="10"/>
  <c r="N14" i="10"/>
  <c r="R14" i="11"/>
  <c r="L15" i="10"/>
  <c r="N15" i="10"/>
  <c r="R15" i="11"/>
  <c r="N16" i="10"/>
  <c r="R16" i="11"/>
  <c r="F9" i="12"/>
  <c r="G9" i="12"/>
  <c r="F10" i="12"/>
  <c r="G10" i="12"/>
  <c r="G12" i="11"/>
  <c r="G13" i="11"/>
  <c r="G14" i="11"/>
  <c r="G15" i="11"/>
  <c r="G16" i="11"/>
  <c r="L12" i="7"/>
  <c r="N12" i="7"/>
  <c r="O12" i="11"/>
  <c r="L13" i="7"/>
  <c r="N13" i="7"/>
  <c r="O13" i="11"/>
  <c r="N14" i="7"/>
  <c r="O14" i="11"/>
  <c r="L15" i="7"/>
  <c r="N15" i="7"/>
  <c r="O15" i="11"/>
  <c r="N16" i="7"/>
  <c r="O16" i="11"/>
  <c r="E10" i="12"/>
  <c r="E9" i="12"/>
  <c r="E8" i="12"/>
  <c r="S17" i="11"/>
  <c r="H11" i="12"/>
  <c r="P17" i="11"/>
  <c r="F11" i="12"/>
  <c r="Q17" i="11"/>
  <c r="G11" i="12"/>
  <c r="R17" i="11"/>
  <c r="O17" i="11"/>
  <c r="E11" i="12"/>
  <c r="I8" i="12"/>
  <c r="I11" i="12"/>
  <c r="I10" i="12"/>
  <c r="I9" i="12"/>
  <c r="N17" i="10"/>
  <c r="N17" i="9"/>
  <c r="N17" i="8"/>
  <c r="N17" i="7"/>
  <c r="N12" i="11"/>
  <c r="N13" i="11"/>
  <c r="N14" i="11"/>
  <c r="N15" i="11"/>
  <c r="N16" i="11"/>
  <c r="M12" i="11"/>
  <c r="M13" i="11"/>
  <c r="M14" i="11"/>
  <c r="M15" i="11"/>
  <c r="M16" i="11"/>
  <c r="L12" i="11"/>
  <c r="L13" i="11"/>
  <c r="L14" i="11"/>
  <c r="L15" i="11"/>
  <c r="L16" i="11"/>
  <c r="K12" i="11"/>
  <c r="K13" i="11"/>
  <c r="K14" i="11"/>
  <c r="K15" i="11"/>
  <c r="K16" i="11"/>
  <c r="W17" i="11"/>
  <c r="V17" i="11"/>
  <c r="Y17" i="11"/>
  <c r="U17" i="11"/>
  <c r="X17" i="11"/>
  <c r="Y16" i="11"/>
  <c r="X16" i="11"/>
  <c r="Y15" i="11"/>
  <c r="X15" i="11"/>
  <c r="Y14" i="11"/>
  <c r="X14" i="11"/>
  <c r="Y13" i="11"/>
  <c r="X13" i="11"/>
  <c r="Y12" i="11"/>
  <c r="X12" i="11"/>
  <c r="I15" i="8"/>
  <c r="I14" i="8"/>
  <c r="I15" i="9"/>
  <c r="I14" i="9"/>
  <c r="I13" i="8"/>
  <c r="I13" i="9"/>
  <c r="I16" i="8"/>
  <c r="I16" i="9"/>
  <c r="I15" i="10"/>
  <c r="I14" i="10"/>
  <c r="I13" i="10"/>
  <c r="I16" i="10"/>
  <c r="I12" i="8"/>
  <c r="I12" i="9"/>
  <c r="I12" i="10"/>
  <c r="R17" i="10"/>
  <c r="T17" i="10"/>
  <c r="P17" i="10"/>
  <c r="Q17" i="10"/>
  <c r="S17" i="10"/>
  <c r="L13" i="10"/>
  <c r="M12" i="10"/>
  <c r="M13" i="10"/>
  <c r="M14" i="10"/>
  <c r="M15" i="10"/>
  <c r="M16" i="10"/>
  <c r="M17" i="10"/>
  <c r="T16" i="10"/>
  <c r="S16" i="10"/>
  <c r="L16" i="10"/>
  <c r="T15" i="10"/>
  <c r="S15" i="10"/>
  <c r="T14" i="10"/>
  <c r="S14" i="10"/>
  <c r="T13" i="10"/>
  <c r="S13" i="10"/>
  <c r="T12" i="10"/>
  <c r="S12" i="10"/>
  <c r="R17" i="9"/>
  <c r="T17" i="9"/>
  <c r="P17" i="9"/>
  <c r="Q17" i="9"/>
  <c r="S17" i="9"/>
  <c r="L13" i="9"/>
  <c r="M12" i="9"/>
  <c r="M13" i="9"/>
  <c r="M14" i="9"/>
  <c r="M15" i="9"/>
  <c r="M16" i="9"/>
  <c r="M17" i="9"/>
  <c r="T16" i="9"/>
  <c r="S16" i="9"/>
  <c r="L16" i="9"/>
  <c r="T15" i="9"/>
  <c r="S15" i="9"/>
  <c r="T14" i="9"/>
  <c r="S14" i="9"/>
  <c r="T13" i="9"/>
  <c r="S13" i="9"/>
  <c r="T12" i="9"/>
  <c r="S12" i="9"/>
  <c r="R17" i="8"/>
  <c r="Q17" i="8"/>
  <c r="T17" i="8"/>
  <c r="P17" i="8"/>
  <c r="S17" i="8"/>
  <c r="L13" i="8"/>
  <c r="M12" i="8"/>
  <c r="M13" i="8"/>
  <c r="M14" i="8"/>
  <c r="M15" i="8"/>
  <c r="M16" i="8"/>
  <c r="M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T12" i="7"/>
  <c r="S12" i="7"/>
  <c r="M13" i="7"/>
  <c r="L14" i="7"/>
  <c r="M14" i="7"/>
  <c r="M15" i="7"/>
  <c r="L16" i="7"/>
  <c r="M16" i="7"/>
  <c r="M12" i="7"/>
  <c r="R17" i="7"/>
  <c r="Q17" i="7"/>
  <c r="P17" i="7"/>
  <c r="M17" i="7"/>
  <c r="T17" i="7"/>
  <c r="S17" i="7"/>
</calcChain>
</file>

<file path=xl/sharedStrings.xml><?xml version="1.0" encoding="utf-8"?>
<sst xmlns="http://schemas.openxmlformats.org/spreadsheetml/2006/main" count="198" uniqueCount="48">
  <si>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</si>
  <si>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</si>
  <si>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</si>
  <si>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</si>
  <si>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</si>
  <si>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</si>
  <si>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</si>
  <si>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</si>
  <si>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</si>
  <si>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</si>
  <si>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</si>
  <si>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</si>
  <si>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</si>
  <si>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</si>
  <si>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</si>
  <si>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</si>
  <si>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</si>
  <si>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</si>
  <si>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</si>
  <si>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</si>
  <si>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</si>
  <si>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</si>
  <si>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</si>
  <si>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</si>
  <si>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</si>
  <si>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</si>
  <si>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</si>
  <si>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DE SALUD DE BUCARAMANGA (ISABU)</t>
  </si>
  <si>
    <t>Porcentaje del personal en salud que está capacitado e implementando la estrategia AIEPI e IAMI en las unidades operativas de la ESE ISABU.</t>
  </si>
  <si>
    <t>Porcentaje de avance en la implementación de la historia clínica digital en todas las unidades operativas de la ESE ISABU.</t>
  </si>
  <si>
    <t>Número de puntos de atención ampliados y mantenidos de servicios de imagenología.</t>
  </si>
  <si>
    <t>Número de ambulancias habilitadas y mantenidas con el fin de mejorar el sistema de referencia y contrareferencia interna de la ESE ISABU.</t>
  </si>
  <si>
    <t>Número de Hospitales Locales del Norte fortalecidos.</t>
  </si>
  <si>
    <t>FORTALECIMIENTO DE LA AUTORIDAD SANITARIA PARA LA GESTIÓN DE LA SALUD</t>
  </si>
  <si>
    <t>SALUD PÚBLICA: SALUD PARA TODOS Y CON TODOS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</si>
  <si>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</si>
  <si>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</si>
  <si>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</si>
  <si>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</si>
  <si>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</si>
  <si>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LÍNEA ESTRATÉGICA 4: CALIDAD DE VIDA</t>
  </si>
  <si>
    <t>4.2</t>
  </si>
  <si>
    <t>4.2.9</t>
  </si>
  <si>
    <t>Fortalecimiento de la Autoridad Sanitaria para la Gestión de la Salud</t>
  </si>
  <si>
    <t>PLAN DE DESARROLLO 2016 - 2019</t>
  </si>
  <si>
    <t>RESUMEN CUMPLIMIENTO INSTITUTO DE SALUD DE BUCARAMANGA (ISABU) 2016 - 2019</t>
  </si>
  <si>
    <t xml:space="preserve"> -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</si>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</sst>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9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27" xfId="0" applyNumberFormat="1" applyFont="1" applyFill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6" fillId="0" borderId="48" xfId="0" applyNumberFormat="1" applyFont="1" applyBorder="1" applyAlignment="1">
      <alignment horizontal="center" vertical="center"/>
    </xf>
    <xf numFmtId="9" fontId="11" fillId="2" borderId="38" xfId="0" applyNumberFormat="1" applyFont="1" applyFill="1" applyBorder="1" applyAlignment="1">
      <alignment horizontal="center" vertical="center"/>
    </xf>
    <xf numFmtId="9" fontId="11" fillId="2" borderId="4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1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3" borderId="46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9" fontId="6" fillId="3" borderId="47" xfId="0" applyNumberFormat="1" applyFont="1" applyFill="1" applyBorder="1" applyAlignment="1">
      <alignment horizontal="center" vertical="center"/>
    </xf>
    <xf numFmtId="9" fontId="6" fillId="3" borderId="28" xfId="0" applyNumberFormat="1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9" fontId="8" fillId="3" borderId="41" xfId="0" applyNumberFormat="1" applyFont="1" applyFill="1" applyBorder="1" applyAlignment="1">
      <alignment horizontal="center" vertical="center"/>
    </xf>
    <xf numFmtId="9" fontId="8" fillId="3" borderId="27" xfId="0" applyNumberFormat="1" applyFont="1" applyFill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3" xfId="0" applyNumberFormat="1" applyFont="1" applyBorder="1" applyAlignment="1">
      <alignment horizontal="center" vertical="center" wrapText="1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3" xfId="0" applyNumberFormat="1" applyFont="1" applyFill="1" applyBorder="1" applyAlignment="1">
      <alignment horizontal="center" vertical="center" wrapText="1"/>
    </xf>
    <xf numFmtId="9" fontId="14" fillId="6" borderId="38" xfId="0" applyNumberFormat="1" applyFont="1" applyFill="1" applyBorder="1" applyAlignment="1">
      <alignment horizontal="center" vertical="center" wrapText="1"/>
    </xf>
    <xf numFmtId="9" fontId="15" fillId="6" borderId="56" xfId="0" applyNumberFormat="1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 wrapText="1"/>
    </xf>
    <xf numFmtId="9" fontId="8" fillId="2" borderId="5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164" fontId="20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8" fillId="2" borderId="56" xfId="0" applyFont="1" applyFill="1" applyBorder="1" applyAlignment="1">
      <alignment horizontal="justify" vertical="center"/>
    </xf>
    <xf numFmtId="0" fontId="8" fillId="2" borderId="59" xfId="0" applyFont="1" applyFill="1" applyBorder="1" applyAlignment="1">
      <alignment horizontal="justify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justify" vertical="center"/>
    </xf>
    <xf numFmtId="0" fontId="17" fillId="5" borderId="60" xfId="0" applyFont="1" applyFill="1" applyBorder="1" applyAlignment="1">
      <alignment horizontal="justify" vertical="center"/>
    </xf>
    <xf numFmtId="0" fontId="14" fillId="6" borderId="56" xfId="0" applyFont="1" applyFill="1" applyBorder="1" applyAlignment="1">
      <alignment horizontal="justify" vertical="center"/>
    </xf>
    <xf numFmtId="0" fontId="14" fillId="6" borderId="59" xfId="0" applyFont="1" applyFill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60" xfId="0" applyFont="1" applyBorder="1" applyAlignment="1">
      <alignment horizontal="justify" vertical="center"/>
    </xf>
    <xf numFmtId="9" fontId="16" fillId="6" borderId="58" xfId="0" applyNumberFormat="1" applyFont="1" applyFill="1" applyBorder="1" applyAlignment="1">
      <alignment horizontal="center" vertical="center" wrapText="1"/>
    </xf>
    <xf numFmtId="9" fontId="19" fillId="5" borderId="61" xfId="0" applyNumberFormat="1" applyFont="1" applyFill="1" applyBorder="1" applyAlignment="1">
      <alignment horizontal="center" vertical="center" wrapText="1"/>
    </xf>
    <xf numFmtId="9" fontId="19" fillId="0" borderId="61" xfId="0" applyNumberFormat="1" applyFont="1" applyBorder="1" applyAlignment="1">
      <alignment horizontal="center" vertical="center" wrapText="1"/>
    </xf>
    <xf numFmtId="9" fontId="21" fillId="2" borderId="58" xfId="0" applyNumberFormat="1" applyFont="1" applyFill="1" applyBorder="1" applyAlignment="1">
      <alignment horizontal="center" vertical="center" wrapText="1"/>
    </xf>
  </cellXfs>
  <cellStyles count="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76200</xdr:rowOff>
    </xdr:from>
    <xdr:to>
      <xdr:col>4</xdr:col>
      <xdr:colOff>1397000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3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18" t="s">
        <v>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0" ht="20.100000000000001" customHeight="1" x14ac:dyDescent="0.2">
      <c r="B3" s="118" t="s">
        <v>19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0" ht="20.100000000000001" customHeight="1" x14ac:dyDescent="0.2"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6">
        <v>2016</v>
      </c>
      <c r="C8" s="7">
        <v>42735</v>
      </c>
      <c r="D8" s="119" t="s">
        <v>3</v>
      </c>
      <c r="E8" s="120"/>
      <c r="F8" s="120"/>
      <c r="G8" s="120"/>
      <c r="H8" s="120"/>
      <c r="I8" s="120"/>
      <c r="J8" s="120"/>
      <c r="K8" s="1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22" t="s">
        <v>17</v>
      </c>
      <c r="C9" s="125" t="s">
        <v>18</v>
      </c>
      <c r="D9" s="127" t="s">
        <v>0</v>
      </c>
      <c r="E9" s="130" t="s">
        <v>4</v>
      </c>
      <c r="F9" s="130"/>
      <c r="G9" s="130" t="s">
        <v>5</v>
      </c>
      <c r="H9" s="130"/>
      <c r="I9" s="130"/>
      <c r="J9" s="130"/>
      <c r="K9" s="132"/>
      <c r="L9" s="5"/>
      <c r="M9" s="127" t="s">
        <v>6</v>
      </c>
      <c r="N9" s="132"/>
      <c r="O9" s="104" t="s">
        <v>24</v>
      </c>
      <c r="P9" s="105"/>
      <c r="Q9" s="105"/>
      <c r="R9" s="105"/>
      <c r="S9" s="105"/>
      <c r="T9" s="106"/>
    </row>
    <row r="10" spans="2:20" ht="17.100000000000001" customHeight="1" x14ac:dyDescent="0.2">
      <c r="B10" s="123"/>
      <c r="C10" s="126"/>
      <c r="D10" s="128"/>
      <c r="E10" s="131"/>
      <c r="F10" s="131"/>
      <c r="G10" s="131" t="s">
        <v>7</v>
      </c>
      <c r="H10" s="110" t="s">
        <v>25</v>
      </c>
      <c r="I10" s="110" t="s">
        <v>26</v>
      </c>
      <c r="J10" s="135" t="s">
        <v>1</v>
      </c>
      <c r="K10" s="133" t="s">
        <v>8</v>
      </c>
      <c r="L10" s="37"/>
      <c r="M10" s="100" t="s">
        <v>9</v>
      </c>
      <c r="N10" s="102" t="s">
        <v>10</v>
      </c>
      <c r="O10" s="107"/>
      <c r="P10" s="108"/>
      <c r="Q10" s="108"/>
      <c r="R10" s="108"/>
      <c r="S10" s="108"/>
      <c r="T10" s="109"/>
    </row>
    <row r="11" spans="2:20" ht="37.5" customHeight="1" thickBot="1" x14ac:dyDescent="0.25">
      <c r="B11" s="124"/>
      <c r="C11" s="126"/>
      <c r="D11" s="129"/>
      <c r="E11" s="10" t="s">
        <v>11</v>
      </c>
      <c r="F11" s="10" t="s">
        <v>12</v>
      </c>
      <c r="G11" s="110"/>
      <c r="H11" s="111"/>
      <c r="I11" s="111"/>
      <c r="J11" s="136"/>
      <c r="K11" s="134"/>
      <c r="L11" s="38"/>
      <c r="M11" s="101"/>
      <c r="N11" s="103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 x14ac:dyDescent="0.2">
      <c r="B12" s="115" t="s">
        <v>35</v>
      </c>
      <c r="C12" s="115" t="s">
        <v>34</v>
      </c>
      <c r="D12" s="112" t="s">
        <v>33</v>
      </c>
      <c r="E12" s="19">
        <v>42370</v>
      </c>
      <c r="F12" s="19">
        <v>42735</v>
      </c>
      <c r="G12" s="20" t="s">
        <v>28</v>
      </c>
      <c r="H12" s="21">
        <v>1</v>
      </c>
      <c r="I12" s="21"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46</v>
      </c>
      <c r="P12" s="22">
        <f>1832+42022</f>
        <v>43854</v>
      </c>
      <c r="Q12" s="22">
        <f>1832+42022</f>
        <v>43854</v>
      </c>
      <c r="R12" s="22">
        <v>0</v>
      </c>
      <c r="S12" s="21">
        <f>IF(P12=0," -",Q12/P12)</f>
        <v>1</v>
      </c>
      <c r="T12" s="23" t="str">
        <f>IF(R12=0," -",IF(Q12=0,100%,R12/Q12))</f>
        <v xml:space="preserve"> -</v>
      </c>
    </row>
    <row r="13" spans="2:20" ht="60" x14ac:dyDescent="0.2">
      <c r="B13" s="116"/>
      <c r="C13" s="116"/>
      <c r="D13" s="113"/>
      <c r="E13" s="16">
        <v>42370</v>
      </c>
      <c r="F13" s="16">
        <v>42735</v>
      </c>
      <c r="G13" s="8" t="s">
        <v>29</v>
      </c>
      <c r="H13" s="17">
        <v>1</v>
      </c>
      <c r="I13" s="17">
        <v>1</v>
      </c>
      <c r="J13" s="17">
        <v>1</v>
      </c>
      <c r="K13" s="24">
        <v>1</v>
      </c>
      <c r="L13" s="34">
        <f t="shared" ref="L13:L16" si="0">+K13/J13</f>
        <v>1</v>
      </c>
      <c r="M13" s="35">
        <f t="shared" ref="M13:M16" si="1">DAYS360(E13,$C$8)/DAYS360(E13,F13)</f>
        <v>1</v>
      </c>
      <c r="N13" s="36">
        <f t="shared" ref="N13:N16" si="2">IF(J13=0," -",IF(L13&gt;100%,100%,L13))</f>
        <v>1</v>
      </c>
      <c r="O13" s="46">
        <v>0</v>
      </c>
      <c r="P13" s="18">
        <v>200000</v>
      </c>
      <c r="Q13" s="18">
        <v>200000</v>
      </c>
      <c r="R13" s="18">
        <v>0</v>
      </c>
      <c r="S13" s="44">
        <f t="shared" ref="S13:S16" si="3">IF(P13=0," -",Q13/P13)</f>
        <v>1</v>
      </c>
      <c r="T13" s="36" t="str">
        <f t="shared" ref="T13:T16" si="4">IF(R13=0," -",IF(Q13=0,100%,R13/Q13))</f>
        <v xml:space="preserve"> -</v>
      </c>
    </row>
    <row r="14" spans="2:20" ht="45" x14ac:dyDescent="0.2">
      <c r="B14" s="116"/>
      <c r="C14" s="116"/>
      <c r="D14" s="113"/>
      <c r="E14" s="16">
        <v>42370</v>
      </c>
      <c r="F14" s="16">
        <v>42735</v>
      </c>
      <c r="G14" s="8" t="s">
        <v>30</v>
      </c>
      <c r="H14" s="18">
        <v>1</v>
      </c>
      <c r="I14" s="18">
        <v>0</v>
      </c>
      <c r="J14" s="18">
        <v>0</v>
      </c>
      <c r="K14" s="27">
        <v>0</v>
      </c>
      <c r="L14" s="34" t="e">
        <f t="shared" si="0"/>
        <v>#DIV/0!</v>
      </c>
      <c r="M14" s="35">
        <f t="shared" si="1"/>
        <v>1</v>
      </c>
      <c r="N14" s="36" t="str">
        <f t="shared" si="2"/>
        <v xml:space="preserve"> -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75" x14ac:dyDescent="0.2">
      <c r="B15" s="116"/>
      <c r="C15" s="116"/>
      <c r="D15" s="113"/>
      <c r="E15" s="16">
        <v>42370</v>
      </c>
      <c r="F15" s="16">
        <v>42735</v>
      </c>
      <c r="G15" s="8" t="s">
        <v>31</v>
      </c>
      <c r="H15" s="18">
        <v>2</v>
      </c>
      <c r="I15" s="18">
        <v>2</v>
      </c>
      <c r="J15" s="18">
        <v>2</v>
      </c>
      <c r="K15" s="27">
        <v>2</v>
      </c>
      <c r="L15" s="34">
        <f t="shared" si="0"/>
        <v>1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7</v>
      </c>
      <c r="Q15" s="18">
        <v>7</v>
      </c>
      <c r="R15" s="18">
        <v>0</v>
      </c>
      <c r="S15" s="44">
        <f t="shared" si="3"/>
        <v>1</v>
      </c>
      <c r="T15" s="36" t="str">
        <f t="shared" si="4"/>
        <v xml:space="preserve"> -</v>
      </c>
    </row>
    <row r="16" spans="2:20" ht="30.75" thickBot="1" x14ac:dyDescent="0.25">
      <c r="B16" s="117"/>
      <c r="C16" s="117"/>
      <c r="D16" s="114"/>
      <c r="E16" s="25">
        <v>42370</v>
      </c>
      <c r="F16" s="25">
        <v>42735</v>
      </c>
      <c r="G16" s="9" t="s">
        <v>32</v>
      </c>
      <c r="H16" s="26">
        <v>1</v>
      </c>
      <c r="I16" s="26"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1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 x14ac:dyDescent="0.25">
      <c r="M17" s="39">
        <f>+AVERAGE(M12:M16)</f>
        <v>1</v>
      </c>
      <c r="N17" s="40">
        <f>+AVERAGE(N12:N16)</f>
        <v>1</v>
      </c>
      <c r="P17" s="49">
        <f>+SUM(P12:P16)</f>
        <v>243861</v>
      </c>
      <c r="Q17" s="31">
        <f>+SUM(Q12:Q16)</f>
        <v>243861</v>
      </c>
      <c r="R17" s="31">
        <f>+SUM(R12:R16)</f>
        <v>0</v>
      </c>
      <c r="S17" s="32">
        <f t="shared" ref="S17" si="5">IF(P17=0," -",Q17/P17)</f>
        <v>1</v>
      </c>
      <c r="T17" s="30" t="str">
        <f t="shared" ref="T17" si="6">IF(R17=0," -",IF(Q17=0,100%,R17/Q17))</f>
        <v xml:space="preserve"> -</v>
      </c>
    </row>
  </sheetData>
  <mergeCells count="21">
    <mergeCell ref="D12:D16"/>
    <mergeCell ref="C12:C16"/>
    <mergeCell ref="B12:B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18" t="s">
        <v>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0" ht="20.100000000000001" customHeight="1" x14ac:dyDescent="0.2">
      <c r="B3" s="118" t="s">
        <v>19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0" ht="20.100000000000001" customHeight="1" x14ac:dyDescent="0.2"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6">
        <v>2017</v>
      </c>
      <c r="C8" s="7">
        <v>43100</v>
      </c>
      <c r="D8" s="119" t="s">
        <v>3</v>
      </c>
      <c r="E8" s="120"/>
      <c r="F8" s="120"/>
      <c r="G8" s="120"/>
      <c r="H8" s="120"/>
      <c r="I8" s="120"/>
      <c r="J8" s="120"/>
      <c r="K8" s="1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22" t="s">
        <v>17</v>
      </c>
      <c r="C9" s="125" t="s">
        <v>18</v>
      </c>
      <c r="D9" s="127" t="s">
        <v>0</v>
      </c>
      <c r="E9" s="130" t="s">
        <v>4</v>
      </c>
      <c r="F9" s="130"/>
      <c r="G9" s="130" t="s">
        <v>5</v>
      </c>
      <c r="H9" s="130"/>
      <c r="I9" s="130"/>
      <c r="J9" s="130"/>
      <c r="K9" s="132"/>
      <c r="L9" s="5"/>
      <c r="M9" s="127" t="s">
        <v>6</v>
      </c>
      <c r="N9" s="132"/>
      <c r="O9" s="104" t="s">
        <v>24</v>
      </c>
      <c r="P9" s="105"/>
      <c r="Q9" s="105"/>
      <c r="R9" s="105"/>
      <c r="S9" s="105"/>
      <c r="T9" s="106"/>
    </row>
    <row r="10" spans="2:20" ht="17.100000000000001" customHeight="1" x14ac:dyDescent="0.2">
      <c r="B10" s="123"/>
      <c r="C10" s="126"/>
      <c r="D10" s="128"/>
      <c r="E10" s="131"/>
      <c r="F10" s="131"/>
      <c r="G10" s="131" t="s">
        <v>7</v>
      </c>
      <c r="H10" s="110" t="s">
        <v>25</v>
      </c>
      <c r="I10" s="110" t="s">
        <v>26</v>
      </c>
      <c r="J10" s="135" t="s">
        <v>1</v>
      </c>
      <c r="K10" s="133" t="s">
        <v>8</v>
      </c>
      <c r="L10" s="37"/>
      <c r="M10" s="100" t="s">
        <v>9</v>
      </c>
      <c r="N10" s="102" t="s">
        <v>10</v>
      </c>
      <c r="O10" s="107"/>
      <c r="P10" s="108"/>
      <c r="Q10" s="108"/>
      <c r="R10" s="108"/>
      <c r="S10" s="108"/>
      <c r="T10" s="109"/>
    </row>
    <row r="11" spans="2:20" ht="37.5" customHeight="1" thickBot="1" x14ac:dyDescent="0.25">
      <c r="B11" s="124"/>
      <c r="C11" s="126"/>
      <c r="D11" s="129"/>
      <c r="E11" s="10" t="s">
        <v>11</v>
      </c>
      <c r="F11" s="10" t="s">
        <v>12</v>
      </c>
      <c r="G11" s="110"/>
      <c r="H11" s="111"/>
      <c r="I11" s="111"/>
      <c r="J11" s="136"/>
      <c r="K11" s="134"/>
      <c r="L11" s="38"/>
      <c r="M11" s="101"/>
      <c r="N11" s="103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 x14ac:dyDescent="0.2">
      <c r="B12" s="115" t="s">
        <v>35</v>
      </c>
      <c r="C12" s="115" t="s">
        <v>34</v>
      </c>
      <c r="D12" s="112" t="s">
        <v>33</v>
      </c>
      <c r="E12" s="19">
        <v>42736</v>
      </c>
      <c r="F12" s="19">
        <v>43100</v>
      </c>
      <c r="G12" s="20" t="s">
        <v>28</v>
      </c>
      <c r="H12" s="21">
        <v>1</v>
      </c>
      <c r="I12" s="21">
        <f>+J12+('2016'!I12-'2016'!K12)</f>
        <v>0.25</v>
      </c>
      <c r="J12" s="21">
        <v>0.25</v>
      </c>
      <c r="K12" s="23">
        <v>0.25</v>
      </c>
      <c r="L12" s="33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45" t="s">
        <v>46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60" x14ac:dyDescent="0.2">
      <c r="B13" s="116"/>
      <c r="C13" s="116"/>
      <c r="D13" s="113"/>
      <c r="E13" s="16">
        <v>42736</v>
      </c>
      <c r="F13" s="16">
        <v>43100</v>
      </c>
      <c r="G13" s="8" t="s">
        <v>29</v>
      </c>
      <c r="H13" s="17">
        <v>1</v>
      </c>
      <c r="I13" s="17">
        <f>+J13+('2016'!I13-'2016'!K13)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1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45" x14ac:dyDescent="0.2">
      <c r="B14" s="116"/>
      <c r="C14" s="116"/>
      <c r="D14" s="113"/>
      <c r="E14" s="16">
        <v>42736</v>
      </c>
      <c r="F14" s="16">
        <v>43100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1</v>
      </c>
      <c r="N14" s="36">
        <f t="shared" si="2"/>
        <v>1</v>
      </c>
      <c r="O14" s="46">
        <v>0</v>
      </c>
      <c r="P14" s="18">
        <v>2000</v>
      </c>
      <c r="Q14" s="18">
        <v>2000</v>
      </c>
      <c r="R14" s="18">
        <v>0</v>
      </c>
      <c r="S14" s="44">
        <f t="shared" si="3"/>
        <v>1</v>
      </c>
      <c r="T14" s="36" t="str">
        <f t="shared" si="4"/>
        <v xml:space="preserve"> -</v>
      </c>
    </row>
    <row r="15" spans="2:20" ht="75" x14ac:dyDescent="0.2">
      <c r="B15" s="116"/>
      <c r="C15" s="116"/>
      <c r="D15" s="113"/>
      <c r="E15" s="16">
        <v>42736</v>
      </c>
      <c r="F15" s="16">
        <v>43100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1</v>
      </c>
      <c r="N15" s="36">
        <f t="shared" si="2"/>
        <v>1</v>
      </c>
      <c r="O15" s="46">
        <v>201020201</v>
      </c>
      <c r="P15" s="18">
        <v>40000</v>
      </c>
      <c r="Q15" s="18">
        <v>24701</v>
      </c>
      <c r="R15" s="18">
        <v>0</v>
      </c>
      <c r="S15" s="44">
        <f t="shared" si="3"/>
        <v>0.61752499999999999</v>
      </c>
      <c r="T15" s="36" t="str">
        <f t="shared" si="4"/>
        <v xml:space="preserve"> -</v>
      </c>
    </row>
    <row r="16" spans="2:20" ht="30.75" thickBot="1" x14ac:dyDescent="0.25">
      <c r="B16" s="117"/>
      <c r="C16" s="117"/>
      <c r="D16" s="114"/>
      <c r="E16" s="25">
        <v>42736</v>
      </c>
      <c r="F16" s="25">
        <v>43100</v>
      </c>
      <c r="G16" s="9" t="s">
        <v>32</v>
      </c>
      <c r="H16" s="26">
        <v>1</v>
      </c>
      <c r="I16" s="26">
        <f>+J16+('2016'!I16-'2016'!K16)</f>
        <v>1</v>
      </c>
      <c r="J16" s="26">
        <v>1</v>
      </c>
      <c r="K16" s="28">
        <v>1</v>
      </c>
      <c r="L16" s="41">
        <f t="shared" si="0"/>
        <v>1</v>
      </c>
      <c r="M16" s="42">
        <f t="shared" si="1"/>
        <v>1</v>
      </c>
      <c r="N16" s="43">
        <f t="shared" si="2"/>
        <v>1</v>
      </c>
      <c r="O16" s="47">
        <v>2010547</v>
      </c>
      <c r="P16" s="26">
        <v>1334985</v>
      </c>
      <c r="Q16" s="26">
        <v>1031571</v>
      </c>
      <c r="R16" s="26">
        <v>0</v>
      </c>
      <c r="S16" s="48">
        <f t="shared" si="3"/>
        <v>0.77272104180945855</v>
      </c>
      <c r="T16" s="43" t="str">
        <f t="shared" si="4"/>
        <v xml:space="preserve"> -</v>
      </c>
    </row>
    <row r="17" spans="13:20" ht="21" customHeight="1" thickBot="1" x14ac:dyDescent="0.25">
      <c r="M17" s="39">
        <f>+AVERAGE(M12:M16)</f>
        <v>1</v>
      </c>
      <c r="N17" s="40">
        <f>+AVERAGE(N12:N16)</f>
        <v>1</v>
      </c>
      <c r="P17" s="49">
        <f>+SUM(P12:P16)</f>
        <v>1376985</v>
      </c>
      <c r="Q17" s="31">
        <f>+SUM(Q12:Q16)</f>
        <v>1058272</v>
      </c>
      <c r="R17" s="31">
        <f>+SUM(R12:R16)</f>
        <v>0</v>
      </c>
      <c r="S17" s="32">
        <f t="shared" si="3"/>
        <v>0.76854286720625131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topLeftCell="A10" workbookViewId="0">
      <selection activeCell="G17" sqref="G17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18" t="s">
        <v>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0" ht="20.100000000000001" customHeight="1" x14ac:dyDescent="0.2">
      <c r="B3" s="118" t="s">
        <v>19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0" ht="20.100000000000001" customHeight="1" x14ac:dyDescent="0.2"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6">
        <v>2018</v>
      </c>
      <c r="C8" s="7">
        <v>43281</v>
      </c>
      <c r="D8" s="119" t="s">
        <v>3</v>
      </c>
      <c r="E8" s="120"/>
      <c r="F8" s="120"/>
      <c r="G8" s="120"/>
      <c r="H8" s="120"/>
      <c r="I8" s="120"/>
      <c r="J8" s="120"/>
      <c r="K8" s="1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22" t="s">
        <v>17</v>
      </c>
      <c r="C9" s="125" t="s">
        <v>18</v>
      </c>
      <c r="D9" s="127" t="s">
        <v>0</v>
      </c>
      <c r="E9" s="130" t="s">
        <v>4</v>
      </c>
      <c r="F9" s="130"/>
      <c r="G9" s="130" t="s">
        <v>5</v>
      </c>
      <c r="H9" s="130"/>
      <c r="I9" s="130"/>
      <c r="J9" s="130"/>
      <c r="K9" s="132"/>
      <c r="L9" s="5"/>
      <c r="M9" s="127" t="s">
        <v>6</v>
      </c>
      <c r="N9" s="132"/>
      <c r="O9" s="104" t="s">
        <v>24</v>
      </c>
      <c r="P9" s="105"/>
      <c r="Q9" s="105"/>
      <c r="R9" s="105"/>
      <c r="S9" s="105"/>
      <c r="T9" s="106"/>
    </row>
    <row r="10" spans="2:20" ht="17.100000000000001" customHeight="1" x14ac:dyDescent="0.2">
      <c r="B10" s="123"/>
      <c r="C10" s="126"/>
      <c r="D10" s="128"/>
      <c r="E10" s="131"/>
      <c r="F10" s="131"/>
      <c r="G10" s="131" t="s">
        <v>7</v>
      </c>
      <c r="H10" s="110" t="s">
        <v>25</v>
      </c>
      <c r="I10" s="110" t="s">
        <v>26</v>
      </c>
      <c r="J10" s="135" t="s">
        <v>1</v>
      </c>
      <c r="K10" s="133" t="s">
        <v>8</v>
      </c>
      <c r="L10" s="37"/>
      <c r="M10" s="100" t="s">
        <v>9</v>
      </c>
      <c r="N10" s="102" t="s">
        <v>10</v>
      </c>
      <c r="O10" s="107"/>
      <c r="P10" s="108"/>
      <c r="Q10" s="108"/>
      <c r="R10" s="108"/>
      <c r="S10" s="108"/>
      <c r="T10" s="109"/>
    </row>
    <row r="11" spans="2:20" ht="37.5" customHeight="1" thickBot="1" x14ac:dyDescent="0.25">
      <c r="B11" s="124"/>
      <c r="C11" s="126"/>
      <c r="D11" s="129"/>
      <c r="E11" s="10" t="s">
        <v>11</v>
      </c>
      <c r="F11" s="10" t="s">
        <v>12</v>
      </c>
      <c r="G11" s="110"/>
      <c r="H11" s="111"/>
      <c r="I11" s="111"/>
      <c r="J11" s="136"/>
      <c r="K11" s="134"/>
      <c r="L11" s="38"/>
      <c r="M11" s="101"/>
      <c r="N11" s="103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 x14ac:dyDescent="0.2">
      <c r="B12" s="115" t="s">
        <v>35</v>
      </c>
      <c r="C12" s="115" t="s">
        <v>34</v>
      </c>
      <c r="D12" s="112" t="s">
        <v>33</v>
      </c>
      <c r="E12" s="19">
        <v>43101</v>
      </c>
      <c r="F12" s="19">
        <v>43465</v>
      </c>
      <c r="G12" s="20" t="s">
        <v>28</v>
      </c>
      <c r="H12" s="21">
        <v>1</v>
      </c>
      <c r="I12" s="21">
        <f>+J12+('2017'!I12-'2017'!K12)</f>
        <v>0.25</v>
      </c>
      <c r="J12" s="21">
        <v>0.25</v>
      </c>
      <c r="K12" s="23">
        <v>0.13</v>
      </c>
      <c r="L12" s="33">
        <f>+K12/J12</f>
        <v>0.52</v>
      </c>
      <c r="M12" s="29">
        <f>DAYS360(E12,$C$8)/DAYS360(E12,F12)</f>
        <v>0.49722222222222223</v>
      </c>
      <c r="N12" s="23">
        <f>IF(J12=0," -",IF(L12&gt;100%,100%,L12))</f>
        <v>0.52</v>
      </c>
      <c r="O12" s="45" t="s">
        <v>46</v>
      </c>
      <c r="P12" s="22">
        <v>0</v>
      </c>
      <c r="Q12" s="22">
        <v>0</v>
      </c>
      <c r="R12" s="22">
        <v>0</v>
      </c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60" x14ac:dyDescent="0.2">
      <c r="B13" s="116"/>
      <c r="C13" s="116"/>
      <c r="D13" s="113"/>
      <c r="E13" s="16">
        <v>43101</v>
      </c>
      <c r="F13" s="16">
        <v>43465</v>
      </c>
      <c r="G13" s="8" t="s">
        <v>29</v>
      </c>
      <c r="H13" s="17">
        <v>1</v>
      </c>
      <c r="I13" s="17">
        <f>+J13+('2017'!I13-'2017'!K13)</f>
        <v>0</v>
      </c>
      <c r="J13" s="17">
        <v>0</v>
      </c>
      <c r="K13" s="24">
        <v>0</v>
      </c>
      <c r="L13" s="34" t="e">
        <f t="shared" ref="L13:L16" si="0">+K13/J13</f>
        <v>#DIV/0!</v>
      </c>
      <c r="M13" s="35">
        <f t="shared" ref="M13:M16" si="1">DAYS360(E13,$C$8)/DAYS360(E13,F13)</f>
        <v>0.49722222222222223</v>
      </c>
      <c r="N13" s="36" t="str">
        <f t="shared" ref="N13:N16" si="2">IF(J13=0," -",IF(L13&gt;100%,100%,L13))</f>
        <v xml:space="preserve"> -</v>
      </c>
      <c r="O13" s="46">
        <v>0</v>
      </c>
      <c r="P13" s="18">
        <v>0</v>
      </c>
      <c r="Q13" s="18">
        <v>0</v>
      </c>
      <c r="R13" s="18">
        <v>0</v>
      </c>
      <c r="S13" s="44" t="str">
        <f t="shared" ref="S13:S17" si="3">IF(P13=0," -",Q13/P13)</f>
        <v xml:space="preserve"> -</v>
      </c>
      <c r="T13" s="36" t="str">
        <f t="shared" ref="T13:T17" si="4">IF(R13=0," -",IF(Q13=0,100%,R13/Q13))</f>
        <v xml:space="preserve"> -</v>
      </c>
    </row>
    <row r="14" spans="2:20" ht="45" x14ac:dyDescent="0.2">
      <c r="B14" s="116"/>
      <c r="C14" s="116"/>
      <c r="D14" s="113"/>
      <c r="E14" s="16">
        <v>43101</v>
      </c>
      <c r="F14" s="16">
        <v>43465</v>
      </c>
      <c r="G14" s="8" t="s">
        <v>30</v>
      </c>
      <c r="H14" s="18">
        <v>1</v>
      </c>
      <c r="I14" s="18">
        <f>+J14</f>
        <v>1</v>
      </c>
      <c r="J14" s="18">
        <v>1</v>
      </c>
      <c r="K14" s="27">
        <v>1</v>
      </c>
      <c r="L14" s="34">
        <f t="shared" si="0"/>
        <v>1</v>
      </c>
      <c r="M14" s="35">
        <f t="shared" si="1"/>
        <v>0.49722222222222223</v>
      </c>
      <c r="N14" s="36">
        <f t="shared" si="2"/>
        <v>1</v>
      </c>
      <c r="O14" s="46">
        <v>0</v>
      </c>
      <c r="P14" s="18">
        <v>0</v>
      </c>
      <c r="Q14" s="18">
        <v>0</v>
      </c>
      <c r="R14" s="18">
        <v>0</v>
      </c>
      <c r="S14" s="44" t="str">
        <f t="shared" si="3"/>
        <v xml:space="preserve"> -</v>
      </c>
      <c r="T14" s="36" t="str">
        <f t="shared" si="4"/>
        <v xml:space="preserve"> -</v>
      </c>
    </row>
    <row r="15" spans="2:20" ht="75" x14ac:dyDescent="0.2">
      <c r="B15" s="116"/>
      <c r="C15" s="116"/>
      <c r="D15" s="113"/>
      <c r="E15" s="16">
        <v>43101</v>
      </c>
      <c r="F15" s="16">
        <v>43465</v>
      </c>
      <c r="G15" s="8" t="s">
        <v>31</v>
      </c>
      <c r="H15" s="18">
        <v>2</v>
      </c>
      <c r="I15" s="18">
        <f>+J15</f>
        <v>2</v>
      </c>
      <c r="J15" s="18">
        <v>2</v>
      </c>
      <c r="K15" s="27">
        <v>3</v>
      </c>
      <c r="L15" s="34">
        <f t="shared" si="0"/>
        <v>1.5</v>
      </c>
      <c r="M15" s="35">
        <f t="shared" si="1"/>
        <v>0.49722222222222223</v>
      </c>
      <c r="N15" s="36">
        <f t="shared" si="2"/>
        <v>1</v>
      </c>
      <c r="O15" s="46">
        <v>201020201</v>
      </c>
      <c r="P15" s="18">
        <v>0</v>
      </c>
      <c r="Q15" s="18">
        <v>0</v>
      </c>
      <c r="R15" s="18">
        <v>0</v>
      </c>
      <c r="S15" s="44" t="str">
        <f t="shared" si="3"/>
        <v xml:space="preserve"> -</v>
      </c>
      <c r="T15" s="36" t="str">
        <f t="shared" si="4"/>
        <v xml:space="preserve"> -</v>
      </c>
    </row>
    <row r="16" spans="2:20" ht="30.75" thickBot="1" x14ac:dyDescent="0.25">
      <c r="B16" s="117"/>
      <c r="C16" s="117"/>
      <c r="D16" s="114"/>
      <c r="E16" s="25">
        <v>43101</v>
      </c>
      <c r="F16" s="25">
        <v>43465</v>
      </c>
      <c r="G16" s="9" t="s">
        <v>32</v>
      </c>
      <c r="H16" s="26">
        <v>1</v>
      </c>
      <c r="I16" s="26">
        <f>+J16+('2017'!I16-'2017'!K16)</f>
        <v>0</v>
      </c>
      <c r="J16" s="26">
        <v>0</v>
      </c>
      <c r="K16" s="28">
        <v>0</v>
      </c>
      <c r="L16" s="41" t="e">
        <f t="shared" si="0"/>
        <v>#DIV/0!</v>
      </c>
      <c r="M16" s="42">
        <f t="shared" si="1"/>
        <v>0.49722222222222223</v>
      </c>
      <c r="N16" s="43" t="str">
        <f t="shared" si="2"/>
        <v xml:space="preserve"> -</v>
      </c>
      <c r="O16" s="47">
        <v>2010547</v>
      </c>
      <c r="P16" s="26">
        <v>0</v>
      </c>
      <c r="Q16" s="26">
        <v>0</v>
      </c>
      <c r="R16" s="26">
        <v>0</v>
      </c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 x14ac:dyDescent="0.25">
      <c r="M17" s="39">
        <f>+AVERAGE(M12:M16)</f>
        <v>0.49722222222222223</v>
      </c>
      <c r="N17" s="40">
        <f>+AVERAGE(N12:N16)</f>
        <v>0.84</v>
      </c>
      <c r="P17" s="49">
        <f>+SUM(P12:P16)</f>
        <v>0</v>
      </c>
      <c r="Q17" s="31">
        <f>+SUM(Q12:Q16)</f>
        <v>0</v>
      </c>
      <c r="R17" s="31">
        <f>+SUM(R12:R16)</f>
        <v>0</v>
      </c>
      <c r="S17" s="32" t="str">
        <f t="shared" si="3"/>
        <v xml:space="preserve"> -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18" t="s">
        <v>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0" ht="20.100000000000001" customHeight="1" x14ac:dyDescent="0.2">
      <c r="B3" s="118" t="s">
        <v>19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0" ht="20.100000000000001" customHeight="1" x14ac:dyDescent="0.2"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6">
        <v>2019</v>
      </c>
      <c r="C8" s="7"/>
      <c r="D8" s="119" t="s">
        <v>3</v>
      </c>
      <c r="E8" s="120"/>
      <c r="F8" s="120"/>
      <c r="G8" s="120"/>
      <c r="H8" s="120"/>
      <c r="I8" s="120"/>
      <c r="J8" s="120"/>
      <c r="K8" s="1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22" t="s">
        <v>17</v>
      </c>
      <c r="C9" s="125" t="s">
        <v>18</v>
      </c>
      <c r="D9" s="127" t="s">
        <v>0</v>
      </c>
      <c r="E9" s="130" t="s">
        <v>4</v>
      </c>
      <c r="F9" s="130"/>
      <c r="G9" s="130" t="s">
        <v>5</v>
      </c>
      <c r="H9" s="130"/>
      <c r="I9" s="130"/>
      <c r="J9" s="130"/>
      <c r="K9" s="132"/>
      <c r="L9" s="5"/>
      <c r="M9" s="127" t="s">
        <v>6</v>
      </c>
      <c r="N9" s="132"/>
      <c r="O9" s="104" t="s">
        <v>24</v>
      </c>
      <c r="P9" s="105"/>
      <c r="Q9" s="105"/>
      <c r="R9" s="105"/>
      <c r="S9" s="105"/>
      <c r="T9" s="106"/>
    </row>
    <row r="10" spans="2:20" ht="17.100000000000001" customHeight="1" x14ac:dyDescent="0.2">
      <c r="B10" s="123"/>
      <c r="C10" s="126"/>
      <c r="D10" s="128"/>
      <c r="E10" s="131"/>
      <c r="F10" s="131"/>
      <c r="G10" s="131" t="s">
        <v>7</v>
      </c>
      <c r="H10" s="110" t="s">
        <v>25</v>
      </c>
      <c r="I10" s="110" t="s">
        <v>26</v>
      </c>
      <c r="J10" s="135" t="s">
        <v>1</v>
      </c>
      <c r="K10" s="133" t="s">
        <v>8</v>
      </c>
      <c r="L10" s="37"/>
      <c r="M10" s="100" t="s">
        <v>9</v>
      </c>
      <c r="N10" s="102" t="s">
        <v>10</v>
      </c>
      <c r="O10" s="107"/>
      <c r="P10" s="108"/>
      <c r="Q10" s="108"/>
      <c r="R10" s="108"/>
      <c r="S10" s="108"/>
      <c r="T10" s="109"/>
    </row>
    <row r="11" spans="2:20" ht="37.5" customHeight="1" thickBot="1" x14ac:dyDescent="0.25">
      <c r="B11" s="124"/>
      <c r="C11" s="126"/>
      <c r="D11" s="129"/>
      <c r="E11" s="10" t="s">
        <v>11</v>
      </c>
      <c r="F11" s="10" t="s">
        <v>12</v>
      </c>
      <c r="G11" s="110"/>
      <c r="H11" s="111"/>
      <c r="I11" s="111"/>
      <c r="J11" s="136"/>
      <c r="K11" s="134"/>
      <c r="L11" s="38"/>
      <c r="M11" s="101"/>
      <c r="N11" s="103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" x14ac:dyDescent="0.2">
      <c r="B12" s="115" t="s">
        <v>35</v>
      </c>
      <c r="C12" s="115" t="s">
        <v>34</v>
      </c>
      <c r="D12" s="112" t="s">
        <v>33</v>
      </c>
      <c r="E12" s="19">
        <v>43466</v>
      </c>
      <c r="F12" s="19">
        <v>43830</v>
      </c>
      <c r="G12" s="20" t="s">
        <v>28</v>
      </c>
      <c r="H12" s="21">
        <v>1</v>
      </c>
      <c r="I12" s="21">
        <f>+J12+('2018'!I12-'2018'!K12)</f>
        <v>0.37</v>
      </c>
      <c r="J12" s="21">
        <v>0.25</v>
      </c>
      <c r="K12" s="23"/>
      <c r="L12" s="33">
        <f>+K12/J12</f>
        <v>0</v>
      </c>
      <c r="M12" s="29">
        <f>DAYS360(E12,$C$8)/DAYS360(E12,F12)</f>
        <v>-119.00277777777778</v>
      </c>
      <c r="N12" s="23">
        <f>IF(J12=0," -",IF(L12&gt;100%,100%,L12))</f>
        <v>0</v>
      </c>
      <c r="O12" s="45" t="s">
        <v>46</v>
      </c>
      <c r="P12" s="22">
        <v>0</v>
      </c>
      <c r="Q12" s="22"/>
      <c r="R12" s="22"/>
      <c r="S12" s="21" t="str">
        <f>IF(P12=0," -",Q12/P12)</f>
        <v xml:space="preserve"> -</v>
      </c>
      <c r="T12" s="23" t="str">
        <f>IF(R12=0," -",IF(Q12=0,100%,R12/Q12))</f>
        <v xml:space="preserve"> -</v>
      </c>
    </row>
    <row r="13" spans="2:20" ht="60" x14ac:dyDescent="0.2">
      <c r="B13" s="116"/>
      <c r="C13" s="116"/>
      <c r="D13" s="113"/>
      <c r="E13" s="16">
        <v>43466</v>
      </c>
      <c r="F13" s="16">
        <v>43830</v>
      </c>
      <c r="G13" s="8" t="s">
        <v>29</v>
      </c>
      <c r="H13" s="17">
        <v>1</v>
      </c>
      <c r="I13" s="17">
        <f>+J13+('2018'!I13-'2018'!K13)</f>
        <v>0</v>
      </c>
      <c r="J13" s="17">
        <v>0</v>
      </c>
      <c r="K13" s="24"/>
      <c r="L13" s="34" t="e">
        <f t="shared" ref="L13:L16" si="0">+K13/J13</f>
        <v>#DIV/0!</v>
      </c>
      <c r="M13" s="35">
        <f t="shared" ref="M13:M16" si="1">DAYS360(E13,$C$8)/DAYS360(E13,F13)</f>
        <v>-119.00277777777778</v>
      </c>
      <c r="N13" s="36" t="str">
        <f t="shared" ref="N13:N16" si="2">IF(J13=0," -",IF(L13&gt;100%,100%,L13))</f>
        <v xml:space="preserve"> -</v>
      </c>
      <c r="O13" s="46">
        <v>0</v>
      </c>
      <c r="P13" s="18">
        <v>200000</v>
      </c>
      <c r="Q13" s="18"/>
      <c r="R13" s="18"/>
      <c r="S13" s="44">
        <f t="shared" ref="S13:S17" si="3">IF(P13=0," -",Q13/P13)</f>
        <v>0</v>
      </c>
      <c r="T13" s="36" t="str">
        <f t="shared" ref="T13:T17" si="4">IF(R13=0," -",IF(Q13=0,100%,R13/Q13))</f>
        <v xml:space="preserve"> -</v>
      </c>
    </row>
    <row r="14" spans="2:20" ht="45" x14ac:dyDescent="0.2">
      <c r="B14" s="116"/>
      <c r="C14" s="116"/>
      <c r="D14" s="113"/>
      <c r="E14" s="16">
        <v>43466</v>
      </c>
      <c r="F14" s="16">
        <v>43830</v>
      </c>
      <c r="G14" s="8" t="s">
        <v>30</v>
      </c>
      <c r="H14" s="18">
        <v>1</v>
      </c>
      <c r="I14" s="18">
        <f>+J14</f>
        <v>1</v>
      </c>
      <c r="J14" s="18">
        <v>1</v>
      </c>
      <c r="K14" s="27"/>
      <c r="L14" s="34">
        <f t="shared" si="0"/>
        <v>0</v>
      </c>
      <c r="M14" s="35">
        <f t="shared" si="1"/>
        <v>-119.00277777777778</v>
      </c>
      <c r="N14" s="36">
        <f t="shared" si="2"/>
        <v>0</v>
      </c>
      <c r="O14" s="46">
        <v>0</v>
      </c>
      <c r="P14" s="18">
        <v>80000</v>
      </c>
      <c r="Q14" s="18"/>
      <c r="R14" s="18"/>
      <c r="S14" s="44">
        <f t="shared" si="3"/>
        <v>0</v>
      </c>
      <c r="T14" s="36" t="str">
        <f t="shared" si="4"/>
        <v xml:space="preserve"> -</v>
      </c>
    </row>
    <row r="15" spans="2:20" ht="75" x14ac:dyDescent="0.2">
      <c r="B15" s="116"/>
      <c r="C15" s="116"/>
      <c r="D15" s="113"/>
      <c r="E15" s="16">
        <v>43466</v>
      </c>
      <c r="F15" s="16">
        <v>43830</v>
      </c>
      <c r="G15" s="8" t="s">
        <v>31</v>
      </c>
      <c r="H15" s="18">
        <v>2</v>
      </c>
      <c r="I15" s="18">
        <f>+J15</f>
        <v>2</v>
      </c>
      <c r="J15" s="18">
        <v>2</v>
      </c>
      <c r="K15" s="27"/>
      <c r="L15" s="34">
        <f t="shared" si="0"/>
        <v>0</v>
      </c>
      <c r="M15" s="35">
        <f t="shared" si="1"/>
        <v>-119.00277777777778</v>
      </c>
      <c r="N15" s="36">
        <f t="shared" si="2"/>
        <v>0</v>
      </c>
      <c r="O15" s="46">
        <v>201020201</v>
      </c>
      <c r="P15" s="18">
        <v>60000</v>
      </c>
      <c r="Q15" s="18"/>
      <c r="R15" s="18"/>
      <c r="S15" s="44">
        <f t="shared" si="3"/>
        <v>0</v>
      </c>
      <c r="T15" s="36" t="str">
        <f t="shared" si="4"/>
        <v xml:space="preserve"> -</v>
      </c>
    </row>
    <row r="16" spans="2:20" ht="30.75" thickBot="1" x14ac:dyDescent="0.25">
      <c r="B16" s="117"/>
      <c r="C16" s="117"/>
      <c r="D16" s="114"/>
      <c r="E16" s="25">
        <v>43466</v>
      </c>
      <c r="F16" s="25">
        <v>43830</v>
      </c>
      <c r="G16" s="9" t="s">
        <v>32</v>
      </c>
      <c r="H16" s="26">
        <v>1</v>
      </c>
      <c r="I16" s="26">
        <f>+J16+('2018'!I16-'2018'!K16)</f>
        <v>0</v>
      </c>
      <c r="J16" s="26">
        <v>0</v>
      </c>
      <c r="K16" s="28"/>
      <c r="L16" s="41" t="e">
        <f t="shared" si="0"/>
        <v>#DIV/0!</v>
      </c>
      <c r="M16" s="42">
        <f t="shared" si="1"/>
        <v>-119.00277777777778</v>
      </c>
      <c r="N16" s="43" t="str">
        <f t="shared" si="2"/>
        <v xml:space="preserve"> -</v>
      </c>
      <c r="O16" s="47">
        <v>2010547</v>
      </c>
      <c r="P16" s="26">
        <v>0</v>
      </c>
      <c r="Q16" s="26"/>
      <c r="R16" s="26"/>
      <c r="S16" s="48" t="str">
        <f t="shared" si="3"/>
        <v xml:space="preserve"> -</v>
      </c>
      <c r="T16" s="43" t="str">
        <f t="shared" si="4"/>
        <v xml:space="preserve"> -</v>
      </c>
    </row>
    <row r="17" spans="13:20" ht="21" customHeight="1" thickBot="1" x14ac:dyDescent="0.25">
      <c r="M17" s="39">
        <f>+AVERAGE(M12:M16)</f>
        <v>-119.00277777777778</v>
      </c>
      <c r="N17" s="40">
        <f>+AVERAGE(N12:N16)</f>
        <v>0</v>
      </c>
      <c r="P17" s="49">
        <f>+SUM(P12:P16)</f>
        <v>340000</v>
      </c>
      <c r="Q17" s="31">
        <f>+SUM(Q12:Q16)</f>
        <v>0</v>
      </c>
      <c r="R17" s="31">
        <f>+SUM(R12:R16)</f>
        <v>0</v>
      </c>
      <c r="S17" s="32">
        <f t="shared" si="3"/>
        <v>0</v>
      </c>
      <c r="T17" s="30" t="str">
        <f t="shared" si="4"/>
        <v xml:space="preserve"> -</v>
      </c>
    </row>
  </sheetData>
  <mergeCells count="21">
    <mergeCell ref="B12:B16"/>
    <mergeCell ref="C12:C16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118" t="s">
        <v>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2:25" ht="20.100000000000001" customHeight="1" x14ac:dyDescent="0.2">
      <c r="B3" s="118" t="s">
        <v>19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2:25" ht="20.100000000000001" customHeight="1" x14ac:dyDescent="0.2"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6" t="s">
        <v>36</v>
      </c>
      <c r="C8" s="7">
        <f>+'2018'!C8</f>
        <v>43281</v>
      </c>
      <c r="D8" s="119" t="s">
        <v>3</v>
      </c>
      <c r="E8" s="120"/>
      <c r="F8" s="120"/>
      <c r="G8" s="120"/>
      <c r="H8" s="137"/>
      <c r="I8" s="137"/>
      <c r="J8" s="137"/>
      <c r="K8" s="137"/>
      <c r="L8" s="137"/>
      <c r="M8" s="137"/>
      <c r="N8" s="12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122" t="s">
        <v>17</v>
      </c>
      <c r="C9" s="125" t="s">
        <v>18</v>
      </c>
      <c r="D9" s="127" t="s">
        <v>0</v>
      </c>
      <c r="E9" s="138" t="s">
        <v>5</v>
      </c>
      <c r="F9" s="139"/>
      <c r="G9" s="139"/>
      <c r="H9" s="139"/>
      <c r="I9" s="139"/>
      <c r="J9" s="139"/>
      <c r="K9" s="139"/>
      <c r="L9" s="139"/>
      <c r="M9" s="139"/>
      <c r="N9" s="140"/>
      <c r="O9" s="141" t="s">
        <v>37</v>
      </c>
      <c r="P9" s="142"/>
      <c r="Q9" s="142"/>
      <c r="R9" s="142"/>
      <c r="S9" s="143"/>
      <c r="T9" s="104" t="s">
        <v>38</v>
      </c>
      <c r="U9" s="105"/>
      <c r="V9" s="105"/>
      <c r="W9" s="105"/>
      <c r="X9" s="105"/>
      <c r="Y9" s="106"/>
    </row>
    <row r="10" spans="2:25" ht="17.100000000000001" customHeight="1" x14ac:dyDescent="0.2">
      <c r="B10" s="123"/>
      <c r="C10" s="126"/>
      <c r="D10" s="128"/>
      <c r="E10" s="131" t="s">
        <v>7</v>
      </c>
      <c r="F10" s="110" t="s">
        <v>25</v>
      </c>
      <c r="G10" s="51" t="s">
        <v>1</v>
      </c>
      <c r="H10" s="52" t="s">
        <v>1</v>
      </c>
      <c r="I10" s="57" t="s">
        <v>1</v>
      </c>
      <c r="J10" s="57" t="s">
        <v>1</v>
      </c>
      <c r="K10" s="62" t="s">
        <v>8</v>
      </c>
      <c r="L10" s="57" t="s">
        <v>8</v>
      </c>
      <c r="M10" s="57" t="s">
        <v>8</v>
      </c>
      <c r="N10" s="50" t="s">
        <v>8</v>
      </c>
      <c r="O10" s="146">
        <v>2016</v>
      </c>
      <c r="P10" s="150">
        <v>2017</v>
      </c>
      <c r="Q10" s="152">
        <v>2018</v>
      </c>
      <c r="R10" s="144">
        <v>2019</v>
      </c>
      <c r="S10" s="148" t="s">
        <v>36</v>
      </c>
      <c r="T10" s="107"/>
      <c r="U10" s="108"/>
      <c r="V10" s="108"/>
      <c r="W10" s="108"/>
      <c r="X10" s="108"/>
      <c r="Y10" s="109"/>
    </row>
    <row r="11" spans="2:25" ht="37.5" customHeight="1" thickBot="1" x14ac:dyDescent="0.25">
      <c r="B11" s="124"/>
      <c r="C11" s="126"/>
      <c r="D11" s="129"/>
      <c r="E11" s="110"/>
      <c r="F11" s="111"/>
      <c r="G11" s="63">
        <v>2016</v>
      </c>
      <c r="H11" s="64">
        <v>2017</v>
      </c>
      <c r="I11" s="58">
        <v>2018</v>
      </c>
      <c r="J11" s="58">
        <v>2019</v>
      </c>
      <c r="K11" s="65">
        <v>2016</v>
      </c>
      <c r="L11" s="64">
        <v>2017</v>
      </c>
      <c r="M11" s="58">
        <v>2018</v>
      </c>
      <c r="N11" s="66">
        <v>2019</v>
      </c>
      <c r="O11" s="147"/>
      <c r="P11" s="151"/>
      <c r="Q11" s="153"/>
      <c r="R11" s="145"/>
      <c r="S11" s="149"/>
      <c r="T11" s="53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60" x14ac:dyDescent="0.2">
      <c r="B12" s="115" t="s">
        <v>35</v>
      </c>
      <c r="C12" s="115" t="s">
        <v>34</v>
      </c>
      <c r="D12" s="112" t="s">
        <v>33</v>
      </c>
      <c r="E12" s="20" t="s">
        <v>28</v>
      </c>
      <c r="F12" s="21">
        <v>1</v>
      </c>
      <c r="G12" s="21">
        <f>'2016'!J12</f>
        <v>0.25</v>
      </c>
      <c r="H12" s="54">
        <f>'2017'!J12</f>
        <v>0.25</v>
      </c>
      <c r="I12" s="54">
        <f>'2018'!J12</f>
        <v>0.25</v>
      </c>
      <c r="J12" s="54">
        <f>'2019'!J12</f>
        <v>0.25</v>
      </c>
      <c r="K12" s="79">
        <f>'2016'!K12</f>
        <v>0.25</v>
      </c>
      <c r="L12" s="54">
        <f>'2017'!K12</f>
        <v>0.25</v>
      </c>
      <c r="M12" s="54">
        <f>'2018'!K12</f>
        <v>0.13</v>
      </c>
      <c r="N12" s="23">
        <f>'2019'!K12</f>
        <v>0</v>
      </c>
      <c r="O12" s="67">
        <f>'2016'!N12</f>
        <v>1</v>
      </c>
      <c r="P12" s="68">
        <f>'2017'!N12</f>
        <v>1</v>
      </c>
      <c r="Q12" s="69">
        <f>'2018'!N12</f>
        <v>0.52</v>
      </c>
      <c r="R12" s="68">
        <f>'2019'!N12</f>
        <v>0</v>
      </c>
      <c r="S12" s="76">
        <v>0.63</v>
      </c>
      <c r="T12" s="45" t="s">
        <v>46</v>
      </c>
      <c r="U12" s="22">
        <f>+'2016'!P12+'2017'!P12</f>
        <v>43854</v>
      </c>
      <c r="V12" s="22">
        <f>+'2016'!Q12+'2017'!Q12</f>
        <v>43854</v>
      </c>
      <c r="W12" s="22">
        <f>+'2016'!R12+'2017'!R12</f>
        <v>0</v>
      </c>
      <c r="X12" s="21">
        <f>IF(U12=0," -",V12/U12)</f>
        <v>1</v>
      </c>
      <c r="Y12" s="23" t="str">
        <f>IF(W12=0," -",IF(V12=0,100%,W12/V12))</f>
        <v xml:space="preserve"> -</v>
      </c>
    </row>
    <row r="13" spans="2:25" ht="60" x14ac:dyDescent="0.2">
      <c r="B13" s="116"/>
      <c r="C13" s="116"/>
      <c r="D13" s="113"/>
      <c r="E13" s="8" t="s">
        <v>29</v>
      </c>
      <c r="F13" s="17">
        <v>1</v>
      </c>
      <c r="G13" s="17">
        <f>'2016'!J13</f>
        <v>1</v>
      </c>
      <c r="H13" s="59">
        <f>'2017'!J13</f>
        <v>0</v>
      </c>
      <c r="I13" s="59">
        <f>'2018'!J13</f>
        <v>0</v>
      </c>
      <c r="J13" s="59">
        <f>'2019'!J13</f>
        <v>0</v>
      </c>
      <c r="K13" s="80">
        <f>'2016'!K13</f>
        <v>1</v>
      </c>
      <c r="L13" s="59">
        <f>'2017'!K13</f>
        <v>0</v>
      </c>
      <c r="M13" s="59">
        <f>'2018'!K13</f>
        <v>0</v>
      </c>
      <c r="N13" s="24">
        <f>'2019'!K13</f>
        <v>0</v>
      </c>
      <c r="O13" s="70">
        <f>'2016'!N13</f>
        <v>1</v>
      </c>
      <c r="P13" s="71" t="str">
        <f>'2017'!N13</f>
        <v xml:space="preserve"> -</v>
      </c>
      <c r="Q13" s="72" t="str">
        <f>'2018'!N13</f>
        <v xml:space="preserve"> -</v>
      </c>
      <c r="R13" s="71" t="str">
        <f>'2019'!N13</f>
        <v xml:space="preserve"> -</v>
      </c>
      <c r="S13" s="77">
        <v>1</v>
      </c>
      <c r="T13" s="46">
        <v>0</v>
      </c>
      <c r="U13" s="18">
        <f>+'2016'!P13+'2017'!P13</f>
        <v>200000</v>
      </c>
      <c r="V13" s="18">
        <f>+'2016'!Q13+'2017'!Q13</f>
        <v>200000</v>
      </c>
      <c r="W13" s="18">
        <f>+'2016'!R13+'2017'!R13</f>
        <v>0</v>
      </c>
      <c r="X13" s="44">
        <f t="shared" ref="X13:X17" si="0">IF(U13=0," -",V13/U13)</f>
        <v>1</v>
      </c>
      <c r="Y13" s="36" t="str">
        <f t="shared" ref="Y13:Y17" si="1">IF(W13=0," -",IF(V13=0,100%,W13/V13))</f>
        <v xml:space="preserve"> -</v>
      </c>
    </row>
    <row r="14" spans="2:25" ht="45" x14ac:dyDescent="0.2">
      <c r="B14" s="116"/>
      <c r="C14" s="116"/>
      <c r="D14" s="113"/>
      <c r="E14" s="8" t="s">
        <v>30</v>
      </c>
      <c r="F14" s="18">
        <v>1</v>
      </c>
      <c r="G14" s="18">
        <f>'2016'!J14</f>
        <v>0</v>
      </c>
      <c r="H14" s="60">
        <f>'2017'!J14</f>
        <v>1</v>
      </c>
      <c r="I14" s="60">
        <f>'2018'!J14</f>
        <v>1</v>
      </c>
      <c r="J14" s="60">
        <f>'2019'!J14</f>
        <v>1</v>
      </c>
      <c r="K14" s="81">
        <f>'2016'!K14</f>
        <v>0</v>
      </c>
      <c r="L14" s="60">
        <f>'2017'!K14</f>
        <v>1</v>
      </c>
      <c r="M14" s="60">
        <f>'2018'!K14</f>
        <v>1</v>
      </c>
      <c r="N14" s="27">
        <f>'2019'!K14</f>
        <v>0</v>
      </c>
      <c r="O14" s="70" t="str">
        <f>'2016'!N14</f>
        <v xml:space="preserve"> -</v>
      </c>
      <c r="P14" s="71">
        <f>'2017'!N14</f>
        <v>1</v>
      </c>
      <c r="Q14" s="72">
        <f>'2018'!N14</f>
        <v>1</v>
      </c>
      <c r="R14" s="71">
        <f>'2019'!N14</f>
        <v>0</v>
      </c>
      <c r="S14" s="77">
        <v>0.66666666666666663</v>
      </c>
      <c r="T14" s="46">
        <v>0</v>
      </c>
      <c r="U14" s="18">
        <f>+'2016'!P14+'2017'!P14</f>
        <v>2000</v>
      </c>
      <c r="V14" s="18">
        <f>+'2016'!Q14+'2017'!Q14</f>
        <v>2000</v>
      </c>
      <c r="W14" s="18">
        <f>+'2016'!R14+'2017'!R14</f>
        <v>0</v>
      </c>
      <c r="X14" s="44">
        <f t="shared" si="0"/>
        <v>1</v>
      </c>
      <c r="Y14" s="36" t="str">
        <f t="shared" si="1"/>
        <v xml:space="preserve"> -</v>
      </c>
    </row>
    <row r="15" spans="2:25" ht="75" x14ac:dyDescent="0.2">
      <c r="B15" s="116"/>
      <c r="C15" s="116"/>
      <c r="D15" s="113"/>
      <c r="E15" s="8" t="s">
        <v>31</v>
      </c>
      <c r="F15" s="18">
        <v>2</v>
      </c>
      <c r="G15" s="18">
        <f>'2016'!J15</f>
        <v>2</v>
      </c>
      <c r="H15" s="60">
        <f>'2017'!J15</f>
        <v>2</v>
      </c>
      <c r="I15" s="60">
        <f>'2018'!J15</f>
        <v>2</v>
      </c>
      <c r="J15" s="60">
        <f>'2019'!J15</f>
        <v>2</v>
      </c>
      <c r="K15" s="81">
        <f>'2016'!K15</f>
        <v>2</v>
      </c>
      <c r="L15" s="60">
        <f>'2017'!K15</f>
        <v>3</v>
      </c>
      <c r="M15" s="60">
        <f>'2018'!K15</f>
        <v>3</v>
      </c>
      <c r="N15" s="27">
        <f>'2019'!K15</f>
        <v>0</v>
      </c>
      <c r="O15" s="70">
        <f>'2016'!N15</f>
        <v>1</v>
      </c>
      <c r="P15" s="71">
        <f>'2017'!N15</f>
        <v>1</v>
      </c>
      <c r="Q15" s="72">
        <f>'2018'!N15</f>
        <v>1</v>
      </c>
      <c r="R15" s="71">
        <f>'2019'!N15</f>
        <v>0</v>
      </c>
      <c r="S15" s="77">
        <v>1</v>
      </c>
      <c r="T15" s="46">
        <v>201020201</v>
      </c>
      <c r="U15" s="18">
        <f>+'2016'!P15+'2017'!P15</f>
        <v>40007</v>
      </c>
      <c r="V15" s="18">
        <f>+'2016'!Q15+'2017'!Q15</f>
        <v>24708</v>
      </c>
      <c r="W15" s="18">
        <f>+'2016'!R15+'2017'!R15</f>
        <v>0</v>
      </c>
      <c r="X15" s="44">
        <f t="shared" si="0"/>
        <v>0.61759192141375263</v>
      </c>
      <c r="Y15" s="36" t="str">
        <f t="shared" si="1"/>
        <v xml:space="preserve"> -</v>
      </c>
    </row>
    <row r="16" spans="2:25" ht="30.75" thickBot="1" x14ac:dyDescent="0.25">
      <c r="B16" s="117"/>
      <c r="C16" s="117"/>
      <c r="D16" s="114"/>
      <c r="E16" s="9" t="s">
        <v>32</v>
      </c>
      <c r="F16" s="26">
        <v>1</v>
      </c>
      <c r="G16" s="26">
        <f>'2016'!J16</f>
        <v>0</v>
      </c>
      <c r="H16" s="61">
        <f>'2017'!J16</f>
        <v>1</v>
      </c>
      <c r="I16" s="61">
        <f>'2018'!J16</f>
        <v>0</v>
      </c>
      <c r="J16" s="61">
        <f>'2019'!J16</f>
        <v>0</v>
      </c>
      <c r="K16" s="82">
        <f>'2016'!K16</f>
        <v>0</v>
      </c>
      <c r="L16" s="61">
        <f>'2017'!K16</f>
        <v>1</v>
      </c>
      <c r="M16" s="61">
        <f>'2018'!K16</f>
        <v>0</v>
      </c>
      <c r="N16" s="28">
        <f>'2019'!K16</f>
        <v>0</v>
      </c>
      <c r="O16" s="73" t="str">
        <f>'2016'!N16</f>
        <v xml:space="preserve"> -</v>
      </c>
      <c r="P16" s="74">
        <f>'2017'!N16</f>
        <v>1</v>
      </c>
      <c r="Q16" s="75" t="str">
        <f>'2018'!N16</f>
        <v xml:space="preserve"> -</v>
      </c>
      <c r="R16" s="74" t="str">
        <f>'2019'!N16</f>
        <v xml:space="preserve"> -</v>
      </c>
      <c r="S16" s="78">
        <v>1</v>
      </c>
      <c r="T16" s="47">
        <v>2010547</v>
      </c>
      <c r="U16" s="26">
        <f>+'2016'!P16+'2017'!P16</f>
        <v>1334985</v>
      </c>
      <c r="V16" s="26">
        <f>+'2016'!Q16+'2017'!Q16</f>
        <v>1031571</v>
      </c>
      <c r="W16" s="26">
        <f>+'2016'!R16+'2017'!R16</f>
        <v>0</v>
      </c>
      <c r="X16" s="48">
        <f t="shared" si="0"/>
        <v>0.77272104180945855</v>
      </c>
      <c r="Y16" s="43" t="str">
        <f t="shared" si="1"/>
        <v xml:space="preserve"> -</v>
      </c>
    </row>
    <row r="17" spans="15:25" ht="21" customHeight="1" thickBot="1" x14ac:dyDescent="0.25">
      <c r="O17" s="56">
        <f>+AVERAGE(O12:O16)</f>
        <v>1</v>
      </c>
      <c r="P17" s="55">
        <f t="shared" ref="P17:R17" si="2">+AVERAGE(P12:P16)</f>
        <v>1</v>
      </c>
      <c r="Q17" s="55">
        <f t="shared" si="2"/>
        <v>0.84</v>
      </c>
      <c r="R17" s="55">
        <f t="shared" si="2"/>
        <v>0</v>
      </c>
      <c r="S17" s="30">
        <f>+AVERAGE(S12:S16)</f>
        <v>0.85933333333333339</v>
      </c>
      <c r="U17" s="49">
        <f>+SUM(U12:U16)</f>
        <v>1620846</v>
      </c>
      <c r="V17" s="31">
        <f>+SUM(V12:V16)</f>
        <v>1302133</v>
      </c>
      <c r="W17" s="31">
        <f>+SUM(W12:W16)</f>
        <v>0</v>
      </c>
      <c r="X17" s="32">
        <f t="shared" si="0"/>
        <v>0.80336626675205414</v>
      </c>
      <c r="Y17" s="30" t="str">
        <f t="shared" si="1"/>
        <v xml:space="preserve"> -</v>
      </c>
    </row>
  </sheetData>
  <mergeCells count="20">
    <mergeCell ref="B12:B16"/>
    <mergeCell ref="C12:C16"/>
    <mergeCell ref="D12:D16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zoomScale="70" zoomScaleNormal="70" workbookViewId="0">
      <selection activeCell="F25" sqref="F25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21.95" customHeight="1" thickBot="1" x14ac:dyDescent="0.25">
      <c r="C3" s="154" t="s">
        <v>45</v>
      </c>
      <c r="D3" s="155"/>
      <c r="E3" s="155"/>
      <c r="F3" s="155"/>
      <c r="G3" s="155"/>
      <c r="H3" s="155"/>
      <c r="I3" s="156"/>
    </row>
    <row r="4" spans="2:9" ht="16.5" thickBot="1" x14ac:dyDescent="0.25">
      <c r="C4" s="83"/>
      <c r="D4" s="83"/>
      <c r="E4" s="83"/>
      <c r="F4" s="83"/>
      <c r="G4" s="83"/>
      <c r="H4" s="83"/>
    </row>
    <row r="5" spans="2:9" ht="18.95" customHeight="1" x14ac:dyDescent="0.2">
      <c r="C5" s="83"/>
      <c r="D5" s="83"/>
      <c r="E5" s="157" t="s">
        <v>39</v>
      </c>
      <c r="F5" s="158"/>
      <c r="G5" s="158"/>
      <c r="H5" s="161" t="s">
        <v>37</v>
      </c>
      <c r="I5" s="162"/>
    </row>
    <row r="6" spans="2:9" ht="18.95" customHeight="1" thickBot="1" x14ac:dyDescent="0.25">
      <c r="E6" s="159"/>
      <c r="F6" s="160"/>
      <c r="G6" s="160"/>
      <c r="H6" s="163"/>
      <c r="I6" s="164"/>
    </row>
    <row r="7" spans="2:9" ht="32.1" customHeight="1" thickBot="1" x14ac:dyDescent="0.25">
      <c r="C7" s="167"/>
      <c r="D7" s="168"/>
      <c r="E7" s="84">
        <v>2016</v>
      </c>
      <c r="F7" s="85">
        <v>2017</v>
      </c>
      <c r="G7" s="85">
        <v>2018</v>
      </c>
      <c r="H7" s="169" t="s">
        <v>36</v>
      </c>
      <c r="I7" s="170"/>
    </row>
    <row r="8" spans="2:9" ht="21.95" customHeight="1" thickBot="1" x14ac:dyDescent="0.25">
      <c r="B8" s="86">
        <v>4</v>
      </c>
      <c r="C8" s="173" t="s">
        <v>40</v>
      </c>
      <c r="D8" s="174"/>
      <c r="E8" s="93">
        <f>+IF(SUM('2016 - 2019'!G12:G16)&gt;0,AVERAGE('2016 - 2019'!O12:O16)," -")</f>
        <v>1</v>
      </c>
      <c r="F8" s="93">
        <f>+IF(SUM('2016 - 2019'!H12:H16)&gt;0,AVERAGE('2016 - 2019'!P12:P16)," -")</f>
        <v>1</v>
      </c>
      <c r="G8" s="93">
        <f>+IF(SUM('2016 - 2019'!I12:I16)&gt;0,AVERAGE('2016 - 2019'!Q12:Q16)," -")</f>
        <v>0.84</v>
      </c>
      <c r="H8" s="94">
        <f>+AVERAGE('2016 - 2019'!S12:S16)</f>
        <v>0.85933333333333339</v>
      </c>
      <c r="I8" s="177">
        <f t="shared" ref="I8:I10" si="0">+H8</f>
        <v>0.85933333333333339</v>
      </c>
    </row>
    <row r="9" spans="2:9" ht="20.100000000000001" customHeight="1" x14ac:dyDescent="0.2">
      <c r="B9" s="87" t="s">
        <v>41</v>
      </c>
      <c r="C9" s="171" t="s">
        <v>34</v>
      </c>
      <c r="D9" s="172"/>
      <c r="E9" s="91">
        <f>+IF(SUM('2016 - 2019'!G12:G16)&gt;0,AVERAGE('2016 - 2019'!O12:O16)," -")</f>
        <v>1</v>
      </c>
      <c r="F9" s="91">
        <f>+IF(SUM('2016 - 2019'!H12:H16)&gt;0,AVERAGE('2016 - 2019'!P12:P16)," -")</f>
        <v>1</v>
      </c>
      <c r="G9" s="91">
        <f>+IF(SUM('2016 - 2019'!I12:I16)&gt;0,AVERAGE('2016 - 2019'!Q12:Q16)," -")</f>
        <v>0.84</v>
      </c>
      <c r="H9" s="92">
        <f>+AVERAGE('2016 - 2019'!S12:S16)</f>
        <v>0.85933333333333339</v>
      </c>
      <c r="I9" s="178">
        <f t="shared" si="0"/>
        <v>0.85933333333333339</v>
      </c>
    </row>
    <row r="10" spans="2:9" ht="18" customHeight="1" thickBot="1" x14ac:dyDescent="0.25">
      <c r="B10" s="88" t="s">
        <v>42</v>
      </c>
      <c r="C10" s="175" t="s">
        <v>43</v>
      </c>
      <c r="D10" s="176"/>
      <c r="E10" s="89">
        <f>+IF(SUM('2016 - 2019'!G12:G16)&gt;0,AVERAGE('2016 - 2019'!O12:O16)," -")</f>
        <v>1</v>
      </c>
      <c r="F10" s="89">
        <f>+IF(SUM('2016 - 2019'!H12:H16)&gt;0,AVERAGE('2016 - 2019'!P12:P16)," -")</f>
        <v>1</v>
      </c>
      <c r="G10" s="89">
        <f>+IF(SUM('2016 - 2019'!I12:I16)&gt;0,AVERAGE('2016 - 2019'!Q12:Q16)," -")</f>
        <v>0.84</v>
      </c>
      <c r="H10" s="90">
        <f>+AVERAGE('2016 - 2019'!S12:S16)</f>
        <v>0.85933333333333339</v>
      </c>
      <c r="I10" s="179">
        <f t="shared" si="0"/>
        <v>0.85933333333333339</v>
      </c>
    </row>
    <row r="11" spans="2:9" ht="24" customHeight="1" thickBot="1" x14ac:dyDescent="0.25">
      <c r="C11" s="165" t="s">
        <v>44</v>
      </c>
      <c r="D11" s="166"/>
      <c r="E11" s="95">
        <f>+'2016 - 2019'!O17</f>
        <v>1</v>
      </c>
      <c r="F11" s="95">
        <f>+'2016 - 2019'!P17</f>
        <v>1</v>
      </c>
      <c r="G11" s="95">
        <f>+'2016 - 2019'!Q17</f>
        <v>0.84</v>
      </c>
      <c r="H11" s="96">
        <f>+'2016 - 2019'!S17</f>
        <v>0.85933333333333339</v>
      </c>
      <c r="I11" s="180">
        <f t="shared" ref="I11" si="1">+H11</f>
        <v>0.85933333333333339</v>
      </c>
    </row>
    <row r="13" spans="2:9" ht="18" x14ac:dyDescent="0.25">
      <c r="C13" s="97" t="str">
        <f>+'2016 - 2019'!C7</f>
        <v>FECHA CORTE</v>
      </c>
      <c r="D13" s="99">
        <f>+'2016 - 2019'!C8</f>
        <v>43281</v>
      </c>
      <c r="E13" s="98"/>
      <c r="F13" s="97" t="s">
        <v>47</v>
      </c>
    </row>
  </sheetData>
  <mergeCells count="9">
    <mergeCell ref="C11:D11"/>
    <mergeCell ref="C7:D7"/>
    <mergeCell ref="H7:I7"/>
    <mergeCell ref="C9:D9"/>
    <mergeCell ref="C8:D8"/>
    <mergeCell ref="C10:D10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{E9FA5410-763C-1948-ACB1-74279E3B5C90}</x14:id>
        </ext>
      </extLst>
    </cfRule>
  </conditionalFormatting>
  <pageMargins left="0.75" right="0.75" top="1" bottom="1" header="0.5" footer="0.5"/>
  <pageSetup paperSize="9" orientation="portrait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FA5410-763C-1948-ACB1-74279E3B5C9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2018-08-09T20:38:46Z</dcterms:modified>
</cp:coreProperties>
</file>