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V15" i="11"/>
  <c r="W14" i="11"/>
  <c r="W15" i="11"/>
  <c r="U14" i="11"/>
  <c r="U15" i="11"/>
  <c r="U12" i="11"/>
  <c r="S16" i="11"/>
  <c r="L12" i="10"/>
  <c r="N12" i="10"/>
  <c r="R12" i="11"/>
  <c r="L14" i="10"/>
  <c r="N14" i="10"/>
  <c r="R14" i="11"/>
  <c r="L15" i="10"/>
  <c r="N15" i="10"/>
  <c r="R15" i="11"/>
  <c r="R16" i="11"/>
  <c r="L12" i="9"/>
  <c r="N12" i="9"/>
  <c r="Q12" i="11"/>
  <c r="L14" i="9"/>
  <c r="N14" i="9"/>
  <c r="Q14" i="11"/>
  <c r="L15" i="9"/>
  <c r="N15" i="9"/>
  <c r="Q15" i="11"/>
  <c r="Q16" i="11"/>
  <c r="L12" i="8"/>
  <c r="N12" i="8"/>
  <c r="P12" i="11"/>
  <c r="L14" i="8"/>
  <c r="N14" i="8"/>
  <c r="P14" i="11"/>
  <c r="L15" i="8"/>
  <c r="N15" i="8"/>
  <c r="P15" i="11"/>
  <c r="P16" i="11"/>
  <c r="N12" i="7"/>
  <c r="O12" i="11"/>
  <c r="L14" i="7"/>
  <c r="N14" i="7"/>
  <c r="O14" i="11"/>
  <c r="N15" i="7"/>
  <c r="O15" i="11"/>
  <c r="O16" i="11"/>
  <c r="H13" i="12"/>
  <c r="H12" i="12"/>
  <c r="H11" i="12"/>
  <c r="H10" i="12"/>
  <c r="H9" i="12"/>
  <c r="H8" i="12"/>
  <c r="H14" i="12"/>
  <c r="G14" i="12"/>
  <c r="F14" i="12"/>
  <c r="E14" i="12"/>
  <c r="H12" i="11"/>
  <c r="F8" i="12"/>
  <c r="I12" i="11"/>
  <c r="G8" i="12"/>
  <c r="J12" i="11"/>
  <c r="F9" i="12"/>
  <c r="G9" i="12"/>
  <c r="F10" i="12"/>
  <c r="G10" i="12"/>
  <c r="H14" i="11"/>
  <c r="H15" i="11"/>
  <c r="F11" i="12"/>
  <c r="I14" i="11"/>
  <c r="I15" i="11"/>
  <c r="G11" i="12"/>
  <c r="J14" i="11"/>
  <c r="J15" i="11"/>
  <c r="F12" i="12"/>
  <c r="G12" i="12"/>
  <c r="F13" i="12"/>
  <c r="G13" i="12"/>
  <c r="G14" i="11"/>
  <c r="G15" i="11"/>
  <c r="E13" i="12"/>
  <c r="E12" i="12"/>
  <c r="E11" i="12"/>
  <c r="G12" i="11"/>
  <c r="E10" i="12"/>
  <c r="E9" i="12"/>
  <c r="E8" i="12"/>
  <c r="D16" i="12"/>
  <c r="C16" i="12"/>
  <c r="I14" i="12"/>
  <c r="I13" i="12"/>
  <c r="I12" i="12"/>
  <c r="I11" i="12"/>
  <c r="I10" i="12"/>
  <c r="I9" i="12"/>
  <c r="I8" i="12"/>
  <c r="N12" i="11"/>
  <c r="N14" i="11"/>
  <c r="N15" i="11"/>
  <c r="M12" i="11"/>
  <c r="M14" i="11"/>
  <c r="M15" i="11"/>
  <c r="L12" i="11"/>
  <c r="L14" i="11"/>
  <c r="L15" i="11"/>
  <c r="K12" i="11"/>
  <c r="K14" i="11"/>
  <c r="K15" i="11"/>
  <c r="W16" i="11"/>
  <c r="V16" i="11"/>
  <c r="Y16" i="11"/>
  <c r="U16" i="11"/>
  <c r="X16" i="11"/>
  <c r="Y15" i="11"/>
  <c r="X15" i="11"/>
  <c r="Y14" i="11"/>
  <c r="X14" i="11"/>
  <c r="Y12" i="11"/>
  <c r="X12" i="11"/>
  <c r="I15" i="8"/>
  <c r="I15" i="9"/>
  <c r="I15" i="10"/>
  <c r="I14" i="8"/>
  <c r="I14" i="9"/>
  <c r="I14" i="10"/>
  <c r="I12" i="10"/>
  <c r="I12" i="9"/>
  <c r="I12" i="8"/>
  <c r="R16" i="10"/>
  <c r="T16" i="10"/>
  <c r="P16" i="10"/>
  <c r="Q16" i="10"/>
  <c r="S16" i="10"/>
  <c r="N16" i="10"/>
  <c r="M12" i="10"/>
  <c r="M14" i="10"/>
  <c r="M15" i="10"/>
  <c r="M16" i="10"/>
  <c r="T15" i="10"/>
  <c r="S15" i="10"/>
  <c r="T14" i="10"/>
  <c r="S14" i="10"/>
  <c r="T12" i="10"/>
  <c r="S12" i="10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  <c r="R16" i="7"/>
  <c r="Q16" i="7"/>
  <c r="P16" i="7"/>
  <c r="L15" i="7"/>
  <c r="L12" i="7"/>
  <c r="N16" i="7"/>
  <c r="M12" i="7"/>
  <c r="M14" i="7"/>
  <c r="M15" i="7"/>
  <c r="M16" i="7"/>
  <c r="T14" i="7"/>
  <c r="T15" i="7"/>
  <c r="S14" i="7"/>
  <c r="S15" i="7"/>
  <c r="T12" i="7"/>
  <c r="S12" i="7"/>
  <c r="T16" i="7"/>
  <c r="S16" i="7"/>
</calcChain>
</file>

<file path=xl/sharedStrings.xml><?xml version="1.0" encoding="utf-8"?>
<sst xmlns="http://schemas.openxmlformats.org/spreadsheetml/2006/main" count="213" uniqueCount="54">
  <si>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</si>
  <si>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</si>
  <si>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</si>
  <si>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</si>
  <si>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</si>
  <si>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</si>
  <si>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</si>
  <si>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</si>
  <si>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</si>
  <si>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</si>
  <si>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</si>
  <si>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</si>
  <si>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</si>
  <si>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</si>
  <si>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</si>
  <si>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</si>
  <si>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</si>
  <si>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</si>
  <si>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</si>
  <si>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</si>
  <si>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</si>
  <si>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</si>
  <si>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</si>
  <si>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</si>
  <si>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</si>
  <si>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</si>
  <si>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</si>
  <si>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</si>
  <si>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</si>
  <si>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</si>
  <si>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</si>
  <si>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</si>
  <si>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</si>
  <si>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</si>
  <si>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</si>
  <si>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</si>
  <si>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</si>
  <si>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2016 - 2019</t>
  </si>
  <si>
    <t>AVANCE EN CUMPLIMIENTO</t>
  </si>
  <si>
    <t>RECURSOS FINANCIEROS 2016 - 2017 (Miles de pesos)</t>
  </si>
  <si>
    <t>CUMPLIMIENTO POR AÑO</t>
  </si>
  <si>
    <t>LÍNEA ESTRATÉGICA 1: GOBERNANZA DEMOCRÁTICA</t>
  </si>
  <si>
    <t>1.2</t>
  </si>
  <si>
    <t>1.2.3</t>
  </si>
  <si>
    <t>Administración Articulada y Coherente</t>
  </si>
  <si>
    <t>LÍNEA ESTRATÉGICA 3: SOSTENIBILIDAD AMBIENTAL</t>
  </si>
  <si>
    <t>3.2</t>
  </si>
  <si>
    <t>3.2.2</t>
  </si>
  <si>
    <t>Reducción y Mitigación del Riesgo de Desastre</t>
  </si>
  <si>
    <t>PLAN DE DESARROLLO 2016 - 2019</t>
  </si>
  <si>
    <t>RESUMEN CUMPLIMIENTO BOMBEROS 2016 - 2019</t>
  </si>
  <si>
    <t>22141 22151 22161</t>
  </si>
  <si>
    <t>221111 221211 22131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</si>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</sst>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1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7" fillId="2" borderId="41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2" xfId="0" applyNumberFormat="1" applyFont="1" applyFill="1" applyBorder="1" applyAlignment="1">
      <alignment horizontal="center" vertical="center"/>
    </xf>
    <xf numFmtId="9" fontId="5" fillId="4" borderId="39" xfId="0" applyNumberFormat="1" applyFont="1" applyFill="1" applyBorder="1" applyAlignment="1">
      <alignment horizontal="center" vertical="center"/>
    </xf>
    <xf numFmtId="9" fontId="5" fillId="4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7" fillId="4" borderId="41" xfId="0" applyNumberFormat="1" applyFont="1" applyFill="1" applyBorder="1" applyAlignment="1">
      <alignment horizontal="center" vertical="center"/>
    </xf>
    <xf numFmtId="9" fontId="7" fillId="3" borderId="39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6" borderId="43" xfId="0" applyNumberFormat="1" applyFont="1" applyFill="1" applyBorder="1" applyAlignment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19" fillId="0" borderId="30" xfId="0" applyNumberFormat="1" applyFont="1" applyBorder="1" applyAlignment="1">
      <alignment horizontal="center" vertical="center" wrapText="1"/>
    </xf>
    <xf numFmtId="9" fontId="16" fillId="7" borderId="5" xfId="0" applyNumberFormat="1" applyFont="1" applyFill="1" applyBorder="1" applyAlignment="1">
      <alignment horizontal="center" vertical="center" wrapText="1"/>
    </xf>
    <xf numFmtId="9" fontId="17" fillId="7" borderId="30" xfId="0" applyNumberFormat="1" applyFont="1" applyFill="1" applyBorder="1" applyAlignment="1">
      <alignment horizontal="center" vertical="center" wrapText="1"/>
    </xf>
    <xf numFmtId="9" fontId="13" fillId="8" borderId="43" xfId="0" applyNumberFormat="1" applyFont="1" applyFill="1" applyBorder="1" applyAlignment="1">
      <alignment horizontal="center" vertical="center" wrapText="1"/>
    </xf>
    <xf numFmtId="9" fontId="14" fillId="8" borderId="38" xfId="0" applyNumberFormat="1" applyFont="1" applyFill="1" applyBorder="1" applyAlignment="1">
      <alignment horizontal="center" vertical="center" wrapText="1"/>
    </xf>
    <xf numFmtId="9" fontId="7" fillId="2" borderId="43" xfId="0" applyNumberFormat="1" applyFont="1" applyFill="1" applyBorder="1" applyAlignment="1">
      <alignment horizontal="center" vertical="center" wrapText="1"/>
    </xf>
    <xf numFmtId="9" fontId="7" fillId="2" borderId="3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164" fontId="19" fillId="0" borderId="0" xfId="0" applyNumberFormat="1" applyFont="1" applyAlignment="1">
      <alignment horizontal="left"/>
    </xf>
    <xf numFmtId="165" fontId="5" fillId="0" borderId="2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>
      <alignment horizontal="justify" vertical="center"/>
    </xf>
    <xf numFmtId="0" fontId="13" fillId="6" borderId="64" xfId="0" applyFont="1" applyFill="1" applyBorder="1" applyAlignment="1">
      <alignment horizontal="justify" vertical="center"/>
    </xf>
    <xf numFmtId="0" fontId="16" fillId="7" borderId="30" xfId="0" applyFont="1" applyFill="1" applyBorder="1" applyAlignment="1">
      <alignment horizontal="justify" vertical="center"/>
    </xf>
    <xf numFmtId="0" fontId="16" fillId="7" borderId="65" xfId="0" applyFont="1" applyFill="1" applyBorder="1" applyAlignment="1">
      <alignment horizontal="justify" vertical="center"/>
    </xf>
    <xf numFmtId="0" fontId="5" fillId="0" borderId="30" xfId="0" applyFont="1" applyBorder="1" applyAlignment="1">
      <alignment horizontal="justify" vertical="center"/>
    </xf>
    <xf numFmtId="0" fontId="5" fillId="0" borderId="65" xfId="0" applyFont="1" applyBorder="1" applyAlignment="1">
      <alignment horizontal="justify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63" xfId="0" applyFont="1" applyFill="1" applyBorder="1" applyAlignment="1" applyProtection="1">
      <alignment horizontal="center" vertical="center" wrapText="1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3" fillId="8" borderId="38" xfId="0" applyFont="1" applyFill="1" applyBorder="1" applyAlignment="1">
      <alignment horizontal="justify" vertical="center"/>
    </xf>
    <xf numFmtId="0" fontId="13" fillId="8" borderId="64" xfId="0" applyFont="1" applyFill="1" applyBorder="1" applyAlignment="1">
      <alignment horizontal="justify" vertical="center"/>
    </xf>
    <xf numFmtId="0" fontId="7" fillId="2" borderId="38" xfId="0" applyFont="1" applyFill="1" applyBorder="1" applyAlignment="1">
      <alignment horizontal="justify" vertical="center"/>
    </xf>
    <xf numFmtId="0" fontId="7" fillId="2" borderId="64" xfId="0" applyFont="1" applyFill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9" fontId="15" fillId="6" borderId="40" xfId="0" applyNumberFormat="1" applyFont="1" applyFill="1" applyBorder="1" applyAlignment="1">
      <alignment horizontal="center" vertical="center"/>
    </xf>
    <xf numFmtId="9" fontId="18" fillId="7" borderId="66" xfId="0" applyNumberFormat="1" applyFont="1" applyFill="1" applyBorder="1" applyAlignment="1">
      <alignment horizontal="center" vertical="center" wrapText="1"/>
    </xf>
    <xf numFmtId="9" fontId="18" fillId="0" borderId="66" xfId="0" applyNumberFormat="1" applyFont="1" applyBorder="1" applyAlignment="1">
      <alignment horizontal="center" vertical="center" wrapText="1"/>
    </xf>
    <xf numFmtId="9" fontId="15" fillId="8" borderId="40" xfId="0" applyNumberFormat="1" applyFont="1" applyFill="1" applyBorder="1" applyAlignment="1">
      <alignment horizontal="center" vertical="center" wrapText="1"/>
    </xf>
    <xf numFmtId="9" fontId="20" fillId="2" borderId="40" xfId="0" applyNumberFormat="1" applyFont="1" applyFill="1" applyBorder="1" applyAlignment="1">
      <alignment horizontal="center" vertical="center" wrapText="1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426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426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114300</xdr:rowOff>
    </xdr:from>
    <xdr:to>
      <xdr:col>4</xdr:col>
      <xdr:colOff>431800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2032000</xdr:colOff>
      <xdr:row>0</xdr:row>
      <xdr:rowOff>139700</xdr:rowOff>
    </xdr:from>
    <xdr:to>
      <xdr:col>22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4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0" ht="20.100000000000001" customHeight="1" x14ac:dyDescent="0.2"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0" ht="20.100000000000001" customHeight="1" x14ac:dyDescent="0.2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8">
        <v>42735</v>
      </c>
      <c r="D8" s="135" t="s">
        <v>3</v>
      </c>
      <c r="E8" s="136"/>
      <c r="F8" s="136"/>
      <c r="G8" s="136"/>
      <c r="H8" s="136"/>
      <c r="I8" s="136"/>
      <c r="J8" s="136"/>
      <c r="K8" s="13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8" t="s">
        <v>17</v>
      </c>
      <c r="C9" s="141" t="s">
        <v>18</v>
      </c>
      <c r="D9" s="143" t="s">
        <v>0</v>
      </c>
      <c r="E9" s="146" t="s">
        <v>4</v>
      </c>
      <c r="F9" s="146"/>
      <c r="G9" s="146" t="s">
        <v>5</v>
      </c>
      <c r="H9" s="146"/>
      <c r="I9" s="146"/>
      <c r="J9" s="146"/>
      <c r="K9" s="148"/>
      <c r="L9" s="5"/>
      <c r="M9" s="143" t="s">
        <v>6</v>
      </c>
      <c r="N9" s="148"/>
      <c r="O9" s="120" t="s">
        <v>24</v>
      </c>
      <c r="P9" s="121"/>
      <c r="Q9" s="121"/>
      <c r="R9" s="121"/>
      <c r="S9" s="121"/>
      <c r="T9" s="122"/>
    </row>
    <row r="10" spans="2:20" ht="17.100000000000001" customHeight="1" x14ac:dyDescent="0.2">
      <c r="B10" s="139"/>
      <c r="C10" s="142"/>
      <c r="D10" s="144"/>
      <c r="E10" s="147"/>
      <c r="F10" s="147"/>
      <c r="G10" s="147" t="s">
        <v>7</v>
      </c>
      <c r="H10" s="126" t="s">
        <v>25</v>
      </c>
      <c r="I10" s="126" t="s">
        <v>26</v>
      </c>
      <c r="J10" s="151" t="s">
        <v>1</v>
      </c>
      <c r="K10" s="149" t="s">
        <v>8</v>
      </c>
      <c r="L10" s="6"/>
      <c r="M10" s="116" t="s">
        <v>9</v>
      </c>
      <c r="N10" s="118" t="s">
        <v>10</v>
      </c>
      <c r="O10" s="123"/>
      <c r="P10" s="124"/>
      <c r="Q10" s="124"/>
      <c r="R10" s="124"/>
      <c r="S10" s="124"/>
      <c r="T10" s="125"/>
    </row>
    <row r="11" spans="2:20" ht="37.5" customHeight="1" thickBot="1" x14ac:dyDescent="0.25">
      <c r="B11" s="140"/>
      <c r="C11" s="142"/>
      <c r="D11" s="145"/>
      <c r="E11" s="19" t="s">
        <v>11</v>
      </c>
      <c r="F11" s="19" t="s">
        <v>12</v>
      </c>
      <c r="G11" s="126"/>
      <c r="H11" s="127"/>
      <c r="I11" s="127"/>
      <c r="J11" s="152"/>
      <c r="K11" s="150"/>
      <c r="L11" s="20"/>
      <c r="M11" s="117"/>
      <c r="N11" s="11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9" t="s">
        <v>30</v>
      </c>
      <c r="C12" s="54" t="s">
        <v>31</v>
      </c>
      <c r="D12" s="50" t="s">
        <v>32</v>
      </c>
      <c r="E12" s="41">
        <v>42370</v>
      </c>
      <c r="F12" s="41">
        <v>42735</v>
      </c>
      <c r="G12" s="55" t="s">
        <v>27</v>
      </c>
      <c r="H12" s="42">
        <v>1</v>
      </c>
      <c r="I12" s="42">
        <v>0</v>
      </c>
      <c r="J12" s="42">
        <v>0</v>
      </c>
      <c r="K12" s="46">
        <v>0</v>
      </c>
      <c r="L12" s="51" t="e">
        <f>+K12/J12</f>
        <v>#DIV/0!</v>
      </c>
      <c r="M12" s="56">
        <f>DAYS360(E12,$C$8)/DAYS360(E12,F12)</f>
        <v>1</v>
      </c>
      <c r="N12" s="40" t="str">
        <f>IF(J12=0," -",IF(L12&gt;100%,100%,L12))</f>
        <v xml:space="preserve"> -</v>
      </c>
      <c r="O12" s="58" t="s">
        <v>51</v>
      </c>
      <c r="P12" s="38">
        <v>770000</v>
      </c>
      <c r="Q12" s="38">
        <v>0</v>
      </c>
      <c r="R12" s="38">
        <v>0</v>
      </c>
      <c r="S12" s="39">
        <f>IF(P12=0," -",Q12/P12)</f>
        <v>0</v>
      </c>
      <c r="T12" s="40" t="str">
        <f>IF(R12=0," -",IF(Q12=0,100%,R12/Q12))</f>
        <v xml:space="preserve"> -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128" t="s">
        <v>33</v>
      </c>
      <c r="C14" s="130" t="s">
        <v>34</v>
      </c>
      <c r="D14" s="132" t="s">
        <v>35</v>
      </c>
      <c r="E14" s="43">
        <v>42370</v>
      </c>
      <c r="F14" s="43">
        <v>42735</v>
      </c>
      <c r="G14" s="44" t="s">
        <v>28</v>
      </c>
      <c r="H14" s="45">
        <v>4</v>
      </c>
      <c r="I14" s="45"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52</v>
      </c>
      <c r="P14" s="32">
        <v>4453000</v>
      </c>
      <c r="Q14" s="32">
        <v>269838</v>
      </c>
      <c r="R14" s="32">
        <v>0</v>
      </c>
      <c r="S14" s="18">
        <f t="shared" ref="S14:S15" si="2">IF(P14=0," -",Q14/P14)</f>
        <v>6.0596900965641139E-2</v>
      </c>
      <c r="T14" s="17" t="str">
        <f t="shared" ref="T14:T15" si="3">IF(R14=0," -",IF(Q14=0,100%,R14/Q14))</f>
        <v xml:space="preserve"> -</v>
      </c>
    </row>
    <row r="15" spans="2:20" ht="30.75" thickBot="1" x14ac:dyDescent="0.25">
      <c r="B15" s="129"/>
      <c r="C15" s="131"/>
      <c r="D15" s="133"/>
      <c r="E15" s="33">
        <v>42370</v>
      </c>
      <c r="F15" s="33">
        <v>42735</v>
      </c>
      <c r="G15" s="34" t="s">
        <v>29</v>
      </c>
      <c r="H15" s="35">
        <v>72</v>
      </c>
      <c r="I15" s="35">
        <v>0</v>
      </c>
      <c r="J15" s="35">
        <v>0</v>
      </c>
      <c r="K15" s="48">
        <v>0</v>
      </c>
      <c r="L15" s="53" t="e">
        <f>+K15/J15</f>
        <v>#DIV/0!</v>
      </c>
      <c r="M15" s="57">
        <f t="shared" si="0"/>
        <v>1</v>
      </c>
      <c r="N15" s="37" t="str">
        <f t="shared" si="1"/>
        <v xml:space="preserve"> -</v>
      </c>
      <c r="O15" s="60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1</v>
      </c>
      <c r="N16" s="27">
        <f>+AVERAGE(N12,N14:N15)</f>
        <v>1</v>
      </c>
      <c r="O16" s="28"/>
      <c r="P16" s="29">
        <f>+SUM(P12,P14:P15)</f>
        <v>5323000</v>
      </c>
      <c r="Q16" s="30">
        <f>+SUM(Q12,Q14:Q15)</f>
        <v>269838</v>
      </c>
      <c r="R16" s="30">
        <f>+SUM(R12,R14:R15)</f>
        <v>0</v>
      </c>
      <c r="S16" s="31">
        <f t="shared" ref="S16" si="4">IF(P16=0," -",Q16/P16)</f>
        <v>5.0692842382115348E-2</v>
      </c>
      <c r="T16" s="27" t="str">
        <f t="shared" ref="T16" si="5">IF(R16=0," -",IF(Q16=0,100%,R16/Q16))</f>
        <v xml:space="preserve"> -</v>
      </c>
    </row>
  </sheetData>
  <mergeCells count="21">
    <mergeCell ref="B14:B15"/>
    <mergeCell ref="C14:C15"/>
    <mergeCell ref="D14:D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4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0" ht="20.100000000000001" customHeight="1" x14ac:dyDescent="0.2"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0" ht="20.100000000000001" customHeight="1" x14ac:dyDescent="0.2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135" t="s">
        <v>3</v>
      </c>
      <c r="E8" s="136"/>
      <c r="F8" s="136"/>
      <c r="G8" s="136"/>
      <c r="H8" s="136"/>
      <c r="I8" s="136"/>
      <c r="J8" s="136"/>
      <c r="K8" s="13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8" t="s">
        <v>17</v>
      </c>
      <c r="C9" s="141" t="s">
        <v>18</v>
      </c>
      <c r="D9" s="143" t="s">
        <v>0</v>
      </c>
      <c r="E9" s="146" t="s">
        <v>4</v>
      </c>
      <c r="F9" s="146"/>
      <c r="G9" s="146" t="s">
        <v>5</v>
      </c>
      <c r="H9" s="146"/>
      <c r="I9" s="146"/>
      <c r="J9" s="146"/>
      <c r="K9" s="148"/>
      <c r="L9" s="5"/>
      <c r="M9" s="143" t="s">
        <v>6</v>
      </c>
      <c r="N9" s="148"/>
      <c r="O9" s="120" t="s">
        <v>24</v>
      </c>
      <c r="P9" s="121"/>
      <c r="Q9" s="121"/>
      <c r="R9" s="121"/>
      <c r="S9" s="121"/>
      <c r="T9" s="122"/>
    </row>
    <row r="10" spans="2:20" ht="17.100000000000001" customHeight="1" x14ac:dyDescent="0.2">
      <c r="B10" s="139"/>
      <c r="C10" s="142"/>
      <c r="D10" s="144"/>
      <c r="E10" s="147"/>
      <c r="F10" s="147"/>
      <c r="G10" s="147" t="s">
        <v>7</v>
      </c>
      <c r="H10" s="126" t="s">
        <v>25</v>
      </c>
      <c r="I10" s="126" t="s">
        <v>26</v>
      </c>
      <c r="J10" s="151" t="s">
        <v>1</v>
      </c>
      <c r="K10" s="149" t="s">
        <v>8</v>
      </c>
      <c r="L10" s="6"/>
      <c r="M10" s="116" t="s">
        <v>9</v>
      </c>
      <c r="N10" s="118" t="s">
        <v>10</v>
      </c>
      <c r="O10" s="123"/>
      <c r="P10" s="124"/>
      <c r="Q10" s="124"/>
      <c r="R10" s="124"/>
      <c r="S10" s="124"/>
      <c r="T10" s="125"/>
    </row>
    <row r="11" spans="2:20" ht="37.5" customHeight="1" thickBot="1" x14ac:dyDescent="0.25">
      <c r="B11" s="140"/>
      <c r="C11" s="142"/>
      <c r="D11" s="145"/>
      <c r="E11" s="19" t="s">
        <v>11</v>
      </c>
      <c r="F11" s="19" t="s">
        <v>12</v>
      </c>
      <c r="G11" s="126"/>
      <c r="H11" s="127"/>
      <c r="I11" s="127"/>
      <c r="J11" s="152"/>
      <c r="K11" s="150"/>
      <c r="L11" s="20"/>
      <c r="M11" s="117"/>
      <c r="N11" s="11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51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128" t="s">
        <v>33</v>
      </c>
      <c r="C14" s="130" t="s">
        <v>34</v>
      </c>
      <c r="D14" s="132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>
        <f>+J14+('2016'!J14-'2016'!K14)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52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0.75" thickBot="1" x14ac:dyDescent="0.25">
      <c r="B15" s="129"/>
      <c r="C15" s="131"/>
      <c r="D15" s="133"/>
      <c r="E15" s="33">
        <v>42736</v>
      </c>
      <c r="F15" s="33">
        <v>43100</v>
      </c>
      <c r="G15" s="34" t="s">
        <v>29</v>
      </c>
      <c r="H15" s="35">
        <v>72</v>
      </c>
      <c r="I15" s="35">
        <f>+J15+('2016'!J15-'2016'!K15)</f>
        <v>24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topLeftCell="C1" workbookViewId="0">
      <selection activeCell="H16" sqref="H16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4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0" ht="20.100000000000001" customHeight="1" x14ac:dyDescent="0.2"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0" ht="20.100000000000001" customHeight="1" x14ac:dyDescent="0.2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43281</v>
      </c>
      <c r="D8" s="135" t="s">
        <v>3</v>
      </c>
      <c r="E8" s="136"/>
      <c r="F8" s="136"/>
      <c r="G8" s="136"/>
      <c r="H8" s="136"/>
      <c r="I8" s="136"/>
      <c r="J8" s="136"/>
      <c r="K8" s="13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8" t="s">
        <v>17</v>
      </c>
      <c r="C9" s="141" t="s">
        <v>18</v>
      </c>
      <c r="D9" s="143" t="s">
        <v>0</v>
      </c>
      <c r="E9" s="146" t="s">
        <v>4</v>
      </c>
      <c r="F9" s="146"/>
      <c r="G9" s="146" t="s">
        <v>5</v>
      </c>
      <c r="H9" s="146"/>
      <c r="I9" s="146"/>
      <c r="J9" s="146"/>
      <c r="K9" s="148"/>
      <c r="L9" s="5"/>
      <c r="M9" s="143" t="s">
        <v>6</v>
      </c>
      <c r="N9" s="148"/>
      <c r="O9" s="120" t="s">
        <v>24</v>
      </c>
      <c r="P9" s="121"/>
      <c r="Q9" s="121"/>
      <c r="R9" s="121"/>
      <c r="S9" s="121"/>
      <c r="T9" s="122"/>
    </row>
    <row r="10" spans="2:20" ht="17.100000000000001" customHeight="1" x14ac:dyDescent="0.2">
      <c r="B10" s="139"/>
      <c r="C10" s="142"/>
      <c r="D10" s="144"/>
      <c r="E10" s="147"/>
      <c r="F10" s="147"/>
      <c r="G10" s="147" t="s">
        <v>7</v>
      </c>
      <c r="H10" s="126" t="s">
        <v>25</v>
      </c>
      <c r="I10" s="126" t="s">
        <v>26</v>
      </c>
      <c r="J10" s="151" t="s">
        <v>1</v>
      </c>
      <c r="K10" s="149" t="s">
        <v>8</v>
      </c>
      <c r="L10" s="6"/>
      <c r="M10" s="116" t="s">
        <v>9</v>
      </c>
      <c r="N10" s="118" t="s">
        <v>10</v>
      </c>
      <c r="O10" s="123"/>
      <c r="P10" s="124"/>
      <c r="Q10" s="124"/>
      <c r="R10" s="124"/>
      <c r="S10" s="124"/>
      <c r="T10" s="125"/>
    </row>
    <row r="11" spans="2:20" ht="37.5" customHeight="1" thickBot="1" x14ac:dyDescent="0.25">
      <c r="B11" s="140"/>
      <c r="C11" s="142"/>
      <c r="D11" s="145"/>
      <c r="E11" s="19" t="s">
        <v>11</v>
      </c>
      <c r="F11" s="19" t="s">
        <v>12</v>
      </c>
      <c r="G11" s="126"/>
      <c r="H11" s="127"/>
      <c r="I11" s="127"/>
      <c r="J11" s="152"/>
      <c r="K11" s="150"/>
      <c r="L11" s="20"/>
      <c r="M11" s="117"/>
      <c r="N11" s="11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9" t="s">
        <v>30</v>
      </c>
      <c r="C12" s="54" t="s">
        <v>31</v>
      </c>
      <c r="D12" s="50" t="s">
        <v>32</v>
      </c>
      <c r="E12" s="41">
        <v>43101</v>
      </c>
      <c r="F12" s="41">
        <v>43465</v>
      </c>
      <c r="G12" s="55" t="s">
        <v>27</v>
      </c>
      <c r="H12" s="42">
        <v>1</v>
      </c>
      <c r="I12" s="42">
        <f>+J12</f>
        <v>1</v>
      </c>
      <c r="J12" s="42">
        <v>1</v>
      </c>
      <c r="K12" s="115">
        <v>0.3</v>
      </c>
      <c r="L12" s="51">
        <f>+K12/J12</f>
        <v>0.3</v>
      </c>
      <c r="M12" s="56">
        <f>DAYS360(E12,$C$8)/DAYS360(E12,F12)</f>
        <v>0.49722222222222223</v>
      </c>
      <c r="N12" s="40">
        <f>IF(J12=0," -",IF(L12&gt;100%,100%,L12))</f>
        <v>0.3</v>
      </c>
      <c r="O12" s="58" t="s">
        <v>51</v>
      </c>
      <c r="P12" s="38">
        <v>848875</v>
      </c>
      <c r="Q12" s="38">
        <v>20000</v>
      </c>
      <c r="R12" s="38">
        <v>0</v>
      </c>
      <c r="S12" s="39">
        <f>IF(P12=0," -",Q12/P12)</f>
        <v>2.356059490502135E-2</v>
      </c>
      <c r="T12" s="40" t="str">
        <f>IF(R12=0," -",IF(Q12=0,100%,R12/Q12))</f>
        <v xml:space="preserve"> -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128" t="s">
        <v>33</v>
      </c>
      <c r="C14" s="130" t="s">
        <v>34</v>
      </c>
      <c r="D14" s="132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>
        <f>+J14+('2017'!I14-'2017'!K14)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0.49722222222222223</v>
      </c>
      <c r="N14" s="17">
        <f t="shared" ref="N14:N15" si="1">IF(J14=0," -",IF(L14&gt;100%,100%,L14))</f>
        <v>1</v>
      </c>
      <c r="O14" s="59" t="s">
        <v>52</v>
      </c>
      <c r="P14" s="32">
        <v>8205861</v>
      </c>
      <c r="Q14" s="32">
        <v>2270611</v>
      </c>
      <c r="R14" s="32">
        <v>0</v>
      </c>
      <c r="S14" s="18">
        <f t="shared" ref="S14:S16" si="2">IF(P14=0," -",Q14/P14)</f>
        <v>0.27670600318479682</v>
      </c>
      <c r="T14" s="17" t="str">
        <f t="shared" ref="T14:T16" si="3">IF(R14=0," -",IF(Q14=0,100%,R14/Q14))</f>
        <v xml:space="preserve"> -</v>
      </c>
    </row>
    <row r="15" spans="2:20" ht="30.75" thickBot="1" x14ac:dyDescent="0.25">
      <c r="B15" s="129"/>
      <c r="C15" s="131"/>
      <c r="D15" s="133"/>
      <c r="E15" s="33">
        <v>43101</v>
      </c>
      <c r="F15" s="33">
        <v>43465</v>
      </c>
      <c r="G15" s="34" t="s">
        <v>29</v>
      </c>
      <c r="H15" s="35">
        <v>72</v>
      </c>
      <c r="I15" s="35">
        <f>+J15+('2017'!I15-'2017'!K15)</f>
        <v>46</v>
      </c>
      <c r="J15" s="35">
        <v>24</v>
      </c>
      <c r="K15" s="48">
        <v>55</v>
      </c>
      <c r="L15" s="53">
        <f>+K15/J15</f>
        <v>2.2916666666666665</v>
      </c>
      <c r="M15" s="57">
        <f t="shared" si="0"/>
        <v>0.49722222222222223</v>
      </c>
      <c r="N15" s="37">
        <f t="shared" si="1"/>
        <v>1</v>
      </c>
      <c r="O15" s="60">
        <v>22121</v>
      </c>
      <c r="P15" s="35">
        <v>100000</v>
      </c>
      <c r="Q15" s="35">
        <v>13440</v>
      </c>
      <c r="R15" s="35">
        <v>0</v>
      </c>
      <c r="S15" s="36">
        <f t="shared" si="2"/>
        <v>0.13439999999999999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0.49722222222222223</v>
      </c>
      <c r="N16" s="27">
        <f>+AVERAGE(N12,N14:N15)</f>
        <v>0.76666666666666661</v>
      </c>
      <c r="O16" s="28"/>
      <c r="P16" s="29">
        <f>+SUM(P12,P14:P15)</f>
        <v>9154736</v>
      </c>
      <c r="Q16" s="30">
        <f>+SUM(Q12,Q14:Q15)</f>
        <v>2304051</v>
      </c>
      <c r="R16" s="30">
        <f>+SUM(R12,R14:R15)</f>
        <v>0</v>
      </c>
      <c r="S16" s="31">
        <f t="shared" si="2"/>
        <v>0.25167858472379762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4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0" ht="20.100000000000001" customHeight="1" x14ac:dyDescent="0.2"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2:20" ht="20.100000000000001" customHeight="1" x14ac:dyDescent="0.2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/>
      <c r="D8" s="135" t="s">
        <v>3</v>
      </c>
      <c r="E8" s="136"/>
      <c r="F8" s="136"/>
      <c r="G8" s="136"/>
      <c r="H8" s="136"/>
      <c r="I8" s="136"/>
      <c r="J8" s="136"/>
      <c r="K8" s="13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8" t="s">
        <v>17</v>
      </c>
      <c r="C9" s="141" t="s">
        <v>18</v>
      </c>
      <c r="D9" s="143" t="s">
        <v>0</v>
      </c>
      <c r="E9" s="146" t="s">
        <v>4</v>
      </c>
      <c r="F9" s="146"/>
      <c r="G9" s="146" t="s">
        <v>5</v>
      </c>
      <c r="H9" s="146"/>
      <c r="I9" s="146"/>
      <c r="J9" s="146"/>
      <c r="K9" s="148"/>
      <c r="L9" s="5"/>
      <c r="M9" s="143" t="s">
        <v>6</v>
      </c>
      <c r="N9" s="148"/>
      <c r="O9" s="120" t="s">
        <v>24</v>
      </c>
      <c r="P9" s="121"/>
      <c r="Q9" s="121"/>
      <c r="R9" s="121"/>
      <c r="S9" s="121"/>
      <c r="T9" s="122"/>
    </row>
    <row r="10" spans="2:20" ht="17.100000000000001" customHeight="1" x14ac:dyDescent="0.2">
      <c r="B10" s="139"/>
      <c r="C10" s="142"/>
      <c r="D10" s="144"/>
      <c r="E10" s="147"/>
      <c r="F10" s="147"/>
      <c r="G10" s="147" t="s">
        <v>7</v>
      </c>
      <c r="H10" s="126" t="s">
        <v>25</v>
      </c>
      <c r="I10" s="126" t="s">
        <v>26</v>
      </c>
      <c r="J10" s="151" t="s">
        <v>1</v>
      </c>
      <c r="K10" s="149" t="s">
        <v>8</v>
      </c>
      <c r="L10" s="6"/>
      <c r="M10" s="116" t="s">
        <v>9</v>
      </c>
      <c r="N10" s="118" t="s">
        <v>10</v>
      </c>
      <c r="O10" s="123"/>
      <c r="P10" s="124"/>
      <c r="Q10" s="124"/>
      <c r="R10" s="124"/>
      <c r="S10" s="124"/>
      <c r="T10" s="125"/>
    </row>
    <row r="11" spans="2:20" ht="37.5" customHeight="1" thickBot="1" x14ac:dyDescent="0.25">
      <c r="B11" s="140"/>
      <c r="C11" s="142"/>
      <c r="D11" s="145"/>
      <c r="E11" s="19" t="s">
        <v>11</v>
      </c>
      <c r="F11" s="19" t="s">
        <v>12</v>
      </c>
      <c r="G11" s="126"/>
      <c r="H11" s="127"/>
      <c r="I11" s="127"/>
      <c r="J11" s="152"/>
      <c r="K11" s="150"/>
      <c r="L11" s="20"/>
      <c r="M11" s="117"/>
      <c r="N11" s="119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5.75" thickBot="1" x14ac:dyDescent="0.25">
      <c r="B12" s="49" t="s">
        <v>30</v>
      </c>
      <c r="C12" s="54" t="s">
        <v>31</v>
      </c>
      <c r="D12" s="50" t="s">
        <v>32</v>
      </c>
      <c r="E12" s="41">
        <v>43466</v>
      </c>
      <c r="F12" s="41">
        <v>43830</v>
      </c>
      <c r="G12" s="55" t="s">
        <v>27</v>
      </c>
      <c r="H12" s="42">
        <v>1</v>
      </c>
      <c r="I12" s="42">
        <f>+J12</f>
        <v>1</v>
      </c>
      <c r="J12" s="42">
        <v>1</v>
      </c>
      <c r="K12" s="46"/>
      <c r="L12" s="51">
        <f>+K12/J12</f>
        <v>0</v>
      </c>
      <c r="M12" s="56">
        <f>DAYS360(E12,$C$8)/DAYS360(E12,F12)</f>
        <v>-119.00277777777778</v>
      </c>
      <c r="N12" s="40">
        <f>IF(J12=0," -",IF(L12&gt;100%,100%,L12))</f>
        <v>0</v>
      </c>
      <c r="O12" s="58" t="s">
        <v>51</v>
      </c>
      <c r="P12" s="38">
        <v>891371</v>
      </c>
      <c r="Q12" s="38"/>
      <c r="R12" s="38"/>
      <c r="S12" s="39">
        <f>IF(P12=0," -",Q12/P12)</f>
        <v>0</v>
      </c>
      <c r="T12" s="40" t="str">
        <f>IF(R12=0," -",IF(Q12=0,100%,R12/Q12))</f>
        <v xml:space="preserve"> -</v>
      </c>
    </row>
    <row r="13" spans="2:20" ht="12.95" customHeight="1" thickBot="1" x14ac:dyDescent="0.25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45" x14ac:dyDescent="0.2">
      <c r="B14" s="128" t="s">
        <v>33</v>
      </c>
      <c r="C14" s="130" t="s">
        <v>34</v>
      </c>
      <c r="D14" s="132" t="s">
        <v>35</v>
      </c>
      <c r="E14" s="43">
        <v>43466</v>
      </c>
      <c r="F14" s="43">
        <v>43830</v>
      </c>
      <c r="G14" s="44" t="s">
        <v>28</v>
      </c>
      <c r="H14" s="45">
        <v>4</v>
      </c>
      <c r="I14" s="45">
        <f>+J14+('2018'!I14-'2018'!K14)</f>
        <v>1</v>
      </c>
      <c r="J14" s="45">
        <v>1</v>
      </c>
      <c r="K14" s="47"/>
      <c r="L14" s="52">
        <f>+K14/J14</f>
        <v>0</v>
      </c>
      <c r="M14" s="16">
        <f t="shared" ref="M14:M15" si="0">DAYS360(E14,$C$8)/DAYS360(E14,F14)</f>
        <v>-119.00277777777778</v>
      </c>
      <c r="N14" s="17">
        <f t="shared" ref="N14:N15" si="1">IF(J14=0," -",IF(L14&gt;100%,100%,L14))</f>
        <v>0</v>
      </c>
      <c r="O14" s="59" t="s">
        <v>52</v>
      </c>
      <c r="P14" s="32">
        <v>5115007</v>
      </c>
      <c r="Q14" s="32"/>
      <c r="R14" s="32"/>
      <c r="S14" s="18">
        <f t="shared" ref="S14:S16" si="2">IF(P14=0," -",Q14/P14)</f>
        <v>0</v>
      </c>
      <c r="T14" s="17" t="str">
        <f t="shared" ref="T14:T16" si="3">IF(R14=0," -",IF(Q14=0,100%,R14/Q14))</f>
        <v xml:space="preserve"> -</v>
      </c>
    </row>
    <row r="15" spans="2:20" ht="30.75" thickBot="1" x14ac:dyDescent="0.25">
      <c r="B15" s="129"/>
      <c r="C15" s="131"/>
      <c r="D15" s="133"/>
      <c r="E15" s="33">
        <v>43466</v>
      </c>
      <c r="F15" s="33">
        <v>43830</v>
      </c>
      <c r="G15" s="34" t="s">
        <v>29</v>
      </c>
      <c r="H15" s="35">
        <v>72</v>
      </c>
      <c r="I15" s="35">
        <f>+J15+('2018'!I15-'2018'!K15)</f>
        <v>15</v>
      </c>
      <c r="J15" s="35">
        <v>24</v>
      </c>
      <c r="K15" s="48"/>
      <c r="L15" s="53">
        <f>+K15/J15</f>
        <v>0</v>
      </c>
      <c r="M15" s="57">
        <f t="shared" si="0"/>
        <v>-119.00277777777778</v>
      </c>
      <c r="N15" s="37">
        <f t="shared" si="1"/>
        <v>0</v>
      </c>
      <c r="O15" s="60">
        <v>22121</v>
      </c>
      <c r="P15" s="35">
        <v>115000</v>
      </c>
      <c r="Q15" s="35"/>
      <c r="R15" s="35"/>
      <c r="S15" s="36">
        <f t="shared" si="2"/>
        <v>0</v>
      </c>
      <c r="T15" s="37" t="str">
        <f t="shared" si="3"/>
        <v xml:space="preserve"> -</v>
      </c>
    </row>
    <row r="16" spans="2:20" ht="21" customHeight="1" thickBot="1" x14ac:dyDescent="0.25">
      <c r="M16" s="26">
        <f>+AVERAGE(M12,M14:M15)</f>
        <v>-119.00277777777778</v>
      </c>
      <c r="N16" s="27">
        <f>+AVERAGE(N12,N14:N15)</f>
        <v>0</v>
      </c>
      <c r="O16" s="28"/>
      <c r="P16" s="29">
        <f>+SUM(P12,P14:P15)</f>
        <v>6121378</v>
      </c>
      <c r="Q16" s="30">
        <f>+SUM(Q12,Q14:Q15)</f>
        <v>0</v>
      </c>
      <c r="R16" s="30">
        <f>+SUM(R12,R14:R15)</f>
        <v>0</v>
      </c>
      <c r="S16" s="31">
        <f t="shared" si="2"/>
        <v>0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34" t="s">
        <v>16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20.100000000000001" customHeight="1" x14ac:dyDescent="0.2"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4" spans="2:25" ht="20.100000000000001" customHeight="1" x14ac:dyDescent="0.2">
      <c r="B4" s="134" t="s">
        <v>36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37</v>
      </c>
      <c r="C8" s="8">
        <f>+'2018'!C8</f>
        <v>43281</v>
      </c>
      <c r="D8" s="135" t="s">
        <v>3</v>
      </c>
      <c r="E8" s="136"/>
      <c r="F8" s="136"/>
      <c r="G8" s="136"/>
      <c r="H8" s="153"/>
      <c r="I8" s="153"/>
      <c r="J8" s="153"/>
      <c r="K8" s="153"/>
      <c r="L8" s="153"/>
      <c r="M8" s="153"/>
      <c r="N8" s="13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38" t="s">
        <v>17</v>
      </c>
      <c r="C9" s="141" t="s">
        <v>18</v>
      </c>
      <c r="D9" s="143" t="s">
        <v>0</v>
      </c>
      <c r="E9" s="146" t="s">
        <v>5</v>
      </c>
      <c r="F9" s="146"/>
      <c r="G9" s="146"/>
      <c r="H9" s="154"/>
      <c r="I9" s="154"/>
      <c r="J9" s="154"/>
      <c r="K9" s="154"/>
      <c r="L9" s="154"/>
      <c r="M9" s="154"/>
      <c r="N9" s="148"/>
      <c r="O9" s="155" t="s">
        <v>38</v>
      </c>
      <c r="P9" s="156"/>
      <c r="Q9" s="156"/>
      <c r="R9" s="156"/>
      <c r="S9" s="157"/>
      <c r="T9" s="120" t="s">
        <v>39</v>
      </c>
      <c r="U9" s="121"/>
      <c r="V9" s="121"/>
      <c r="W9" s="121"/>
      <c r="X9" s="121"/>
      <c r="Y9" s="122"/>
    </row>
    <row r="10" spans="2:25" ht="17.100000000000001" customHeight="1" x14ac:dyDescent="0.2">
      <c r="B10" s="139"/>
      <c r="C10" s="142"/>
      <c r="D10" s="144"/>
      <c r="E10" s="147" t="s">
        <v>7</v>
      </c>
      <c r="F10" s="126" t="s">
        <v>25</v>
      </c>
      <c r="G10" s="62" t="s">
        <v>1</v>
      </c>
      <c r="H10" s="63" t="s">
        <v>1</v>
      </c>
      <c r="I10" s="65" t="s">
        <v>1</v>
      </c>
      <c r="J10" s="65" t="s">
        <v>1</v>
      </c>
      <c r="K10" s="79" t="s">
        <v>8</v>
      </c>
      <c r="L10" s="65" t="s">
        <v>8</v>
      </c>
      <c r="M10" s="65" t="s">
        <v>8</v>
      </c>
      <c r="N10" s="61" t="s">
        <v>8</v>
      </c>
      <c r="O10" s="160">
        <v>2016</v>
      </c>
      <c r="P10" s="164">
        <v>2017</v>
      </c>
      <c r="Q10" s="166">
        <v>2018</v>
      </c>
      <c r="R10" s="158">
        <v>2019</v>
      </c>
      <c r="S10" s="162" t="s">
        <v>37</v>
      </c>
      <c r="T10" s="123"/>
      <c r="U10" s="124"/>
      <c r="V10" s="124"/>
      <c r="W10" s="124"/>
      <c r="X10" s="124"/>
      <c r="Y10" s="125"/>
    </row>
    <row r="11" spans="2:25" ht="37.5" customHeight="1" thickBot="1" x14ac:dyDescent="0.25">
      <c r="B11" s="140"/>
      <c r="C11" s="142"/>
      <c r="D11" s="145"/>
      <c r="E11" s="126"/>
      <c r="F11" s="127"/>
      <c r="G11" s="80">
        <v>2016</v>
      </c>
      <c r="H11" s="81">
        <v>2017</v>
      </c>
      <c r="I11" s="66">
        <v>2018</v>
      </c>
      <c r="J11" s="66">
        <v>2019</v>
      </c>
      <c r="K11" s="82">
        <v>2016</v>
      </c>
      <c r="L11" s="81">
        <v>2017</v>
      </c>
      <c r="M11" s="66">
        <v>2018</v>
      </c>
      <c r="N11" s="83">
        <v>2019</v>
      </c>
      <c r="O11" s="161"/>
      <c r="P11" s="165"/>
      <c r="Q11" s="167"/>
      <c r="R11" s="159"/>
      <c r="S11" s="163"/>
      <c r="T11" s="64" t="s">
        <v>23</v>
      </c>
      <c r="U11" s="22" t="s">
        <v>20</v>
      </c>
      <c r="V11" s="23" t="s">
        <v>21</v>
      </c>
      <c r="W11" s="24" t="s">
        <v>22</v>
      </c>
      <c r="X11" s="24" t="s">
        <v>14</v>
      </c>
      <c r="Y11" s="25" t="s">
        <v>15</v>
      </c>
    </row>
    <row r="12" spans="2:25" ht="45.75" thickBot="1" x14ac:dyDescent="0.25">
      <c r="B12" s="49" t="s">
        <v>30</v>
      </c>
      <c r="C12" s="54" t="s">
        <v>31</v>
      </c>
      <c r="D12" s="50" t="s">
        <v>32</v>
      </c>
      <c r="E12" s="55" t="s">
        <v>27</v>
      </c>
      <c r="F12" s="42">
        <v>1</v>
      </c>
      <c r="G12" s="42">
        <f>'2016'!J12</f>
        <v>0</v>
      </c>
      <c r="H12" s="46">
        <f>'2017'!J12</f>
        <v>1</v>
      </c>
      <c r="I12" s="46">
        <f>'2018'!J12</f>
        <v>1</v>
      </c>
      <c r="J12" s="46">
        <f>'2019'!J12</f>
        <v>1</v>
      </c>
      <c r="K12" s="84">
        <f>'2016'!K12</f>
        <v>0</v>
      </c>
      <c r="L12" s="85">
        <f>'2017'!K12</f>
        <v>1</v>
      </c>
      <c r="M12" s="85">
        <f>'2018'!K12</f>
        <v>0.3</v>
      </c>
      <c r="N12" s="86">
        <f>'2019'!K12</f>
        <v>0</v>
      </c>
      <c r="O12" s="76" t="str">
        <f>'2016'!N12</f>
        <v xml:space="preserve"> -</v>
      </c>
      <c r="P12" s="77">
        <f>'2017'!N12</f>
        <v>1</v>
      </c>
      <c r="Q12" s="78">
        <f>'2018'!N12</f>
        <v>0.3</v>
      </c>
      <c r="R12" s="77">
        <f>'2019'!N12</f>
        <v>0</v>
      </c>
      <c r="S12" s="92">
        <v>0.43333333333333335</v>
      </c>
      <c r="T12" s="58" t="s">
        <v>51</v>
      </c>
      <c r="U12" s="38">
        <f>+'2016'!P12+'2017'!P12</f>
        <v>2197338</v>
      </c>
      <c r="V12" s="38">
        <f>+'2016'!Q12+'2017'!Q12</f>
        <v>778799</v>
      </c>
      <c r="W12" s="38">
        <f>+'2016'!R12+'2017'!R12</f>
        <v>618838</v>
      </c>
      <c r="X12" s="39">
        <f>IF(U12=0," -",V12/U12)</f>
        <v>0.35442840382317148</v>
      </c>
      <c r="Y12" s="40">
        <f>IF(W12=0," -",IF(V12=0,100%,W12/V12))</f>
        <v>0.79460554006874684</v>
      </c>
    </row>
    <row r="13" spans="2:25" ht="12.95" customHeight="1" thickBot="1" x14ac:dyDescent="0.25">
      <c r="B13" s="9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14"/>
      <c r="S13" s="93"/>
      <c r="T13" s="10"/>
      <c r="U13" s="12"/>
      <c r="V13" s="12"/>
      <c r="W13" s="12"/>
      <c r="X13" s="14"/>
      <c r="Y13" s="15"/>
    </row>
    <row r="14" spans="2:25" ht="45" x14ac:dyDescent="0.2">
      <c r="B14" s="128" t="s">
        <v>33</v>
      </c>
      <c r="C14" s="130" t="s">
        <v>34</v>
      </c>
      <c r="D14" s="132" t="s">
        <v>35</v>
      </c>
      <c r="E14" s="44" t="s">
        <v>28</v>
      </c>
      <c r="F14" s="45">
        <v>4</v>
      </c>
      <c r="G14" s="45">
        <f>'2016'!J14</f>
        <v>1</v>
      </c>
      <c r="H14" s="47">
        <f>'2017'!J14</f>
        <v>1</v>
      </c>
      <c r="I14" s="47">
        <f>'2018'!J14</f>
        <v>1</v>
      </c>
      <c r="J14" s="47">
        <f>'2019'!J14</f>
        <v>1</v>
      </c>
      <c r="K14" s="87">
        <f>'2016'!K14</f>
        <v>1</v>
      </c>
      <c r="L14" s="88">
        <f>'2017'!K14</f>
        <v>1</v>
      </c>
      <c r="M14" s="88">
        <f>'2018'!K14</f>
        <v>1</v>
      </c>
      <c r="N14" s="89">
        <f>'2019'!K14</f>
        <v>0</v>
      </c>
      <c r="O14" s="70">
        <f>'2016'!N14</f>
        <v>1</v>
      </c>
      <c r="P14" s="71">
        <f>'2017'!N14</f>
        <v>1</v>
      </c>
      <c r="Q14" s="72">
        <f>'2018'!N14</f>
        <v>1</v>
      </c>
      <c r="R14" s="71">
        <f>'2019'!N14</f>
        <v>0</v>
      </c>
      <c r="S14" s="94">
        <v>0.75</v>
      </c>
      <c r="T14" s="59" t="s">
        <v>52</v>
      </c>
      <c r="U14" s="32">
        <f>+'2016'!P14+'2017'!P14</f>
        <v>15452261</v>
      </c>
      <c r="V14" s="32">
        <f>+'2016'!Q14+'2017'!Q14</f>
        <v>7307549</v>
      </c>
      <c r="W14" s="32">
        <f>+'2016'!R14+'2017'!R14</f>
        <v>684901</v>
      </c>
      <c r="X14" s="18">
        <f t="shared" ref="X14:X16" si="0">IF(U14=0," -",V14/U14)</f>
        <v>0.47291131051954144</v>
      </c>
      <c r="Y14" s="17">
        <f t="shared" ref="Y14:Y16" si="1">IF(W14=0," -",IF(V14=0,100%,W14/V14))</f>
        <v>9.3725132736024078E-2</v>
      </c>
    </row>
    <row r="15" spans="2:25" ht="30.75" thickBot="1" x14ac:dyDescent="0.25">
      <c r="B15" s="129"/>
      <c r="C15" s="131"/>
      <c r="D15" s="133"/>
      <c r="E15" s="34" t="s">
        <v>29</v>
      </c>
      <c r="F15" s="35">
        <v>72</v>
      </c>
      <c r="G15" s="35">
        <f>'2016'!J15</f>
        <v>0</v>
      </c>
      <c r="H15" s="48">
        <f>'2017'!J15</f>
        <v>24</v>
      </c>
      <c r="I15" s="48">
        <f>'2018'!J15</f>
        <v>24</v>
      </c>
      <c r="J15" s="48">
        <f>'2019'!J15</f>
        <v>24</v>
      </c>
      <c r="K15" s="90">
        <f>'2016'!K15</f>
        <v>0</v>
      </c>
      <c r="L15" s="48">
        <f>'2017'!K15</f>
        <v>2</v>
      </c>
      <c r="M15" s="48">
        <f>'2018'!K15</f>
        <v>55</v>
      </c>
      <c r="N15" s="91">
        <f>'2019'!K15</f>
        <v>0</v>
      </c>
      <c r="O15" s="73" t="str">
        <f>'2016'!N15</f>
        <v xml:space="preserve"> -</v>
      </c>
      <c r="P15" s="74">
        <f>'2017'!N15</f>
        <v>8.3333333333333329E-2</v>
      </c>
      <c r="Q15" s="75">
        <f>'2018'!N15</f>
        <v>1</v>
      </c>
      <c r="R15" s="74">
        <f>'2019'!N15</f>
        <v>0</v>
      </c>
      <c r="S15" s="95">
        <v>0.79166666666666663</v>
      </c>
      <c r="T15" s="60">
        <v>22121</v>
      </c>
      <c r="U15" s="35">
        <f>+'2016'!P15+'2017'!P15</f>
        <v>205000</v>
      </c>
      <c r="V15" s="35">
        <f>+'2016'!Q15+'2017'!Q15</f>
        <v>86763</v>
      </c>
      <c r="W15" s="35">
        <f>+'2016'!R15+'2017'!R15</f>
        <v>0</v>
      </c>
      <c r="X15" s="36">
        <f t="shared" si="0"/>
        <v>0.42323414634146339</v>
      </c>
      <c r="Y15" s="37" t="str">
        <f t="shared" si="1"/>
        <v xml:space="preserve"> -</v>
      </c>
    </row>
    <row r="16" spans="2:25" ht="21" customHeight="1" thickBot="1" x14ac:dyDescent="0.25">
      <c r="O16" s="68">
        <f>+AVERAGE(O12,O14:O15)</f>
        <v>1</v>
      </c>
      <c r="P16" s="67">
        <f t="shared" ref="P16:R16" si="2">+AVERAGE(P12,P14:P15)</f>
        <v>0.69444444444444453</v>
      </c>
      <c r="Q16" s="67">
        <f t="shared" si="2"/>
        <v>0.76666666666666661</v>
      </c>
      <c r="R16" s="67">
        <f t="shared" si="2"/>
        <v>0</v>
      </c>
      <c r="S16" s="69">
        <f>+AVERAGE(S12,S14:S15)</f>
        <v>0.65833333333333333</v>
      </c>
      <c r="T16" s="28"/>
      <c r="U16" s="29">
        <f>+SUM(U12,U14:U15)</f>
        <v>17854599</v>
      </c>
      <c r="V16" s="30">
        <f>+SUM(V12,V14:V15)</f>
        <v>8173111</v>
      </c>
      <c r="W16" s="30">
        <f>+SUM(W12,W14:W15)</f>
        <v>1303739</v>
      </c>
      <c r="X16" s="31">
        <f t="shared" si="0"/>
        <v>0.45775942657687241</v>
      </c>
      <c r="Y16" s="27">
        <f t="shared" si="1"/>
        <v>0.15951563609010083</v>
      </c>
    </row>
  </sheetData>
  <mergeCells count="20">
    <mergeCell ref="B14:B15"/>
    <mergeCell ref="C14:C15"/>
    <mergeCell ref="D14:D15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C3" sqref="C3:I16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21.95" customHeight="1" thickBot="1" x14ac:dyDescent="0.25">
      <c r="C3" s="175" t="s">
        <v>50</v>
      </c>
      <c r="D3" s="176"/>
      <c r="E3" s="176"/>
      <c r="F3" s="176"/>
      <c r="G3" s="176"/>
      <c r="H3" s="176"/>
      <c r="I3" s="177"/>
    </row>
    <row r="4" spans="2:9" ht="16.5" thickBot="1" x14ac:dyDescent="0.25">
      <c r="C4" s="96"/>
      <c r="D4" s="96"/>
      <c r="E4" s="96"/>
      <c r="F4" s="96"/>
      <c r="G4" s="96"/>
      <c r="H4" s="96"/>
    </row>
    <row r="5" spans="2:9" ht="18.95" customHeight="1" x14ac:dyDescent="0.2">
      <c r="C5" s="96"/>
      <c r="D5" s="96"/>
      <c r="E5" s="178" t="s">
        <v>40</v>
      </c>
      <c r="F5" s="179"/>
      <c r="G5" s="179"/>
      <c r="H5" s="182" t="s">
        <v>38</v>
      </c>
      <c r="I5" s="183"/>
    </row>
    <row r="6" spans="2:9" ht="18.95" customHeight="1" thickBot="1" x14ac:dyDescent="0.25">
      <c r="E6" s="180"/>
      <c r="F6" s="181"/>
      <c r="G6" s="181"/>
      <c r="H6" s="184"/>
      <c r="I6" s="185"/>
    </row>
    <row r="7" spans="2:9" ht="32.1" customHeight="1" thickBot="1" x14ac:dyDescent="0.25">
      <c r="C7" s="190"/>
      <c r="D7" s="191"/>
      <c r="E7" s="97">
        <v>2016</v>
      </c>
      <c r="F7" s="98">
        <v>2017</v>
      </c>
      <c r="G7" s="98">
        <v>2018</v>
      </c>
      <c r="H7" s="168" t="s">
        <v>37</v>
      </c>
      <c r="I7" s="192"/>
    </row>
    <row r="8" spans="2:9" ht="21.95" customHeight="1" thickBot="1" x14ac:dyDescent="0.25">
      <c r="B8" s="99">
        <v>1</v>
      </c>
      <c r="C8" s="169" t="s">
        <v>41</v>
      </c>
      <c r="D8" s="170"/>
      <c r="E8" s="100" t="str">
        <f>+IF('2016 - 2019'!G12&gt;0,'2016 - 2019'!O12," -")</f>
        <v xml:space="preserve"> -</v>
      </c>
      <c r="F8" s="100">
        <f>+IF('2016 - 2019'!H12&gt;0,'2016 - 2019'!P12," -")</f>
        <v>1</v>
      </c>
      <c r="G8" s="100">
        <f>+IF('2016 - 2019'!I12&gt;0,'2016 - 2019'!Q12," -")</f>
        <v>0.3</v>
      </c>
      <c r="H8" s="101">
        <f>+'2016 - 2019'!S12</f>
        <v>0.43333333333333335</v>
      </c>
      <c r="I8" s="193">
        <f t="shared" ref="I8:I13" si="0">+H8</f>
        <v>0.43333333333333335</v>
      </c>
    </row>
    <row r="9" spans="2:9" ht="20.100000000000001" customHeight="1" x14ac:dyDescent="0.2">
      <c r="B9" s="102" t="s">
        <v>42</v>
      </c>
      <c r="C9" s="171" t="s">
        <v>31</v>
      </c>
      <c r="D9" s="172"/>
      <c r="E9" s="106" t="str">
        <f>+IF('2016 - 2019'!G12&gt;0,'2016 - 2019'!O12," -")</f>
        <v xml:space="preserve"> -</v>
      </c>
      <c r="F9" s="106">
        <f>+IF('2016 - 2019'!H12&gt;0,'2016 - 2019'!P12," -")</f>
        <v>1</v>
      </c>
      <c r="G9" s="106">
        <f>+IF('2016 - 2019'!I12&gt;0,'2016 - 2019'!Q12," -")</f>
        <v>0.3</v>
      </c>
      <c r="H9" s="107">
        <f>+'2016 - 2019'!S12</f>
        <v>0.43333333333333335</v>
      </c>
      <c r="I9" s="194">
        <f t="shared" si="0"/>
        <v>0.43333333333333335</v>
      </c>
    </row>
    <row r="10" spans="2:9" ht="18" customHeight="1" thickBot="1" x14ac:dyDescent="0.25">
      <c r="B10" s="103" t="s">
        <v>43</v>
      </c>
      <c r="C10" s="173" t="s">
        <v>44</v>
      </c>
      <c r="D10" s="174"/>
      <c r="E10" s="104" t="str">
        <f>+IF('2016 - 2019'!G12&gt;0,'2016 - 2019'!O12," -")</f>
        <v xml:space="preserve"> -</v>
      </c>
      <c r="F10" s="104">
        <f>+IF('2016 - 2019'!H12&gt;0,'2016 - 2019'!P12," -")</f>
        <v>1</v>
      </c>
      <c r="G10" s="104">
        <f>+IF('2016 - 2019'!I12&gt;0,'2016 - 2019'!Q12," -")</f>
        <v>0.3</v>
      </c>
      <c r="H10" s="105">
        <f>+'2016 - 2019'!S12</f>
        <v>0.43333333333333335</v>
      </c>
      <c r="I10" s="195">
        <f t="shared" si="0"/>
        <v>0.43333333333333335</v>
      </c>
    </row>
    <row r="11" spans="2:9" ht="21.95" customHeight="1" thickBot="1" x14ac:dyDescent="0.25">
      <c r="B11" s="99">
        <v>3</v>
      </c>
      <c r="C11" s="186" t="s">
        <v>45</v>
      </c>
      <c r="D11" s="187"/>
      <c r="E11" s="108">
        <f>+IF(SUM('2016 - 2019'!G14:G15)&gt;0,AVERAGE('2016 - 2019'!O14:O15)," -")</f>
        <v>1</v>
      </c>
      <c r="F11" s="108">
        <f>+IF(SUM('2016 - 2019'!H14:H15)&gt;0,AVERAGE('2016 - 2019'!P14:P15)," -")</f>
        <v>0.54166666666666663</v>
      </c>
      <c r="G11" s="108">
        <f>+IF(SUM('2016 - 2019'!I14:I15)&gt;0,AVERAGE('2016 - 2019'!Q14:Q15)," -")</f>
        <v>1</v>
      </c>
      <c r="H11" s="109">
        <f>+AVERAGE('2016 - 2019'!S14:S15)</f>
        <v>0.77083333333333326</v>
      </c>
      <c r="I11" s="196">
        <f t="shared" si="0"/>
        <v>0.77083333333333326</v>
      </c>
    </row>
    <row r="12" spans="2:9" ht="20.100000000000001" customHeight="1" x14ac:dyDescent="0.2">
      <c r="B12" s="102" t="s">
        <v>46</v>
      </c>
      <c r="C12" s="171" t="s">
        <v>34</v>
      </c>
      <c r="D12" s="172"/>
      <c r="E12" s="106">
        <f>+IF(SUM('2016 - 2019'!G14:G15)&gt;0,AVERAGE('2016 - 2019'!O14:O15)," -")</f>
        <v>1</v>
      </c>
      <c r="F12" s="106">
        <f>+IF(SUM('2016 - 2019'!H14:H15)&gt;0,AVERAGE('2016 - 2019'!P14:P15)," -")</f>
        <v>0.54166666666666663</v>
      </c>
      <c r="G12" s="106">
        <f>+IF(SUM('2016 - 2019'!I14:I15)&gt;0,AVERAGE('2016 - 2019'!Q14:Q15)," -")</f>
        <v>1</v>
      </c>
      <c r="H12" s="107">
        <f>+AVERAGE('2016 - 2019'!S14:S15)</f>
        <v>0.77083333333333326</v>
      </c>
      <c r="I12" s="194">
        <f t="shared" si="0"/>
        <v>0.77083333333333326</v>
      </c>
    </row>
    <row r="13" spans="2:9" ht="18" customHeight="1" thickBot="1" x14ac:dyDescent="0.25">
      <c r="B13" s="103" t="s">
        <v>47</v>
      </c>
      <c r="C13" s="173" t="s">
        <v>48</v>
      </c>
      <c r="D13" s="174"/>
      <c r="E13" s="104">
        <f>+IF(SUM('2016 - 2019'!G14:G15)&gt;0,AVERAGE('2016 - 2019'!O14:O15)," -")</f>
        <v>1</v>
      </c>
      <c r="F13" s="104">
        <f>+IF(SUM('2016 - 2019'!H14:H15)&gt;0,AVERAGE('2016 - 2019'!P14:P15)," -")</f>
        <v>0.54166666666666663</v>
      </c>
      <c r="G13" s="104">
        <f>+IF(SUM('2016 - 2019'!I14:I15)&gt;0,AVERAGE('2016 - 2019'!Q14:Q15)," -")</f>
        <v>1</v>
      </c>
      <c r="H13" s="105">
        <f>+AVERAGE('2016 - 2019'!S14:S15)</f>
        <v>0.77083333333333326</v>
      </c>
      <c r="I13" s="195">
        <f t="shared" si="0"/>
        <v>0.77083333333333326</v>
      </c>
    </row>
    <row r="14" spans="2:9" ht="24" customHeight="1" thickBot="1" x14ac:dyDescent="0.25">
      <c r="C14" s="188" t="s">
        <v>49</v>
      </c>
      <c r="D14" s="189"/>
      <c r="E14" s="110">
        <f>+'2016 - 2019'!O16</f>
        <v>1</v>
      </c>
      <c r="F14" s="110">
        <f>+'2016 - 2019'!P16</f>
        <v>0.69444444444444453</v>
      </c>
      <c r="G14" s="110">
        <f>+'2016 - 2019'!Q16</f>
        <v>0.76666666666666661</v>
      </c>
      <c r="H14" s="111">
        <f>+'2016 - 2019'!S16</f>
        <v>0.65833333333333333</v>
      </c>
      <c r="I14" s="197">
        <f t="shared" ref="I14" si="1">+H14</f>
        <v>0.65833333333333333</v>
      </c>
    </row>
    <row r="16" spans="2:9" ht="18" x14ac:dyDescent="0.25">
      <c r="C16" s="112" t="str">
        <f>+'2016 - 2019'!C7</f>
        <v>FECHA CORTE</v>
      </c>
      <c r="D16" s="114">
        <f>+'2016 - 2019'!C8</f>
        <v>43281</v>
      </c>
      <c r="E16" s="113"/>
      <c r="F16" s="112" t="s">
        <v>53</v>
      </c>
    </row>
  </sheetData>
  <mergeCells count="12">
    <mergeCell ref="C11:D11"/>
    <mergeCell ref="C12:D12"/>
    <mergeCell ref="C13:D13"/>
    <mergeCell ref="C14:D14"/>
    <mergeCell ref="C7:D7"/>
    <mergeCell ref="H7:I7"/>
    <mergeCell ref="C8:D8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{6C132A3E-6AC4-8847-8F40-D05BA60A9532}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32A3E-6AC4-8847-8F40-D05BA60A953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2018-08-09T20:21:33Z</dcterms:modified>
</cp:coreProperties>
</file>